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urak\OneDrive\2023\RV2023\descriptive_2023\"/>
    </mc:Choice>
  </mc:AlternateContent>
  <xr:revisionPtr revIDLastSave="0" documentId="13_ncr:1_{6DBB6D56-EBEC-44A1-A36E-D5761B66DD83}" xr6:coauthVersionLast="36" xr6:coauthVersionMax="36" xr10:uidLastSave="{00000000-0000-0000-0000-000000000000}"/>
  <bookViews>
    <workbookView xWindow="0" yWindow="0" windowWidth="12330" windowHeight="2985" tabRatio="849" activeTab="1" xr2:uid="{00000000-000D-0000-FFFF-FFFF00000000}"/>
  </bookViews>
  <sheets>
    <sheet name="brent_zcc_strikes" sheetId="48" r:id="rId1"/>
    <sheet name="Sheet1" sheetId="49" r:id="rId2"/>
    <sheet name="brent_zcc_75%" sheetId="46" r:id="rId3"/>
    <sheet name="partial_hedge_picttures" sheetId="47" r:id="rId4"/>
    <sheet name="brent_zcc_50%" sheetId="44" r:id="rId5"/>
    <sheet name="zcc_fx_155" sheetId="42" r:id="rId6"/>
    <sheet name="zero cost pictures" sheetId="41" r:id="rId7"/>
    <sheet name="zero_cost_pictures" sheetId="40" r:id="rId8"/>
    <sheet name="brent_zcc" sheetId="37" r:id="rId9"/>
    <sheet name="case1" sheetId="43" r:id="rId10"/>
    <sheet name="zcc_forward_50_25" sheetId="45" r:id="rId11"/>
  </sheets>
  <externalReferences>
    <externalReference r:id="rId12"/>
    <externalReference r:id="rId13"/>
  </externalReferences>
  <definedNames>
    <definedName name="asfasf">[1]Input!$B$6</definedName>
    <definedName name="D">'[2]Binomial Tree'!$B$14</definedName>
    <definedName name="DF">'[2]Binomial Tree'!$B$12</definedName>
    <definedName name="dt">'[2]Binomial Tree'!$B$11</definedName>
    <definedName name="K">'[2]Binomial Tree'!$B$6</definedName>
    <definedName name="n">'[2]Binomial Tree'!$B$10</definedName>
    <definedName name="p">'[2]Binomial Tree'!$B$15</definedName>
    <definedName name="r_">'[2]Binomial Tree'!$B$4</definedName>
    <definedName name="S">'[2]Binomial Tree'!$B$5</definedName>
    <definedName name="sadf">[1]Input!$B$7</definedName>
    <definedName name="sigma">'[2]Binomial Tree'!$B$3</definedName>
    <definedName name="T">'[2]Binomial Tree'!$B$7</definedName>
    <definedName name="u">'[2]Binomial Tree'!$B$13</definedName>
  </definedNames>
  <calcPr calcId="191029"/>
</workbook>
</file>

<file path=xl/calcChain.xml><?xml version="1.0" encoding="utf-8"?>
<calcChain xmlns="http://schemas.openxmlformats.org/spreadsheetml/2006/main">
  <c r="E42" i="48" l="1"/>
  <c r="F42" i="48"/>
  <c r="H42" i="48" s="1"/>
  <c r="E34" i="48"/>
  <c r="G34" i="48" s="1"/>
  <c r="F34" i="48"/>
  <c r="H34" i="48"/>
  <c r="I34" i="48"/>
  <c r="E35" i="48"/>
  <c r="F35" i="48"/>
  <c r="H35" i="48" s="1"/>
  <c r="G35" i="48"/>
  <c r="E36" i="48"/>
  <c r="F36" i="48"/>
  <c r="G36" i="48"/>
  <c r="H36" i="48"/>
  <c r="I36" i="48"/>
  <c r="E37" i="48"/>
  <c r="G37" i="48" s="1"/>
  <c r="F37" i="48"/>
  <c r="H37" i="48" s="1"/>
  <c r="I37" i="48"/>
  <c r="E38" i="48"/>
  <c r="G38" i="48" s="1"/>
  <c r="F38" i="48"/>
  <c r="I38" i="48" s="1"/>
  <c r="H38" i="48"/>
  <c r="E39" i="48"/>
  <c r="F39" i="48"/>
  <c r="G39" i="48"/>
  <c r="H39" i="48"/>
  <c r="I39" i="48"/>
  <c r="E40" i="48"/>
  <c r="G40" i="48" s="1"/>
  <c r="F40" i="48"/>
  <c r="H40" i="48" s="1"/>
  <c r="E41" i="48"/>
  <c r="F41" i="48"/>
  <c r="G41" i="48" s="1"/>
  <c r="H41" i="48"/>
  <c r="I41" i="48"/>
  <c r="C34" i="48"/>
  <c r="D34" i="48"/>
  <c r="C35" i="48"/>
  <c r="D35" i="48" s="1"/>
  <c r="C36" i="48"/>
  <c r="D36" i="48"/>
  <c r="C37" i="48"/>
  <c r="D37" i="48"/>
  <c r="C38" i="48"/>
  <c r="D38" i="48"/>
  <c r="C39" i="48"/>
  <c r="D39" i="48" s="1"/>
  <c r="C40" i="48"/>
  <c r="D40" i="48"/>
  <c r="C41" i="48"/>
  <c r="D41" i="48"/>
  <c r="C42" i="48"/>
  <c r="D42" i="48"/>
  <c r="B39" i="48"/>
  <c r="B40" i="48"/>
  <c r="B41" i="48"/>
  <c r="B42" i="48"/>
  <c r="A39" i="48"/>
  <c r="A40" i="48" s="1"/>
  <c r="A41" i="48" s="1"/>
  <c r="A42" i="48" s="1"/>
  <c r="B34" i="48"/>
  <c r="B35" i="48"/>
  <c r="B36" i="48"/>
  <c r="B37" i="48"/>
  <c r="B38" i="48"/>
  <c r="A36" i="48"/>
  <c r="A37" i="48" s="1"/>
  <c r="A38" i="48" s="1"/>
  <c r="A6" i="48"/>
  <c r="I41" i="44"/>
  <c r="P20" i="48"/>
  <c r="M15" i="48"/>
  <c r="M14" i="48"/>
  <c r="M13" i="48"/>
  <c r="E53" i="48"/>
  <c r="E52" i="48"/>
  <c r="C64" i="48"/>
  <c r="C52" i="48" s="1"/>
  <c r="E60" i="48"/>
  <c r="C60" i="48"/>
  <c r="I2" i="48"/>
  <c r="E2" i="48"/>
  <c r="B2" i="48"/>
  <c r="F5" i="46"/>
  <c r="F6" i="46"/>
  <c r="F7" i="46"/>
  <c r="F8" i="46"/>
  <c r="F9" i="46"/>
  <c r="F10" i="46"/>
  <c r="F11" i="46"/>
  <c r="F12" i="46"/>
  <c r="F13" i="46"/>
  <c r="F14" i="46"/>
  <c r="F15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" i="46"/>
  <c r="A36" i="46"/>
  <c r="A37" i="46" s="1"/>
  <c r="A38" i="46" s="1"/>
  <c r="A39" i="46" s="1"/>
  <c r="A5" i="46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E53" i="46"/>
  <c r="E52" i="46"/>
  <c r="E60" i="46"/>
  <c r="C60" i="46"/>
  <c r="I2" i="46"/>
  <c r="F2" i="46" s="1"/>
  <c r="E5" i="46" s="1"/>
  <c r="E2" i="46"/>
  <c r="B2" i="46"/>
  <c r="A2" i="46"/>
  <c r="E2" i="44"/>
  <c r="E4" i="44" s="1"/>
  <c r="E38" i="44"/>
  <c r="C38" i="44"/>
  <c r="A40" i="37"/>
  <c r="A41" i="37"/>
  <c r="B41" i="37" s="1"/>
  <c r="A42" i="37"/>
  <c r="B42" i="37" s="1"/>
  <c r="D42" i="37" s="1"/>
  <c r="B37" i="37"/>
  <c r="D37" i="37" s="1"/>
  <c r="I37" i="37" s="1"/>
  <c r="C37" i="37"/>
  <c r="E37" i="37"/>
  <c r="F37" i="37"/>
  <c r="G37" i="37"/>
  <c r="H37" i="37"/>
  <c r="B38" i="37"/>
  <c r="D38" i="37" s="1"/>
  <c r="I38" i="37" s="1"/>
  <c r="C38" i="37"/>
  <c r="E38" i="37"/>
  <c r="F38" i="37"/>
  <c r="G38" i="37"/>
  <c r="H38" i="37"/>
  <c r="B39" i="37"/>
  <c r="D39" i="37" s="1"/>
  <c r="I39" i="37" s="1"/>
  <c r="C39" i="37"/>
  <c r="E39" i="37"/>
  <c r="F39" i="37"/>
  <c r="G39" i="37"/>
  <c r="H39" i="37"/>
  <c r="B40" i="37"/>
  <c r="C40" i="37"/>
  <c r="H40" i="37" s="1"/>
  <c r="E40" i="37"/>
  <c r="G40" i="37" s="1"/>
  <c r="F40" i="37"/>
  <c r="E41" i="37"/>
  <c r="F41" i="37"/>
  <c r="G41" i="37"/>
  <c r="C42" i="37"/>
  <c r="C68" i="37"/>
  <c r="E2" i="37"/>
  <c r="E68" i="37"/>
  <c r="I2" i="44"/>
  <c r="E53" i="44"/>
  <c r="E52" i="44"/>
  <c r="E42" i="44"/>
  <c r="E51" i="44" s="1"/>
  <c r="C42" i="44"/>
  <c r="A6" i="44"/>
  <c r="B2" i="44"/>
  <c r="A2" i="44"/>
  <c r="I42" i="48" l="1"/>
  <c r="G42" i="48"/>
  <c r="I40" i="48"/>
  <c r="I35" i="48"/>
  <c r="E6" i="48"/>
  <c r="E64" i="48"/>
  <c r="E65" i="48" s="1"/>
  <c r="E66" i="48" s="1"/>
  <c r="C51" i="48"/>
  <c r="C65" i="48"/>
  <c r="C54" i="48" s="1"/>
  <c r="A7" i="48"/>
  <c r="E5" i="48"/>
  <c r="C53" i="48"/>
  <c r="E4" i="48"/>
  <c r="F5" i="48"/>
  <c r="F4" i="48"/>
  <c r="F6" i="48"/>
  <c r="G6" i="48" s="1"/>
  <c r="E20" i="46"/>
  <c r="E19" i="46"/>
  <c r="E12" i="46"/>
  <c r="E38" i="46"/>
  <c r="G38" i="46" s="1"/>
  <c r="E34" i="46"/>
  <c r="E33" i="46"/>
  <c r="E28" i="46"/>
  <c r="E26" i="46"/>
  <c r="E36" i="46"/>
  <c r="G36" i="46" s="1"/>
  <c r="E25" i="46"/>
  <c r="E35" i="46"/>
  <c r="G35" i="46" s="1"/>
  <c r="E22" i="46"/>
  <c r="E30" i="46"/>
  <c r="E18" i="46"/>
  <c r="E17" i="46"/>
  <c r="E27" i="46"/>
  <c r="E14" i="46"/>
  <c r="E11" i="46"/>
  <c r="E10" i="46"/>
  <c r="E9" i="46"/>
  <c r="E8" i="46"/>
  <c r="E4" i="46"/>
  <c r="G4" i="46" s="1"/>
  <c r="E32" i="46"/>
  <c r="E24" i="46"/>
  <c r="E16" i="46"/>
  <c r="E39" i="46"/>
  <c r="G39" i="46" s="1"/>
  <c r="E31" i="46"/>
  <c r="E23" i="46"/>
  <c r="E15" i="46"/>
  <c r="E7" i="46"/>
  <c r="E6" i="46"/>
  <c r="E37" i="46"/>
  <c r="G37" i="46" s="1"/>
  <c r="E29" i="46"/>
  <c r="E21" i="46"/>
  <c r="E13" i="46"/>
  <c r="B39" i="46"/>
  <c r="C34" i="46"/>
  <c r="C39" i="46"/>
  <c r="H39" i="46" s="1"/>
  <c r="C38" i="46"/>
  <c r="H38" i="46" s="1"/>
  <c r="C37" i="46"/>
  <c r="B37" i="46"/>
  <c r="C35" i="46"/>
  <c r="B34" i="46"/>
  <c r="B35" i="46"/>
  <c r="B38" i="46"/>
  <c r="C36" i="46"/>
  <c r="B36" i="46"/>
  <c r="G6" i="46"/>
  <c r="C64" i="46"/>
  <c r="C51" i="46" s="1"/>
  <c r="E64" i="46"/>
  <c r="E65" i="46" s="1"/>
  <c r="E66" i="46" s="1"/>
  <c r="F4" i="44"/>
  <c r="E5" i="44"/>
  <c r="E6" i="44"/>
  <c r="I42" i="37"/>
  <c r="H42" i="37"/>
  <c r="D40" i="37"/>
  <c r="I40" i="37" s="1"/>
  <c r="F42" i="37"/>
  <c r="C41" i="37"/>
  <c r="H41" i="37" s="1"/>
  <c r="E42" i="37"/>
  <c r="G42" i="37" s="1"/>
  <c r="E6" i="37"/>
  <c r="C53" i="44"/>
  <c r="C52" i="44"/>
  <c r="C43" i="44"/>
  <c r="C54" i="44" s="1"/>
  <c r="C44" i="44"/>
  <c r="C51" i="44"/>
  <c r="A7" i="44"/>
  <c r="E43" i="44"/>
  <c r="E44" i="44" s="1"/>
  <c r="F6" i="44"/>
  <c r="G6" i="44" s="1"/>
  <c r="F5" i="44"/>
  <c r="Z6" i="43"/>
  <c r="A7" i="37"/>
  <c r="E7" i="37" s="1"/>
  <c r="Q30" i="43"/>
  <c r="Q6" i="43"/>
  <c r="Q10" i="43" s="1"/>
  <c r="I2" i="37"/>
  <c r="F6" i="37" s="1"/>
  <c r="C60" i="42"/>
  <c r="C56" i="42"/>
  <c r="J25" i="42"/>
  <c r="V9" i="42"/>
  <c r="A4" i="42"/>
  <c r="B2" i="42"/>
  <c r="A2" i="42"/>
  <c r="U23" i="40"/>
  <c r="F5" i="40"/>
  <c r="F6" i="40"/>
  <c r="F7" i="40"/>
  <c r="F8" i="40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4" i="40"/>
  <c r="C60" i="40"/>
  <c r="C71" i="40" s="1"/>
  <c r="C56" i="40"/>
  <c r="I25" i="40"/>
  <c r="U9" i="40"/>
  <c r="A4" i="40"/>
  <c r="A5" i="40" s="1"/>
  <c r="B2" i="40"/>
  <c r="A2" i="40"/>
  <c r="G5" i="48" l="1"/>
  <c r="E68" i="48"/>
  <c r="G2" i="48"/>
  <c r="C7" i="48" s="1"/>
  <c r="C66" i="48"/>
  <c r="E7" i="48"/>
  <c r="A8" i="48"/>
  <c r="E51" i="48"/>
  <c r="F7" i="48"/>
  <c r="E54" i="48"/>
  <c r="D39" i="46"/>
  <c r="I39" i="46" s="1"/>
  <c r="D34" i="46"/>
  <c r="I34" i="46" s="1"/>
  <c r="H35" i="46"/>
  <c r="D35" i="46"/>
  <c r="I35" i="46" s="1"/>
  <c r="D38" i="46"/>
  <c r="I38" i="46" s="1"/>
  <c r="H37" i="46"/>
  <c r="H36" i="46"/>
  <c r="D37" i="46"/>
  <c r="I37" i="46" s="1"/>
  <c r="G34" i="46"/>
  <c r="H34" i="46"/>
  <c r="D36" i="46"/>
  <c r="I36" i="46" s="1"/>
  <c r="G5" i="46"/>
  <c r="G7" i="46"/>
  <c r="G2" i="46"/>
  <c r="C8" i="46" s="1"/>
  <c r="H8" i="46" s="1"/>
  <c r="E68" i="46"/>
  <c r="C52" i="46"/>
  <c r="C65" i="46"/>
  <c r="C54" i="46" s="1"/>
  <c r="C66" i="46"/>
  <c r="E54" i="46"/>
  <c r="C53" i="46"/>
  <c r="E51" i="46"/>
  <c r="G8" i="46"/>
  <c r="E54" i="44"/>
  <c r="G5" i="44"/>
  <c r="D41" i="37"/>
  <c r="I41" i="37" s="1"/>
  <c r="F7" i="37"/>
  <c r="G2" i="44"/>
  <c r="C4" i="44" s="1"/>
  <c r="H4" i="44" s="1"/>
  <c r="E46" i="44"/>
  <c r="C46" i="44"/>
  <c r="D2" i="44"/>
  <c r="B4" i="44" s="1"/>
  <c r="E7" i="44"/>
  <c r="A8" i="44"/>
  <c r="C7" i="44"/>
  <c r="H7" i="44" s="1"/>
  <c r="F7" i="44"/>
  <c r="A8" i="37"/>
  <c r="Q11" i="43"/>
  <c r="Q13" i="43" s="1"/>
  <c r="Q16" i="43" s="1"/>
  <c r="C73" i="42"/>
  <c r="E66" i="42" s="1"/>
  <c r="E64" i="42"/>
  <c r="F4" i="42"/>
  <c r="C71" i="42"/>
  <c r="A5" i="42"/>
  <c r="C72" i="42"/>
  <c r="E65" i="42" s="1"/>
  <c r="J29" i="42"/>
  <c r="J42" i="42" s="1"/>
  <c r="L42" i="42" s="1"/>
  <c r="C61" i="42"/>
  <c r="E67" i="42" s="1"/>
  <c r="K40" i="40"/>
  <c r="M23" i="40" s="1"/>
  <c r="A6" i="40"/>
  <c r="E67" i="40"/>
  <c r="C61" i="40"/>
  <c r="C64" i="40" s="1"/>
  <c r="C63" i="40"/>
  <c r="D2" i="40" s="1"/>
  <c r="B5" i="40" s="1"/>
  <c r="C74" i="40"/>
  <c r="E64" i="40"/>
  <c r="C72" i="40"/>
  <c r="E65" i="40" s="1"/>
  <c r="C73" i="40"/>
  <c r="E66" i="40" s="1"/>
  <c r="I29" i="40"/>
  <c r="I42" i="40"/>
  <c r="K42" i="40" s="1"/>
  <c r="M25" i="40" s="1"/>
  <c r="H7" i="48" l="1"/>
  <c r="C8" i="48"/>
  <c r="A9" i="48"/>
  <c r="E8" i="48"/>
  <c r="F8" i="48"/>
  <c r="G7" i="48"/>
  <c r="D2" i="48"/>
  <c r="C68" i="48"/>
  <c r="E69" i="48" s="1"/>
  <c r="C4" i="48"/>
  <c r="H4" i="48" s="1"/>
  <c r="C5" i="48"/>
  <c r="H5" i="48" s="1"/>
  <c r="C6" i="48"/>
  <c r="H6" i="48" s="1"/>
  <c r="D2" i="46"/>
  <c r="B9" i="46" s="1"/>
  <c r="C68" i="46"/>
  <c r="E69" i="46" s="1"/>
  <c r="C9" i="46"/>
  <c r="C7" i="46"/>
  <c r="H7" i="46" s="1"/>
  <c r="C5" i="46"/>
  <c r="H5" i="46" s="1"/>
  <c r="C4" i="46"/>
  <c r="H4" i="46" s="1"/>
  <c r="C6" i="46"/>
  <c r="H6" i="46" s="1"/>
  <c r="D4" i="44"/>
  <c r="I4" i="44" s="1"/>
  <c r="A9" i="37"/>
  <c r="E8" i="37"/>
  <c r="F8" i="37"/>
  <c r="B6" i="44"/>
  <c r="B5" i="44"/>
  <c r="E47" i="44"/>
  <c r="C5" i="44"/>
  <c r="H5" i="44" s="1"/>
  <c r="C6" i="44"/>
  <c r="H6" i="44" s="1"/>
  <c r="B7" i="44"/>
  <c r="D7" i="44" s="1"/>
  <c r="I7" i="44" s="1"/>
  <c r="E8" i="44"/>
  <c r="C8" i="44"/>
  <c r="A9" i="44"/>
  <c r="B8" i="44"/>
  <c r="F8" i="44"/>
  <c r="G7" i="44"/>
  <c r="G6" i="37"/>
  <c r="G7" i="37"/>
  <c r="C63" i="42"/>
  <c r="D2" i="42" s="1"/>
  <c r="B4" i="42" s="1"/>
  <c r="J30" i="42"/>
  <c r="J41" i="42"/>
  <c r="L41" i="42" s="1"/>
  <c r="N24" i="42" s="1"/>
  <c r="L40" i="42"/>
  <c r="N23" i="42" s="1"/>
  <c r="J40" i="42"/>
  <c r="N25" i="42"/>
  <c r="A6" i="42"/>
  <c r="F5" i="42"/>
  <c r="B5" i="42"/>
  <c r="C64" i="42"/>
  <c r="C74" i="42"/>
  <c r="B4" i="40"/>
  <c r="I30" i="40"/>
  <c r="I41" i="40"/>
  <c r="K41" i="40" s="1"/>
  <c r="M24" i="40" s="1"/>
  <c r="B6" i="40"/>
  <c r="A7" i="40"/>
  <c r="I40" i="40"/>
  <c r="I32" i="40"/>
  <c r="K43" i="40"/>
  <c r="M26" i="40" s="1"/>
  <c r="G8" i="48" l="1"/>
  <c r="H8" i="48"/>
  <c r="B4" i="48"/>
  <c r="D4" i="48" s="1"/>
  <c r="I4" i="48" s="1"/>
  <c r="B5" i="48"/>
  <c r="D5" i="48" s="1"/>
  <c r="I5" i="48" s="1"/>
  <c r="B6" i="48"/>
  <c r="D6" i="48" s="1"/>
  <c r="I6" i="48" s="1"/>
  <c r="B7" i="48"/>
  <c r="D7" i="48" s="1"/>
  <c r="I7" i="48" s="1"/>
  <c r="B8" i="48"/>
  <c r="D8" i="48" s="1"/>
  <c r="I8" i="48" s="1"/>
  <c r="C9" i="48"/>
  <c r="H9" i="48" s="1"/>
  <c r="A10" i="48"/>
  <c r="B9" i="48"/>
  <c r="E9" i="48"/>
  <c r="F9" i="48"/>
  <c r="D9" i="46"/>
  <c r="I9" i="46" s="1"/>
  <c r="G9" i="46"/>
  <c r="B6" i="46"/>
  <c r="D6" i="46" s="1"/>
  <c r="I6" i="46" s="1"/>
  <c r="B4" i="46"/>
  <c r="D4" i="46" s="1"/>
  <c r="I4" i="46" s="1"/>
  <c r="B5" i="46"/>
  <c r="D5" i="46" s="1"/>
  <c r="I5" i="46" s="1"/>
  <c r="B7" i="46"/>
  <c r="D7" i="46" s="1"/>
  <c r="I7" i="46" s="1"/>
  <c r="B8" i="46"/>
  <c r="D8" i="46" s="1"/>
  <c r="I8" i="46" s="1"/>
  <c r="H9" i="46"/>
  <c r="C10" i="46"/>
  <c r="B10" i="46"/>
  <c r="A10" i="37"/>
  <c r="E9" i="37"/>
  <c r="F9" i="37"/>
  <c r="D8" i="44"/>
  <c r="I8" i="44" s="1"/>
  <c r="D6" i="44"/>
  <c r="I6" i="44" s="1"/>
  <c r="H8" i="44"/>
  <c r="D5" i="44"/>
  <c r="I5" i="44" s="1"/>
  <c r="A10" i="44"/>
  <c r="B9" i="44"/>
  <c r="C9" i="44"/>
  <c r="E9" i="44"/>
  <c r="F9" i="44"/>
  <c r="G8" i="44"/>
  <c r="G8" i="37"/>
  <c r="J33" i="42"/>
  <c r="F2" i="42" s="1"/>
  <c r="C6" i="42" s="1"/>
  <c r="J43" i="42"/>
  <c r="L43" i="42"/>
  <c r="N26" i="42" s="1"/>
  <c r="A7" i="42"/>
  <c r="F6" i="42"/>
  <c r="B6" i="42"/>
  <c r="J32" i="42"/>
  <c r="C7" i="40"/>
  <c r="A8" i="40"/>
  <c r="B7" i="40"/>
  <c r="I43" i="40"/>
  <c r="I33" i="40"/>
  <c r="F2" i="40" s="1"/>
  <c r="G9" i="48" l="1"/>
  <c r="D9" i="48"/>
  <c r="I9" i="48" s="1"/>
  <c r="A11" i="48"/>
  <c r="B10" i="48"/>
  <c r="E10" i="48"/>
  <c r="C10" i="48"/>
  <c r="F10" i="48"/>
  <c r="G10" i="46"/>
  <c r="H10" i="46"/>
  <c r="D10" i="46"/>
  <c r="I10" i="46" s="1"/>
  <c r="C11" i="46"/>
  <c r="B11" i="46"/>
  <c r="H9" i="44"/>
  <c r="G9" i="37"/>
  <c r="E10" i="37"/>
  <c r="F10" i="37"/>
  <c r="A11" i="37"/>
  <c r="G9" i="44"/>
  <c r="D9" i="44"/>
  <c r="I9" i="44" s="1"/>
  <c r="C10" i="44"/>
  <c r="A11" i="44"/>
  <c r="B10" i="44"/>
  <c r="E10" i="44"/>
  <c r="F10" i="44"/>
  <c r="D6" i="42"/>
  <c r="G6" i="42" s="1"/>
  <c r="C7" i="42"/>
  <c r="B7" i="42"/>
  <c r="F7" i="42"/>
  <c r="A8" i="42"/>
  <c r="C4" i="42"/>
  <c r="D4" i="42" s="1"/>
  <c r="G4" i="42" s="1"/>
  <c r="C5" i="42"/>
  <c r="D5" i="42" s="1"/>
  <c r="G5" i="42" s="1"/>
  <c r="C5" i="40"/>
  <c r="D5" i="40" s="1"/>
  <c r="G5" i="40" s="1"/>
  <c r="C4" i="40"/>
  <c r="D4" i="40" s="1"/>
  <c r="G4" i="40" s="1"/>
  <c r="C6" i="40"/>
  <c r="D6" i="40" s="1"/>
  <c r="G6" i="40" s="1"/>
  <c r="A9" i="40"/>
  <c r="B8" i="40"/>
  <c r="D8" i="40" s="1"/>
  <c r="G8" i="40" s="1"/>
  <c r="C8" i="40"/>
  <c r="D7" i="40"/>
  <c r="G7" i="40" s="1"/>
  <c r="B2" i="37"/>
  <c r="A2" i="37"/>
  <c r="E72" i="37"/>
  <c r="C72" i="37"/>
  <c r="C54" i="37" s="1"/>
  <c r="H10" i="48" l="1"/>
  <c r="G10" i="48"/>
  <c r="D10" i="48"/>
  <c r="I10" i="48" s="1"/>
  <c r="A12" i="48"/>
  <c r="E11" i="48"/>
  <c r="C11" i="48"/>
  <c r="B11" i="48"/>
  <c r="F11" i="48"/>
  <c r="H11" i="46"/>
  <c r="C12" i="46"/>
  <c r="B12" i="46"/>
  <c r="D11" i="46"/>
  <c r="I11" i="46" s="1"/>
  <c r="G11" i="46"/>
  <c r="E11" i="37"/>
  <c r="F11" i="37"/>
  <c r="A12" i="37"/>
  <c r="G10" i="37"/>
  <c r="H10" i="44"/>
  <c r="A12" i="44"/>
  <c r="B11" i="44"/>
  <c r="E11" i="44"/>
  <c r="C11" i="44"/>
  <c r="F11" i="44"/>
  <c r="G10" i="44"/>
  <c r="D10" i="44"/>
  <c r="I10" i="44" s="1"/>
  <c r="E55" i="37"/>
  <c r="E56" i="37"/>
  <c r="C56" i="37"/>
  <c r="C73" i="37"/>
  <c r="E54" i="37"/>
  <c r="E73" i="37"/>
  <c r="C55" i="37"/>
  <c r="D7" i="42"/>
  <c r="G7" i="42" s="1"/>
  <c r="F8" i="42"/>
  <c r="C8" i="42"/>
  <c r="A9" i="42"/>
  <c r="B8" i="42"/>
  <c r="A10" i="40"/>
  <c r="C9" i="40"/>
  <c r="B9" i="40"/>
  <c r="H11" i="48" l="1"/>
  <c r="D11" i="48"/>
  <c r="I11" i="48" s="1"/>
  <c r="G11" i="48"/>
  <c r="E12" i="48"/>
  <c r="C12" i="48"/>
  <c r="A13" i="48"/>
  <c r="B12" i="48"/>
  <c r="F12" i="48"/>
  <c r="H12" i="46"/>
  <c r="C13" i="46"/>
  <c r="B13" i="46"/>
  <c r="G12" i="46"/>
  <c r="D12" i="46"/>
  <c r="I12" i="46" s="1"/>
  <c r="E12" i="37"/>
  <c r="F12" i="37"/>
  <c r="A13" i="37"/>
  <c r="G11" i="37"/>
  <c r="H11" i="44"/>
  <c r="G11" i="44"/>
  <c r="D11" i="44"/>
  <c r="I11" i="44" s="1"/>
  <c r="C12" i="44"/>
  <c r="A13" i="44"/>
  <c r="B12" i="44"/>
  <c r="F12" i="44"/>
  <c r="E12" i="44"/>
  <c r="E74" i="37"/>
  <c r="C57" i="37"/>
  <c r="E57" i="37"/>
  <c r="C74" i="37"/>
  <c r="C76" i="37" s="1"/>
  <c r="F9" i="42"/>
  <c r="C9" i="42"/>
  <c r="B9" i="42"/>
  <c r="A10" i="42"/>
  <c r="D8" i="42"/>
  <c r="G8" i="42" s="1"/>
  <c r="B10" i="40"/>
  <c r="D10" i="40" s="1"/>
  <c r="G10" i="40" s="1"/>
  <c r="C10" i="40"/>
  <c r="A11" i="40"/>
  <c r="D9" i="40"/>
  <c r="G9" i="40" s="1"/>
  <c r="D12" i="48" l="1"/>
  <c r="I12" i="48" s="1"/>
  <c r="H12" i="48"/>
  <c r="G12" i="48"/>
  <c r="E13" i="48"/>
  <c r="C13" i="48"/>
  <c r="A14" i="48"/>
  <c r="B13" i="48"/>
  <c r="F13" i="48"/>
  <c r="H13" i="46"/>
  <c r="C14" i="46"/>
  <c r="B14" i="46"/>
  <c r="G13" i="46"/>
  <c r="D13" i="46"/>
  <c r="I13" i="46" s="1"/>
  <c r="G12" i="44"/>
  <c r="E13" i="37"/>
  <c r="F13" i="37"/>
  <c r="A14" i="37"/>
  <c r="G12" i="37"/>
  <c r="H12" i="44"/>
  <c r="D12" i="44"/>
  <c r="I12" i="44" s="1"/>
  <c r="C13" i="44"/>
  <c r="A14" i="44"/>
  <c r="B13" i="44"/>
  <c r="E13" i="44"/>
  <c r="F13" i="44"/>
  <c r="G2" i="37"/>
  <c r="E76" i="37"/>
  <c r="E77" i="37" s="1"/>
  <c r="D2" i="37"/>
  <c r="D9" i="42"/>
  <c r="A11" i="42"/>
  <c r="F10" i="42"/>
  <c r="C10" i="42"/>
  <c r="B10" i="42"/>
  <c r="G9" i="42"/>
  <c r="C11" i="40"/>
  <c r="A12" i="40"/>
  <c r="B11" i="40"/>
  <c r="D11" i="40" s="1"/>
  <c r="G11" i="40" s="1"/>
  <c r="D13" i="48" l="1"/>
  <c r="I13" i="48" s="1"/>
  <c r="G13" i="48"/>
  <c r="E14" i="48"/>
  <c r="C14" i="48"/>
  <c r="A15" i="48"/>
  <c r="B14" i="48"/>
  <c r="F14" i="48"/>
  <c r="H13" i="48"/>
  <c r="D14" i="46"/>
  <c r="I14" i="46" s="1"/>
  <c r="H14" i="46"/>
  <c r="C15" i="46"/>
  <c r="B15" i="46"/>
  <c r="G14" i="46"/>
  <c r="E14" i="37"/>
  <c r="F14" i="37"/>
  <c r="A15" i="37"/>
  <c r="C15" i="37" s="1"/>
  <c r="G13" i="37"/>
  <c r="C9" i="37"/>
  <c r="H9" i="37" s="1"/>
  <c r="H13" i="44"/>
  <c r="E14" i="44"/>
  <c r="G14" i="44" s="1"/>
  <c r="A15" i="44"/>
  <c r="B14" i="44"/>
  <c r="C14" i="44"/>
  <c r="F14" i="44"/>
  <c r="G13" i="44"/>
  <c r="D13" i="44"/>
  <c r="I13" i="44" s="1"/>
  <c r="C8" i="37"/>
  <c r="H8" i="37" s="1"/>
  <c r="C11" i="37"/>
  <c r="H11" i="37" s="1"/>
  <c r="C10" i="37"/>
  <c r="H10" i="37" s="1"/>
  <c r="C14" i="37"/>
  <c r="C12" i="37"/>
  <c r="H12" i="37" s="1"/>
  <c r="C7" i="37"/>
  <c r="H7" i="37" s="1"/>
  <c r="C6" i="37"/>
  <c r="H6" i="37" s="1"/>
  <c r="C13" i="37"/>
  <c r="H13" i="37" s="1"/>
  <c r="B7" i="37"/>
  <c r="B8" i="37"/>
  <c r="B9" i="37"/>
  <c r="B10" i="37"/>
  <c r="B11" i="37"/>
  <c r="B12" i="37"/>
  <c r="B13" i="37"/>
  <c r="B6" i="37"/>
  <c r="B14" i="37"/>
  <c r="D10" i="42"/>
  <c r="G10" i="42" s="1"/>
  <c r="B11" i="42"/>
  <c r="C11" i="42"/>
  <c r="A12" i="42"/>
  <c r="F11" i="42"/>
  <c r="B12" i="40"/>
  <c r="C12" i="40"/>
  <c r="A13" i="40"/>
  <c r="H14" i="48" l="1"/>
  <c r="D14" i="48"/>
  <c r="I14" i="48" s="1"/>
  <c r="E15" i="48"/>
  <c r="C15" i="48"/>
  <c r="A16" i="48"/>
  <c r="B15" i="48"/>
  <c r="F15" i="48"/>
  <c r="G14" i="48"/>
  <c r="D15" i="46"/>
  <c r="I15" i="46" s="1"/>
  <c r="B16" i="46"/>
  <c r="C16" i="46"/>
  <c r="H15" i="46"/>
  <c r="G15" i="46"/>
  <c r="D14" i="44"/>
  <c r="I14" i="44" s="1"/>
  <c r="H14" i="37"/>
  <c r="B15" i="37"/>
  <c r="D15" i="37" s="1"/>
  <c r="E15" i="37"/>
  <c r="F15" i="37"/>
  <c r="H15" i="37" s="1"/>
  <c r="A16" i="37"/>
  <c r="G14" i="37"/>
  <c r="D9" i="37"/>
  <c r="I9" i="37" s="1"/>
  <c r="E15" i="44"/>
  <c r="B15" i="44"/>
  <c r="A16" i="44"/>
  <c r="C15" i="44"/>
  <c r="F15" i="44"/>
  <c r="H14" i="44"/>
  <c r="D8" i="37"/>
  <c r="I8" i="37" s="1"/>
  <c r="D14" i="37"/>
  <c r="I14" i="37" s="1"/>
  <c r="D6" i="37"/>
  <c r="I6" i="37" s="1"/>
  <c r="D11" i="37"/>
  <c r="I11" i="37" s="1"/>
  <c r="D7" i="37"/>
  <c r="I7" i="37" s="1"/>
  <c r="D10" i="37"/>
  <c r="I10" i="37" s="1"/>
  <c r="D13" i="37"/>
  <c r="I13" i="37" s="1"/>
  <c r="D12" i="37"/>
  <c r="I12" i="37" s="1"/>
  <c r="D11" i="42"/>
  <c r="G11" i="42" s="1"/>
  <c r="C12" i="42"/>
  <c r="B12" i="42"/>
  <c r="A13" i="42"/>
  <c r="F12" i="42"/>
  <c r="D12" i="40"/>
  <c r="G12" i="40" s="1"/>
  <c r="A14" i="40"/>
  <c r="B13" i="40"/>
  <c r="D13" i="40" s="1"/>
  <c r="G13" i="40" s="1"/>
  <c r="C13" i="40"/>
  <c r="D15" i="48" l="1"/>
  <c r="I15" i="48" s="1"/>
  <c r="C16" i="48"/>
  <c r="A17" i="48"/>
  <c r="B16" i="48"/>
  <c r="E16" i="48"/>
  <c r="F16" i="48"/>
  <c r="H15" i="48"/>
  <c r="G15" i="48"/>
  <c r="D16" i="46"/>
  <c r="I16" i="46" s="1"/>
  <c r="G16" i="46"/>
  <c r="C17" i="46"/>
  <c r="B17" i="46"/>
  <c r="H16" i="46"/>
  <c r="D15" i="44"/>
  <c r="I15" i="44" s="1"/>
  <c r="I15" i="37"/>
  <c r="E16" i="37"/>
  <c r="F16" i="37"/>
  <c r="C16" i="37"/>
  <c r="H16" i="37" s="1"/>
  <c r="B16" i="37"/>
  <c r="A17" i="37"/>
  <c r="G15" i="37"/>
  <c r="G15" i="44"/>
  <c r="E16" i="44"/>
  <c r="C16" i="44"/>
  <c r="B16" i="44"/>
  <c r="A17" i="44"/>
  <c r="F16" i="44"/>
  <c r="H15" i="44"/>
  <c r="F13" i="42"/>
  <c r="C13" i="42"/>
  <c r="B13" i="42"/>
  <c r="A14" i="42"/>
  <c r="D12" i="42"/>
  <c r="G12" i="42" s="1"/>
  <c r="B14" i="40"/>
  <c r="D14" i="40" s="1"/>
  <c r="C14" i="40"/>
  <c r="A15" i="40"/>
  <c r="G16" i="48" l="1"/>
  <c r="D16" i="48"/>
  <c r="I16" i="48" s="1"/>
  <c r="C17" i="48"/>
  <c r="A18" i="48"/>
  <c r="B17" i="48"/>
  <c r="E17" i="48"/>
  <c r="F17" i="48"/>
  <c r="H16" i="48"/>
  <c r="H17" i="46"/>
  <c r="C18" i="46"/>
  <c r="B18" i="46"/>
  <c r="G17" i="46"/>
  <c r="D17" i="46"/>
  <c r="I17" i="46" s="1"/>
  <c r="D16" i="37"/>
  <c r="I16" i="37" s="1"/>
  <c r="B17" i="37"/>
  <c r="E17" i="37"/>
  <c r="F17" i="37"/>
  <c r="A18" i="37"/>
  <c r="C17" i="37"/>
  <c r="G16" i="37"/>
  <c r="D16" i="44"/>
  <c r="I16" i="44" s="1"/>
  <c r="A18" i="44"/>
  <c r="B17" i="44"/>
  <c r="C17" i="44"/>
  <c r="E17" i="44"/>
  <c r="F17" i="44"/>
  <c r="H16" i="44"/>
  <c r="G16" i="44"/>
  <c r="D13" i="42"/>
  <c r="G13" i="42" s="1"/>
  <c r="A15" i="42"/>
  <c r="F14" i="42"/>
  <c r="C14" i="42"/>
  <c r="B14" i="42"/>
  <c r="C15" i="40"/>
  <c r="A16" i="40"/>
  <c r="B15" i="40"/>
  <c r="G14" i="40"/>
  <c r="D17" i="48" l="1"/>
  <c r="I17" i="48" s="1"/>
  <c r="G17" i="48"/>
  <c r="A19" i="48"/>
  <c r="B18" i="48"/>
  <c r="C18" i="48"/>
  <c r="E18" i="48"/>
  <c r="F18" i="48"/>
  <c r="H17" i="48"/>
  <c r="D18" i="46"/>
  <c r="I18" i="46" s="1"/>
  <c r="C19" i="46"/>
  <c r="B19" i="46"/>
  <c r="G18" i="46"/>
  <c r="H18" i="46"/>
  <c r="H17" i="37"/>
  <c r="E18" i="37"/>
  <c r="F18" i="37"/>
  <c r="B18" i="37"/>
  <c r="A19" i="37"/>
  <c r="C18" i="37"/>
  <c r="H18" i="37" s="1"/>
  <c r="G17" i="37"/>
  <c r="D17" i="37"/>
  <c r="I17" i="37" s="1"/>
  <c r="H17" i="44"/>
  <c r="D17" i="44"/>
  <c r="I17" i="44" s="1"/>
  <c r="C18" i="44"/>
  <c r="A19" i="44"/>
  <c r="B18" i="44"/>
  <c r="E18" i="44"/>
  <c r="F18" i="44"/>
  <c r="G17" i="44"/>
  <c r="D14" i="42"/>
  <c r="G14" i="42" s="1"/>
  <c r="B15" i="42"/>
  <c r="F15" i="42"/>
  <c r="C15" i="42"/>
  <c r="A16" i="42"/>
  <c r="D15" i="40"/>
  <c r="G15" i="40" s="1"/>
  <c r="A17" i="40"/>
  <c r="B16" i="40"/>
  <c r="D16" i="40" s="1"/>
  <c r="G16" i="40" s="1"/>
  <c r="C16" i="40"/>
  <c r="G18" i="48" l="1"/>
  <c r="D18" i="48"/>
  <c r="I18" i="48" s="1"/>
  <c r="A20" i="48"/>
  <c r="E19" i="48"/>
  <c r="B19" i="48"/>
  <c r="C19" i="48"/>
  <c r="H19" i="48" s="1"/>
  <c r="F19" i="48"/>
  <c r="H18" i="48"/>
  <c r="D19" i="46"/>
  <c r="I19" i="46" s="1"/>
  <c r="C20" i="46"/>
  <c r="B20" i="46"/>
  <c r="G19" i="46"/>
  <c r="H19" i="46"/>
  <c r="E19" i="37"/>
  <c r="F19" i="37"/>
  <c r="C19" i="37"/>
  <c r="B19" i="37"/>
  <c r="A20" i="37"/>
  <c r="D18" i="37"/>
  <c r="I18" i="37" s="1"/>
  <c r="G18" i="37"/>
  <c r="D18" i="44"/>
  <c r="I18" i="44" s="1"/>
  <c r="A20" i="44"/>
  <c r="B19" i="44"/>
  <c r="E19" i="44"/>
  <c r="C19" i="44"/>
  <c r="F19" i="44"/>
  <c r="G18" i="44"/>
  <c r="H18" i="44"/>
  <c r="C16" i="42"/>
  <c r="B16" i="42"/>
  <c r="A17" i="42"/>
  <c r="F16" i="42"/>
  <c r="D15" i="42"/>
  <c r="G15" i="42" s="1"/>
  <c r="A18" i="40"/>
  <c r="B17" i="40"/>
  <c r="C17" i="40"/>
  <c r="G19" i="48" l="1"/>
  <c r="D19" i="48"/>
  <c r="I19" i="48" s="1"/>
  <c r="E20" i="48"/>
  <c r="C20" i="48"/>
  <c r="A21" i="48"/>
  <c r="B20" i="48"/>
  <c r="F20" i="48"/>
  <c r="D20" i="46"/>
  <c r="I20" i="46" s="1"/>
  <c r="C21" i="46"/>
  <c r="B21" i="46"/>
  <c r="H20" i="46"/>
  <c r="G20" i="46"/>
  <c r="H19" i="37"/>
  <c r="D19" i="37"/>
  <c r="I19" i="37" s="1"/>
  <c r="E20" i="37"/>
  <c r="F20" i="37"/>
  <c r="A21" i="37"/>
  <c r="C20" i="37"/>
  <c r="H20" i="37" s="1"/>
  <c r="B20" i="37"/>
  <c r="D20" i="37" s="1"/>
  <c r="I20" i="37" s="1"/>
  <c r="G19" i="37"/>
  <c r="G19" i="44"/>
  <c r="H19" i="44"/>
  <c r="D19" i="44"/>
  <c r="I19" i="44" s="1"/>
  <c r="C20" i="44"/>
  <c r="A21" i="44"/>
  <c r="B20" i="44"/>
  <c r="E20" i="44"/>
  <c r="F20" i="44"/>
  <c r="D16" i="42"/>
  <c r="G16" i="42" s="1"/>
  <c r="F17" i="42"/>
  <c r="A18" i="42"/>
  <c r="C17" i="42"/>
  <c r="B17" i="42"/>
  <c r="B18" i="40"/>
  <c r="D18" i="40" s="1"/>
  <c r="G18" i="40" s="1"/>
  <c r="C18" i="40"/>
  <c r="A19" i="40"/>
  <c r="D17" i="40"/>
  <c r="G17" i="40" s="1"/>
  <c r="D20" i="48" l="1"/>
  <c r="I20" i="48" s="1"/>
  <c r="E21" i="48"/>
  <c r="C21" i="48"/>
  <c r="A22" i="48"/>
  <c r="B21" i="48"/>
  <c r="F21" i="48"/>
  <c r="H20" i="48"/>
  <c r="G20" i="48"/>
  <c r="D21" i="46"/>
  <c r="I21" i="46" s="1"/>
  <c r="C22" i="46"/>
  <c r="B22" i="46"/>
  <c r="H21" i="46"/>
  <c r="G21" i="46"/>
  <c r="E21" i="37"/>
  <c r="F21" i="37"/>
  <c r="B21" i="37"/>
  <c r="A22" i="37"/>
  <c r="C21" i="37"/>
  <c r="G20" i="37"/>
  <c r="H20" i="44"/>
  <c r="D20" i="44"/>
  <c r="I20" i="44" s="1"/>
  <c r="G20" i="44"/>
  <c r="C21" i="44"/>
  <c r="A22" i="44"/>
  <c r="B21" i="44"/>
  <c r="E21" i="44"/>
  <c r="F21" i="44"/>
  <c r="D17" i="42"/>
  <c r="G17" i="42" s="1"/>
  <c r="A19" i="42"/>
  <c r="F18" i="42"/>
  <c r="B18" i="42"/>
  <c r="C18" i="42"/>
  <c r="C19" i="40"/>
  <c r="A20" i="40"/>
  <c r="B19" i="40"/>
  <c r="D21" i="48" l="1"/>
  <c r="I21" i="48" s="1"/>
  <c r="E22" i="48"/>
  <c r="C22" i="48"/>
  <c r="A23" i="48"/>
  <c r="B22" i="48"/>
  <c r="F22" i="48"/>
  <c r="H21" i="48"/>
  <c r="G21" i="48"/>
  <c r="D22" i="46"/>
  <c r="I22" i="46" s="1"/>
  <c r="G22" i="46"/>
  <c r="H22" i="46"/>
  <c r="C23" i="46"/>
  <c r="B23" i="46"/>
  <c r="D21" i="44"/>
  <c r="I21" i="44" s="1"/>
  <c r="H21" i="37"/>
  <c r="E22" i="37"/>
  <c r="F22" i="37"/>
  <c r="B22" i="37"/>
  <c r="A23" i="37"/>
  <c r="C22" i="37"/>
  <c r="H22" i="37" s="1"/>
  <c r="D21" i="37"/>
  <c r="I21" i="37" s="1"/>
  <c r="G21" i="37"/>
  <c r="G21" i="44"/>
  <c r="E22" i="44"/>
  <c r="A23" i="44"/>
  <c r="B22" i="44"/>
  <c r="C22" i="44"/>
  <c r="F22" i="44"/>
  <c r="H21" i="44"/>
  <c r="D18" i="42"/>
  <c r="G18" i="42" s="1"/>
  <c r="B19" i="42"/>
  <c r="F19" i="42"/>
  <c r="C19" i="42"/>
  <c r="A20" i="42"/>
  <c r="D19" i="40"/>
  <c r="G19" i="40" s="1"/>
  <c r="B20" i="40"/>
  <c r="C20" i="40"/>
  <c r="A21" i="40"/>
  <c r="D22" i="48" l="1"/>
  <c r="I22" i="48" s="1"/>
  <c r="E23" i="48"/>
  <c r="C23" i="48"/>
  <c r="A24" i="48"/>
  <c r="B23" i="48"/>
  <c r="F23" i="48"/>
  <c r="H22" i="48"/>
  <c r="G22" i="48"/>
  <c r="D23" i="46"/>
  <c r="I23" i="46" s="1"/>
  <c r="G23" i="46"/>
  <c r="B24" i="46"/>
  <c r="C24" i="46"/>
  <c r="H23" i="46"/>
  <c r="E23" i="37"/>
  <c r="F23" i="37"/>
  <c r="A24" i="37"/>
  <c r="C23" i="37"/>
  <c r="H23" i="37" s="1"/>
  <c r="B23" i="37"/>
  <c r="D23" i="37" s="1"/>
  <c r="I23" i="37" s="1"/>
  <c r="D22" i="37"/>
  <c r="I22" i="37" s="1"/>
  <c r="G22" i="37"/>
  <c r="D22" i="44"/>
  <c r="I22" i="44" s="1"/>
  <c r="G22" i="44"/>
  <c r="H22" i="44"/>
  <c r="C23" i="44"/>
  <c r="E23" i="44"/>
  <c r="A24" i="44"/>
  <c r="B23" i="44"/>
  <c r="F23" i="44"/>
  <c r="C20" i="42"/>
  <c r="B20" i="42"/>
  <c r="A21" i="42"/>
  <c r="F20" i="42"/>
  <c r="D19" i="42"/>
  <c r="G19" i="42" s="1"/>
  <c r="A22" i="40"/>
  <c r="C21" i="40"/>
  <c r="B21" i="40"/>
  <c r="D21" i="40" s="1"/>
  <c r="G21" i="40" s="1"/>
  <c r="D20" i="40"/>
  <c r="G20" i="40" s="1"/>
  <c r="D23" i="48" l="1"/>
  <c r="I23" i="48" s="1"/>
  <c r="H23" i="48"/>
  <c r="C24" i="48"/>
  <c r="A25" i="48"/>
  <c r="B24" i="48"/>
  <c r="E24" i="48"/>
  <c r="F24" i="48"/>
  <c r="G23" i="48"/>
  <c r="G24" i="46"/>
  <c r="D24" i="46"/>
  <c r="I24" i="46" s="1"/>
  <c r="H24" i="46"/>
  <c r="B25" i="46"/>
  <c r="C25" i="46"/>
  <c r="D23" i="44"/>
  <c r="I23" i="44" s="1"/>
  <c r="E24" i="37"/>
  <c r="F24" i="37"/>
  <c r="C24" i="37"/>
  <c r="H24" i="37" s="1"/>
  <c r="A25" i="37"/>
  <c r="B24" i="37"/>
  <c r="D24" i="37" s="1"/>
  <c r="I24" i="37" s="1"/>
  <c r="G23" i="37"/>
  <c r="G23" i="44"/>
  <c r="H23" i="44"/>
  <c r="E24" i="44"/>
  <c r="C24" i="44"/>
  <c r="A25" i="44"/>
  <c r="B24" i="44"/>
  <c r="F24" i="44"/>
  <c r="D20" i="42"/>
  <c r="G20" i="42" s="1"/>
  <c r="F21" i="42"/>
  <c r="A22" i="42"/>
  <c r="C21" i="42"/>
  <c r="B21" i="42"/>
  <c r="D21" i="42" s="1"/>
  <c r="G21" i="42" s="1"/>
  <c r="B22" i="40"/>
  <c r="D22" i="40" s="1"/>
  <c r="G22" i="40" s="1"/>
  <c r="C22" i="40"/>
  <c r="A23" i="40"/>
  <c r="G24" i="48" l="1"/>
  <c r="D24" i="48"/>
  <c r="I24" i="48" s="1"/>
  <c r="C25" i="48"/>
  <c r="A26" i="48"/>
  <c r="B25" i="48"/>
  <c r="E25" i="48"/>
  <c r="F25" i="48"/>
  <c r="H24" i="48"/>
  <c r="H25" i="46"/>
  <c r="D25" i="46"/>
  <c r="I25" i="46" s="1"/>
  <c r="C26" i="46"/>
  <c r="B26" i="46"/>
  <c r="G25" i="46"/>
  <c r="D24" i="44"/>
  <c r="I24" i="44" s="1"/>
  <c r="A26" i="37"/>
  <c r="E25" i="37"/>
  <c r="F25" i="37"/>
  <c r="C25" i="37"/>
  <c r="B25" i="37"/>
  <c r="D25" i="37" s="1"/>
  <c r="I25" i="37" s="1"/>
  <c r="G24" i="37"/>
  <c r="H24" i="44"/>
  <c r="A26" i="44"/>
  <c r="B25" i="44"/>
  <c r="C25" i="44"/>
  <c r="E25" i="44"/>
  <c r="F25" i="44"/>
  <c r="G24" i="44"/>
  <c r="A23" i="42"/>
  <c r="B22" i="42"/>
  <c r="F22" i="42"/>
  <c r="C22" i="42"/>
  <c r="C23" i="40"/>
  <c r="A24" i="40"/>
  <c r="B23" i="40"/>
  <c r="G25" i="48" l="1"/>
  <c r="D25" i="48"/>
  <c r="I25" i="48" s="1"/>
  <c r="A27" i="48"/>
  <c r="B26" i="48"/>
  <c r="E26" i="48"/>
  <c r="C26" i="48"/>
  <c r="F26" i="48"/>
  <c r="H25" i="48"/>
  <c r="D26" i="46"/>
  <c r="I26" i="46" s="1"/>
  <c r="H26" i="46"/>
  <c r="G26" i="46"/>
  <c r="B27" i="46"/>
  <c r="C27" i="46"/>
  <c r="H25" i="37"/>
  <c r="G25" i="37"/>
  <c r="E26" i="37"/>
  <c r="F26" i="37"/>
  <c r="B26" i="37"/>
  <c r="C26" i="37"/>
  <c r="H26" i="37" s="1"/>
  <c r="A27" i="37"/>
  <c r="G25" i="44"/>
  <c r="H25" i="44"/>
  <c r="D25" i="44"/>
  <c r="I25" i="44" s="1"/>
  <c r="C26" i="44"/>
  <c r="A27" i="44"/>
  <c r="B26" i="44"/>
  <c r="E26" i="44"/>
  <c r="F26" i="44"/>
  <c r="D22" i="42"/>
  <c r="G22" i="42" s="1"/>
  <c r="B23" i="42"/>
  <c r="A24" i="42"/>
  <c r="F23" i="42"/>
  <c r="C23" i="42"/>
  <c r="D23" i="40"/>
  <c r="G23" i="40" s="1"/>
  <c r="C24" i="40"/>
  <c r="B24" i="40"/>
  <c r="D24" i="40" s="1"/>
  <c r="G24" i="40" s="1"/>
  <c r="A25" i="40"/>
  <c r="H26" i="48" l="1"/>
  <c r="G26" i="48"/>
  <c r="D26" i="48"/>
  <c r="I26" i="48" s="1"/>
  <c r="B27" i="48"/>
  <c r="E27" i="48"/>
  <c r="A28" i="48"/>
  <c r="C27" i="48"/>
  <c r="F27" i="48"/>
  <c r="H27" i="46"/>
  <c r="C28" i="46"/>
  <c r="B28" i="46"/>
  <c r="G27" i="46"/>
  <c r="D27" i="46"/>
  <c r="I27" i="46" s="1"/>
  <c r="D26" i="44"/>
  <c r="I26" i="44" s="1"/>
  <c r="D26" i="37"/>
  <c r="I26" i="37" s="1"/>
  <c r="E27" i="37"/>
  <c r="F27" i="37"/>
  <c r="A28" i="37"/>
  <c r="B27" i="37"/>
  <c r="C27" i="37"/>
  <c r="H27" i="37" s="1"/>
  <c r="G26" i="37"/>
  <c r="H26" i="44"/>
  <c r="G26" i="44"/>
  <c r="A28" i="44"/>
  <c r="B27" i="44"/>
  <c r="E27" i="44"/>
  <c r="C27" i="44"/>
  <c r="F27" i="44"/>
  <c r="D23" i="42"/>
  <c r="G23" i="42" s="1"/>
  <c r="C24" i="42"/>
  <c r="B24" i="42"/>
  <c r="A25" i="42"/>
  <c r="F24" i="42"/>
  <c r="B25" i="40"/>
  <c r="A26" i="40"/>
  <c r="C25" i="40"/>
  <c r="H27" i="48" l="1"/>
  <c r="G27" i="48"/>
  <c r="D27" i="48"/>
  <c r="I27" i="48" s="1"/>
  <c r="E28" i="48"/>
  <c r="C28" i="48"/>
  <c r="A29" i="48"/>
  <c r="B28" i="48"/>
  <c r="F28" i="48"/>
  <c r="D28" i="46"/>
  <c r="I28" i="46" s="1"/>
  <c r="C29" i="46"/>
  <c r="B29" i="46"/>
  <c r="G28" i="46"/>
  <c r="H28" i="46"/>
  <c r="D27" i="37"/>
  <c r="I27" i="37" s="1"/>
  <c r="E28" i="37"/>
  <c r="A29" i="37"/>
  <c r="F28" i="37"/>
  <c r="C28" i="37"/>
  <c r="H28" i="37" s="1"/>
  <c r="B28" i="37"/>
  <c r="G27" i="37"/>
  <c r="H27" i="44"/>
  <c r="D27" i="44"/>
  <c r="I27" i="44" s="1"/>
  <c r="G27" i="44"/>
  <c r="C28" i="44"/>
  <c r="A29" i="44"/>
  <c r="B28" i="44"/>
  <c r="E28" i="44"/>
  <c r="F28" i="44"/>
  <c r="D24" i="42"/>
  <c r="G24" i="42" s="1"/>
  <c r="C25" i="42"/>
  <c r="B25" i="42"/>
  <c r="F25" i="42"/>
  <c r="A26" i="42"/>
  <c r="B26" i="40"/>
  <c r="C26" i="40"/>
  <c r="A27" i="40"/>
  <c r="D25" i="40"/>
  <c r="G25" i="40" s="1"/>
  <c r="H28" i="48" l="1"/>
  <c r="D28" i="48"/>
  <c r="I28" i="48" s="1"/>
  <c r="E29" i="48"/>
  <c r="C29" i="48"/>
  <c r="A30" i="48"/>
  <c r="B29" i="48"/>
  <c r="F29" i="48"/>
  <c r="G28" i="48"/>
  <c r="D29" i="46"/>
  <c r="I29" i="46" s="1"/>
  <c r="H29" i="46"/>
  <c r="C30" i="46"/>
  <c r="H30" i="46" s="1"/>
  <c r="B30" i="46"/>
  <c r="G30" i="46"/>
  <c r="G29" i="46"/>
  <c r="D28" i="44"/>
  <c r="I28" i="44" s="1"/>
  <c r="D28" i="37"/>
  <c r="I28" i="37" s="1"/>
  <c r="E29" i="37"/>
  <c r="F29" i="37"/>
  <c r="A30" i="37"/>
  <c r="B29" i="37"/>
  <c r="C29" i="37"/>
  <c r="H29" i="37" s="1"/>
  <c r="G28" i="37"/>
  <c r="G28" i="44"/>
  <c r="E29" i="44"/>
  <c r="C29" i="44"/>
  <c r="A30" i="44"/>
  <c r="B29" i="44"/>
  <c r="F29" i="44"/>
  <c r="H28" i="44"/>
  <c r="D25" i="42"/>
  <c r="G25" i="42" s="1"/>
  <c r="C26" i="42"/>
  <c r="B26" i="42"/>
  <c r="A27" i="42"/>
  <c r="F26" i="42"/>
  <c r="A28" i="40"/>
  <c r="B27" i="40"/>
  <c r="C27" i="40"/>
  <c r="D26" i="40"/>
  <c r="G26" i="40" s="1"/>
  <c r="D29" i="48" l="1"/>
  <c r="I29" i="48" s="1"/>
  <c r="E30" i="48"/>
  <c r="C30" i="48"/>
  <c r="A31" i="48"/>
  <c r="B30" i="48"/>
  <c r="F30" i="48"/>
  <c r="H29" i="48"/>
  <c r="G29" i="48"/>
  <c r="D30" i="46"/>
  <c r="I30" i="46" s="1"/>
  <c r="C31" i="46"/>
  <c r="B31" i="46"/>
  <c r="D29" i="44"/>
  <c r="I29" i="44" s="1"/>
  <c r="E30" i="37"/>
  <c r="F30" i="37"/>
  <c r="A31" i="37"/>
  <c r="B30" i="37"/>
  <c r="C30" i="37"/>
  <c r="H30" i="37" s="1"/>
  <c r="D29" i="37"/>
  <c r="I29" i="37" s="1"/>
  <c r="G29" i="37"/>
  <c r="E30" i="44"/>
  <c r="A31" i="44"/>
  <c r="B30" i="44"/>
  <c r="C30" i="44"/>
  <c r="F30" i="44"/>
  <c r="G29" i="44"/>
  <c r="H29" i="44"/>
  <c r="D26" i="42"/>
  <c r="G26" i="42" s="1"/>
  <c r="F27" i="42"/>
  <c r="C27" i="42"/>
  <c r="B27" i="42"/>
  <c r="A28" i="42"/>
  <c r="D27" i="40"/>
  <c r="G27" i="40" s="1"/>
  <c r="C28" i="40"/>
  <c r="B28" i="40"/>
  <c r="D28" i="40" s="1"/>
  <c r="G28" i="40" s="1"/>
  <c r="A29" i="40"/>
  <c r="D30" i="48" l="1"/>
  <c r="I30" i="48" s="1"/>
  <c r="E31" i="48"/>
  <c r="C31" i="48"/>
  <c r="A32" i="48"/>
  <c r="B31" i="48"/>
  <c r="F31" i="48"/>
  <c r="H30" i="48"/>
  <c r="G30" i="48"/>
  <c r="D31" i="46"/>
  <c r="I31" i="46" s="1"/>
  <c r="B32" i="46"/>
  <c r="C32" i="46"/>
  <c r="G31" i="46"/>
  <c r="H31" i="46"/>
  <c r="E31" i="37"/>
  <c r="A32" i="37"/>
  <c r="F31" i="37"/>
  <c r="B31" i="37"/>
  <c r="C31" i="37"/>
  <c r="H31" i="37" s="1"/>
  <c r="D30" i="37"/>
  <c r="I30" i="37" s="1"/>
  <c r="G30" i="37"/>
  <c r="H30" i="44"/>
  <c r="C31" i="44"/>
  <c r="E31" i="44"/>
  <c r="A32" i="44"/>
  <c r="B31" i="44"/>
  <c r="F31" i="44"/>
  <c r="D30" i="44"/>
  <c r="I30" i="44" s="1"/>
  <c r="G30" i="44"/>
  <c r="D27" i="42"/>
  <c r="G27" i="42" s="1"/>
  <c r="A29" i="42"/>
  <c r="F28" i="42"/>
  <c r="C28" i="42"/>
  <c r="B28" i="42"/>
  <c r="C29" i="40"/>
  <c r="B29" i="40"/>
  <c r="A30" i="40"/>
  <c r="D31" i="48" l="1"/>
  <c r="I31" i="48" s="1"/>
  <c r="C32" i="48"/>
  <c r="A33" i="48"/>
  <c r="A34" i="48" s="1"/>
  <c r="A35" i="48" s="1"/>
  <c r="B32" i="48"/>
  <c r="E32" i="48"/>
  <c r="F32" i="48"/>
  <c r="H31" i="48"/>
  <c r="G31" i="48"/>
  <c r="H32" i="46"/>
  <c r="G32" i="46"/>
  <c r="C33" i="46"/>
  <c r="B33" i="46"/>
  <c r="D32" i="46"/>
  <c r="I32" i="46" s="1"/>
  <c r="E32" i="37"/>
  <c r="F32" i="37"/>
  <c r="A33" i="37"/>
  <c r="B32" i="37"/>
  <c r="C32" i="37"/>
  <c r="H32" i="37" s="1"/>
  <c r="D31" i="37"/>
  <c r="I31" i="37" s="1"/>
  <c r="G31" i="37"/>
  <c r="D31" i="44"/>
  <c r="I31" i="44" s="1"/>
  <c r="G31" i="44"/>
  <c r="E32" i="44"/>
  <c r="C32" i="44"/>
  <c r="A33" i="44"/>
  <c r="B32" i="44"/>
  <c r="F32" i="44"/>
  <c r="H31" i="44"/>
  <c r="D28" i="42"/>
  <c r="G28" i="42" s="1"/>
  <c r="A30" i="42"/>
  <c r="F29" i="42"/>
  <c r="C29" i="42"/>
  <c r="B29" i="42"/>
  <c r="C30" i="40"/>
  <c r="B30" i="40"/>
  <c r="D30" i="40" s="1"/>
  <c r="A31" i="40"/>
  <c r="D29" i="40"/>
  <c r="G29" i="40" s="1"/>
  <c r="G32" i="48" l="1"/>
  <c r="D32" i="48"/>
  <c r="I32" i="48" s="1"/>
  <c r="H32" i="48"/>
  <c r="C33" i="48"/>
  <c r="B33" i="48"/>
  <c r="E33" i="48"/>
  <c r="F33" i="48"/>
  <c r="D33" i="46"/>
  <c r="I33" i="46" s="1"/>
  <c r="H33" i="46"/>
  <c r="G33" i="46"/>
  <c r="D32" i="44"/>
  <c r="I32" i="44" s="1"/>
  <c r="E33" i="37"/>
  <c r="F33" i="37"/>
  <c r="A34" i="37"/>
  <c r="B33" i="37"/>
  <c r="C33" i="37"/>
  <c r="H33" i="37" s="1"/>
  <c r="D32" i="37"/>
  <c r="I32" i="37" s="1"/>
  <c r="G32" i="37"/>
  <c r="H32" i="44"/>
  <c r="B33" i="44"/>
  <c r="C33" i="44"/>
  <c r="E33" i="44"/>
  <c r="F33" i="44"/>
  <c r="G32" i="44"/>
  <c r="D29" i="42"/>
  <c r="G29" i="42" s="1"/>
  <c r="B30" i="42"/>
  <c r="A31" i="42"/>
  <c r="C30" i="42"/>
  <c r="F30" i="42"/>
  <c r="C31" i="40"/>
  <c r="B31" i="40"/>
  <c r="D31" i="40" s="1"/>
  <c r="A32" i="40"/>
  <c r="G30" i="40"/>
  <c r="G33" i="48" l="1"/>
  <c r="D33" i="48"/>
  <c r="I33" i="48" s="1"/>
  <c r="H33" i="48"/>
  <c r="A35" i="37"/>
  <c r="E34" i="37"/>
  <c r="F34" i="37"/>
  <c r="C34" i="37"/>
  <c r="H34" i="37" s="1"/>
  <c r="B34" i="37"/>
  <c r="D33" i="37"/>
  <c r="I33" i="37" s="1"/>
  <c r="G33" i="37"/>
  <c r="G33" i="44"/>
  <c r="H33" i="44"/>
  <c r="D33" i="44"/>
  <c r="I33" i="44" s="1"/>
  <c r="C31" i="42"/>
  <c r="B31" i="42"/>
  <c r="A32" i="42"/>
  <c r="F31" i="42"/>
  <c r="D30" i="42"/>
  <c r="G30" i="42" s="1"/>
  <c r="C32" i="40"/>
  <c r="B32" i="40"/>
  <c r="D32" i="40" s="1"/>
  <c r="G32" i="40" s="1"/>
  <c r="A33" i="40"/>
  <c r="G31" i="40"/>
  <c r="D34" i="37" l="1"/>
  <c r="I34" i="37" s="1"/>
  <c r="G34" i="37"/>
  <c r="E35" i="37"/>
  <c r="A36" i="37"/>
  <c r="A37" i="37" s="1"/>
  <c r="A38" i="37" s="1"/>
  <c r="A39" i="37" s="1"/>
  <c r="F35" i="37"/>
  <c r="G35" i="37" s="1"/>
  <c r="B35" i="37"/>
  <c r="C35" i="37"/>
  <c r="H35" i="37" s="1"/>
  <c r="D31" i="42"/>
  <c r="G31" i="42" s="1"/>
  <c r="F32" i="42"/>
  <c r="C32" i="42"/>
  <c r="B32" i="42"/>
  <c r="A33" i="42"/>
  <c r="B33" i="40"/>
  <c r="D33" i="40" s="1"/>
  <c r="G33" i="40" s="1"/>
  <c r="C33" i="40"/>
  <c r="D35" i="37" l="1"/>
  <c r="I35" i="37" s="1"/>
  <c r="E36" i="37"/>
  <c r="F36" i="37"/>
  <c r="B36" i="37"/>
  <c r="C36" i="37"/>
  <c r="H36" i="37" s="1"/>
  <c r="D32" i="42"/>
  <c r="G32" i="42" s="1"/>
  <c r="F33" i="42"/>
  <c r="C33" i="42"/>
  <c r="B33" i="42"/>
  <c r="G36" i="37" l="1"/>
  <c r="D36" i="37"/>
  <c r="I36" i="37" s="1"/>
  <c r="D33" i="42"/>
  <c r="G33" i="42" s="1"/>
</calcChain>
</file>

<file path=xl/sharedStrings.xml><?xml version="1.0" encoding="utf-8"?>
<sst xmlns="http://schemas.openxmlformats.org/spreadsheetml/2006/main" count="694" uniqueCount="164">
  <si>
    <t>short call</t>
  </si>
  <si>
    <t>spot</t>
  </si>
  <si>
    <t>call long</t>
  </si>
  <si>
    <t>B&amp;S Döviz</t>
  </si>
  <si>
    <t>Döviz kuru</t>
  </si>
  <si>
    <t>Egzersiz Fiyatı</t>
  </si>
  <si>
    <t>Vade(yıl)</t>
  </si>
  <si>
    <t>Volatilite</t>
  </si>
  <si>
    <t>Risksiz getiri r</t>
  </si>
  <si>
    <t>Risksiz getiri rf</t>
  </si>
  <si>
    <t>d1</t>
  </si>
  <si>
    <t>d2</t>
  </si>
  <si>
    <t>Call Fiyatı</t>
  </si>
  <si>
    <t>ytl</t>
  </si>
  <si>
    <t>Put Fiyatı</t>
  </si>
  <si>
    <t>Notional</t>
  </si>
  <si>
    <t>USD</t>
  </si>
  <si>
    <t>call</t>
  </si>
  <si>
    <t>put</t>
  </si>
  <si>
    <t>Delta</t>
  </si>
  <si>
    <t>Gamma</t>
  </si>
  <si>
    <t>Theta</t>
  </si>
  <si>
    <t>Vega</t>
  </si>
  <si>
    <t>short put</t>
  </si>
  <si>
    <t>long call X=1.67</t>
  </si>
  <si>
    <t>DELTA CALL</t>
  </si>
  <si>
    <t>DELTA PUT</t>
  </si>
  <si>
    <t>GAMMA CALL</t>
  </si>
  <si>
    <t>VEGA CALL</t>
  </si>
  <si>
    <t>THETA CALL</t>
  </si>
  <si>
    <t>GAMMA PUT</t>
  </si>
  <si>
    <t>VEGA PUT</t>
  </si>
  <si>
    <t>THETA PUT</t>
  </si>
  <si>
    <t>PORTFOY RISK PARAMETRELERİ(1000 Kontrat)</t>
  </si>
  <si>
    <t>(1000 Kontrat için)</t>
  </si>
  <si>
    <t>Strike</t>
  </si>
  <si>
    <t>maturity</t>
  </si>
  <si>
    <t>volatility</t>
  </si>
  <si>
    <t>call premium</t>
  </si>
  <si>
    <t>cost</t>
  </si>
  <si>
    <t xml:space="preserve">long call </t>
  </si>
  <si>
    <t>notional</t>
  </si>
  <si>
    <t>put premium</t>
  </si>
  <si>
    <t xml:space="preserve">long </t>
  </si>
  <si>
    <t>Strike:X</t>
  </si>
  <si>
    <t>CALL</t>
  </si>
  <si>
    <t>Position</t>
  </si>
  <si>
    <t>Cost</t>
  </si>
  <si>
    <t>Spot</t>
  </si>
  <si>
    <t>PUT</t>
  </si>
  <si>
    <t>short</t>
  </si>
  <si>
    <t>Call+Put=0</t>
  </si>
  <si>
    <t>Cost of call</t>
  </si>
  <si>
    <t>Cost of put</t>
  </si>
  <si>
    <t>long call</t>
  </si>
  <si>
    <t>zero cost collar,</t>
  </si>
  <si>
    <t>unhedged</t>
  </si>
  <si>
    <t>B&amp;S FX</t>
  </si>
  <si>
    <t>strike</t>
  </si>
  <si>
    <t>Volatility</t>
  </si>
  <si>
    <t>short put X=1.52</t>
  </si>
  <si>
    <t>long put</t>
  </si>
  <si>
    <t>hedge zero cost</t>
  </si>
  <si>
    <t>hedge forward</t>
  </si>
  <si>
    <t>hedge with zero cost</t>
  </si>
  <si>
    <t xml:space="preserve">hedge with forward </t>
  </si>
  <si>
    <t>Short</t>
  </si>
  <si>
    <t xml:space="preserve">      Long</t>
  </si>
  <si>
    <t xml:space="preserve">  </t>
  </si>
  <si>
    <t>C_30</t>
  </si>
  <si>
    <t>C_60</t>
  </si>
  <si>
    <t>C_90</t>
  </si>
  <si>
    <t>C_180</t>
  </si>
  <si>
    <t>C_270</t>
  </si>
  <si>
    <t>C_360</t>
  </si>
  <si>
    <t>P_30</t>
  </si>
  <si>
    <t>P_60</t>
  </si>
  <si>
    <t>P_90</t>
  </si>
  <si>
    <t>P_180</t>
  </si>
  <si>
    <t>P_270</t>
  </si>
  <si>
    <t>P_360</t>
  </si>
  <si>
    <t>25.11.2008</t>
  </si>
  <si>
    <t>02.12.2008</t>
  </si>
  <si>
    <t>04.12.2008</t>
  </si>
  <si>
    <t>05.12.2008</t>
  </si>
  <si>
    <t>08.12.2008</t>
  </si>
  <si>
    <t>09.12.2008</t>
  </si>
  <si>
    <t>10.12.2008</t>
  </si>
  <si>
    <t>11.12.2008</t>
  </si>
  <si>
    <t>CO1</t>
  </si>
  <si>
    <t>CO3</t>
  </si>
  <si>
    <t>CO6</t>
  </si>
  <si>
    <t>CO9</t>
  </si>
  <si>
    <t>CO12</t>
  </si>
  <si>
    <t>25.02.2010</t>
  </si>
  <si>
    <t>26.02.2010</t>
  </si>
  <si>
    <t>01.03.2010</t>
  </si>
  <si>
    <t>02.03.2010</t>
  </si>
  <si>
    <t>03.03.2010</t>
  </si>
  <si>
    <t>04.03.2010</t>
  </si>
  <si>
    <t>05.03.2010</t>
  </si>
  <si>
    <t>ATM_30</t>
  </si>
  <si>
    <t>ATM_60</t>
  </si>
  <si>
    <t>ATM_90</t>
  </si>
  <si>
    <t>ATM_180</t>
  </si>
  <si>
    <t>ATM_270</t>
  </si>
  <si>
    <t>ATM_360</t>
  </si>
  <si>
    <t>c30</t>
  </si>
  <si>
    <t>c60</t>
  </si>
  <si>
    <t>c90</t>
  </si>
  <si>
    <t>c180</t>
  </si>
  <si>
    <t>c270</t>
  </si>
  <si>
    <t>c360</t>
  </si>
  <si>
    <t>p30</t>
  </si>
  <si>
    <t>p60</t>
  </si>
  <si>
    <t>p90</t>
  </si>
  <si>
    <t>p180</t>
  </si>
  <si>
    <t>p360</t>
  </si>
  <si>
    <t>p270</t>
  </si>
  <si>
    <t xml:space="preserve">B&amp;S </t>
  </si>
  <si>
    <t>maturity (year)</t>
  </si>
  <si>
    <t>Risk free  r</t>
  </si>
  <si>
    <t>Risk freei rf</t>
  </si>
  <si>
    <t>Crude</t>
  </si>
  <si>
    <t>S(T+h)</t>
  </si>
  <si>
    <t>Zero Cost Collar</t>
  </si>
  <si>
    <t>Put premium</t>
  </si>
  <si>
    <t>forward 6 m</t>
  </si>
  <si>
    <t>no hedge</t>
  </si>
  <si>
    <t>forward hedge</t>
  </si>
  <si>
    <t>short put hedge</t>
  </si>
  <si>
    <t>hedge with zcc</t>
  </si>
  <si>
    <t>futures</t>
  </si>
  <si>
    <t>T=0</t>
  </si>
  <si>
    <t>T+h</t>
  </si>
  <si>
    <t>6 m futures</t>
  </si>
  <si>
    <t>brent spot</t>
  </si>
  <si>
    <t>6 M</t>
  </si>
  <si>
    <t>hedge date: 25.02.2010</t>
  </si>
  <si>
    <t>hedge target: 26.08.2010</t>
  </si>
  <si>
    <t>Hedge Position</t>
  </si>
  <si>
    <t>Long Forward</t>
  </si>
  <si>
    <t>Brent Spot</t>
  </si>
  <si>
    <t>Maturity (year)</t>
  </si>
  <si>
    <t xml:space="preserve">Black Scholes </t>
  </si>
  <si>
    <t>Put permium</t>
  </si>
  <si>
    <t>Zero cost collar</t>
  </si>
  <si>
    <t>call+put</t>
  </si>
  <si>
    <t>Call (Long)</t>
  </si>
  <si>
    <t>Put (Short)</t>
  </si>
  <si>
    <t>Call premium</t>
  </si>
  <si>
    <t>exposure</t>
  </si>
  <si>
    <t>h</t>
  </si>
  <si>
    <t>hedge exposure</t>
  </si>
  <si>
    <t>Strikes call</t>
  </si>
  <si>
    <t>hedgeable asset</t>
  </si>
  <si>
    <t>brent</t>
  </si>
  <si>
    <t>long</t>
  </si>
  <si>
    <t>hedging assets</t>
  </si>
  <si>
    <t>options</t>
  </si>
  <si>
    <t>zcc</t>
  </si>
  <si>
    <t xml:space="preserve">given a scenrio set </t>
  </si>
  <si>
    <t>..</t>
  </si>
  <si>
    <t>profit and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</si>
</sst>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64" formatCode="_-* #,##0.00\ _T_L_-;\-* #,##0.00\ _T_L_-;_-* &quot;-&quot;??\ _T_L_-;_-@_-"/>
    <numFmt numFmtId="165" formatCode="0.000000"/>
    <numFmt numFmtId="166" formatCode="_-* #,##0.0000000\ _T_L_-;\-* #,##0.0000000\ _T_L_-;_-* &quot;-&quot;??\ _T_L_-;_-@_-"/>
    <numFmt numFmtId="167" formatCode="0.000"/>
    <numFmt numFmtId="168" formatCode="#,##0_ ;\-#,##0\ "/>
    <numFmt numFmtId="169" formatCode="0.0"/>
  </numFmts>
  <fonts count="32" x14ac:knownFonts="1">
    <font>
      <sz val="10"/>
      <name val="Arial"/>
      <charset val="162"/>
    </font>
    <font>
      <sz val="9"/>
      <color indexed="9"/>
      <name val="Arial"/>
      <family val="2"/>
      <charset val="162"/>
    </font>
    <font>
      <sz val="10"/>
      <color indexed="10"/>
      <name val="Arial"/>
      <family val="2"/>
      <charset val="162"/>
    </font>
    <font>
      <sz val="10"/>
      <color indexed="17"/>
      <name val="Arial"/>
      <family val="2"/>
      <charset val="162"/>
    </font>
    <font>
      <b/>
      <sz val="10"/>
      <color indexed="10"/>
      <name val="Arial"/>
      <family val="2"/>
      <charset val="162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color indexed="17"/>
      <name val="Arial"/>
      <family val="2"/>
      <charset val="162"/>
    </font>
    <font>
      <b/>
      <i/>
      <sz val="10"/>
      <color theme="1" tint="0.14999847407452621"/>
      <name val="Arial"/>
      <family val="2"/>
      <charset val="162"/>
    </font>
    <font>
      <b/>
      <sz val="10"/>
      <color theme="1" tint="0.14999847407452621"/>
      <name val="Arial"/>
      <family val="2"/>
      <charset val="16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rgb="FF002060"/>
      <name val="Arial"/>
      <family val="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sz val="18"/>
      <name val="Arial"/>
      <family val="2"/>
    </font>
    <font>
      <b/>
      <sz val="10"/>
      <color theme="3" tint="-0.499984740745262"/>
      <name val="Arial"/>
      <family val="2"/>
      <charset val="162"/>
    </font>
    <font>
      <b/>
      <sz val="9"/>
      <color rgb="FF0070C0"/>
      <name val="Arial"/>
      <family val="2"/>
    </font>
    <font>
      <b/>
      <sz val="10"/>
      <color rgb="FFC00000"/>
      <name val="Arial"/>
      <family val="2"/>
    </font>
    <font>
      <sz val="10"/>
      <color rgb="FF0070C0"/>
      <name val="Arial"/>
      <family val="2"/>
      <charset val="162"/>
    </font>
    <font>
      <b/>
      <sz val="10"/>
      <color rgb="FF0070C0"/>
      <name val="Arial"/>
      <family val="2"/>
      <charset val="162"/>
    </font>
    <font>
      <sz val="10"/>
      <color theme="1" tint="0.14999847407452621"/>
      <name val="Arial"/>
      <family val="2"/>
    </font>
    <font>
      <sz val="14"/>
      <name val="Arial"/>
      <family val="2"/>
    </font>
    <font>
      <sz val="14"/>
      <color theme="3" tint="-0.499984740745262"/>
      <name val="Arial"/>
      <family val="2"/>
    </font>
    <font>
      <sz val="14"/>
      <color theme="3" tint="-0.499984740745262"/>
      <name val="Calibri"/>
      <family val="2"/>
      <scheme val="minor"/>
    </font>
    <font>
      <b/>
      <i/>
      <sz val="14"/>
      <color theme="3" tint="-0.499984740745262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color theme="1" tint="0.14999847407452621"/>
      <name val="Calibri"/>
      <family val="2"/>
      <scheme val="minor"/>
    </font>
    <font>
      <sz val="1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2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rgb="FF0070C0"/>
      </bottom>
      <diagonal/>
    </border>
    <border>
      <left style="double">
        <color theme="1" tint="4.9989318521683403E-2"/>
      </left>
      <right style="double">
        <color theme="1" tint="4.9989318521683403E-2"/>
      </right>
      <top style="double">
        <color theme="1" tint="4.9989318521683403E-2"/>
      </top>
      <bottom style="double">
        <color theme="1" tint="4.9989318521683403E-2"/>
      </bottom>
      <diagonal/>
    </border>
    <border>
      <left/>
      <right style="double">
        <color theme="1" tint="4.9989318521683403E-2"/>
      </right>
      <top/>
      <bottom style="double">
        <color theme="1" tint="4.9989318521683403E-2"/>
      </bottom>
      <diagonal/>
    </border>
    <border>
      <left style="double">
        <color theme="1" tint="4.9989318521683403E-2"/>
      </left>
      <right style="double">
        <color theme="1" tint="4.9989318521683403E-2"/>
      </right>
      <top style="double">
        <color theme="1" tint="4.9989318521683403E-2"/>
      </top>
      <bottom style="double">
        <color rgb="FF0070C0"/>
      </bottom>
      <diagonal/>
    </border>
    <border>
      <left style="double">
        <color theme="1" tint="4.9989318521683403E-2"/>
      </left>
      <right style="double">
        <color theme="1" tint="4.9989318521683403E-2"/>
      </right>
      <top/>
      <bottom style="double">
        <color theme="1" tint="4.9989318521683403E-2"/>
      </bottom>
      <diagonal/>
    </border>
    <border>
      <left style="double">
        <color theme="1" tint="4.9989318521683403E-2"/>
      </left>
      <right style="double">
        <color rgb="FF0070C0"/>
      </right>
      <top style="double">
        <color rgb="FF0070C0"/>
      </top>
      <bottom style="double">
        <color theme="1" tint="4.9989318521683403E-2"/>
      </bottom>
      <diagonal/>
    </border>
    <border>
      <left style="double">
        <color rgb="FF0070C0"/>
      </left>
      <right style="double">
        <color rgb="FF0070C0"/>
      </right>
      <top style="double">
        <color rgb="FF0070C0"/>
      </top>
      <bottom style="double">
        <color theme="1" tint="4.9989318521683403E-2"/>
      </bottom>
      <diagonal/>
    </border>
    <border>
      <left/>
      <right style="double">
        <color rgb="FF0070C0"/>
      </right>
      <top style="double">
        <color rgb="FF0070C0"/>
      </top>
      <bottom style="double">
        <color theme="1" tint="4.9989318521683403E-2"/>
      </bottom>
      <diagonal/>
    </border>
    <border>
      <left style="double">
        <color theme="1" tint="4.9989318521683403E-2"/>
      </left>
      <right/>
      <top/>
      <bottom style="double">
        <color rgb="FF0070C0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4" borderId="0" xfId="0" applyFill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6" borderId="0" xfId="0" applyFill="1"/>
    <xf numFmtId="2" fontId="4" fillId="0" borderId="0" xfId="0" applyNumberFormat="1" applyFont="1" applyFill="1" applyBorder="1" applyAlignment="1"/>
    <xf numFmtId="0" fontId="0" fillId="7" borderId="0" xfId="0" applyFill="1"/>
    <xf numFmtId="166" fontId="9" fillId="7" borderId="0" xfId="0" applyNumberFormat="1" applyFont="1" applyFill="1"/>
    <xf numFmtId="0" fontId="10" fillId="0" borderId="0" xfId="0" applyFont="1"/>
    <xf numFmtId="166" fontId="2" fillId="3" borderId="0" xfId="0" applyNumberFormat="1" applyFont="1" applyFill="1"/>
    <xf numFmtId="0" fontId="7" fillId="0" borderId="0" xfId="0" applyFont="1"/>
    <xf numFmtId="0" fontId="5" fillId="0" borderId="0" xfId="0" applyFont="1"/>
    <xf numFmtId="0" fontId="8" fillId="5" borderId="0" xfId="0" applyFont="1" applyFill="1"/>
    <xf numFmtId="0" fontId="5" fillId="0" borderId="0" xfId="0" applyFont="1" applyAlignment="1">
      <alignment horizontal="center" vertical="center"/>
    </xf>
    <xf numFmtId="167" fontId="10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 vertical="center"/>
    </xf>
    <xf numFmtId="0" fontId="6" fillId="5" borderId="0" xfId="0" applyFont="1" applyFill="1"/>
    <xf numFmtId="0" fontId="6" fillId="0" borderId="0" xfId="0" applyFont="1"/>
    <xf numFmtId="0" fontId="11" fillId="0" borderId="0" xfId="0" applyFont="1"/>
    <xf numFmtId="0" fontId="0" fillId="0" borderId="1" xfId="0" applyBorder="1"/>
    <xf numFmtId="0" fontId="11" fillId="0" borderId="1" xfId="0" applyFont="1" applyBorder="1"/>
    <xf numFmtId="10" fontId="0" fillId="0" borderId="1" xfId="0" applyNumberFormat="1" applyBorder="1"/>
    <xf numFmtId="165" fontId="0" fillId="0" borderId="1" xfId="0" applyNumberFormat="1" applyBorder="1"/>
    <xf numFmtId="0" fontId="0" fillId="9" borderId="1" xfId="0" applyFill="1" applyBorder="1"/>
    <xf numFmtId="164" fontId="13" fillId="10" borderId="1" xfId="0" applyNumberFormat="1" applyFont="1" applyFill="1" applyBorder="1"/>
    <xf numFmtId="0" fontId="0" fillId="10" borderId="1" xfId="0" applyFill="1" applyBorder="1"/>
    <xf numFmtId="3" fontId="0" fillId="0" borderId="1" xfId="0" applyNumberFormat="1" applyBorder="1"/>
    <xf numFmtId="1" fontId="0" fillId="0" borderId="0" xfId="0" applyNumberFormat="1"/>
    <xf numFmtId="0" fontId="14" fillId="0" borderId="0" xfId="0" applyFont="1" applyFill="1" applyBorder="1" applyAlignment="1"/>
    <xf numFmtId="1" fontId="15" fillId="0" borderId="0" xfId="0" applyNumberFormat="1" applyFont="1"/>
    <xf numFmtId="1" fontId="17" fillId="0" borderId="0" xfId="0" applyNumberFormat="1" applyFont="1"/>
    <xf numFmtId="3" fontId="0" fillId="0" borderId="0" xfId="0" applyNumberFormat="1"/>
    <xf numFmtId="0" fontId="11" fillId="0" borderId="1" xfId="0" applyFont="1" applyBorder="1" applyAlignment="1">
      <alignment horizontal="center"/>
    </xf>
    <xf numFmtId="0" fontId="18" fillId="11" borderId="1" xfId="0" applyFont="1" applyFill="1" applyBorder="1" applyAlignment="1">
      <alignment horizontal="center"/>
    </xf>
    <xf numFmtId="0" fontId="18" fillId="8" borderId="0" xfId="0" applyFont="1" applyFill="1"/>
    <xf numFmtId="0" fontId="18" fillId="8" borderId="1" xfId="0" applyFont="1" applyFill="1" applyBorder="1"/>
    <xf numFmtId="0" fontId="18" fillId="12" borderId="0" xfId="0" applyFont="1" applyFill="1"/>
    <xf numFmtId="0" fontId="18" fillId="12" borderId="1" xfId="0" applyFont="1" applyFill="1" applyBorder="1"/>
    <xf numFmtId="3" fontId="18" fillId="12" borderId="1" xfId="0" applyNumberFormat="1" applyFont="1" applyFill="1" applyBorder="1" applyAlignment="1">
      <alignment horizontal="right"/>
    </xf>
    <xf numFmtId="0" fontId="18" fillId="12" borderId="1" xfId="0" applyFont="1" applyFill="1" applyBorder="1" applyAlignment="1">
      <alignment horizontal="right"/>
    </xf>
    <xf numFmtId="3" fontId="18" fillId="8" borderId="1" xfId="0" applyNumberFormat="1" applyFont="1" applyFill="1" applyBorder="1" applyAlignment="1">
      <alignment horizontal="right"/>
    </xf>
    <xf numFmtId="0" fontId="18" fillId="8" borderId="1" xfId="0" applyFont="1" applyFill="1" applyBorder="1" applyAlignment="1">
      <alignment horizontal="right"/>
    </xf>
    <xf numFmtId="2" fontId="14" fillId="0" borderId="0" xfId="0" applyNumberFormat="1" applyFont="1" applyFill="1" applyBorder="1" applyAlignment="1"/>
    <xf numFmtId="2" fontId="15" fillId="0" borderId="0" xfId="0" applyNumberFormat="1" applyFont="1" applyFill="1" applyBorder="1" applyAlignment="1"/>
    <xf numFmtId="2" fontId="16" fillId="0" borderId="0" xfId="0" applyNumberFormat="1" applyFont="1" applyFill="1" applyBorder="1" applyAlignment="1"/>
    <xf numFmtId="0" fontId="11" fillId="6" borderId="0" xfId="0" applyFont="1" applyFill="1"/>
    <xf numFmtId="0" fontId="0" fillId="12" borderId="0" xfId="0" applyFill="1"/>
    <xf numFmtId="0" fontId="16" fillId="6" borderId="0" xfId="0" applyFont="1" applyFill="1"/>
    <xf numFmtId="0" fontId="0" fillId="13" borderId="1" xfId="0" applyFill="1" applyBorder="1"/>
    <xf numFmtId="166" fontId="9" fillId="13" borderId="2" xfId="0" applyNumberFormat="1" applyFont="1" applyFill="1" applyBorder="1"/>
    <xf numFmtId="0" fontId="0" fillId="14" borderId="1" xfId="0" applyFill="1" applyBorder="1"/>
    <xf numFmtId="0" fontId="0" fillId="6" borderId="1" xfId="0" applyFill="1" applyBorder="1"/>
    <xf numFmtId="3" fontId="0" fillId="0" borderId="1" xfId="0" applyNumberFormat="1" applyBorder="1" applyAlignment="1">
      <alignment horizontal="center"/>
    </xf>
    <xf numFmtId="0" fontId="0" fillId="0" borderId="4" xfId="0" applyBorder="1"/>
    <xf numFmtId="166" fontId="9" fillId="13" borderId="5" xfId="0" applyNumberFormat="1" applyFont="1" applyFill="1" applyBorder="1"/>
    <xf numFmtId="3" fontId="0" fillId="0" borderId="3" xfId="0" applyNumberFormat="1" applyBorder="1" applyAlignment="1">
      <alignment horizontal="center"/>
    </xf>
    <xf numFmtId="0" fontId="11" fillId="13" borderId="1" xfId="0" applyFont="1" applyFill="1" applyBorder="1"/>
    <xf numFmtId="41" fontId="0" fillId="0" borderId="0" xfId="0" applyNumberFormat="1" applyAlignment="1"/>
    <xf numFmtId="3" fontId="6" fillId="0" borderId="0" xfId="0" applyNumberFormat="1" applyFont="1"/>
    <xf numFmtId="0" fontId="1" fillId="2" borderId="1" xfId="0" applyFont="1" applyFill="1" applyBorder="1" applyAlignment="1">
      <alignment horizontal="right"/>
    </xf>
    <xf numFmtId="0" fontId="20" fillId="15" borderId="1" xfId="0" applyFont="1" applyFill="1" applyBorder="1" applyAlignment="1">
      <alignment horizontal="right"/>
    </xf>
    <xf numFmtId="0" fontId="21" fillId="6" borderId="1" xfId="0" applyFont="1" applyFill="1" applyBorder="1"/>
    <xf numFmtId="0" fontId="16" fillId="4" borderId="1" xfId="0" applyFont="1" applyFill="1" applyBorder="1"/>
    <xf numFmtId="0" fontId="22" fillId="16" borderId="1" xfId="0" applyFont="1" applyFill="1" applyBorder="1"/>
    <xf numFmtId="0" fontId="11" fillId="0" borderId="6" xfId="0" applyFont="1" applyBorder="1"/>
    <xf numFmtId="0" fontId="3" fillId="5" borderId="1" xfId="0" applyFont="1" applyFill="1" applyBorder="1"/>
    <xf numFmtId="0" fontId="6" fillId="5" borderId="1" xfId="0" applyFont="1" applyFill="1" applyBorder="1"/>
    <xf numFmtId="166" fontId="0" fillId="0" borderId="1" xfId="0" applyNumberFormat="1" applyBorder="1"/>
    <xf numFmtId="0" fontId="0" fillId="17" borderId="0" xfId="0" applyFill="1"/>
    <xf numFmtId="0" fontId="23" fillId="0" borderId="1" xfId="0" applyFont="1" applyFill="1" applyBorder="1" applyAlignment="1"/>
    <xf numFmtId="166" fontId="2" fillId="3" borderId="1" xfId="0" applyNumberFormat="1" applyFont="1" applyFill="1" applyBorder="1" applyAlignment="1"/>
    <xf numFmtId="3" fontId="19" fillId="0" borderId="1" xfId="0" applyNumberFormat="1" applyFont="1" applyFill="1" applyBorder="1" applyAlignment="1"/>
    <xf numFmtId="0" fontId="11" fillId="0" borderId="0" xfId="0" applyFont="1" applyBorder="1"/>
    <xf numFmtId="3" fontId="0" fillId="0" borderId="0" xfId="0" applyNumberFormat="1" applyBorder="1"/>
    <xf numFmtId="3" fontId="19" fillId="17" borderId="1" xfId="0" applyNumberFormat="1" applyFont="1" applyFill="1" applyBorder="1" applyAlignment="1"/>
    <xf numFmtId="3" fontId="0" fillId="17" borderId="1" xfId="0" applyNumberFormat="1" applyFill="1" applyBorder="1"/>
    <xf numFmtId="3" fontId="0" fillId="17" borderId="0" xfId="0" applyNumberFormat="1" applyFill="1"/>
    <xf numFmtId="3" fontId="19" fillId="9" borderId="1" xfId="0" applyNumberFormat="1" applyFont="1" applyFill="1" applyBorder="1" applyAlignment="1"/>
    <xf numFmtId="3" fontId="0" fillId="9" borderId="1" xfId="0" applyNumberFormat="1" applyFill="1" applyBorder="1"/>
    <xf numFmtId="3" fontId="0" fillId="9" borderId="0" xfId="0" applyNumberFormat="1" applyFill="1"/>
    <xf numFmtId="0" fontId="0" fillId="9" borderId="0" xfId="0" applyFill="1"/>
    <xf numFmtId="14" fontId="0" fillId="9" borderId="1" xfId="0" applyNumberFormat="1" applyFill="1" applyBorder="1"/>
    <xf numFmtId="0" fontId="16" fillId="0" borderId="1" xfId="0" applyFont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12" fillId="10" borderId="1" xfId="0" applyNumberFormat="1" applyFont="1" applyFill="1" applyBorder="1" applyAlignment="1">
      <alignment horizontal="center"/>
    </xf>
    <xf numFmtId="0" fontId="0" fillId="0" borderId="8" xfId="0" applyBorder="1"/>
    <xf numFmtId="0" fontId="24" fillId="0" borderId="1" xfId="0" applyFont="1" applyBorder="1"/>
    <xf numFmtId="167" fontId="24" fillId="0" borderId="1" xfId="0" applyNumberFormat="1" applyFont="1" applyBorder="1" applyAlignment="1">
      <alignment horizontal="center"/>
    </xf>
    <xf numFmtId="167" fontId="11" fillId="0" borderId="1" xfId="0" applyNumberFormat="1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0" fontId="24" fillId="0" borderId="7" xfId="0" applyFont="1" applyBorder="1"/>
    <xf numFmtId="167" fontId="24" fillId="0" borderId="7" xfId="0" applyNumberFormat="1" applyFont="1" applyBorder="1" applyAlignment="1">
      <alignment horizontal="center"/>
    </xf>
    <xf numFmtId="167" fontId="11" fillId="0" borderId="7" xfId="0" applyNumberFormat="1" applyFont="1" applyBorder="1" applyAlignment="1">
      <alignment horizontal="center"/>
    </xf>
    <xf numFmtId="165" fontId="11" fillId="0" borderId="7" xfId="0" applyNumberFormat="1" applyFont="1" applyBorder="1" applyAlignment="1">
      <alignment horizontal="center"/>
    </xf>
    <xf numFmtId="0" fontId="12" fillId="0" borderId="7" xfId="0" applyFont="1" applyBorder="1"/>
    <xf numFmtId="167" fontId="12" fillId="0" borderId="7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3" fontId="25" fillId="0" borderId="12" xfId="0" applyNumberFormat="1" applyFont="1" applyBorder="1"/>
    <xf numFmtId="0" fontId="25" fillId="14" borderId="11" xfId="0" applyFont="1" applyFill="1" applyBorder="1"/>
    <xf numFmtId="0" fontId="26" fillId="8" borderId="11" xfId="0" applyFont="1" applyFill="1" applyBorder="1" applyAlignment="1">
      <alignment horizontal="left"/>
    </xf>
    <xf numFmtId="0" fontId="25" fillId="8" borderId="11" xfId="0" applyFont="1" applyFill="1" applyBorder="1" applyAlignment="1">
      <alignment horizontal="center"/>
    </xf>
    <xf numFmtId="0" fontId="25" fillId="10" borderId="11" xfId="0" applyFont="1" applyFill="1" applyBorder="1"/>
    <xf numFmtId="2" fontId="25" fillId="0" borderId="11" xfId="0" applyNumberFormat="1" applyFont="1" applyBorder="1" applyAlignment="1">
      <alignment horizontal="center"/>
    </xf>
    <xf numFmtId="0" fontId="25" fillId="6" borderId="11" xfId="0" applyFont="1" applyFill="1" applyBorder="1"/>
    <xf numFmtId="0" fontId="25" fillId="0" borderId="11" xfId="0" applyFont="1" applyBorder="1"/>
    <xf numFmtId="3" fontId="25" fillId="0" borderId="11" xfId="0" applyNumberFormat="1" applyFont="1" applyBorder="1" applyAlignment="1">
      <alignment horizontal="center"/>
    </xf>
    <xf numFmtId="4" fontId="25" fillId="0" borderId="11" xfId="0" applyNumberFormat="1" applyFont="1" applyBorder="1" applyAlignment="1">
      <alignment horizontal="center"/>
    </xf>
    <xf numFmtId="0" fontId="25" fillId="0" borderId="13" xfId="0" applyFont="1" applyBorder="1"/>
    <xf numFmtId="0" fontId="27" fillId="8" borderId="15" xfId="0" applyFont="1" applyFill="1" applyBorder="1" applyAlignment="1"/>
    <xf numFmtId="2" fontId="25" fillId="0" borderId="13" xfId="0" applyNumberFormat="1" applyFont="1" applyBorder="1" applyAlignment="1">
      <alignment horizontal="center"/>
    </xf>
    <xf numFmtId="169" fontId="30" fillId="8" borderId="12" xfId="0" applyNumberFormat="1" applyFont="1" applyFill="1" applyBorder="1" applyAlignment="1">
      <alignment horizontal="center"/>
    </xf>
    <xf numFmtId="0" fontId="29" fillId="8" borderId="17" xfId="0" applyFont="1" applyFill="1" applyBorder="1"/>
    <xf numFmtId="169" fontId="28" fillId="8" borderId="16" xfId="0" applyNumberFormat="1" applyFont="1" applyFill="1" applyBorder="1" applyAlignment="1">
      <alignment horizontal="center"/>
    </xf>
    <xf numFmtId="0" fontId="0" fillId="0" borderId="18" xfId="0" applyBorder="1"/>
    <xf numFmtId="0" fontId="25" fillId="0" borderId="14" xfId="0" applyFont="1" applyBorder="1"/>
    <xf numFmtId="168" fontId="25" fillId="0" borderId="14" xfId="0" applyNumberFormat="1" applyFont="1" applyBorder="1"/>
    <xf numFmtId="168" fontId="25" fillId="0" borderId="13" xfId="0" applyNumberFormat="1" applyFont="1" applyBorder="1" applyAlignment="1">
      <alignment horizontal="center"/>
    </xf>
    <xf numFmtId="3" fontId="25" fillId="0" borderId="13" xfId="0" applyNumberFormat="1" applyFont="1" applyBorder="1"/>
    <xf numFmtId="0" fontId="25" fillId="0" borderId="15" xfId="0" applyFont="1" applyBorder="1"/>
    <xf numFmtId="0" fontId="31" fillId="0" borderId="0" xfId="0" applyFont="1"/>
    <xf numFmtId="3" fontId="31" fillId="0" borderId="0" xfId="0" applyNumberFormat="1" applyFont="1"/>
    <xf numFmtId="3" fontId="20" fillId="15" borderId="1" xfId="0" applyNumberFormat="1" applyFont="1" applyFill="1" applyBorder="1" applyAlignment="1">
      <alignment horizontal="right"/>
    </xf>
    <xf numFmtId="3" fontId="21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tr-TR" sz="1800">
                <a:solidFill>
                  <a:srgbClr val="C00000"/>
                </a:solidFill>
              </a:rPr>
              <a:t>crude oil hedging (</a:t>
            </a:r>
            <a:r>
              <a:rPr lang="tr-TR" sz="1800">
                <a:solidFill>
                  <a:schemeClr val="tx2">
                    <a:lumMod val="75000"/>
                  </a:schemeClr>
                </a:solidFill>
              </a:rPr>
              <a:t>forward</a:t>
            </a:r>
            <a:r>
              <a:rPr lang="tr-TR" sz="1800" baseline="0">
                <a:solidFill>
                  <a:srgbClr val="C00000"/>
                </a:solidFill>
              </a:rPr>
              <a:t> vs ZCC)</a:t>
            </a:r>
            <a:endParaRPr lang="en-US" sz="1800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04688408254907"/>
          <c:y val="4.1121387789102473E-2"/>
          <c:w val="0.80591341317673659"/>
          <c:h val="0.747029418077768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brent_zcc_strikes!$G$3</c:f>
              <c:strCache>
                <c:ptCount val="1"/>
                <c:pt idx="0">
                  <c:v>forward hedge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brent_zcc_strikes!$A$5:$A$27</c:f>
              <c:numCache>
                <c:formatCode>General</c:formatCode>
                <c:ptCount val="23"/>
                <c:pt idx="0">
                  <c:v>45</c:v>
                </c:pt>
                <c:pt idx="1">
                  <c:v>50</c:v>
                </c:pt>
                <c:pt idx="2">
                  <c:v>51.5</c:v>
                </c:pt>
                <c:pt idx="3">
                  <c:v>53</c:v>
                </c:pt>
                <c:pt idx="4">
                  <c:v>54.5</c:v>
                </c:pt>
                <c:pt idx="5">
                  <c:v>56</c:v>
                </c:pt>
                <c:pt idx="6">
                  <c:v>57.5</c:v>
                </c:pt>
                <c:pt idx="7">
                  <c:v>59</c:v>
                </c:pt>
                <c:pt idx="8">
                  <c:v>60.5</c:v>
                </c:pt>
                <c:pt idx="9">
                  <c:v>62</c:v>
                </c:pt>
                <c:pt idx="10">
                  <c:v>63.5</c:v>
                </c:pt>
                <c:pt idx="11">
                  <c:v>65</c:v>
                </c:pt>
                <c:pt idx="12">
                  <c:v>66.5</c:v>
                </c:pt>
                <c:pt idx="13">
                  <c:v>68</c:v>
                </c:pt>
                <c:pt idx="14">
                  <c:v>69.5</c:v>
                </c:pt>
                <c:pt idx="15">
                  <c:v>71</c:v>
                </c:pt>
                <c:pt idx="16">
                  <c:v>72.5</c:v>
                </c:pt>
                <c:pt idx="17">
                  <c:v>74</c:v>
                </c:pt>
                <c:pt idx="18">
                  <c:v>75.5</c:v>
                </c:pt>
                <c:pt idx="19">
                  <c:v>77</c:v>
                </c:pt>
                <c:pt idx="20">
                  <c:v>78.5</c:v>
                </c:pt>
                <c:pt idx="21">
                  <c:v>80</c:v>
                </c:pt>
                <c:pt idx="22">
                  <c:v>81.5</c:v>
                </c:pt>
              </c:numCache>
            </c:numRef>
          </c:xVal>
          <c:yVal>
            <c:numRef>
              <c:f>brent_zcc_strikes!$G$5:$G$27</c:f>
              <c:numCache>
                <c:formatCode>#,##0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44-4FB4-83F0-22EB0F88474B}"/>
            </c:ext>
          </c:extLst>
        </c:ser>
        <c:ser>
          <c:idx val="1"/>
          <c:order val="1"/>
          <c:tx>
            <c:strRef>
              <c:f>brent_zcc_strikes!$I$3</c:f>
              <c:strCache>
                <c:ptCount val="1"/>
                <c:pt idx="0">
                  <c:v>hedge with zcc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brent_zcc_strikes!$A$5:$A$27</c:f>
              <c:numCache>
                <c:formatCode>General</c:formatCode>
                <c:ptCount val="23"/>
                <c:pt idx="0">
                  <c:v>45</c:v>
                </c:pt>
                <c:pt idx="1">
                  <c:v>50</c:v>
                </c:pt>
                <c:pt idx="2">
                  <c:v>51.5</c:v>
                </c:pt>
                <c:pt idx="3">
                  <c:v>53</c:v>
                </c:pt>
                <c:pt idx="4">
                  <c:v>54.5</c:v>
                </c:pt>
                <c:pt idx="5">
                  <c:v>56</c:v>
                </c:pt>
                <c:pt idx="6">
                  <c:v>57.5</c:v>
                </c:pt>
                <c:pt idx="7">
                  <c:v>59</c:v>
                </c:pt>
                <c:pt idx="8">
                  <c:v>60.5</c:v>
                </c:pt>
                <c:pt idx="9">
                  <c:v>62</c:v>
                </c:pt>
                <c:pt idx="10">
                  <c:v>63.5</c:v>
                </c:pt>
                <c:pt idx="11">
                  <c:v>65</c:v>
                </c:pt>
                <c:pt idx="12">
                  <c:v>66.5</c:v>
                </c:pt>
                <c:pt idx="13">
                  <c:v>68</c:v>
                </c:pt>
                <c:pt idx="14">
                  <c:v>69.5</c:v>
                </c:pt>
                <c:pt idx="15">
                  <c:v>71</c:v>
                </c:pt>
                <c:pt idx="16">
                  <c:v>72.5</c:v>
                </c:pt>
                <c:pt idx="17">
                  <c:v>74</c:v>
                </c:pt>
                <c:pt idx="18">
                  <c:v>75.5</c:v>
                </c:pt>
                <c:pt idx="19">
                  <c:v>77</c:v>
                </c:pt>
                <c:pt idx="20">
                  <c:v>78.5</c:v>
                </c:pt>
                <c:pt idx="21">
                  <c:v>80</c:v>
                </c:pt>
                <c:pt idx="22">
                  <c:v>81.5</c:v>
                </c:pt>
              </c:numCache>
            </c:numRef>
          </c:xVal>
          <c:yVal>
            <c:numRef>
              <c:f>brent_zcc_strikes!$I$5:$I$27</c:f>
              <c:numCache>
                <c:formatCode>#,##0</c:formatCode>
                <c:ptCount val="23"/>
                <c:pt idx="0">
                  <c:v>20358361.064023253</c:v>
                </c:pt>
                <c:pt idx="1">
                  <c:v>20358361.064023249</c:v>
                </c:pt>
                <c:pt idx="2">
                  <c:v>20358361.064023249</c:v>
                </c:pt>
                <c:pt idx="3">
                  <c:v>20358361.064023249</c:v>
                </c:pt>
                <c:pt idx="4">
                  <c:v>20358361.064023253</c:v>
                </c:pt>
                <c:pt idx="5">
                  <c:v>20358361.064023253</c:v>
                </c:pt>
                <c:pt idx="6">
                  <c:v>20358361.064023253</c:v>
                </c:pt>
                <c:pt idx="7">
                  <c:v>19629454.003611304</c:v>
                </c:pt>
                <c:pt idx="8">
                  <c:v>18129454.003611304</c:v>
                </c:pt>
                <c:pt idx="9">
                  <c:v>16629454.003611302</c:v>
                </c:pt>
                <c:pt idx="10">
                  <c:v>15129454.003611302</c:v>
                </c:pt>
                <c:pt idx="11">
                  <c:v>13629454.003611302</c:v>
                </c:pt>
                <c:pt idx="12">
                  <c:v>12129454.003611302</c:v>
                </c:pt>
                <c:pt idx="13">
                  <c:v>10629454.003611302</c:v>
                </c:pt>
                <c:pt idx="14">
                  <c:v>9129454.003611302</c:v>
                </c:pt>
                <c:pt idx="15">
                  <c:v>7629454.0036113039</c:v>
                </c:pt>
                <c:pt idx="16">
                  <c:v>6129454.0036113039</c:v>
                </c:pt>
                <c:pt idx="17">
                  <c:v>4629454.0036113039</c:v>
                </c:pt>
                <c:pt idx="18">
                  <c:v>3129454.0036113029</c:v>
                </c:pt>
                <c:pt idx="19">
                  <c:v>1629454.0036113029</c:v>
                </c:pt>
                <c:pt idx="20">
                  <c:v>129454.00361130317</c:v>
                </c:pt>
                <c:pt idx="21">
                  <c:v>-1370545.9963886971</c:v>
                </c:pt>
                <c:pt idx="22">
                  <c:v>-2870545.9963886971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44-4FB4-83F0-22EB0F884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466479"/>
        <c:axId val="159768639"/>
      </c:scatterChart>
      <c:valAx>
        <c:axId val="767466479"/>
        <c:scaling>
          <c:orientation val="minMax"/>
          <c:max val="100"/>
          <c:min val="38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68639"/>
        <c:crosses val="autoZero"/>
        <c:crossBetween val="midCat"/>
      </c:valAx>
      <c:valAx>
        <c:axId val="1597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6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</a:t>
            </a:r>
            <a:r>
              <a:rPr lang="en-US">
                <a:solidFill>
                  <a:srgbClr val="FF0000"/>
                </a:solidFill>
              </a:rPr>
              <a:t>zero cost collar</a:t>
            </a:r>
            <a:r>
              <a:rPr lang="en-US"/>
              <a:t>,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zero_cost_pictures!$D$3</c:f>
              <c:strCache>
                <c:ptCount val="1"/>
                <c:pt idx="0">
                  <c:v> zero cost collar,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zero_cost_pictures!$A$4:$A$27</c:f>
              <c:numCache>
                <c:formatCode>General</c:formatCode>
                <c:ptCount val="24"/>
                <c:pt idx="0">
                  <c:v>1.3</c:v>
                </c:pt>
                <c:pt idx="1">
                  <c:v>1.32</c:v>
                </c:pt>
                <c:pt idx="2">
                  <c:v>1.34</c:v>
                </c:pt>
                <c:pt idx="3">
                  <c:v>1.36</c:v>
                </c:pt>
                <c:pt idx="4">
                  <c:v>1.3800000000000001</c:v>
                </c:pt>
                <c:pt idx="5">
                  <c:v>1.4000000000000001</c:v>
                </c:pt>
                <c:pt idx="6">
                  <c:v>1.4200000000000002</c:v>
                </c:pt>
                <c:pt idx="7">
                  <c:v>1.4400000000000002</c:v>
                </c:pt>
                <c:pt idx="8">
                  <c:v>1.4600000000000002</c:v>
                </c:pt>
                <c:pt idx="9">
                  <c:v>1.4800000000000002</c:v>
                </c:pt>
                <c:pt idx="10">
                  <c:v>1.5000000000000002</c:v>
                </c:pt>
                <c:pt idx="11">
                  <c:v>1.5200000000000002</c:v>
                </c:pt>
                <c:pt idx="12">
                  <c:v>1.5400000000000003</c:v>
                </c:pt>
                <c:pt idx="13">
                  <c:v>1.5600000000000003</c:v>
                </c:pt>
                <c:pt idx="14">
                  <c:v>1.5800000000000003</c:v>
                </c:pt>
                <c:pt idx="15">
                  <c:v>1.6000000000000003</c:v>
                </c:pt>
                <c:pt idx="16">
                  <c:v>1.6200000000000003</c:v>
                </c:pt>
                <c:pt idx="17">
                  <c:v>1.6400000000000003</c:v>
                </c:pt>
                <c:pt idx="18">
                  <c:v>1.6600000000000004</c:v>
                </c:pt>
                <c:pt idx="19">
                  <c:v>1.6800000000000004</c:v>
                </c:pt>
                <c:pt idx="20">
                  <c:v>1.7000000000000004</c:v>
                </c:pt>
                <c:pt idx="21">
                  <c:v>1.7200000000000004</c:v>
                </c:pt>
                <c:pt idx="22">
                  <c:v>1.7400000000000004</c:v>
                </c:pt>
                <c:pt idx="23">
                  <c:v>1.7600000000000005</c:v>
                </c:pt>
              </c:numCache>
            </c:numRef>
          </c:xVal>
          <c:yVal>
            <c:numRef>
              <c:f>zero_cost_pictures!$D$4:$D$27</c:f>
              <c:numCache>
                <c:formatCode>0</c:formatCode>
                <c:ptCount val="24"/>
                <c:pt idx="0">
                  <c:v>217.06766808814677</c:v>
                </c:pt>
                <c:pt idx="1">
                  <c:v>197.06766808814675</c:v>
                </c:pt>
                <c:pt idx="2">
                  <c:v>177.06766808814675</c:v>
                </c:pt>
                <c:pt idx="3">
                  <c:v>157.06766808814672</c:v>
                </c:pt>
                <c:pt idx="4">
                  <c:v>137.06766808814669</c:v>
                </c:pt>
                <c:pt idx="5">
                  <c:v>117.06766808814666</c:v>
                </c:pt>
                <c:pt idx="6">
                  <c:v>97.067668088146647</c:v>
                </c:pt>
                <c:pt idx="7">
                  <c:v>77.067668088146632</c:v>
                </c:pt>
                <c:pt idx="8">
                  <c:v>57.067668088146618</c:v>
                </c:pt>
                <c:pt idx="9">
                  <c:v>37.067668088146597</c:v>
                </c:pt>
                <c:pt idx="10">
                  <c:v>17.067668088146579</c:v>
                </c:pt>
                <c:pt idx="11">
                  <c:v>0.36766808814686414</c:v>
                </c:pt>
                <c:pt idx="12">
                  <c:v>0.36766808814686414</c:v>
                </c:pt>
                <c:pt idx="13">
                  <c:v>0.36766808814686414</c:v>
                </c:pt>
                <c:pt idx="14">
                  <c:v>0.36766808814686414</c:v>
                </c:pt>
                <c:pt idx="15">
                  <c:v>0.36766808814686414</c:v>
                </c:pt>
                <c:pt idx="16">
                  <c:v>0.36766808814686414</c:v>
                </c:pt>
                <c:pt idx="17">
                  <c:v>0.36766808814686414</c:v>
                </c:pt>
                <c:pt idx="18">
                  <c:v>0.36766808814686414</c:v>
                </c:pt>
                <c:pt idx="19">
                  <c:v>-9.6323319118535871</c:v>
                </c:pt>
                <c:pt idx="20">
                  <c:v>-29.632331911853605</c:v>
                </c:pt>
                <c:pt idx="21">
                  <c:v>-49.632331911853626</c:v>
                </c:pt>
                <c:pt idx="22">
                  <c:v>-69.63233191185364</c:v>
                </c:pt>
                <c:pt idx="23">
                  <c:v>-89.632331911853669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A-4485-B0F5-F6B6E8ECA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470655"/>
        <c:axId val="370093151"/>
      </c:scatterChart>
      <c:valAx>
        <c:axId val="371470655"/>
        <c:scaling>
          <c:orientation val="minMax"/>
          <c:min val="1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93151"/>
        <c:crosses val="autoZero"/>
        <c:crossBetween val="midCat"/>
      </c:valAx>
      <c:valAx>
        <c:axId val="37009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70655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0070C0"/>
                </a:solidFill>
              </a:rPr>
              <a:t>Unhedged vs Zero Cost Collar: Long in</a:t>
            </a:r>
            <a:r>
              <a:rPr lang="tr-TR" baseline="0">
                <a:solidFill>
                  <a:srgbClr val="0070C0"/>
                </a:solidFill>
              </a:rPr>
              <a:t> Underlying</a:t>
            </a:r>
            <a:endParaRPr lang="en-US">
              <a:solidFill>
                <a:srgbClr val="0070C0"/>
              </a:solidFill>
            </a:endParaRPr>
          </a:p>
        </c:rich>
      </c:tx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zero_cost_pictures!$F$3</c:f>
              <c:strCache>
                <c:ptCount val="1"/>
                <c:pt idx="0">
                  <c:v> unhedged 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zero_cost_pictures!$A$4:$A$33</c:f>
              <c:numCache>
                <c:formatCode>General</c:formatCode>
                <c:ptCount val="30"/>
                <c:pt idx="0">
                  <c:v>1.3</c:v>
                </c:pt>
                <c:pt idx="1">
                  <c:v>1.32</c:v>
                </c:pt>
                <c:pt idx="2">
                  <c:v>1.34</c:v>
                </c:pt>
                <c:pt idx="3">
                  <c:v>1.36</c:v>
                </c:pt>
                <c:pt idx="4">
                  <c:v>1.3800000000000001</c:v>
                </c:pt>
                <c:pt idx="5">
                  <c:v>1.4000000000000001</c:v>
                </c:pt>
                <c:pt idx="6">
                  <c:v>1.4200000000000002</c:v>
                </c:pt>
                <c:pt idx="7">
                  <c:v>1.4400000000000002</c:v>
                </c:pt>
                <c:pt idx="8">
                  <c:v>1.4600000000000002</c:v>
                </c:pt>
                <c:pt idx="9">
                  <c:v>1.4800000000000002</c:v>
                </c:pt>
                <c:pt idx="10">
                  <c:v>1.5000000000000002</c:v>
                </c:pt>
                <c:pt idx="11">
                  <c:v>1.5200000000000002</c:v>
                </c:pt>
                <c:pt idx="12">
                  <c:v>1.5400000000000003</c:v>
                </c:pt>
                <c:pt idx="13">
                  <c:v>1.5600000000000003</c:v>
                </c:pt>
                <c:pt idx="14">
                  <c:v>1.5800000000000003</c:v>
                </c:pt>
                <c:pt idx="15">
                  <c:v>1.6000000000000003</c:v>
                </c:pt>
                <c:pt idx="16">
                  <c:v>1.6200000000000003</c:v>
                </c:pt>
                <c:pt idx="17">
                  <c:v>1.6400000000000003</c:v>
                </c:pt>
                <c:pt idx="18">
                  <c:v>1.6600000000000004</c:v>
                </c:pt>
                <c:pt idx="19">
                  <c:v>1.6800000000000004</c:v>
                </c:pt>
                <c:pt idx="20">
                  <c:v>1.7000000000000004</c:v>
                </c:pt>
                <c:pt idx="21">
                  <c:v>1.7200000000000004</c:v>
                </c:pt>
                <c:pt idx="22">
                  <c:v>1.7400000000000004</c:v>
                </c:pt>
                <c:pt idx="23">
                  <c:v>1.7600000000000005</c:v>
                </c:pt>
                <c:pt idx="24">
                  <c:v>1.7800000000000005</c:v>
                </c:pt>
                <c:pt idx="25">
                  <c:v>1.8000000000000005</c:v>
                </c:pt>
                <c:pt idx="26">
                  <c:v>1.8200000000000005</c:v>
                </c:pt>
                <c:pt idx="27">
                  <c:v>1.8400000000000005</c:v>
                </c:pt>
                <c:pt idx="28">
                  <c:v>1.8600000000000005</c:v>
                </c:pt>
                <c:pt idx="29">
                  <c:v>1.8800000000000006</c:v>
                </c:pt>
              </c:numCache>
            </c:numRef>
          </c:xVal>
          <c:yVal>
            <c:numRef>
              <c:f>zero_cost_pictures!$F$4:$F$33</c:f>
              <c:numCache>
                <c:formatCode>0</c:formatCode>
                <c:ptCount val="30"/>
                <c:pt idx="0">
                  <c:v>-250</c:v>
                </c:pt>
                <c:pt idx="1">
                  <c:v>-229.99999999999997</c:v>
                </c:pt>
                <c:pt idx="2">
                  <c:v>-209.99999999999997</c:v>
                </c:pt>
                <c:pt idx="3">
                  <c:v>-189.99999999999994</c:v>
                </c:pt>
                <c:pt idx="4">
                  <c:v>-169.99999999999994</c:v>
                </c:pt>
                <c:pt idx="5">
                  <c:v>-149.99999999999991</c:v>
                </c:pt>
                <c:pt idx="6">
                  <c:v>-129.99999999999989</c:v>
                </c:pt>
                <c:pt idx="7">
                  <c:v>-109.99999999999987</c:v>
                </c:pt>
                <c:pt idx="8">
                  <c:v>-89.999999999999858</c:v>
                </c:pt>
                <c:pt idx="9">
                  <c:v>-69.999999999999844</c:v>
                </c:pt>
                <c:pt idx="10">
                  <c:v>-49.999999999999822</c:v>
                </c:pt>
                <c:pt idx="11">
                  <c:v>-29.999999999999805</c:v>
                </c:pt>
                <c:pt idx="12">
                  <c:v>-9.9999999999997868</c:v>
                </c:pt>
                <c:pt idx="13">
                  <c:v>10.000000000000231</c:v>
                </c:pt>
                <c:pt idx="14">
                  <c:v>30.000000000000249</c:v>
                </c:pt>
                <c:pt idx="15">
                  <c:v>50.00000000000027</c:v>
                </c:pt>
                <c:pt idx="16">
                  <c:v>70.000000000000284</c:v>
                </c:pt>
                <c:pt idx="17">
                  <c:v>90.000000000000298</c:v>
                </c:pt>
                <c:pt idx="18">
                  <c:v>110.00000000000031</c:v>
                </c:pt>
                <c:pt idx="19">
                  <c:v>130.00000000000034</c:v>
                </c:pt>
                <c:pt idx="20">
                  <c:v>150.00000000000034</c:v>
                </c:pt>
                <c:pt idx="21">
                  <c:v>170.00000000000037</c:v>
                </c:pt>
                <c:pt idx="22">
                  <c:v>190.0000000000004</c:v>
                </c:pt>
                <c:pt idx="23">
                  <c:v>210.0000000000004</c:v>
                </c:pt>
                <c:pt idx="24">
                  <c:v>230.00000000000043</c:v>
                </c:pt>
                <c:pt idx="25">
                  <c:v>250.00000000000045</c:v>
                </c:pt>
                <c:pt idx="26">
                  <c:v>270.00000000000045</c:v>
                </c:pt>
                <c:pt idx="27">
                  <c:v>290.00000000000045</c:v>
                </c:pt>
                <c:pt idx="28">
                  <c:v>310.00000000000051</c:v>
                </c:pt>
                <c:pt idx="29">
                  <c:v>330.00000000000051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5-48E2-9FA9-7A52483BEBDD}"/>
            </c:ext>
          </c:extLst>
        </c:ser>
        <c:ser>
          <c:idx val="1"/>
          <c:order val="1"/>
          <c:tx>
            <c:strRef>
              <c:f>zero_cost_pictures!$G$3</c:f>
              <c:strCache>
                <c:ptCount val="1"/>
                <c:pt idx="0">
                  <c:v> hedge zero cost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zero_cost_pictures!$A$4:$A$33</c:f>
              <c:numCache>
                <c:formatCode>General</c:formatCode>
                <c:ptCount val="30"/>
                <c:pt idx="0">
                  <c:v>1.3</c:v>
                </c:pt>
                <c:pt idx="1">
                  <c:v>1.32</c:v>
                </c:pt>
                <c:pt idx="2">
                  <c:v>1.34</c:v>
                </c:pt>
                <c:pt idx="3">
                  <c:v>1.36</c:v>
                </c:pt>
                <c:pt idx="4">
                  <c:v>1.3800000000000001</c:v>
                </c:pt>
                <c:pt idx="5">
                  <c:v>1.4000000000000001</c:v>
                </c:pt>
                <c:pt idx="6">
                  <c:v>1.4200000000000002</c:v>
                </c:pt>
                <c:pt idx="7">
                  <c:v>1.4400000000000002</c:v>
                </c:pt>
                <c:pt idx="8">
                  <c:v>1.4600000000000002</c:v>
                </c:pt>
                <c:pt idx="9">
                  <c:v>1.4800000000000002</c:v>
                </c:pt>
                <c:pt idx="10">
                  <c:v>1.5000000000000002</c:v>
                </c:pt>
                <c:pt idx="11">
                  <c:v>1.5200000000000002</c:v>
                </c:pt>
                <c:pt idx="12">
                  <c:v>1.5400000000000003</c:v>
                </c:pt>
                <c:pt idx="13">
                  <c:v>1.5600000000000003</c:v>
                </c:pt>
                <c:pt idx="14">
                  <c:v>1.5800000000000003</c:v>
                </c:pt>
                <c:pt idx="15">
                  <c:v>1.6000000000000003</c:v>
                </c:pt>
                <c:pt idx="16">
                  <c:v>1.6200000000000003</c:v>
                </c:pt>
                <c:pt idx="17">
                  <c:v>1.6400000000000003</c:v>
                </c:pt>
                <c:pt idx="18">
                  <c:v>1.6600000000000004</c:v>
                </c:pt>
                <c:pt idx="19">
                  <c:v>1.6800000000000004</c:v>
                </c:pt>
                <c:pt idx="20">
                  <c:v>1.7000000000000004</c:v>
                </c:pt>
                <c:pt idx="21">
                  <c:v>1.7200000000000004</c:v>
                </c:pt>
                <c:pt idx="22">
                  <c:v>1.7400000000000004</c:v>
                </c:pt>
                <c:pt idx="23">
                  <c:v>1.7600000000000005</c:v>
                </c:pt>
                <c:pt idx="24">
                  <c:v>1.7800000000000005</c:v>
                </c:pt>
                <c:pt idx="25">
                  <c:v>1.8000000000000005</c:v>
                </c:pt>
                <c:pt idx="26">
                  <c:v>1.8200000000000005</c:v>
                </c:pt>
                <c:pt idx="27">
                  <c:v>1.8400000000000005</c:v>
                </c:pt>
                <c:pt idx="28">
                  <c:v>1.8600000000000005</c:v>
                </c:pt>
                <c:pt idx="29">
                  <c:v>1.8800000000000006</c:v>
                </c:pt>
              </c:numCache>
            </c:numRef>
          </c:xVal>
          <c:yVal>
            <c:numRef>
              <c:f>zero_cost_pictures!$G$4:$G$33</c:f>
              <c:numCache>
                <c:formatCode>0</c:formatCode>
                <c:ptCount val="30"/>
                <c:pt idx="0">
                  <c:v>-32.932331911853225</c:v>
                </c:pt>
                <c:pt idx="1">
                  <c:v>-32.932331911853225</c:v>
                </c:pt>
                <c:pt idx="2">
                  <c:v>-32.932331911853225</c:v>
                </c:pt>
                <c:pt idx="3">
                  <c:v>-32.932331911853225</c:v>
                </c:pt>
                <c:pt idx="4">
                  <c:v>-32.932331911853254</c:v>
                </c:pt>
                <c:pt idx="5">
                  <c:v>-32.932331911853254</c:v>
                </c:pt>
                <c:pt idx="6">
                  <c:v>-32.93233191185324</c:v>
                </c:pt>
                <c:pt idx="7">
                  <c:v>-32.93233191185324</c:v>
                </c:pt>
                <c:pt idx="8">
                  <c:v>-32.93233191185324</c:v>
                </c:pt>
                <c:pt idx="9">
                  <c:v>-32.932331911853247</c:v>
                </c:pt>
                <c:pt idx="10">
                  <c:v>-32.93233191185324</c:v>
                </c:pt>
                <c:pt idx="11">
                  <c:v>-29.63233191185294</c:v>
                </c:pt>
                <c:pt idx="12">
                  <c:v>-9.6323319118529227</c:v>
                </c:pt>
                <c:pt idx="13">
                  <c:v>10.367668088147095</c:v>
                </c:pt>
                <c:pt idx="14">
                  <c:v>30.367668088147113</c:v>
                </c:pt>
                <c:pt idx="15">
                  <c:v>50.367668088147134</c:v>
                </c:pt>
                <c:pt idx="16">
                  <c:v>70.367668088147155</c:v>
                </c:pt>
                <c:pt idx="17">
                  <c:v>90.367668088147155</c:v>
                </c:pt>
                <c:pt idx="18">
                  <c:v>110.36766808814718</c:v>
                </c:pt>
                <c:pt idx="19">
                  <c:v>120.36766808814676</c:v>
                </c:pt>
                <c:pt idx="20">
                  <c:v>120.36766808814673</c:v>
                </c:pt>
                <c:pt idx="21">
                  <c:v>120.36766808814674</c:v>
                </c:pt>
                <c:pt idx="22">
                  <c:v>120.36766808814676</c:v>
                </c:pt>
                <c:pt idx="23">
                  <c:v>120.36766808814673</c:v>
                </c:pt>
                <c:pt idx="24">
                  <c:v>120.36766808814674</c:v>
                </c:pt>
                <c:pt idx="25">
                  <c:v>120.36766808814676</c:v>
                </c:pt>
                <c:pt idx="26">
                  <c:v>120.36766808814673</c:v>
                </c:pt>
                <c:pt idx="27">
                  <c:v>120.36766808814673</c:v>
                </c:pt>
                <c:pt idx="28">
                  <c:v>120.36766808814676</c:v>
                </c:pt>
                <c:pt idx="29">
                  <c:v>120.36766808814673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55-48E2-9FA9-7A52483BEBDD}"/>
            </c:ext>
          </c:extLst>
        </c:ser>
        <c:ser>
          <c:idx val="2"/>
          <c:order val="2"/>
          <c:tx>
            <c:strRef>
              <c:f>zero_cost_pictures!$H$3</c:f>
              <c:strCache>
                <c:ptCount val="1"/>
                <c:pt idx="0">
                  <c:v>hedge forward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zero_cost_pictures!$H$4:$H$34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B55-48E2-9FA9-7A52483BE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179407"/>
        <c:axId val="398158191"/>
      </c:scatterChart>
      <c:valAx>
        <c:axId val="399179407"/>
        <c:scaling>
          <c:orientation val="minMax"/>
          <c:max val="1.9"/>
          <c:min val="1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58191"/>
        <c:crosses val="autoZero"/>
        <c:crossBetween val="midCat"/>
      </c:valAx>
      <c:valAx>
        <c:axId val="3981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solidFill>
            <a:schemeClr val="bg1">
              <a:lumMod val="95000"/>
            </a:schemeClr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>
                <a:solidFill>
                  <a:srgbClr val="0070C0"/>
                </a:solidFill>
              </a:rPr>
              <a:t>Hedging Cost:</a:t>
            </a:r>
            <a:r>
              <a:rPr lang="tr-TR" b="1" baseline="0">
                <a:solidFill>
                  <a:srgbClr val="0070C0"/>
                </a:solidFill>
              </a:rPr>
              <a:t> Long Spot </a:t>
            </a:r>
            <a:endParaRPr lang="en-US" b="1">
              <a:solidFill>
                <a:srgbClr val="0070C0"/>
              </a:solidFill>
            </a:endParaRPr>
          </a:p>
        </c:rich>
      </c:tx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zero_cost_pictures!$F$3</c:f>
              <c:strCache>
                <c:ptCount val="1"/>
                <c:pt idx="0">
                  <c:v> unhedged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zero_cost_pictures!$A$4:$A$33</c:f>
              <c:numCache>
                <c:formatCode>General</c:formatCode>
                <c:ptCount val="30"/>
                <c:pt idx="0">
                  <c:v>1.3</c:v>
                </c:pt>
                <c:pt idx="1">
                  <c:v>1.32</c:v>
                </c:pt>
                <c:pt idx="2">
                  <c:v>1.34</c:v>
                </c:pt>
                <c:pt idx="3">
                  <c:v>1.36</c:v>
                </c:pt>
                <c:pt idx="4">
                  <c:v>1.3800000000000001</c:v>
                </c:pt>
                <c:pt idx="5">
                  <c:v>1.4000000000000001</c:v>
                </c:pt>
                <c:pt idx="6">
                  <c:v>1.4200000000000002</c:v>
                </c:pt>
                <c:pt idx="7">
                  <c:v>1.4400000000000002</c:v>
                </c:pt>
                <c:pt idx="8">
                  <c:v>1.4600000000000002</c:v>
                </c:pt>
                <c:pt idx="9">
                  <c:v>1.4800000000000002</c:v>
                </c:pt>
                <c:pt idx="10">
                  <c:v>1.5000000000000002</c:v>
                </c:pt>
                <c:pt idx="11">
                  <c:v>1.5200000000000002</c:v>
                </c:pt>
                <c:pt idx="12">
                  <c:v>1.5400000000000003</c:v>
                </c:pt>
                <c:pt idx="13">
                  <c:v>1.5600000000000003</c:v>
                </c:pt>
                <c:pt idx="14">
                  <c:v>1.5800000000000003</c:v>
                </c:pt>
                <c:pt idx="15">
                  <c:v>1.6000000000000003</c:v>
                </c:pt>
                <c:pt idx="16">
                  <c:v>1.6200000000000003</c:v>
                </c:pt>
                <c:pt idx="17">
                  <c:v>1.6400000000000003</c:v>
                </c:pt>
                <c:pt idx="18">
                  <c:v>1.6600000000000004</c:v>
                </c:pt>
                <c:pt idx="19">
                  <c:v>1.6800000000000004</c:v>
                </c:pt>
                <c:pt idx="20">
                  <c:v>1.7000000000000004</c:v>
                </c:pt>
                <c:pt idx="21">
                  <c:v>1.7200000000000004</c:v>
                </c:pt>
                <c:pt idx="22">
                  <c:v>1.7400000000000004</c:v>
                </c:pt>
                <c:pt idx="23">
                  <c:v>1.7600000000000005</c:v>
                </c:pt>
                <c:pt idx="24">
                  <c:v>1.7800000000000005</c:v>
                </c:pt>
                <c:pt idx="25">
                  <c:v>1.8000000000000005</c:v>
                </c:pt>
                <c:pt idx="26">
                  <c:v>1.8200000000000005</c:v>
                </c:pt>
                <c:pt idx="27">
                  <c:v>1.8400000000000005</c:v>
                </c:pt>
                <c:pt idx="28">
                  <c:v>1.8600000000000005</c:v>
                </c:pt>
                <c:pt idx="29">
                  <c:v>1.8800000000000006</c:v>
                </c:pt>
              </c:numCache>
            </c:numRef>
          </c:cat>
          <c:val>
            <c:numRef>
              <c:f>zero_cost_pictures!$F$4:$F$33</c:f>
              <c:numCache>
                <c:formatCode>0</c:formatCode>
                <c:ptCount val="30"/>
                <c:pt idx="0">
                  <c:v>-250</c:v>
                </c:pt>
                <c:pt idx="1">
                  <c:v>-229.99999999999997</c:v>
                </c:pt>
                <c:pt idx="2">
                  <c:v>-209.99999999999997</c:v>
                </c:pt>
                <c:pt idx="3">
                  <c:v>-189.99999999999994</c:v>
                </c:pt>
                <c:pt idx="4">
                  <c:v>-169.99999999999994</c:v>
                </c:pt>
                <c:pt idx="5">
                  <c:v>-149.99999999999991</c:v>
                </c:pt>
                <c:pt idx="6">
                  <c:v>-129.99999999999989</c:v>
                </c:pt>
                <c:pt idx="7">
                  <c:v>-109.99999999999987</c:v>
                </c:pt>
                <c:pt idx="8">
                  <c:v>-89.999999999999858</c:v>
                </c:pt>
                <c:pt idx="9">
                  <c:v>-69.999999999999844</c:v>
                </c:pt>
                <c:pt idx="10">
                  <c:v>-49.999999999999822</c:v>
                </c:pt>
                <c:pt idx="11">
                  <c:v>-29.999999999999805</c:v>
                </c:pt>
                <c:pt idx="12">
                  <c:v>-9.9999999999997868</c:v>
                </c:pt>
                <c:pt idx="13">
                  <c:v>10.000000000000231</c:v>
                </c:pt>
                <c:pt idx="14">
                  <c:v>30.000000000000249</c:v>
                </c:pt>
                <c:pt idx="15">
                  <c:v>50.00000000000027</c:v>
                </c:pt>
                <c:pt idx="16">
                  <c:v>70.000000000000284</c:v>
                </c:pt>
                <c:pt idx="17">
                  <c:v>90.000000000000298</c:v>
                </c:pt>
                <c:pt idx="18">
                  <c:v>110.00000000000031</c:v>
                </c:pt>
                <c:pt idx="19">
                  <c:v>130.00000000000034</c:v>
                </c:pt>
                <c:pt idx="20">
                  <c:v>150.00000000000034</c:v>
                </c:pt>
                <c:pt idx="21">
                  <c:v>170.00000000000037</c:v>
                </c:pt>
                <c:pt idx="22">
                  <c:v>190.0000000000004</c:v>
                </c:pt>
                <c:pt idx="23">
                  <c:v>210.0000000000004</c:v>
                </c:pt>
                <c:pt idx="24">
                  <c:v>230.00000000000043</c:v>
                </c:pt>
                <c:pt idx="25">
                  <c:v>250.00000000000045</c:v>
                </c:pt>
                <c:pt idx="26">
                  <c:v>270.00000000000045</c:v>
                </c:pt>
                <c:pt idx="27">
                  <c:v>290.00000000000045</c:v>
                </c:pt>
                <c:pt idx="28">
                  <c:v>310.00000000000051</c:v>
                </c:pt>
                <c:pt idx="29">
                  <c:v>330.00000000000051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F1C-43FB-957F-39F4509D04CE}"/>
            </c:ext>
          </c:extLst>
        </c:ser>
        <c:ser>
          <c:idx val="1"/>
          <c:order val="1"/>
          <c:tx>
            <c:strRef>
              <c:f>zero_cost_pictures!$G$3</c:f>
              <c:strCache>
                <c:ptCount val="1"/>
                <c:pt idx="0">
                  <c:v> hedge zero cost 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zero_cost_pictures!$A$4:$A$33</c:f>
              <c:numCache>
                <c:formatCode>General</c:formatCode>
                <c:ptCount val="30"/>
                <c:pt idx="0">
                  <c:v>1.3</c:v>
                </c:pt>
                <c:pt idx="1">
                  <c:v>1.32</c:v>
                </c:pt>
                <c:pt idx="2">
                  <c:v>1.34</c:v>
                </c:pt>
                <c:pt idx="3">
                  <c:v>1.36</c:v>
                </c:pt>
                <c:pt idx="4">
                  <c:v>1.3800000000000001</c:v>
                </c:pt>
                <c:pt idx="5">
                  <c:v>1.4000000000000001</c:v>
                </c:pt>
                <c:pt idx="6">
                  <c:v>1.4200000000000002</c:v>
                </c:pt>
                <c:pt idx="7">
                  <c:v>1.4400000000000002</c:v>
                </c:pt>
                <c:pt idx="8">
                  <c:v>1.4600000000000002</c:v>
                </c:pt>
                <c:pt idx="9">
                  <c:v>1.4800000000000002</c:v>
                </c:pt>
                <c:pt idx="10">
                  <c:v>1.5000000000000002</c:v>
                </c:pt>
                <c:pt idx="11">
                  <c:v>1.5200000000000002</c:v>
                </c:pt>
                <c:pt idx="12">
                  <c:v>1.5400000000000003</c:v>
                </c:pt>
                <c:pt idx="13">
                  <c:v>1.5600000000000003</c:v>
                </c:pt>
                <c:pt idx="14">
                  <c:v>1.5800000000000003</c:v>
                </c:pt>
                <c:pt idx="15">
                  <c:v>1.6000000000000003</c:v>
                </c:pt>
                <c:pt idx="16">
                  <c:v>1.6200000000000003</c:v>
                </c:pt>
                <c:pt idx="17">
                  <c:v>1.6400000000000003</c:v>
                </c:pt>
                <c:pt idx="18">
                  <c:v>1.6600000000000004</c:v>
                </c:pt>
                <c:pt idx="19">
                  <c:v>1.6800000000000004</c:v>
                </c:pt>
                <c:pt idx="20">
                  <c:v>1.7000000000000004</c:v>
                </c:pt>
                <c:pt idx="21">
                  <c:v>1.7200000000000004</c:v>
                </c:pt>
                <c:pt idx="22">
                  <c:v>1.7400000000000004</c:v>
                </c:pt>
                <c:pt idx="23">
                  <c:v>1.7600000000000005</c:v>
                </c:pt>
                <c:pt idx="24">
                  <c:v>1.7800000000000005</c:v>
                </c:pt>
                <c:pt idx="25">
                  <c:v>1.8000000000000005</c:v>
                </c:pt>
                <c:pt idx="26">
                  <c:v>1.8200000000000005</c:v>
                </c:pt>
                <c:pt idx="27">
                  <c:v>1.8400000000000005</c:v>
                </c:pt>
                <c:pt idx="28">
                  <c:v>1.8600000000000005</c:v>
                </c:pt>
                <c:pt idx="29">
                  <c:v>1.8800000000000006</c:v>
                </c:pt>
              </c:numCache>
            </c:numRef>
          </c:cat>
          <c:val>
            <c:numRef>
              <c:f>zero_cost_pictures!$G$4:$G$33</c:f>
              <c:numCache>
                <c:formatCode>0</c:formatCode>
                <c:ptCount val="30"/>
                <c:pt idx="0">
                  <c:v>-32.932331911853225</c:v>
                </c:pt>
                <c:pt idx="1">
                  <c:v>-32.932331911853225</c:v>
                </c:pt>
                <c:pt idx="2">
                  <c:v>-32.932331911853225</c:v>
                </c:pt>
                <c:pt idx="3">
                  <c:v>-32.932331911853225</c:v>
                </c:pt>
                <c:pt idx="4">
                  <c:v>-32.932331911853254</c:v>
                </c:pt>
                <c:pt idx="5">
                  <c:v>-32.932331911853254</c:v>
                </c:pt>
                <c:pt idx="6">
                  <c:v>-32.93233191185324</c:v>
                </c:pt>
                <c:pt idx="7">
                  <c:v>-32.93233191185324</c:v>
                </c:pt>
                <c:pt idx="8">
                  <c:v>-32.93233191185324</c:v>
                </c:pt>
                <c:pt idx="9">
                  <c:v>-32.932331911853247</c:v>
                </c:pt>
                <c:pt idx="10">
                  <c:v>-32.93233191185324</c:v>
                </c:pt>
                <c:pt idx="11">
                  <c:v>-29.63233191185294</c:v>
                </c:pt>
                <c:pt idx="12">
                  <c:v>-9.6323319118529227</c:v>
                </c:pt>
                <c:pt idx="13">
                  <c:v>10.367668088147095</c:v>
                </c:pt>
                <c:pt idx="14">
                  <c:v>30.367668088147113</c:v>
                </c:pt>
                <c:pt idx="15">
                  <c:v>50.367668088147134</c:v>
                </c:pt>
                <c:pt idx="16">
                  <c:v>70.367668088147155</c:v>
                </c:pt>
                <c:pt idx="17">
                  <c:v>90.367668088147155</c:v>
                </c:pt>
                <c:pt idx="18">
                  <c:v>110.36766808814718</c:v>
                </c:pt>
                <c:pt idx="19">
                  <c:v>120.36766808814676</c:v>
                </c:pt>
                <c:pt idx="20">
                  <c:v>120.36766808814673</c:v>
                </c:pt>
                <c:pt idx="21">
                  <c:v>120.36766808814674</c:v>
                </c:pt>
                <c:pt idx="22">
                  <c:v>120.36766808814676</c:v>
                </c:pt>
                <c:pt idx="23">
                  <c:v>120.36766808814673</c:v>
                </c:pt>
                <c:pt idx="24">
                  <c:v>120.36766808814674</c:v>
                </c:pt>
                <c:pt idx="25">
                  <c:v>120.36766808814676</c:v>
                </c:pt>
                <c:pt idx="26">
                  <c:v>120.36766808814673</c:v>
                </c:pt>
                <c:pt idx="27">
                  <c:v>120.36766808814673</c:v>
                </c:pt>
                <c:pt idx="28">
                  <c:v>120.36766808814676</c:v>
                </c:pt>
                <c:pt idx="29">
                  <c:v>120.36766808814673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F1C-43FB-957F-39F4509D04CE}"/>
            </c:ext>
          </c:extLst>
        </c:ser>
        <c:ser>
          <c:idx val="2"/>
          <c:order val="2"/>
          <c:tx>
            <c:strRef>
              <c:f>zero_cost_pictures!$H$3</c:f>
              <c:strCache>
                <c:ptCount val="1"/>
                <c:pt idx="0">
                  <c:v>hedge forward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zero_cost_pictures!$A$4:$A$33</c:f>
              <c:numCache>
                <c:formatCode>General</c:formatCode>
                <c:ptCount val="30"/>
                <c:pt idx="0">
                  <c:v>1.3</c:v>
                </c:pt>
                <c:pt idx="1">
                  <c:v>1.32</c:v>
                </c:pt>
                <c:pt idx="2">
                  <c:v>1.34</c:v>
                </c:pt>
                <c:pt idx="3">
                  <c:v>1.36</c:v>
                </c:pt>
                <c:pt idx="4">
                  <c:v>1.3800000000000001</c:v>
                </c:pt>
                <c:pt idx="5">
                  <c:v>1.4000000000000001</c:v>
                </c:pt>
                <c:pt idx="6">
                  <c:v>1.4200000000000002</c:v>
                </c:pt>
                <c:pt idx="7">
                  <c:v>1.4400000000000002</c:v>
                </c:pt>
                <c:pt idx="8">
                  <c:v>1.4600000000000002</c:v>
                </c:pt>
                <c:pt idx="9">
                  <c:v>1.4800000000000002</c:v>
                </c:pt>
                <c:pt idx="10">
                  <c:v>1.5000000000000002</c:v>
                </c:pt>
                <c:pt idx="11">
                  <c:v>1.5200000000000002</c:v>
                </c:pt>
                <c:pt idx="12">
                  <c:v>1.5400000000000003</c:v>
                </c:pt>
                <c:pt idx="13">
                  <c:v>1.5600000000000003</c:v>
                </c:pt>
                <c:pt idx="14">
                  <c:v>1.5800000000000003</c:v>
                </c:pt>
                <c:pt idx="15">
                  <c:v>1.6000000000000003</c:v>
                </c:pt>
                <c:pt idx="16">
                  <c:v>1.6200000000000003</c:v>
                </c:pt>
                <c:pt idx="17">
                  <c:v>1.6400000000000003</c:v>
                </c:pt>
                <c:pt idx="18">
                  <c:v>1.6600000000000004</c:v>
                </c:pt>
                <c:pt idx="19">
                  <c:v>1.6800000000000004</c:v>
                </c:pt>
                <c:pt idx="20">
                  <c:v>1.7000000000000004</c:v>
                </c:pt>
                <c:pt idx="21">
                  <c:v>1.7200000000000004</c:v>
                </c:pt>
                <c:pt idx="22">
                  <c:v>1.7400000000000004</c:v>
                </c:pt>
                <c:pt idx="23">
                  <c:v>1.7600000000000005</c:v>
                </c:pt>
                <c:pt idx="24">
                  <c:v>1.7800000000000005</c:v>
                </c:pt>
                <c:pt idx="25">
                  <c:v>1.8000000000000005</c:v>
                </c:pt>
                <c:pt idx="26">
                  <c:v>1.8200000000000005</c:v>
                </c:pt>
                <c:pt idx="27">
                  <c:v>1.8400000000000005</c:v>
                </c:pt>
                <c:pt idx="28">
                  <c:v>1.8600000000000005</c:v>
                </c:pt>
                <c:pt idx="29">
                  <c:v>1.8800000000000006</c:v>
                </c:pt>
              </c:numCache>
            </c:numRef>
          </c:cat>
          <c:val>
            <c:numRef>
              <c:f>zero_cost_pictures!$H$4:$H$33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F1C-43FB-957F-39F4509D0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697407"/>
        <c:axId val="379411791"/>
      </c:lineChart>
      <c:catAx>
        <c:axId val="76469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/>
                  <a:t>Spot at the maturity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11791"/>
        <c:crosses val="autoZero"/>
        <c:auto val="1"/>
        <c:lblAlgn val="ctr"/>
        <c:lblOffset val="100"/>
        <c:tickMarkSkip val="1"/>
        <c:noMultiLvlLbl val="0"/>
      </c:catAx>
      <c:valAx>
        <c:axId val="37941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chemeClr val="accent1">
                        <a:lumMod val="50000"/>
                      </a:schemeClr>
                    </a:solidFill>
                  </a:rPr>
                  <a:t>profit</a:t>
                </a:r>
                <a:r>
                  <a:rPr lang="tr-TR" sz="1400" baseline="0">
                    <a:solidFill>
                      <a:schemeClr val="accent1">
                        <a:lumMod val="50000"/>
                      </a:schemeClr>
                    </a:solidFill>
                  </a:rPr>
                  <a:t> and Loss </a:t>
                </a:r>
                <a:endParaRPr lang="en-US" sz="1400">
                  <a:solidFill>
                    <a:schemeClr val="accent1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9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tr-TR" sz="1800">
                <a:solidFill>
                  <a:srgbClr val="C00000"/>
                </a:solidFill>
              </a:rPr>
              <a:t>crude oil hedging (</a:t>
            </a:r>
            <a:r>
              <a:rPr lang="tr-TR" sz="1800">
                <a:solidFill>
                  <a:schemeClr val="tx2">
                    <a:lumMod val="75000"/>
                  </a:schemeClr>
                </a:solidFill>
              </a:rPr>
              <a:t>forward</a:t>
            </a:r>
            <a:r>
              <a:rPr lang="tr-TR" sz="1800" baseline="0">
                <a:solidFill>
                  <a:srgbClr val="C00000"/>
                </a:solidFill>
              </a:rPr>
              <a:t> vs ZCC h=50%)</a:t>
            </a:r>
            <a:endParaRPr lang="en-US" sz="1800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04688408254907"/>
          <c:y val="4.1121387789102473E-2"/>
          <c:w val="0.80591341317673659"/>
          <c:h val="0.747029418077768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brent_zcc!$G$3</c:f>
              <c:strCache>
                <c:ptCount val="1"/>
                <c:pt idx="0">
                  <c:v>forward hedge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brent_zcc!$A$6:$A$28</c:f>
              <c:numCache>
                <c:formatCode>General</c:formatCode>
                <c:ptCount val="23"/>
                <c:pt idx="0">
                  <c:v>45</c:v>
                </c:pt>
                <c:pt idx="1">
                  <c:v>46.5</c:v>
                </c:pt>
                <c:pt idx="2">
                  <c:v>48</c:v>
                </c:pt>
                <c:pt idx="3">
                  <c:v>49.5</c:v>
                </c:pt>
                <c:pt idx="4">
                  <c:v>51</c:v>
                </c:pt>
                <c:pt idx="5">
                  <c:v>52.5</c:v>
                </c:pt>
                <c:pt idx="6">
                  <c:v>54</c:v>
                </c:pt>
                <c:pt idx="7">
                  <c:v>55.5</c:v>
                </c:pt>
                <c:pt idx="8">
                  <c:v>57</c:v>
                </c:pt>
                <c:pt idx="9">
                  <c:v>58.5</c:v>
                </c:pt>
                <c:pt idx="10">
                  <c:v>60</c:v>
                </c:pt>
                <c:pt idx="11">
                  <c:v>61.5</c:v>
                </c:pt>
                <c:pt idx="12">
                  <c:v>63</c:v>
                </c:pt>
                <c:pt idx="13">
                  <c:v>64.5</c:v>
                </c:pt>
                <c:pt idx="14">
                  <c:v>66</c:v>
                </c:pt>
                <c:pt idx="15">
                  <c:v>67.5</c:v>
                </c:pt>
                <c:pt idx="16">
                  <c:v>69</c:v>
                </c:pt>
                <c:pt idx="17">
                  <c:v>70.5</c:v>
                </c:pt>
                <c:pt idx="18">
                  <c:v>72</c:v>
                </c:pt>
                <c:pt idx="19">
                  <c:v>73.5</c:v>
                </c:pt>
                <c:pt idx="20">
                  <c:v>75</c:v>
                </c:pt>
                <c:pt idx="21">
                  <c:v>76.5</c:v>
                </c:pt>
                <c:pt idx="22">
                  <c:v>78</c:v>
                </c:pt>
              </c:numCache>
            </c:numRef>
          </c:xVal>
          <c:yVal>
            <c:numRef>
              <c:f>brent_zcc!$G$6:$G$28</c:f>
              <c:numCache>
                <c:formatCode>#,##0</c:formatCode>
                <c:ptCount val="23"/>
                <c:pt idx="0">
                  <c:v>16820000</c:v>
                </c:pt>
                <c:pt idx="1">
                  <c:v>16070000</c:v>
                </c:pt>
                <c:pt idx="2">
                  <c:v>15320000</c:v>
                </c:pt>
                <c:pt idx="3">
                  <c:v>14570000</c:v>
                </c:pt>
                <c:pt idx="4">
                  <c:v>13820000</c:v>
                </c:pt>
                <c:pt idx="5">
                  <c:v>13070000</c:v>
                </c:pt>
                <c:pt idx="6">
                  <c:v>12320000</c:v>
                </c:pt>
                <c:pt idx="7">
                  <c:v>11570000</c:v>
                </c:pt>
                <c:pt idx="8">
                  <c:v>10820000</c:v>
                </c:pt>
                <c:pt idx="9">
                  <c:v>10070000</c:v>
                </c:pt>
                <c:pt idx="10">
                  <c:v>9320000</c:v>
                </c:pt>
                <c:pt idx="11">
                  <c:v>8570000</c:v>
                </c:pt>
                <c:pt idx="12">
                  <c:v>7820000</c:v>
                </c:pt>
                <c:pt idx="13">
                  <c:v>7070000</c:v>
                </c:pt>
                <c:pt idx="14">
                  <c:v>6320000</c:v>
                </c:pt>
                <c:pt idx="15">
                  <c:v>5570000</c:v>
                </c:pt>
                <c:pt idx="16">
                  <c:v>4820000</c:v>
                </c:pt>
                <c:pt idx="17">
                  <c:v>4070000.0000000005</c:v>
                </c:pt>
                <c:pt idx="18">
                  <c:v>3320000.0000000005</c:v>
                </c:pt>
                <c:pt idx="19">
                  <c:v>2570000.0000000005</c:v>
                </c:pt>
                <c:pt idx="20">
                  <c:v>1820000.0000000002</c:v>
                </c:pt>
                <c:pt idx="21">
                  <c:v>1070000.0000000002</c:v>
                </c:pt>
                <c:pt idx="22">
                  <c:v>320000.00000000029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1A-45D6-BE4B-9A126E674A7D}"/>
            </c:ext>
          </c:extLst>
        </c:ser>
        <c:ser>
          <c:idx val="1"/>
          <c:order val="1"/>
          <c:tx>
            <c:strRef>
              <c:f>brent_zcc!$I$3</c:f>
              <c:strCache>
                <c:ptCount val="1"/>
                <c:pt idx="0">
                  <c:v>hedge with zcc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brent_zcc!$A$6:$A$28</c:f>
              <c:numCache>
                <c:formatCode>General</c:formatCode>
                <c:ptCount val="23"/>
                <c:pt idx="0">
                  <c:v>45</c:v>
                </c:pt>
                <c:pt idx="1">
                  <c:v>46.5</c:v>
                </c:pt>
                <c:pt idx="2">
                  <c:v>48</c:v>
                </c:pt>
                <c:pt idx="3">
                  <c:v>49.5</c:v>
                </c:pt>
                <c:pt idx="4">
                  <c:v>51</c:v>
                </c:pt>
                <c:pt idx="5">
                  <c:v>52.5</c:v>
                </c:pt>
                <c:pt idx="6">
                  <c:v>54</c:v>
                </c:pt>
                <c:pt idx="7">
                  <c:v>55.5</c:v>
                </c:pt>
                <c:pt idx="8">
                  <c:v>57</c:v>
                </c:pt>
                <c:pt idx="9">
                  <c:v>58.5</c:v>
                </c:pt>
                <c:pt idx="10">
                  <c:v>60</c:v>
                </c:pt>
                <c:pt idx="11">
                  <c:v>61.5</c:v>
                </c:pt>
                <c:pt idx="12">
                  <c:v>63</c:v>
                </c:pt>
                <c:pt idx="13">
                  <c:v>64.5</c:v>
                </c:pt>
                <c:pt idx="14">
                  <c:v>66</c:v>
                </c:pt>
                <c:pt idx="15">
                  <c:v>67.5</c:v>
                </c:pt>
                <c:pt idx="16">
                  <c:v>69</c:v>
                </c:pt>
                <c:pt idx="17">
                  <c:v>70.5</c:v>
                </c:pt>
                <c:pt idx="18">
                  <c:v>72</c:v>
                </c:pt>
                <c:pt idx="19">
                  <c:v>73.5</c:v>
                </c:pt>
                <c:pt idx="20">
                  <c:v>75</c:v>
                </c:pt>
                <c:pt idx="21">
                  <c:v>76.5</c:v>
                </c:pt>
                <c:pt idx="22">
                  <c:v>78</c:v>
                </c:pt>
              </c:numCache>
            </c:numRef>
          </c:xVal>
          <c:yVal>
            <c:numRef>
              <c:f>brent_zcc!$I$6:$I$28</c:f>
              <c:numCache>
                <c:formatCode>#,##0</c:formatCode>
                <c:ptCount val="23"/>
                <c:pt idx="0">
                  <c:v>24630950.45576214</c:v>
                </c:pt>
                <c:pt idx="1">
                  <c:v>23880950.45576214</c:v>
                </c:pt>
                <c:pt idx="2">
                  <c:v>23130950.45576214</c:v>
                </c:pt>
                <c:pt idx="3">
                  <c:v>22380950.45576214</c:v>
                </c:pt>
                <c:pt idx="4">
                  <c:v>21630950.45576214</c:v>
                </c:pt>
                <c:pt idx="5">
                  <c:v>20880950.45576214</c:v>
                </c:pt>
                <c:pt idx="6">
                  <c:v>20130950.45576214</c:v>
                </c:pt>
                <c:pt idx="7">
                  <c:v>19380950.45576214</c:v>
                </c:pt>
                <c:pt idx="8">
                  <c:v>18630950.45576214</c:v>
                </c:pt>
                <c:pt idx="9">
                  <c:v>17880950.45576214</c:v>
                </c:pt>
                <c:pt idx="10">
                  <c:v>17130950.45576214</c:v>
                </c:pt>
                <c:pt idx="11">
                  <c:v>16380950.45576214</c:v>
                </c:pt>
                <c:pt idx="12">
                  <c:v>15630950.45576214</c:v>
                </c:pt>
                <c:pt idx="13">
                  <c:v>14139708.41530773</c:v>
                </c:pt>
                <c:pt idx="14">
                  <c:v>12639708.41530773</c:v>
                </c:pt>
                <c:pt idx="15">
                  <c:v>11139708.41530773</c:v>
                </c:pt>
                <c:pt idx="16">
                  <c:v>9639708.4153077304</c:v>
                </c:pt>
                <c:pt idx="17">
                  <c:v>8139708.4153077314</c:v>
                </c:pt>
                <c:pt idx="18">
                  <c:v>6639708.4153077314</c:v>
                </c:pt>
                <c:pt idx="19">
                  <c:v>5139708.4153077314</c:v>
                </c:pt>
                <c:pt idx="20">
                  <c:v>3639708.4153077309</c:v>
                </c:pt>
                <c:pt idx="21">
                  <c:v>2139708.4153077309</c:v>
                </c:pt>
                <c:pt idx="22">
                  <c:v>639708.41530773102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1A-45D6-BE4B-9A126E67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466479"/>
        <c:axId val="159768639"/>
      </c:scatterChart>
      <c:valAx>
        <c:axId val="767466479"/>
        <c:scaling>
          <c:orientation val="minMax"/>
          <c:min val="58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68639"/>
        <c:crosses val="autoZero"/>
        <c:crossBetween val="midCat"/>
      </c:valAx>
      <c:valAx>
        <c:axId val="1597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6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1" i="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</a:rPr>
              <a:t>crude oil hedging </a:t>
            </a:r>
            <a:r>
              <a:rPr lang="tr-TR" sz="1800" b="1" i="0" baseline="0">
                <a:effectLst/>
              </a:rPr>
              <a:t>(</a:t>
            </a:r>
            <a:r>
              <a:rPr lang="tr-TR" sz="1800" b="1" i="0" baseline="0">
                <a:solidFill>
                  <a:schemeClr val="tx2">
                    <a:lumMod val="75000"/>
                  </a:schemeClr>
                </a:solidFill>
                <a:effectLst/>
              </a:rPr>
              <a:t>forward</a:t>
            </a:r>
            <a:r>
              <a:rPr lang="tr-TR" sz="1800" b="1" i="0" baseline="0">
                <a:effectLst/>
              </a:rPr>
              <a:t> vs </a:t>
            </a:r>
            <a:r>
              <a:rPr lang="tr-TR" sz="1800" b="0" i="0" baseline="0">
                <a:solidFill>
                  <a:srgbClr val="C00000"/>
                </a:solidFill>
                <a:effectLst/>
              </a:rPr>
              <a:t>ZCC</a:t>
            </a:r>
            <a:r>
              <a:rPr lang="tr-TR" sz="1800" b="1" i="0" baseline="0">
                <a:effectLst/>
              </a:rPr>
              <a:t>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brent_zcc_strikes!$F$3</c:f>
              <c:strCache>
                <c:ptCount val="1"/>
                <c:pt idx="0">
                  <c:v>no hedge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brent_zcc_strikes!$A$4:$A$41</c:f>
              <c:numCache>
                <c:formatCode>General</c:formatCode>
                <c:ptCount val="38"/>
                <c:pt idx="0">
                  <c:v>38</c:v>
                </c:pt>
                <c:pt idx="1">
                  <c:v>45</c:v>
                </c:pt>
                <c:pt idx="2">
                  <c:v>50</c:v>
                </c:pt>
                <c:pt idx="3">
                  <c:v>51.5</c:v>
                </c:pt>
                <c:pt idx="4">
                  <c:v>53</c:v>
                </c:pt>
                <c:pt idx="5">
                  <c:v>54.5</c:v>
                </c:pt>
                <c:pt idx="6">
                  <c:v>56</c:v>
                </c:pt>
                <c:pt idx="7">
                  <c:v>57.5</c:v>
                </c:pt>
                <c:pt idx="8">
                  <c:v>59</c:v>
                </c:pt>
                <c:pt idx="9">
                  <c:v>60.5</c:v>
                </c:pt>
                <c:pt idx="10">
                  <c:v>62</c:v>
                </c:pt>
                <c:pt idx="11">
                  <c:v>63.5</c:v>
                </c:pt>
                <c:pt idx="12">
                  <c:v>65</c:v>
                </c:pt>
                <c:pt idx="13">
                  <c:v>66.5</c:v>
                </c:pt>
                <c:pt idx="14">
                  <c:v>68</c:v>
                </c:pt>
                <c:pt idx="15">
                  <c:v>69.5</c:v>
                </c:pt>
                <c:pt idx="16">
                  <c:v>71</c:v>
                </c:pt>
                <c:pt idx="17">
                  <c:v>72.5</c:v>
                </c:pt>
                <c:pt idx="18">
                  <c:v>74</c:v>
                </c:pt>
                <c:pt idx="19">
                  <c:v>75.5</c:v>
                </c:pt>
                <c:pt idx="20">
                  <c:v>77</c:v>
                </c:pt>
                <c:pt idx="21">
                  <c:v>78.5</c:v>
                </c:pt>
                <c:pt idx="22">
                  <c:v>80</c:v>
                </c:pt>
                <c:pt idx="23">
                  <c:v>81.5</c:v>
                </c:pt>
                <c:pt idx="24">
                  <c:v>83</c:v>
                </c:pt>
                <c:pt idx="25">
                  <c:v>84.5</c:v>
                </c:pt>
                <c:pt idx="26">
                  <c:v>86</c:v>
                </c:pt>
                <c:pt idx="27">
                  <c:v>87.5</c:v>
                </c:pt>
                <c:pt idx="28">
                  <c:v>89</c:v>
                </c:pt>
                <c:pt idx="29">
                  <c:v>90.5</c:v>
                </c:pt>
                <c:pt idx="30">
                  <c:v>92</c:v>
                </c:pt>
                <c:pt idx="31">
                  <c:v>93.5</c:v>
                </c:pt>
                <c:pt idx="32">
                  <c:v>95</c:v>
                </c:pt>
                <c:pt idx="33">
                  <c:v>96.5</c:v>
                </c:pt>
                <c:pt idx="34">
                  <c:v>98</c:v>
                </c:pt>
                <c:pt idx="35">
                  <c:v>99.5</c:v>
                </c:pt>
                <c:pt idx="36">
                  <c:v>101</c:v>
                </c:pt>
                <c:pt idx="37">
                  <c:v>102.5</c:v>
                </c:pt>
              </c:numCache>
            </c:numRef>
          </c:xVal>
          <c:yVal>
            <c:numRef>
              <c:f>brent_zcc_strikes!$F$4:$F$41</c:f>
              <c:numCache>
                <c:formatCode>#,##0</c:formatCode>
                <c:ptCount val="38"/>
                <c:pt idx="0">
                  <c:v>40640000</c:v>
                </c:pt>
                <c:pt idx="1">
                  <c:v>33640000</c:v>
                </c:pt>
                <c:pt idx="2">
                  <c:v>28640000</c:v>
                </c:pt>
                <c:pt idx="3">
                  <c:v>27140000</c:v>
                </c:pt>
                <c:pt idx="4">
                  <c:v>25640000</c:v>
                </c:pt>
                <c:pt idx="5">
                  <c:v>24140000</c:v>
                </c:pt>
                <c:pt idx="6">
                  <c:v>22640000</c:v>
                </c:pt>
                <c:pt idx="7">
                  <c:v>21140000</c:v>
                </c:pt>
                <c:pt idx="8">
                  <c:v>19640000</c:v>
                </c:pt>
                <c:pt idx="9">
                  <c:v>18140000</c:v>
                </c:pt>
                <c:pt idx="10">
                  <c:v>16640000</c:v>
                </c:pt>
                <c:pt idx="11">
                  <c:v>15140000</c:v>
                </c:pt>
                <c:pt idx="12">
                  <c:v>13640000</c:v>
                </c:pt>
                <c:pt idx="13">
                  <c:v>12140000</c:v>
                </c:pt>
                <c:pt idx="14">
                  <c:v>10640000</c:v>
                </c:pt>
                <c:pt idx="15">
                  <c:v>9140000</c:v>
                </c:pt>
                <c:pt idx="16">
                  <c:v>7640000.0000000009</c:v>
                </c:pt>
                <c:pt idx="17">
                  <c:v>6140000.0000000009</c:v>
                </c:pt>
                <c:pt idx="18">
                  <c:v>4640000.0000000009</c:v>
                </c:pt>
                <c:pt idx="19">
                  <c:v>3140000.0000000005</c:v>
                </c:pt>
                <c:pt idx="20">
                  <c:v>1640000.0000000005</c:v>
                </c:pt>
                <c:pt idx="21">
                  <c:v>140000.00000000058</c:v>
                </c:pt>
                <c:pt idx="22">
                  <c:v>-1359999.9999999995</c:v>
                </c:pt>
                <c:pt idx="23">
                  <c:v>-2859999.9999999995</c:v>
                </c:pt>
                <c:pt idx="24">
                  <c:v>-4359999.9999999991</c:v>
                </c:pt>
                <c:pt idx="25">
                  <c:v>-5859999.9999999991</c:v>
                </c:pt>
                <c:pt idx="26">
                  <c:v>-7359999.9999999991</c:v>
                </c:pt>
                <c:pt idx="27">
                  <c:v>-8860000</c:v>
                </c:pt>
                <c:pt idx="28">
                  <c:v>-10360000</c:v>
                </c:pt>
                <c:pt idx="29">
                  <c:v>-11860000</c:v>
                </c:pt>
                <c:pt idx="30">
                  <c:v>-13360000</c:v>
                </c:pt>
                <c:pt idx="31">
                  <c:v>-14860000</c:v>
                </c:pt>
                <c:pt idx="32">
                  <c:v>-16360000</c:v>
                </c:pt>
                <c:pt idx="33">
                  <c:v>-17860000</c:v>
                </c:pt>
                <c:pt idx="34">
                  <c:v>-19360000</c:v>
                </c:pt>
                <c:pt idx="35">
                  <c:v>-20860000</c:v>
                </c:pt>
                <c:pt idx="36">
                  <c:v>-22360000</c:v>
                </c:pt>
                <c:pt idx="37">
                  <c:v>-23860000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C7-41FD-ABA5-C53886AAC57B}"/>
            </c:ext>
          </c:extLst>
        </c:ser>
        <c:ser>
          <c:idx val="1"/>
          <c:order val="1"/>
          <c:tx>
            <c:strRef>
              <c:f>brent_zcc_strikes!$I$3</c:f>
              <c:strCache>
                <c:ptCount val="1"/>
                <c:pt idx="0">
                  <c:v>hedge with zcc</c:v>
                </c:pt>
              </c:strCache>
            </c:strRef>
          </c:tx>
          <c:spPr>
            <a:ln w="762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brent_zcc_strikes!$A$4:$A$41</c:f>
              <c:numCache>
                <c:formatCode>General</c:formatCode>
                <c:ptCount val="38"/>
                <c:pt idx="0">
                  <c:v>38</c:v>
                </c:pt>
                <c:pt idx="1">
                  <c:v>45</c:v>
                </c:pt>
                <c:pt idx="2">
                  <c:v>50</c:v>
                </c:pt>
                <c:pt idx="3">
                  <c:v>51.5</c:v>
                </c:pt>
                <c:pt idx="4">
                  <c:v>53</c:v>
                </c:pt>
                <c:pt idx="5">
                  <c:v>54.5</c:v>
                </c:pt>
                <c:pt idx="6">
                  <c:v>56</c:v>
                </c:pt>
                <c:pt idx="7">
                  <c:v>57.5</c:v>
                </c:pt>
                <c:pt idx="8">
                  <c:v>59</c:v>
                </c:pt>
                <c:pt idx="9">
                  <c:v>60.5</c:v>
                </c:pt>
                <c:pt idx="10">
                  <c:v>62</c:v>
                </c:pt>
                <c:pt idx="11">
                  <c:v>63.5</c:v>
                </c:pt>
                <c:pt idx="12">
                  <c:v>65</c:v>
                </c:pt>
                <c:pt idx="13">
                  <c:v>66.5</c:v>
                </c:pt>
                <c:pt idx="14">
                  <c:v>68</c:v>
                </c:pt>
                <c:pt idx="15">
                  <c:v>69.5</c:v>
                </c:pt>
                <c:pt idx="16">
                  <c:v>71</c:v>
                </c:pt>
                <c:pt idx="17">
                  <c:v>72.5</c:v>
                </c:pt>
                <c:pt idx="18">
                  <c:v>74</c:v>
                </c:pt>
                <c:pt idx="19">
                  <c:v>75.5</c:v>
                </c:pt>
                <c:pt idx="20">
                  <c:v>77</c:v>
                </c:pt>
                <c:pt idx="21">
                  <c:v>78.5</c:v>
                </c:pt>
                <c:pt idx="22">
                  <c:v>80</c:v>
                </c:pt>
                <c:pt idx="23">
                  <c:v>81.5</c:v>
                </c:pt>
                <c:pt idx="24">
                  <c:v>83</c:v>
                </c:pt>
                <c:pt idx="25">
                  <c:v>84.5</c:v>
                </c:pt>
                <c:pt idx="26">
                  <c:v>86</c:v>
                </c:pt>
                <c:pt idx="27">
                  <c:v>87.5</c:v>
                </c:pt>
                <c:pt idx="28">
                  <c:v>89</c:v>
                </c:pt>
                <c:pt idx="29">
                  <c:v>90.5</c:v>
                </c:pt>
                <c:pt idx="30">
                  <c:v>92</c:v>
                </c:pt>
                <c:pt idx="31">
                  <c:v>93.5</c:v>
                </c:pt>
                <c:pt idx="32">
                  <c:v>95</c:v>
                </c:pt>
                <c:pt idx="33">
                  <c:v>96.5</c:v>
                </c:pt>
                <c:pt idx="34">
                  <c:v>98</c:v>
                </c:pt>
                <c:pt idx="35">
                  <c:v>99.5</c:v>
                </c:pt>
                <c:pt idx="36">
                  <c:v>101</c:v>
                </c:pt>
                <c:pt idx="37">
                  <c:v>102.5</c:v>
                </c:pt>
              </c:numCache>
            </c:numRef>
          </c:xVal>
          <c:yVal>
            <c:numRef>
              <c:f>brent_zcc_strikes!$I$4:$I$41</c:f>
              <c:numCache>
                <c:formatCode>#,##0</c:formatCode>
                <c:ptCount val="38"/>
                <c:pt idx="0">
                  <c:v>20358361.064023253</c:v>
                </c:pt>
                <c:pt idx="1">
                  <c:v>20358361.064023253</c:v>
                </c:pt>
                <c:pt idx="2">
                  <c:v>20358361.064023249</c:v>
                </c:pt>
                <c:pt idx="3">
                  <c:v>20358361.064023249</c:v>
                </c:pt>
                <c:pt idx="4">
                  <c:v>20358361.064023249</c:v>
                </c:pt>
                <c:pt idx="5">
                  <c:v>20358361.064023253</c:v>
                </c:pt>
                <c:pt idx="6">
                  <c:v>20358361.064023253</c:v>
                </c:pt>
                <c:pt idx="7">
                  <c:v>20358361.064023253</c:v>
                </c:pt>
                <c:pt idx="8">
                  <c:v>19629454.003611304</c:v>
                </c:pt>
                <c:pt idx="9">
                  <c:v>18129454.003611304</c:v>
                </c:pt>
                <c:pt idx="10">
                  <c:v>16629454.003611302</c:v>
                </c:pt>
                <c:pt idx="11">
                  <c:v>15129454.003611302</c:v>
                </c:pt>
                <c:pt idx="12">
                  <c:v>13629454.003611302</c:v>
                </c:pt>
                <c:pt idx="13">
                  <c:v>12129454.003611302</c:v>
                </c:pt>
                <c:pt idx="14">
                  <c:v>10629454.003611302</c:v>
                </c:pt>
                <c:pt idx="15">
                  <c:v>9129454.003611302</c:v>
                </c:pt>
                <c:pt idx="16">
                  <c:v>7629454.0036113039</c:v>
                </c:pt>
                <c:pt idx="17">
                  <c:v>6129454.0036113039</c:v>
                </c:pt>
                <c:pt idx="18">
                  <c:v>4629454.0036113039</c:v>
                </c:pt>
                <c:pt idx="19">
                  <c:v>3129454.0036113029</c:v>
                </c:pt>
                <c:pt idx="20">
                  <c:v>1629454.0036113029</c:v>
                </c:pt>
                <c:pt idx="21">
                  <c:v>129454.00361130317</c:v>
                </c:pt>
                <c:pt idx="22">
                  <c:v>-1370545.9963886971</c:v>
                </c:pt>
                <c:pt idx="23">
                  <c:v>-2870545.9963886971</c:v>
                </c:pt>
                <c:pt idx="24">
                  <c:v>-4370545.9963886961</c:v>
                </c:pt>
                <c:pt idx="25">
                  <c:v>-5870545.9963886961</c:v>
                </c:pt>
                <c:pt idx="26">
                  <c:v>-7370545.9963886961</c:v>
                </c:pt>
                <c:pt idx="27">
                  <c:v>-8870545.996388698</c:v>
                </c:pt>
                <c:pt idx="28">
                  <c:v>-10370545.996388698</c:v>
                </c:pt>
                <c:pt idx="29">
                  <c:v>-11870545.996388698</c:v>
                </c:pt>
                <c:pt idx="30">
                  <c:v>-13370545.996388698</c:v>
                </c:pt>
                <c:pt idx="31">
                  <c:v>-14870545.996388698</c:v>
                </c:pt>
                <c:pt idx="32">
                  <c:v>-16370545.996388698</c:v>
                </c:pt>
                <c:pt idx="33">
                  <c:v>-16370545.996388698</c:v>
                </c:pt>
                <c:pt idx="34">
                  <c:v>-16370545.996388698</c:v>
                </c:pt>
                <c:pt idx="35">
                  <c:v>-16370545.996388696</c:v>
                </c:pt>
                <c:pt idx="36">
                  <c:v>-16370545.996388696</c:v>
                </c:pt>
                <c:pt idx="37">
                  <c:v>-16370545.996388696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C7-41FD-ABA5-C53886AAC57B}"/>
            </c:ext>
          </c:extLst>
        </c:ser>
        <c:ser>
          <c:idx val="2"/>
          <c:order val="2"/>
          <c:tx>
            <c:v>forward hedge</c:v>
          </c:tx>
          <c:spPr>
            <a:ln w="5715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brent_zcc_strikes!$A$4:$A$41</c:f>
              <c:numCache>
                <c:formatCode>General</c:formatCode>
                <c:ptCount val="38"/>
                <c:pt idx="0">
                  <c:v>38</c:v>
                </c:pt>
                <c:pt idx="1">
                  <c:v>45</c:v>
                </c:pt>
                <c:pt idx="2">
                  <c:v>50</c:v>
                </c:pt>
                <c:pt idx="3">
                  <c:v>51.5</c:v>
                </c:pt>
                <c:pt idx="4">
                  <c:v>53</c:v>
                </c:pt>
                <c:pt idx="5">
                  <c:v>54.5</c:v>
                </c:pt>
                <c:pt idx="6">
                  <c:v>56</c:v>
                </c:pt>
                <c:pt idx="7">
                  <c:v>57.5</c:v>
                </c:pt>
                <c:pt idx="8">
                  <c:v>59</c:v>
                </c:pt>
                <c:pt idx="9">
                  <c:v>60.5</c:v>
                </c:pt>
                <c:pt idx="10">
                  <c:v>62</c:v>
                </c:pt>
                <c:pt idx="11">
                  <c:v>63.5</c:v>
                </c:pt>
                <c:pt idx="12">
                  <c:v>65</c:v>
                </c:pt>
                <c:pt idx="13">
                  <c:v>66.5</c:v>
                </c:pt>
                <c:pt idx="14">
                  <c:v>68</c:v>
                </c:pt>
                <c:pt idx="15">
                  <c:v>69.5</c:v>
                </c:pt>
                <c:pt idx="16">
                  <c:v>71</c:v>
                </c:pt>
                <c:pt idx="17">
                  <c:v>72.5</c:v>
                </c:pt>
                <c:pt idx="18">
                  <c:v>74</c:v>
                </c:pt>
                <c:pt idx="19">
                  <c:v>75.5</c:v>
                </c:pt>
                <c:pt idx="20">
                  <c:v>77</c:v>
                </c:pt>
                <c:pt idx="21">
                  <c:v>78.5</c:v>
                </c:pt>
                <c:pt idx="22">
                  <c:v>80</c:v>
                </c:pt>
                <c:pt idx="23">
                  <c:v>81.5</c:v>
                </c:pt>
                <c:pt idx="24">
                  <c:v>83</c:v>
                </c:pt>
                <c:pt idx="25">
                  <c:v>84.5</c:v>
                </c:pt>
                <c:pt idx="26">
                  <c:v>86</c:v>
                </c:pt>
                <c:pt idx="27">
                  <c:v>87.5</c:v>
                </c:pt>
                <c:pt idx="28">
                  <c:v>89</c:v>
                </c:pt>
                <c:pt idx="29">
                  <c:v>90.5</c:v>
                </c:pt>
                <c:pt idx="30">
                  <c:v>92</c:v>
                </c:pt>
                <c:pt idx="31">
                  <c:v>93.5</c:v>
                </c:pt>
                <c:pt idx="32">
                  <c:v>95</c:v>
                </c:pt>
                <c:pt idx="33">
                  <c:v>96.5</c:v>
                </c:pt>
                <c:pt idx="34">
                  <c:v>98</c:v>
                </c:pt>
                <c:pt idx="35">
                  <c:v>99.5</c:v>
                </c:pt>
                <c:pt idx="36">
                  <c:v>101</c:v>
                </c:pt>
                <c:pt idx="37">
                  <c:v>102.5</c:v>
                </c:pt>
              </c:numCache>
            </c:numRef>
          </c:xVal>
          <c:yVal>
            <c:numRef>
              <c:f>brent_zcc_strikes!$G$4:$G$41</c:f>
              <c:numCache>
                <c:formatCode>#,##0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C7-41FD-ABA5-C53886AAC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248784"/>
        <c:axId val="1329306032"/>
      </c:scatterChart>
      <c:valAx>
        <c:axId val="1333248784"/>
        <c:scaling>
          <c:orientation val="minMax"/>
          <c:max val="105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06032"/>
        <c:crosses val="autoZero"/>
        <c:crossBetween val="midCat"/>
        <c:majorUnit val="5"/>
      </c:valAx>
      <c:valAx>
        <c:axId val="132930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4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tr-TR" sz="1800">
                <a:solidFill>
                  <a:srgbClr val="C00000"/>
                </a:solidFill>
              </a:rPr>
              <a:t>crude oil hedging (forward</a:t>
            </a:r>
            <a:r>
              <a:rPr lang="tr-TR" sz="1800" baseline="0">
                <a:solidFill>
                  <a:srgbClr val="C00000"/>
                </a:solidFill>
              </a:rPr>
              <a:t> vs ZCC)</a:t>
            </a:r>
            <a:endParaRPr lang="en-US" sz="1800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04688408254907"/>
          <c:y val="4.1121387789102473E-2"/>
          <c:w val="0.80591341317673659"/>
          <c:h val="0.747029418077768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'brent_zcc_75%'!$G$3</c:f>
              <c:strCache>
                <c:ptCount val="1"/>
                <c:pt idx="0">
                  <c:v>forward hedge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'brent_zcc_75%'!$A$5:$A$27</c:f>
              <c:numCache>
                <c:formatCode>General</c:formatCode>
                <c:ptCount val="23"/>
                <c:pt idx="0">
                  <c:v>47</c:v>
                </c:pt>
                <c:pt idx="1">
                  <c:v>49</c:v>
                </c:pt>
                <c:pt idx="2">
                  <c:v>51</c:v>
                </c:pt>
                <c:pt idx="3">
                  <c:v>53</c:v>
                </c:pt>
                <c:pt idx="4">
                  <c:v>55</c:v>
                </c:pt>
                <c:pt idx="5">
                  <c:v>57</c:v>
                </c:pt>
                <c:pt idx="6">
                  <c:v>59</c:v>
                </c:pt>
                <c:pt idx="7">
                  <c:v>61</c:v>
                </c:pt>
                <c:pt idx="8">
                  <c:v>63</c:v>
                </c:pt>
                <c:pt idx="9">
                  <c:v>65</c:v>
                </c:pt>
                <c:pt idx="10">
                  <c:v>67</c:v>
                </c:pt>
                <c:pt idx="11">
                  <c:v>69</c:v>
                </c:pt>
                <c:pt idx="12">
                  <c:v>71</c:v>
                </c:pt>
                <c:pt idx="13">
                  <c:v>73</c:v>
                </c:pt>
                <c:pt idx="14">
                  <c:v>75</c:v>
                </c:pt>
                <c:pt idx="15">
                  <c:v>77</c:v>
                </c:pt>
                <c:pt idx="16">
                  <c:v>79</c:v>
                </c:pt>
                <c:pt idx="17">
                  <c:v>81</c:v>
                </c:pt>
                <c:pt idx="18">
                  <c:v>83</c:v>
                </c:pt>
                <c:pt idx="19">
                  <c:v>85</c:v>
                </c:pt>
                <c:pt idx="20">
                  <c:v>87</c:v>
                </c:pt>
                <c:pt idx="21">
                  <c:v>89</c:v>
                </c:pt>
                <c:pt idx="22">
                  <c:v>91</c:v>
                </c:pt>
              </c:numCache>
            </c:numRef>
          </c:xVal>
          <c:yVal>
            <c:numRef>
              <c:f>'brent_zcc_75%'!$G$5:$G$27</c:f>
              <c:numCache>
                <c:formatCode>#,##0</c:formatCode>
                <c:ptCount val="23"/>
                <c:pt idx="0">
                  <c:v>23730000</c:v>
                </c:pt>
                <c:pt idx="1">
                  <c:v>22230000</c:v>
                </c:pt>
                <c:pt idx="2">
                  <c:v>20730000</c:v>
                </c:pt>
                <c:pt idx="3">
                  <c:v>19230000</c:v>
                </c:pt>
                <c:pt idx="4">
                  <c:v>17730000</c:v>
                </c:pt>
                <c:pt idx="5">
                  <c:v>16230000</c:v>
                </c:pt>
                <c:pt idx="6">
                  <c:v>14730000</c:v>
                </c:pt>
                <c:pt idx="7">
                  <c:v>13230000</c:v>
                </c:pt>
                <c:pt idx="8">
                  <c:v>11730000</c:v>
                </c:pt>
                <c:pt idx="9">
                  <c:v>10230000</c:v>
                </c:pt>
                <c:pt idx="10">
                  <c:v>8730000</c:v>
                </c:pt>
                <c:pt idx="11">
                  <c:v>7230000</c:v>
                </c:pt>
                <c:pt idx="12">
                  <c:v>5730000.0000000009</c:v>
                </c:pt>
                <c:pt idx="13">
                  <c:v>4230000.0000000009</c:v>
                </c:pt>
                <c:pt idx="14">
                  <c:v>2730000.0000000005</c:v>
                </c:pt>
                <c:pt idx="15">
                  <c:v>1230000.0000000005</c:v>
                </c:pt>
                <c:pt idx="16">
                  <c:v>-269999.99999999953</c:v>
                </c:pt>
                <c:pt idx="17">
                  <c:v>-1769999.9999999995</c:v>
                </c:pt>
                <c:pt idx="18">
                  <c:v>-3269999.9999999991</c:v>
                </c:pt>
                <c:pt idx="19">
                  <c:v>-4769999.9999999991</c:v>
                </c:pt>
                <c:pt idx="20">
                  <c:v>-6269999.9999999991</c:v>
                </c:pt>
                <c:pt idx="21">
                  <c:v>-7770000</c:v>
                </c:pt>
                <c:pt idx="22">
                  <c:v>-9270000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3-4CA5-A64C-37CD479343D9}"/>
            </c:ext>
          </c:extLst>
        </c:ser>
        <c:ser>
          <c:idx val="1"/>
          <c:order val="1"/>
          <c:tx>
            <c:strRef>
              <c:f>'brent_zcc_75%'!$I$3</c:f>
              <c:strCache>
                <c:ptCount val="1"/>
                <c:pt idx="0">
                  <c:v>hedge with zcc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'brent_zcc_75%'!$A$5:$A$27</c:f>
              <c:numCache>
                <c:formatCode>General</c:formatCode>
                <c:ptCount val="23"/>
                <c:pt idx="0">
                  <c:v>47</c:v>
                </c:pt>
                <c:pt idx="1">
                  <c:v>49</c:v>
                </c:pt>
                <c:pt idx="2">
                  <c:v>51</c:v>
                </c:pt>
                <c:pt idx="3">
                  <c:v>53</c:v>
                </c:pt>
                <c:pt idx="4">
                  <c:v>55</c:v>
                </c:pt>
                <c:pt idx="5">
                  <c:v>57</c:v>
                </c:pt>
                <c:pt idx="6">
                  <c:v>59</c:v>
                </c:pt>
                <c:pt idx="7">
                  <c:v>61</c:v>
                </c:pt>
                <c:pt idx="8">
                  <c:v>63</c:v>
                </c:pt>
                <c:pt idx="9">
                  <c:v>65</c:v>
                </c:pt>
                <c:pt idx="10">
                  <c:v>67</c:v>
                </c:pt>
                <c:pt idx="11">
                  <c:v>69</c:v>
                </c:pt>
                <c:pt idx="12">
                  <c:v>71</c:v>
                </c:pt>
                <c:pt idx="13">
                  <c:v>73</c:v>
                </c:pt>
                <c:pt idx="14">
                  <c:v>75</c:v>
                </c:pt>
                <c:pt idx="15">
                  <c:v>77</c:v>
                </c:pt>
                <c:pt idx="16">
                  <c:v>79</c:v>
                </c:pt>
                <c:pt idx="17">
                  <c:v>81</c:v>
                </c:pt>
                <c:pt idx="18">
                  <c:v>83</c:v>
                </c:pt>
                <c:pt idx="19">
                  <c:v>85</c:v>
                </c:pt>
                <c:pt idx="20">
                  <c:v>87</c:v>
                </c:pt>
                <c:pt idx="21">
                  <c:v>89</c:v>
                </c:pt>
                <c:pt idx="22">
                  <c:v>91</c:v>
                </c:pt>
              </c:numCache>
            </c:numRef>
          </c:xVal>
          <c:yVal>
            <c:numRef>
              <c:f>'brent_zcc_75%'!$I$5:$I$27</c:f>
              <c:numCache>
                <c:formatCode>#,##0</c:formatCode>
                <c:ptCount val="23"/>
                <c:pt idx="0">
                  <c:v>27561693.267998196</c:v>
                </c:pt>
                <c:pt idx="1">
                  <c:v>26061693.267998196</c:v>
                </c:pt>
                <c:pt idx="2">
                  <c:v>24561693.267998196</c:v>
                </c:pt>
                <c:pt idx="3">
                  <c:v>23061693.267998196</c:v>
                </c:pt>
                <c:pt idx="4">
                  <c:v>21561693.267998196</c:v>
                </c:pt>
                <c:pt idx="5">
                  <c:v>20061693.267998196</c:v>
                </c:pt>
                <c:pt idx="6">
                  <c:v>18561693.267998196</c:v>
                </c:pt>
                <c:pt idx="7">
                  <c:v>17061693.267998196</c:v>
                </c:pt>
                <c:pt idx="8">
                  <c:v>15561693.267998196</c:v>
                </c:pt>
                <c:pt idx="9">
                  <c:v>13639755.655313246</c:v>
                </c:pt>
                <c:pt idx="10">
                  <c:v>11639755.655313246</c:v>
                </c:pt>
                <c:pt idx="11">
                  <c:v>9639755.655313246</c:v>
                </c:pt>
                <c:pt idx="12">
                  <c:v>7639755.655313246</c:v>
                </c:pt>
                <c:pt idx="13">
                  <c:v>5639755.655313246</c:v>
                </c:pt>
                <c:pt idx="14">
                  <c:v>3639755.655313246</c:v>
                </c:pt>
                <c:pt idx="15">
                  <c:v>1639755.655313246</c:v>
                </c:pt>
                <c:pt idx="16">
                  <c:v>-360244.34468675405</c:v>
                </c:pt>
                <c:pt idx="17">
                  <c:v>-2360244.344686754</c:v>
                </c:pt>
                <c:pt idx="18">
                  <c:v>-4360244.344686754</c:v>
                </c:pt>
                <c:pt idx="19">
                  <c:v>-6360244.344686754</c:v>
                </c:pt>
                <c:pt idx="20">
                  <c:v>-8360244.344686754</c:v>
                </c:pt>
                <c:pt idx="21">
                  <c:v>-10110244.344686754</c:v>
                </c:pt>
                <c:pt idx="22">
                  <c:v>-11610244.344686754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3-4CA5-A64C-37CD47934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466479"/>
        <c:axId val="159768639"/>
      </c:scatterChart>
      <c:valAx>
        <c:axId val="767466479"/>
        <c:scaling>
          <c:orientation val="minMax"/>
          <c:min val="58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68639"/>
        <c:crosses val="autoZero"/>
        <c:crossBetween val="midCat"/>
      </c:valAx>
      <c:valAx>
        <c:axId val="1597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6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partial hedge: h=25%</a:t>
            </a:r>
            <a:endParaRPr lang="en-US"/>
          </a:p>
        </c:rich>
      </c:tx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'brent_zcc_75%'!$F$3</c:f>
              <c:strCache>
                <c:ptCount val="1"/>
                <c:pt idx="0">
                  <c:v>no hedge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'brent_zcc_75%'!$A$4:$A$39</c:f>
              <c:numCache>
                <c:formatCode>General</c:formatCode>
                <c:ptCount val="36"/>
                <c:pt idx="0">
                  <c:v>45</c:v>
                </c:pt>
                <c:pt idx="1">
                  <c:v>47</c:v>
                </c:pt>
                <c:pt idx="2">
                  <c:v>49</c:v>
                </c:pt>
                <c:pt idx="3">
                  <c:v>51</c:v>
                </c:pt>
                <c:pt idx="4">
                  <c:v>53</c:v>
                </c:pt>
                <c:pt idx="5">
                  <c:v>55</c:v>
                </c:pt>
                <c:pt idx="6">
                  <c:v>57</c:v>
                </c:pt>
                <c:pt idx="7">
                  <c:v>59</c:v>
                </c:pt>
                <c:pt idx="8">
                  <c:v>61</c:v>
                </c:pt>
                <c:pt idx="9">
                  <c:v>63</c:v>
                </c:pt>
                <c:pt idx="10">
                  <c:v>65</c:v>
                </c:pt>
                <c:pt idx="11">
                  <c:v>67</c:v>
                </c:pt>
                <c:pt idx="12">
                  <c:v>69</c:v>
                </c:pt>
                <c:pt idx="13">
                  <c:v>71</c:v>
                </c:pt>
                <c:pt idx="14">
                  <c:v>73</c:v>
                </c:pt>
                <c:pt idx="15">
                  <c:v>75</c:v>
                </c:pt>
                <c:pt idx="16">
                  <c:v>77</c:v>
                </c:pt>
                <c:pt idx="17">
                  <c:v>79</c:v>
                </c:pt>
                <c:pt idx="18">
                  <c:v>81</c:v>
                </c:pt>
                <c:pt idx="19">
                  <c:v>83</c:v>
                </c:pt>
                <c:pt idx="20">
                  <c:v>85</c:v>
                </c:pt>
                <c:pt idx="21">
                  <c:v>87</c:v>
                </c:pt>
                <c:pt idx="22">
                  <c:v>89</c:v>
                </c:pt>
                <c:pt idx="23">
                  <c:v>91</c:v>
                </c:pt>
                <c:pt idx="24">
                  <c:v>93</c:v>
                </c:pt>
                <c:pt idx="25">
                  <c:v>95</c:v>
                </c:pt>
                <c:pt idx="26">
                  <c:v>97</c:v>
                </c:pt>
                <c:pt idx="27">
                  <c:v>99</c:v>
                </c:pt>
                <c:pt idx="28">
                  <c:v>101</c:v>
                </c:pt>
                <c:pt idx="29">
                  <c:v>103</c:v>
                </c:pt>
                <c:pt idx="30">
                  <c:v>105</c:v>
                </c:pt>
                <c:pt idx="31">
                  <c:v>107</c:v>
                </c:pt>
                <c:pt idx="32">
                  <c:v>109</c:v>
                </c:pt>
                <c:pt idx="33">
                  <c:v>111</c:v>
                </c:pt>
                <c:pt idx="34">
                  <c:v>113</c:v>
                </c:pt>
                <c:pt idx="35">
                  <c:v>115</c:v>
                </c:pt>
              </c:numCache>
            </c:numRef>
          </c:xVal>
          <c:yVal>
            <c:numRef>
              <c:f>'brent_zcc_75%'!$F$4:$F$39</c:f>
              <c:numCache>
                <c:formatCode>#,##0</c:formatCode>
                <c:ptCount val="36"/>
                <c:pt idx="0">
                  <c:v>33640000</c:v>
                </c:pt>
                <c:pt idx="1">
                  <c:v>31640000</c:v>
                </c:pt>
                <c:pt idx="2">
                  <c:v>29640000</c:v>
                </c:pt>
                <c:pt idx="3">
                  <c:v>27640000</c:v>
                </c:pt>
                <c:pt idx="4">
                  <c:v>25640000</c:v>
                </c:pt>
                <c:pt idx="5">
                  <c:v>23640000</c:v>
                </c:pt>
                <c:pt idx="6">
                  <c:v>21640000</c:v>
                </c:pt>
                <c:pt idx="7">
                  <c:v>19640000</c:v>
                </c:pt>
                <c:pt idx="8">
                  <c:v>17640000</c:v>
                </c:pt>
                <c:pt idx="9">
                  <c:v>15640000</c:v>
                </c:pt>
                <c:pt idx="10">
                  <c:v>13640000</c:v>
                </c:pt>
                <c:pt idx="11">
                  <c:v>11640000</c:v>
                </c:pt>
                <c:pt idx="12">
                  <c:v>9640000</c:v>
                </c:pt>
                <c:pt idx="13">
                  <c:v>7640000.0000000009</c:v>
                </c:pt>
                <c:pt idx="14">
                  <c:v>5640000.0000000009</c:v>
                </c:pt>
                <c:pt idx="15">
                  <c:v>3640000.0000000005</c:v>
                </c:pt>
                <c:pt idx="16">
                  <c:v>1640000.0000000005</c:v>
                </c:pt>
                <c:pt idx="17">
                  <c:v>-359999.99999999942</c:v>
                </c:pt>
                <c:pt idx="18">
                  <c:v>-2359999.9999999995</c:v>
                </c:pt>
                <c:pt idx="19">
                  <c:v>-4359999.9999999991</c:v>
                </c:pt>
                <c:pt idx="20">
                  <c:v>-6359999.9999999991</c:v>
                </c:pt>
                <c:pt idx="21">
                  <c:v>-8359999.9999999991</c:v>
                </c:pt>
                <c:pt idx="22">
                  <c:v>-10360000</c:v>
                </c:pt>
                <c:pt idx="23">
                  <c:v>-12360000</c:v>
                </c:pt>
                <c:pt idx="24">
                  <c:v>-14360000</c:v>
                </c:pt>
                <c:pt idx="25">
                  <c:v>-16360000</c:v>
                </c:pt>
                <c:pt idx="26">
                  <c:v>-18360000</c:v>
                </c:pt>
                <c:pt idx="27">
                  <c:v>-20360000</c:v>
                </c:pt>
                <c:pt idx="28">
                  <c:v>-22360000</c:v>
                </c:pt>
                <c:pt idx="29">
                  <c:v>-24360000</c:v>
                </c:pt>
                <c:pt idx="30">
                  <c:v>-26360000</c:v>
                </c:pt>
                <c:pt idx="31">
                  <c:v>-28360000</c:v>
                </c:pt>
                <c:pt idx="32">
                  <c:v>-30360000</c:v>
                </c:pt>
                <c:pt idx="33">
                  <c:v>-32360000</c:v>
                </c:pt>
                <c:pt idx="34">
                  <c:v>-34360000</c:v>
                </c:pt>
                <c:pt idx="35">
                  <c:v>-36360000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9C-4D0B-8561-C47FEA18D131}"/>
            </c:ext>
          </c:extLst>
        </c:ser>
        <c:ser>
          <c:idx val="1"/>
          <c:order val="1"/>
          <c:tx>
            <c:strRef>
              <c:f>'brent_zcc_75%'!$G$3</c:f>
              <c:strCache>
                <c:ptCount val="1"/>
                <c:pt idx="0">
                  <c:v>forward hedge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'brent_zcc_75%'!$A$4:$A$39</c:f>
              <c:numCache>
                <c:formatCode>General</c:formatCode>
                <c:ptCount val="36"/>
                <c:pt idx="0">
                  <c:v>45</c:v>
                </c:pt>
                <c:pt idx="1">
                  <c:v>47</c:v>
                </c:pt>
                <c:pt idx="2">
                  <c:v>49</c:v>
                </c:pt>
                <c:pt idx="3">
                  <c:v>51</c:v>
                </c:pt>
                <c:pt idx="4">
                  <c:v>53</c:v>
                </c:pt>
                <c:pt idx="5">
                  <c:v>55</c:v>
                </c:pt>
                <c:pt idx="6">
                  <c:v>57</c:v>
                </c:pt>
                <c:pt idx="7">
                  <c:v>59</c:v>
                </c:pt>
                <c:pt idx="8">
                  <c:v>61</c:v>
                </c:pt>
                <c:pt idx="9">
                  <c:v>63</c:v>
                </c:pt>
                <c:pt idx="10">
                  <c:v>65</c:v>
                </c:pt>
                <c:pt idx="11">
                  <c:v>67</c:v>
                </c:pt>
                <c:pt idx="12">
                  <c:v>69</c:v>
                </c:pt>
                <c:pt idx="13">
                  <c:v>71</c:v>
                </c:pt>
                <c:pt idx="14">
                  <c:v>73</c:v>
                </c:pt>
                <c:pt idx="15">
                  <c:v>75</c:v>
                </c:pt>
                <c:pt idx="16">
                  <c:v>77</c:v>
                </c:pt>
                <c:pt idx="17">
                  <c:v>79</c:v>
                </c:pt>
                <c:pt idx="18">
                  <c:v>81</c:v>
                </c:pt>
                <c:pt idx="19">
                  <c:v>83</c:v>
                </c:pt>
                <c:pt idx="20">
                  <c:v>85</c:v>
                </c:pt>
                <c:pt idx="21">
                  <c:v>87</c:v>
                </c:pt>
                <c:pt idx="22">
                  <c:v>89</c:v>
                </c:pt>
                <c:pt idx="23">
                  <c:v>91</c:v>
                </c:pt>
                <c:pt idx="24">
                  <c:v>93</c:v>
                </c:pt>
                <c:pt idx="25">
                  <c:v>95</c:v>
                </c:pt>
                <c:pt idx="26">
                  <c:v>97</c:v>
                </c:pt>
                <c:pt idx="27">
                  <c:v>99</c:v>
                </c:pt>
                <c:pt idx="28">
                  <c:v>101</c:v>
                </c:pt>
                <c:pt idx="29">
                  <c:v>103</c:v>
                </c:pt>
                <c:pt idx="30">
                  <c:v>105</c:v>
                </c:pt>
                <c:pt idx="31">
                  <c:v>107</c:v>
                </c:pt>
                <c:pt idx="32">
                  <c:v>109</c:v>
                </c:pt>
                <c:pt idx="33">
                  <c:v>111</c:v>
                </c:pt>
                <c:pt idx="34">
                  <c:v>113</c:v>
                </c:pt>
                <c:pt idx="35">
                  <c:v>115</c:v>
                </c:pt>
              </c:numCache>
            </c:numRef>
          </c:xVal>
          <c:yVal>
            <c:numRef>
              <c:f>'brent_zcc_75%'!$G$4:$G$39</c:f>
              <c:numCache>
                <c:formatCode>#,##0</c:formatCode>
                <c:ptCount val="36"/>
                <c:pt idx="0">
                  <c:v>25230000</c:v>
                </c:pt>
                <c:pt idx="1">
                  <c:v>23730000</c:v>
                </c:pt>
                <c:pt idx="2">
                  <c:v>22230000</c:v>
                </c:pt>
                <c:pt idx="3">
                  <c:v>20730000</c:v>
                </c:pt>
                <c:pt idx="4">
                  <c:v>19230000</c:v>
                </c:pt>
                <c:pt idx="5">
                  <c:v>17730000</c:v>
                </c:pt>
                <c:pt idx="6">
                  <c:v>16230000</c:v>
                </c:pt>
                <c:pt idx="7">
                  <c:v>14730000</c:v>
                </c:pt>
                <c:pt idx="8">
                  <c:v>13230000</c:v>
                </c:pt>
                <c:pt idx="9">
                  <c:v>11730000</c:v>
                </c:pt>
                <c:pt idx="10">
                  <c:v>10230000</c:v>
                </c:pt>
                <c:pt idx="11">
                  <c:v>8730000</c:v>
                </c:pt>
                <c:pt idx="12">
                  <c:v>7230000</c:v>
                </c:pt>
                <c:pt idx="13">
                  <c:v>5730000.0000000009</c:v>
                </c:pt>
                <c:pt idx="14">
                  <c:v>4230000.0000000009</c:v>
                </c:pt>
                <c:pt idx="15">
                  <c:v>2730000.0000000005</c:v>
                </c:pt>
                <c:pt idx="16">
                  <c:v>1230000.0000000005</c:v>
                </c:pt>
                <c:pt idx="17">
                  <c:v>-269999.99999999953</c:v>
                </c:pt>
                <c:pt idx="18">
                  <c:v>-1769999.9999999995</c:v>
                </c:pt>
                <c:pt idx="19">
                  <c:v>-3269999.9999999991</c:v>
                </c:pt>
                <c:pt idx="20">
                  <c:v>-4769999.9999999991</c:v>
                </c:pt>
                <c:pt idx="21">
                  <c:v>-6269999.9999999991</c:v>
                </c:pt>
                <c:pt idx="22">
                  <c:v>-7770000</c:v>
                </c:pt>
                <c:pt idx="23">
                  <c:v>-9270000</c:v>
                </c:pt>
                <c:pt idx="24">
                  <c:v>-10770000</c:v>
                </c:pt>
                <c:pt idx="25">
                  <c:v>-12270000</c:v>
                </c:pt>
                <c:pt idx="26">
                  <c:v>-13770000</c:v>
                </c:pt>
                <c:pt idx="27">
                  <c:v>-15270000</c:v>
                </c:pt>
                <c:pt idx="28">
                  <c:v>-16770000</c:v>
                </c:pt>
                <c:pt idx="29">
                  <c:v>-18270000</c:v>
                </c:pt>
                <c:pt idx="30">
                  <c:v>-19770000</c:v>
                </c:pt>
                <c:pt idx="31">
                  <c:v>-21270000</c:v>
                </c:pt>
                <c:pt idx="32">
                  <c:v>-22770000</c:v>
                </c:pt>
                <c:pt idx="33">
                  <c:v>-24270000</c:v>
                </c:pt>
                <c:pt idx="34">
                  <c:v>-25770000</c:v>
                </c:pt>
                <c:pt idx="35">
                  <c:v>-27270000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9C-4D0B-8561-C47FEA18D131}"/>
            </c:ext>
          </c:extLst>
        </c:ser>
        <c:ser>
          <c:idx val="2"/>
          <c:order val="2"/>
          <c:tx>
            <c:strRef>
              <c:f>'brent_zcc_75%'!$I$3</c:f>
              <c:strCache>
                <c:ptCount val="1"/>
                <c:pt idx="0">
                  <c:v>hedge with zcc</c:v>
                </c:pt>
              </c:strCache>
            </c:strRef>
          </c:tx>
          <c:spPr>
            <a:ln w="57150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'brent_zcc_75%'!$A$4:$A$39</c:f>
              <c:numCache>
                <c:formatCode>General</c:formatCode>
                <c:ptCount val="36"/>
                <c:pt idx="0">
                  <c:v>45</c:v>
                </c:pt>
                <c:pt idx="1">
                  <c:v>47</c:v>
                </c:pt>
                <c:pt idx="2">
                  <c:v>49</c:v>
                </c:pt>
                <c:pt idx="3">
                  <c:v>51</c:v>
                </c:pt>
                <c:pt idx="4">
                  <c:v>53</c:v>
                </c:pt>
                <c:pt idx="5">
                  <c:v>55</c:v>
                </c:pt>
                <c:pt idx="6">
                  <c:v>57</c:v>
                </c:pt>
                <c:pt idx="7">
                  <c:v>59</c:v>
                </c:pt>
                <c:pt idx="8">
                  <c:v>61</c:v>
                </c:pt>
                <c:pt idx="9">
                  <c:v>63</c:v>
                </c:pt>
                <c:pt idx="10">
                  <c:v>65</c:v>
                </c:pt>
                <c:pt idx="11">
                  <c:v>67</c:v>
                </c:pt>
                <c:pt idx="12">
                  <c:v>69</c:v>
                </c:pt>
                <c:pt idx="13">
                  <c:v>71</c:v>
                </c:pt>
                <c:pt idx="14">
                  <c:v>73</c:v>
                </c:pt>
                <c:pt idx="15">
                  <c:v>75</c:v>
                </c:pt>
                <c:pt idx="16">
                  <c:v>77</c:v>
                </c:pt>
                <c:pt idx="17">
                  <c:v>79</c:v>
                </c:pt>
                <c:pt idx="18">
                  <c:v>81</c:v>
                </c:pt>
                <c:pt idx="19">
                  <c:v>83</c:v>
                </c:pt>
                <c:pt idx="20">
                  <c:v>85</c:v>
                </c:pt>
                <c:pt idx="21">
                  <c:v>87</c:v>
                </c:pt>
                <c:pt idx="22">
                  <c:v>89</c:v>
                </c:pt>
                <c:pt idx="23">
                  <c:v>91</c:v>
                </c:pt>
                <c:pt idx="24">
                  <c:v>93</c:v>
                </c:pt>
                <c:pt idx="25">
                  <c:v>95</c:v>
                </c:pt>
                <c:pt idx="26">
                  <c:v>97</c:v>
                </c:pt>
                <c:pt idx="27">
                  <c:v>99</c:v>
                </c:pt>
                <c:pt idx="28">
                  <c:v>101</c:v>
                </c:pt>
                <c:pt idx="29">
                  <c:v>103</c:v>
                </c:pt>
                <c:pt idx="30">
                  <c:v>105</c:v>
                </c:pt>
                <c:pt idx="31">
                  <c:v>107</c:v>
                </c:pt>
                <c:pt idx="32">
                  <c:v>109</c:v>
                </c:pt>
                <c:pt idx="33">
                  <c:v>111</c:v>
                </c:pt>
                <c:pt idx="34">
                  <c:v>113</c:v>
                </c:pt>
                <c:pt idx="35">
                  <c:v>115</c:v>
                </c:pt>
              </c:numCache>
            </c:numRef>
          </c:xVal>
          <c:yVal>
            <c:numRef>
              <c:f>'brent_zcc_75%'!$I$4:$I$39</c:f>
              <c:numCache>
                <c:formatCode>#,##0</c:formatCode>
                <c:ptCount val="36"/>
                <c:pt idx="0">
                  <c:v>29061693.267998196</c:v>
                </c:pt>
                <c:pt idx="1">
                  <c:v>27561693.267998196</c:v>
                </c:pt>
                <c:pt idx="2">
                  <c:v>26061693.267998196</c:v>
                </c:pt>
                <c:pt idx="3">
                  <c:v>24561693.267998196</c:v>
                </c:pt>
                <c:pt idx="4">
                  <c:v>23061693.267998196</c:v>
                </c:pt>
                <c:pt idx="5">
                  <c:v>21561693.267998196</c:v>
                </c:pt>
                <c:pt idx="6">
                  <c:v>20061693.267998196</c:v>
                </c:pt>
                <c:pt idx="7">
                  <c:v>18561693.267998196</c:v>
                </c:pt>
                <c:pt idx="8">
                  <c:v>17061693.267998196</c:v>
                </c:pt>
                <c:pt idx="9">
                  <c:v>15561693.267998196</c:v>
                </c:pt>
                <c:pt idx="10">
                  <c:v>13639755.655313246</c:v>
                </c:pt>
                <c:pt idx="11">
                  <c:v>11639755.655313246</c:v>
                </c:pt>
                <c:pt idx="12">
                  <c:v>9639755.655313246</c:v>
                </c:pt>
                <c:pt idx="13">
                  <c:v>7639755.655313246</c:v>
                </c:pt>
                <c:pt idx="14">
                  <c:v>5639755.655313246</c:v>
                </c:pt>
                <c:pt idx="15">
                  <c:v>3639755.655313246</c:v>
                </c:pt>
                <c:pt idx="16">
                  <c:v>1639755.655313246</c:v>
                </c:pt>
                <c:pt idx="17">
                  <c:v>-360244.34468675405</c:v>
                </c:pt>
                <c:pt idx="18">
                  <c:v>-2360244.344686754</c:v>
                </c:pt>
                <c:pt idx="19">
                  <c:v>-4360244.344686754</c:v>
                </c:pt>
                <c:pt idx="20">
                  <c:v>-6360244.344686754</c:v>
                </c:pt>
                <c:pt idx="21">
                  <c:v>-8360244.344686754</c:v>
                </c:pt>
                <c:pt idx="22">
                  <c:v>-10110244.344686754</c:v>
                </c:pt>
                <c:pt idx="23">
                  <c:v>-11610244.344686754</c:v>
                </c:pt>
                <c:pt idx="24">
                  <c:v>-13110244.344686754</c:v>
                </c:pt>
                <c:pt idx="25">
                  <c:v>-14610244.344686754</c:v>
                </c:pt>
                <c:pt idx="26">
                  <c:v>-16110244.344686754</c:v>
                </c:pt>
                <c:pt idx="27">
                  <c:v>-17610244.344686754</c:v>
                </c:pt>
                <c:pt idx="28">
                  <c:v>-19110244.344686754</c:v>
                </c:pt>
                <c:pt idx="29">
                  <c:v>-20610244.344686754</c:v>
                </c:pt>
                <c:pt idx="30">
                  <c:v>-22110244.344686754</c:v>
                </c:pt>
                <c:pt idx="31">
                  <c:v>-23610244.344686754</c:v>
                </c:pt>
                <c:pt idx="32">
                  <c:v>-25110244.344686754</c:v>
                </c:pt>
                <c:pt idx="33">
                  <c:v>-26610244.344686754</c:v>
                </c:pt>
                <c:pt idx="34">
                  <c:v>-28110244.344686754</c:v>
                </c:pt>
                <c:pt idx="35">
                  <c:v>-29610244.344686754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9C-4D0B-8561-C47FEA18D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007040"/>
        <c:axId val="680634048"/>
      </c:scatterChart>
      <c:valAx>
        <c:axId val="1335007040"/>
        <c:scaling>
          <c:orientation val="minMax"/>
          <c:max val="12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34048"/>
        <c:crosses val="autoZero"/>
        <c:crossBetween val="midCat"/>
        <c:majorUnit val="5"/>
      </c:valAx>
      <c:valAx>
        <c:axId val="6806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00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tr-TR" sz="1800">
                <a:solidFill>
                  <a:srgbClr val="C00000"/>
                </a:solidFill>
              </a:rPr>
              <a:t>crude oil hedging (forward</a:t>
            </a:r>
            <a:r>
              <a:rPr lang="tr-TR" sz="1800" baseline="0">
                <a:solidFill>
                  <a:srgbClr val="C00000"/>
                </a:solidFill>
              </a:rPr>
              <a:t> vs ZCC)</a:t>
            </a:r>
            <a:endParaRPr lang="en-US" sz="1800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04688408254907"/>
          <c:y val="4.1121387789102473E-2"/>
          <c:w val="0.80591341317673659"/>
          <c:h val="0.747029418077768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'brent_zcc_50%'!$G$3</c:f>
              <c:strCache>
                <c:ptCount val="1"/>
                <c:pt idx="0">
                  <c:v>forward hedge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'brent_zcc_50%'!$A$5:$A$27</c:f>
              <c:numCache>
                <c:formatCode>General</c:formatCode>
                <c:ptCount val="23"/>
                <c:pt idx="0">
                  <c:v>58</c:v>
                </c:pt>
                <c:pt idx="1">
                  <c:v>59.5</c:v>
                </c:pt>
                <c:pt idx="2">
                  <c:v>61</c:v>
                </c:pt>
                <c:pt idx="3">
                  <c:v>62.5</c:v>
                </c:pt>
                <c:pt idx="4">
                  <c:v>64</c:v>
                </c:pt>
                <c:pt idx="5">
                  <c:v>65.5</c:v>
                </c:pt>
                <c:pt idx="6">
                  <c:v>67</c:v>
                </c:pt>
                <c:pt idx="7">
                  <c:v>68.5</c:v>
                </c:pt>
                <c:pt idx="8">
                  <c:v>70</c:v>
                </c:pt>
                <c:pt idx="9">
                  <c:v>71.5</c:v>
                </c:pt>
                <c:pt idx="10">
                  <c:v>73</c:v>
                </c:pt>
                <c:pt idx="11">
                  <c:v>74.5</c:v>
                </c:pt>
                <c:pt idx="12">
                  <c:v>76</c:v>
                </c:pt>
                <c:pt idx="13">
                  <c:v>77.5</c:v>
                </c:pt>
                <c:pt idx="14">
                  <c:v>79</c:v>
                </c:pt>
                <c:pt idx="15">
                  <c:v>80.5</c:v>
                </c:pt>
                <c:pt idx="16">
                  <c:v>82</c:v>
                </c:pt>
                <c:pt idx="17">
                  <c:v>83.5</c:v>
                </c:pt>
                <c:pt idx="18">
                  <c:v>85</c:v>
                </c:pt>
                <c:pt idx="19">
                  <c:v>86.5</c:v>
                </c:pt>
                <c:pt idx="20">
                  <c:v>88</c:v>
                </c:pt>
                <c:pt idx="21">
                  <c:v>89.5</c:v>
                </c:pt>
                <c:pt idx="22">
                  <c:v>91</c:v>
                </c:pt>
              </c:numCache>
            </c:numRef>
          </c:xVal>
          <c:yVal>
            <c:numRef>
              <c:f>'brent_zcc_50%'!$G$5:$G$27</c:f>
              <c:numCache>
                <c:formatCode>#,##0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1D-40B0-A245-262C3451D7ED}"/>
            </c:ext>
          </c:extLst>
        </c:ser>
        <c:ser>
          <c:idx val="1"/>
          <c:order val="1"/>
          <c:tx>
            <c:strRef>
              <c:f>'brent_zcc_50%'!$I$3</c:f>
              <c:strCache>
                <c:ptCount val="1"/>
                <c:pt idx="0">
                  <c:v>hedge with zcc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'brent_zcc_50%'!$A$5:$A$27</c:f>
              <c:numCache>
                <c:formatCode>General</c:formatCode>
                <c:ptCount val="23"/>
                <c:pt idx="0">
                  <c:v>58</c:v>
                </c:pt>
                <c:pt idx="1">
                  <c:v>59.5</c:v>
                </c:pt>
                <c:pt idx="2">
                  <c:v>61</c:v>
                </c:pt>
                <c:pt idx="3">
                  <c:v>62.5</c:v>
                </c:pt>
                <c:pt idx="4">
                  <c:v>64</c:v>
                </c:pt>
                <c:pt idx="5">
                  <c:v>65.5</c:v>
                </c:pt>
                <c:pt idx="6">
                  <c:v>67</c:v>
                </c:pt>
                <c:pt idx="7">
                  <c:v>68.5</c:v>
                </c:pt>
                <c:pt idx="8">
                  <c:v>70</c:v>
                </c:pt>
                <c:pt idx="9">
                  <c:v>71.5</c:v>
                </c:pt>
                <c:pt idx="10">
                  <c:v>73</c:v>
                </c:pt>
                <c:pt idx="11">
                  <c:v>74.5</c:v>
                </c:pt>
                <c:pt idx="12">
                  <c:v>76</c:v>
                </c:pt>
                <c:pt idx="13">
                  <c:v>77.5</c:v>
                </c:pt>
                <c:pt idx="14">
                  <c:v>79</c:v>
                </c:pt>
                <c:pt idx="15">
                  <c:v>80.5</c:v>
                </c:pt>
                <c:pt idx="16">
                  <c:v>82</c:v>
                </c:pt>
                <c:pt idx="17">
                  <c:v>83.5</c:v>
                </c:pt>
                <c:pt idx="18">
                  <c:v>85</c:v>
                </c:pt>
                <c:pt idx="19">
                  <c:v>86.5</c:v>
                </c:pt>
                <c:pt idx="20">
                  <c:v>88</c:v>
                </c:pt>
                <c:pt idx="21">
                  <c:v>89.5</c:v>
                </c:pt>
                <c:pt idx="22">
                  <c:v>91</c:v>
                </c:pt>
              </c:numCache>
            </c:numRef>
          </c:xVal>
          <c:yVal>
            <c:numRef>
              <c:f>'brent_zcc_50%'!$I$5:$I$27</c:f>
              <c:numCache>
                <c:formatCode>#,##0</c:formatCode>
                <c:ptCount val="23"/>
                <c:pt idx="0">
                  <c:v>15326773.071992788</c:v>
                </c:pt>
                <c:pt idx="1">
                  <c:v>15326773.071992788</c:v>
                </c:pt>
                <c:pt idx="2">
                  <c:v>15326773.071992787</c:v>
                </c:pt>
                <c:pt idx="3">
                  <c:v>15326773.071992787</c:v>
                </c:pt>
                <c:pt idx="4">
                  <c:v>14639022.621252982</c:v>
                </c:pt>
                <c:pt idx="5">
                  <c:v>13139022.621252982</c:v>
                </c:pt>
                <c:pt idx="6">
                  <c:v>11639022.621252982</c:v>
                </c:pt>
                <c:pt idx="7">
                  <c:v>10139022.621252982</c:v>
                </c:pt>
                <c:pt idx="8">
                  <c:v>8639022.6212529819</c:v>
                </c:pt>
                <c:pt idx="9">
                  <c:v>7139022.6212529819</c:v>
                </c:pt>
                <c:pt idx="10">
                  <c:v>5639022.6212529819</c:v>
                </c:pt>
                <c:pt idx="11">
                  <c:v>4139022.6212529819</c:v>
                </c:pt>
                <c:pt idx="12">
                  <c:v>2639022.6212529819</c:v>
                </c:pt>
                <c:pt idx="13">
                  <c:v>1139022.6212529819</c:v>
                </c:pt>
                <c:pt idx="14">
                  <c:v>-360977.37874701794</c:v>
                </c:pt>
                <c:pt idx="15">
                  <c:v>-1860977.3787470181</c:v>
                </c:pt>
                <c:pt idx="16">
                  <c:v>-3360977.3787470181</c:v>
                </c:pt>
                <c:pt idx="17">
                  <c:v>-4860977.3787470181</c:v>
                </c:pt>
                <c:pt idx="18">
                  <c:v>-6360977.3787470181</c:v>
                </c:pt>
                <c:pt idx="19">
                  <c:v>-7860977.3787470181</c:v>
                </c:pt>
                <c:pt idx="20">
                  <c:v>-9360977.3787470181</c:v>
                </c:pt>
                <c:pt idx="21">
                  <c:v>-9360977.3787470181</c:v>
                </c:pt>
                <c:pt idx="22">
                  <c:v>-9360977.3787470181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1D-40B0-A245-262C3451D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466479"/>
        <c:axId val="159768639"/>
      </c:scatterChart>
      <c:valAx>
        <c:axId val="767466479"/>
        <c:scaling>
          <c:orientation val="minMax"/>
          <c:min val="58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68639"/>
        <c:crosses val="autoZero"/>
        <c:crossBetween val="midCat"/>
      </c:valAx>
      <c:valAx>
        <c:axId val="1597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6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</a:t>
            </a:r>
            <a:r>
              <a:rPr lang="tr-TR" sz="1800">
                <a:solidFill>
                  <a:srgbClr val="0070C0"/>
                </a:solidFill>
              </a:rPr>
              <a:t>Z</a:t>
            </a:r>
            <a:r>
              <a:rPr lang="en-US" sz="1800">
                <a:solidFill>
                  <a:srgbClr val="0070C0"/>
                </a:solidFill>
              </a:rPr>
              <a:t>ero </a:t>
            </a:r>
            <a:r>
              <a:rPr lang="tr-TR" sz="1800">
                <a:solidFill>
                  <a:srgbClr val="0070C0"/>
                </a:solidFill>
              </a:rPr>
              <a:t>C</a:t>
            </a:r>
            <a:r>
              <a:rPr lang="en-US" sz="1800">
                <a:solidFill>
                  <a:srgbClr val="0070C0"/>
                </a:solidFill>
              </a:rPr>
              <a:t>ost </a:t>
            </a:r>
            <a:r>
              <a:rPr lang="tr-TR" sz="1800">
                <a:solidFill>
                  <a:srgbClr val="0070C0"/>
                </a:solidFill>
              </a:rPr>
              <a:t>C</a:t>
            </a:r>
            <a:r>
              <a:rPr lang="en-US" sz="1800">
                <a:solidFill>
                  <a:srgbClr val="0070C0"/>
                </a:solidFill>
              </a:rPr>
              <a:t>ollar</a:t>
            </a:r>
            <a:r>
              <a:rPr lang="tr-TR" sz="1800">
                <a:solidFill>
                  <a:srgbClr val="0070C0"/>
                </a:solidFill>
              </a:rPr>
              <a:t>: Short Underlying</a:t>
            </a:r>
            <a:r>
              <a:rPr lang="tr-TR" sz="1800" baseline="0">
                <a:solidFill>
                  <a:srgbClr val="0070C0"/>
                </a:solidFill>
              </a:rPr>
              <a:t> Asset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zcc_fx_155!$D$3</c:f>
              <c:strCache>
                <c:ptCount val="1"/>
                <c:pt idx="0">
                  <c:v> zero cost collar,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zcc_fx_155!$A$4:$A$27</c:f>
              <c:numCache>
                <c:formatCode>General</c:formatCode>
                <c:ptCount val="24"/>
                <c:pt idx="0">
                  <c:v>1.3</c:v>
                </c:pt>
                <c:pt idx="1">
                  <c:v>1.32</c:v>
                </c:pt>
                <c:pt idx="2">
                  <c:v>1.34</c:v>
                </c:pt>
                <c:pt idx="3">
                  <c:v>1.36</c:v>
                </c:pt>
                <c:pt idx="4">
                  <c:v>1.3800000000000001</c:v>
                </c:pt>
                <c:pt idx="5">
                  <c:v>1.4000000000000001</c:v>
                </c:pt>
                <c:pt idx="6">
                  <c:v>1.4200000000000002</c:v>
                </c:pt>
                <c:pt idx="7">
                  <c:v>1.4400000000000002</c:v>
                </c:pt>
                <c:pt idx="8">
                  <c:v>1.4600000000000002</c:v>
                </c:pt>
                <c:pt idx="9">
                  <c:v>1.4800000000000002</c:v>
                </c:pt>
                <c:pt idx="10">
                  <c:v>1.5000000000000002</c:v>
                </c:pt>
                <c:pt idx="11">
                  <c:v>1.5200000000000002</c:v>
                </c:pt>
                <c:pt idx="12">
                  <c:v>1.5400000000000003</c:v>
                </c:pt>
                <c:pt idx="13">
                  <c:v>1.5600000000000003</c:v>
                </c:pt>
                <c:pt idx="14">
                  <c:v>1.5800000000000003</c:v>
                </c:pt>
                <c:pt idx="15">
                  <c:v>1.6000000000000003</c:v>
                </c:pt>
                <c:pt idx="16">
                  <c:v>1.6200000000000003</c:v>
                </c:pt>
                <c:pt idx="17">
                  <c:v>1.6400000000000003</c:v>
                </c:pt>
                <c:pt idx="18">
                  <c:v>1.6600000000000004</c:v>
                </c:pt>
                <c:pt idx="19">
                  <c:v>1.6800000000000004</c:v>
                </c:pt>
                <c:pt idx="20">
                  <c:v>1.7000000000000004</c:v>
                </c:pt>
                <c:pt idx="21">
                  <c:v>1.7200000000000004</c:v>
                </c:pt>
                <c:pt idx="22">
                  <c:v>1.7400000000000004</c:v>
                </c:pt>
                <c:pt idx="23">
                  <c:v>1.7600000000000005</c:v>
                </c:pt>
              </c:numCache>
            </c:numRef>
          </c:xVal>
          <c:yVal>
            <c:numRef>
              <c:f>zcc_fx_155!$D$4:$D$27</c:f>
              <c:numCache>
                <c:formatCode>0</c:formatCode>
                <c:ptCount val="24"/>
                <c:pt idx="0">
                  <c:v>-119.79322567751019</c:v>
                </c:pt>
                <c:pt idx="1">
                  <c:v>-99.793225677510165</c:v>
                </c:pt>
                <c:pt idx="2">
                  <c:v>-79.793225677510151</c:v>
                </c:pt>
                <c:pt idx="3">
                  <c:v>-59.793225677510137</c:v>
                </c:pt>
                <c:pt idx="4">
                  <c:v>-39.793225677510122</c:v>
                </c:pt>
                <c:pt idx="5">
                  <c:v>-19.793225677510325</c:v>
                </c:pt>
                <c:pt idx="6">
                  <c:v>-19.793225677510325</c:v>
                </c:pt>
                <c:pt idx="7">
                  <c:v>-19.793225677510325</c:v>
                </c:pt>
                <c:pt idx="8">
                  <c:v>-19.793225677510325</c:v>
                </c:pt>
                <c:pt idx="9">
                  <c:v>-19.793225677510325</c:v>
                </c:pt>
                <c:pt idx="10">
                  <c:v>-19.793225677510325</c:v>
                </c:pt>
                <c:pt idx="11">
                  <c:v>-19.793225677510325</c:v>
                </c:pt>
                <c:pt idx="12">
                  <c:v>-19.793225677510325</c:v>
                </c:pt>
                <c:pt idx="13">
                  <c:v>-19.793225677510325</c:v>
                </c:pt>
                <c:pt idx="14">
                  <c:v>-19.793225677510325</c:v>
                </c:pt>
                <c:pt idx="15">
                  <c:v>-19.793225677510325</c:v>
                </c:pt>
                <c:pt idx="16">
                  <c:v>-19.793225677510101</c:v>
                </c:pt>
                <c:pt idx="17">
                  <c:v>0.20677432248991656</c:v>
                </c:pt>
                <c:pt idx="18">
                  <c:v>20.206774322489935</c:v>
                </c:pt>
                <c:pt idx="19">
                  <c:v>40.206774322489949</c:v>
                </c:pt>
                <c:pt idx="20">
                  <c:v>60.20677432248997</c:v>
                </c:pt>
                <c:pt idx="21">
                  <c:v>80.206774322489991</c:v>
                </c:pt>
                <c:pt idx="22">
                  <c:v>100.20677432249001</c:v>
                </c:pt>
                <c:pt idx="23">
                  <c:v>120.20677432249002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8-4A9E-96E3-E053AE63A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470655"/>
        <c:axId val="370093151"/>
      </c:scatterChart>
      <c:valAx>
        <c:axId val="371470655"/>
        <c:scaling>
          <c:orientation val="minMax"/>
          <c:max val="1.8"/>
          <c:min val="1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solidFill>
                      <a:srgbClr val="0070C0"/>
                    </a:solidFill>
                  </a:rPr>
                  <a:t>SPOT at Maturity</a:t>
                </a:r>
                <a:endParaRPr lang="en-US" sz="1400">
                  <a:solidFill>
                    <a:srgbClr val="0070C0"/>
                  </a:solidFill>
                </a:endParaRPr>
              </a:p>
            </c:rich>
          </c:tx>
          <c:overlay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none" spc="20" normalizeH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93151"/>
        <c:crosses val="autoZero"/>
        <c:crossBetween val="midCat"/>
      </c:valAx>
      <c:valAx>
        <c:axId val="37009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 b="1">
                    <a:solidFill>
                      <a:srgbClr val="FF0000"/>
                    </a:solidFill>
                  </a:rPr>
                  <a:t>Zero</a:t>
                </a:r>
                <a:r>
                  <a:rPr lang="tr-TR" sz="1200" b="1" baseline="0">
                    <a:solidFill>
                      <a:srgbClr val="FF0000"/>
                    </a:solidFill>
                  </a:rPr>
                  <a:t> Cost Collar (PL) </a:t>
                </a:r>
                <a:endParaRPr lang="en-US" sz="1200" b="1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70655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chemeClr val="accent1">
                    <a:lumMod val="50000"/>
                  </a:schemeClr>
                </a:solidFill>
              </a:rPr>
              <a:t>Short Commodity: Zero Cost Hedging</a:t>
            </a:r>
            <a:endParaRPr lang="en-US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zcc_fx_155!$F$3</c:f>
              <c:strCache>
                <c:ptCount val="1"/>
                <c:pt idx="0">
                  <c:v> unhedged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zcc_fx_155!$A$4:$A$33</c:f>
              <c:numCache>
                <c:formatCode>General</c:formatCode>
                <c:ptCount val="30"/>
                <c:pt idx="0">
                  <c:v>1.3</c:v>
                </c:pt>
                <c:pt idx="1">
                  <c:v>1.32</c:v>
                </c:pt>
                <c:pt idx="2">
                  <c:v>1.34</c:v>
                </c:pt>
                <c:pt idx="3">
                  <c:v>1.36</c:v>
                </c:pt>
                <c:pt idx="4">
                  <c:v>1.3800000000000001</c:v>
                </c:pt>
                <c:pt idx="5">
                  <c:v>1.4000000000000001</c:v>
                </c:pt>
                <c:pt idx="6">
                  <c:v>1.4200000000000002</c:v>
                </c:pt>
                <c:pt idx="7">
                  <c:v>1.4400000000000002</c:v>
                </c:pt>
                <c:pt idx="8">
                  <c:v>1.4600000000000002</c:v>
                </c:pt>
                <c:pt idx="9">
                  <c:v>1.4800000000000002</c:v>
                </c:pt>
                <c:pt idx="10">
                  <c:v>1.5000000000000002</c:v>
                </c:pt>
                <c:pt idx="11">
                  <c:v>1.5200000000000002</c:v>
                </c:pt>
                <c:pt idx="12">
                  <c:v>1.5400000000000003</c:v>
                </c:pt>
                <c:pt idx="13">
                  <c:v>1.5600000000000003</c:v>
                </c:pt>
                <c:pt idx="14">
                  <c:v>1.5800000000000003</c:v>
                </c:pt>
                <c:pt idx="15">
                  <c:v>1.6000000000000003</c:v>
                </c:pt>
                <c:pt idx="16">
                  <c:v>1.6200000000000003</c:v>
                </c:pt>
                <c:pt idx="17">
                  <c:v>1.6400000000000003</c:v>
                </c:pt>
                <c:pt idx="18">
                  <c:v>1.6600000000000004</c:v>
                </c:pt>
                <c:pt idx="19">
                  <c:v>1.6800000000000004</c:v>
                </c:pt>
                <c:pt idx="20">
                  <c:v>1.7000000000000004</c:v>
                </c:pt>
                <c:pt idx="21">
                  <c:v>1.7200000000000004</c:v>
                </c:pt>
                <c:pt idx="22">
                  <c:v>1.7400000000000004</c:v>
                </c:pt>
                <c:pt idx="23">
                  <c:v>1.7600000000000005</c:v>
                </c:pt>
                <c:pt idx="24">
                  <c:v>1.7800000000000005</c:v>
                </c:pt>
                <c:pt idx="25">
                  <c:v>1.8000000000000005</c:v>
                </c:pt>
                <c:pt idx="26">
                  <c:v>1.8200000000000005</c:v>
                </c:pt>
                <c:pt idx="27">
                  <c:v>1.8400000000000005</c:v>
                </c:pt>
                <c:pt idx="28">
                  <c:v>1.8600000000000005</c:v>
                </c:pt>
                <c:pt idx="29">
                  <c:v>1.8800000000000006</c:v>
                </c:pt>
              </c:numCache>
            </c:numRef>
          </c:xVal>
          <c:yVal>
            <c:numRef>
              <c:f>zcc_fx_155!$F$4:$F$33</c:f>
              <c:numCache>
                <c:formatCode>0</c:formatCode>
                <c:ptCount val="30"/>
                <c:pt idx="0">
                  <c:v>250</c:v>
                </c:pt>
                <c:pt idx="1">
                  <c:v>229.99999999999997</c:v>
                </c:pt>
                <c:pt idx="2">
                  <c:v>209.99999999999997</c:v>
                </c:pt>
                <c:pt idx="3">
                  <c:v>189.99999999999994</c:v>
                </c:pt>
                <c:pt idx="4">
                  <c:v>169.99999999999994</c:v>
                </c:pt>
                <c:pt idx="5">
                  <c:v>149.99999999999991</c:v>
                </c:pt>
                <c:pt idx="6">
                  <c:v>129.99999999999989</c:v>
                </c:pt>
                <c:pt idx="7">
                  <c:v>109.99999999999987</c:v>
                </c:pt>
                <c:pt idx="8">
                  <c:v>89.999999999999858</c:v>
                </c:pt>
                <c:pt idx="9">
                  <c:v>69.999999999999844</c:v>
                </c:pt>
                <c:pt idx="10">
                  <c:v>49.999999999999822</c:v>
                </c:pt>
                <c:pt idx="11">
                  <c:v>29.999999999999805</c:v>
                </c:pt>
                <c:pt idx="12">
                  <c:v>9.9999999999997868</c:v>
                </c:pt>
                <c:pt idx="13">
                  <c:v>-10.000000000000231</c:v>
                </c:pt>
                <c:pt idx="14">
                  <c:v>-30.000000000000249</c:v>
                </c:pt>
                <c:pt idx="15">
                  <c:v>-50.00000000000027</c:v>
                </c:pt>
                <c:pt idx="16">
                  <c:v>-70.000000000000284</c:v>
                </c:pt>
                <c:pt idx="17">
                  <c:v>-90.000000000000298</c:v>
                </c:pt>
                <c:pt idx="18">
                  <c:v>-110.00000000000031</c:v>
                </c:pt>
                <c:pt idx="19">
                  <c:v>-130.00000000000034</c:v>
                </c:pt>
                <c:pt idx="20">
                  <c:v>-150.00000000000034</c:v>
                </c:pt>
                <c:pt idx="21">
                  <c:v>-170.00000000000037</c:v>
                </c:pt>
                <c:pt idx="22">
                  <c:v>-190.0000000000004</c:v>
                </c:pt>
                <c:pt idx="23">
                  <c:v>-210.0000000000004</c:v>
                </c:pt>
                <c:pt idx="24">
                  <c:v>-230.00000000000043</c:v>
                </c:pt>
                <c:pt idx="25">
                  <c:v>-250.00000000000045</c:v>
                </c:pt>
                <c:pt idx="26">
                  <c:v>-270.00000000000045</c:v>
                </c:pt>
                <c:pt idx="27">
                  <c:v>-290.00000000000045</c:v>
                </c:pt>
                <c:pt idx="28">
                  <c:v>-310.00000000000051</c:v>
                </c:pt>
                <c:pt idx="29">
                  <c:v>-330.00000000000051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0C-4737-8BC7-E239DE43ECE3}"/>
            </c:ext>
          </c:extLst>
        </c:ser>
        <c:ser>
          <c:idx val="1"/>
          <c:order val="1"/>
          <c:tx>
            <c:strRef>
              <c:f>zcc_fx_155!$G$3</c:f>
              <c:strCache>
                <c:ptCount val="1"/>
                <c:pt idx="0">
                  <c:v> hedge with zero cost 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zcc_fx_155!$A$4:$A$33</c:f>
              <c:numCache>
                <c:formatCode>General</c:formatCode>
                <c:ptCount val="30"/>
                <c:pt idx="0">
                  <c:v>1.3</c:v>
                </c:pt>
                <c:pt idx="1">
                  <c:v>1.32</c:v>
                </c:pt>
                <c:pt idx="2">
                  <c:v>1.34</c:v>
                </c:pt>
                <c:pt idx="3">
                  <c:v>1.36</c:v>
                </c:pt>
                <c:pt idx="4">
                  <c:v>1.3800000000000001</c:v>
                </c:pt>
                <c:pt idx="5">
                  <c:v>1.4000000000000001</c:v>
                </c:pt>
                <c:pt idx="6">
                  <c:v>1.4200000000000002</c:v>
                </c:pt>
                <c:pt idx="7">
                  <c:v>1.4400000000000002</c:v>
                </c:pt>
                <c:pt idx="8">
                  <c:v>1.4600000000000002</c:v>
                </c:pt>
                <c:pt idx="9">
                  <c:v>1.4800000000000002</c:v>
                </c:pt>
                <c:pt idx="10">
                  <c:v>1.5000000000000002</c:v>
                </c:pt>
                <c:pt idx="11">
                  <c:v>1.5200000000000002</c:v>
                </c:pt>
                <c:pt idx="12">
                  <c:v>1.5400000000000003</c:v>
                </c:pt>
                <c:pt idx="13">
                  <c:v>1.5600000000000003</c:v>
                </c:pt>
                <c:pt idx="14">
                  <c:v>1.5800000000000003</c:v>
                </c:pt>
                <c:pt idx="15">
                  <c:v>1.6000000000000003</c:v>
                </c:pt>
                <c:pt idx="16">
                  <c:v>1.6200000000000003</c:v>
                </c:pt>
                <c:pt idx="17">
                  <c:v>1.6400000000000003</c:v>
                </c:pt>
                <c:pt idx="18">
                  <c:v>1.6600000000000004</c:v>
                </c:pt>
                <c:pt idx="19">
                  <c:v>1.6800000000000004</c:v>
                </c:pt>
                <c:pt idx="20">
                  <c:v>1.7000000000000004</c:v>
                </c:pt>
                <c:pt idx="21">
                  <c:v>1.7200000000000004</c:v>
                </c:pt>
                <c:pt idx="22">
                  <c:v>1.7400000000000004</c:v>
                </c:pt>
                <c:pt idx="23">
                  <c:v>1.7600000000000005</c:v>
                </c:pt>
                <c:pt idx="24">
                  <c:v>1.7800000000000005</c:v>
                </c:pt>
                <c:pt idx="25">
                  <c:v>1.8000000000000005</c:v>
                </c:pt>
                <c:pt idx="26">
                  <c:v>1.8200000000000005</c:v>
                </c:pt>
                <c:pt idx="27">
                  <c:v>1.8400000000000005</c:v>
                </c:pt>
                <c:pt idx="28">
                  <c:v>1.8600000000000005</c:v>
                </c:pt>
                <c:pt idx="29">
                  <c:v>1.8800000000000006</c:v>
                </c:pt>
              </c:numCache>
            </c:numRef>
          </c:xVal>
          <c:yVal>
            <c:numRef>
              <c:f>zcc_fx_155!$G$4:$G$33</c:f>
              <c:numCache>
                <c:formatCode>0</c:formatCode>
                <c:ptCount val="30"/>
                <c:pt idx="0">
                  <c:v>130.20677432248982</c:v>
                </c:pt>
                <c:pt idx="1">
                  <c:v>130.20677432248982</c:v>
                </c:pt>
                <c:pt idx="2">
                  <c:v>130.20677432248982</c:v>
                </c:pt>
                <c:pt idx="3">
                  <c:v>130.20677432248982</c:v>
                </c:pt>
                <c:pt idx="4">
                  <c:v>130.20677432248982</c:v>
                </c:pt>
                <c:pt idx="5">
                  <c:v>130.20677432248959</c:v>
                </c:pt>
                <c:pt idx="6">
                  <c:v>110.20677432248957</c:v>
                </c:pt>
                <c:pt idx="7">
                  <c:v>90.206774322489551</c:v>
                </c:pt>
                <c:pt idx="8">
                  <c:v>70.206774322489537</c:v>
                </c:pt>
                <c:pt idx="9">
                  <c:v>50.206774322489522</c:v>
                </c:pt>
                <c:pt idx="10">
                  <c:v>30.206774322489498</c:v>
                </c:pt>
                <c:pt idx="11">
                  <c:v>10.20677432248948</c:v>
                </c:pt>
                <c:pt idx="12">
                  <c:v>-9.793225677510538</c:v>
                </c:pt>
                <c:pt idx="13">
                  <c:v>-29.793225677510556</c:v>
                </c:pt>
                <c:pt idx="14">
                  <c:v>-49.793225677510577</c:v>
                </c:pt>
                <c:pt idx="15">
                  <c:v>-69.793225677510591</c:v>
                </c:pt>
                <c:pt idx="16">
                  <c:v>-89.793225677510378</c:v>
                </c:pt>
                <c:pt idx="17">
                  <c:v>-89.793225677510378</c:v>
                </c:pt>
                <c:pt idx="18">
                  <c:v>-89.793225677510378</c:v>
                </c:pt>
                <c:pt idx="19">
                  <c:v>-89.793225677510392</c:v>
                </c:pt>
                <c:pt idx="20">
                  <c:v>-89.793225677510378</c:v>
                </c:pt>
                <c:pt idx="21">
                  <c:v>-89.793225677510378</c:v>
                </c:pt>
                <c:pt idx="22">
                  <c:v>-89.793225677510392</c:v>
                </c:pt>
                <c:pt idx="23">
                  <c:v>-89.793225677510378</c:v>
                </c:pt>
                <c:pt idx="24">
                  <c:v>-89.793225677510378</c:v>
                </c:pt>
                <c:pt idx="25">
                  <c:v>-89.793225677510378</c:v>
                </c:pt>
                <c:pt idx="26">
                  <c:v>-89.793225677510378</c:v>
                </c:pt>
                <c:pt idx="27">
                  <c:v>-89.79322567751035</c:v>
                </c:pt>
                <c:pt idx="28">
                  <c:v>-89.793225677510378</c:v>
                </c:pt>
                <c:pt idx="29">
                  <c:v>-89.793225677510378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0C-4737-8BC7-E239DE43ECE3}"/>
            </c:ext>
          </c:extLst>
        </c:ser>
        <c:ser>
          <c:idx val="2"/>
          <c:order val="2"/>
          <c:tx>
            <c:v>hedge with forward</c:v>
          </c:tx>
          <c:spPr>
            <a:ln w="57150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zcc_fx_155!$A$4:$A$33</c:f>
              <c:numCache>
                <c:formatCode>General</c:formatCode>
                <c:ptCount val="30"/>
                <c:pt idx="0">
                  <c:v>1.3</c:v>
                </c:pt>
                <c:pt idx="1">
                  <c:v>1.32</c:v>
                </c:pt>
                <c:pt idx="2">
                  <c:v>1.34</c:v>
                </c:pt>
                <c:pt idx="3">
                  <c:v>1.36</c:v>
                </c:pt>
                <c:pt idx="4">
                  <c:v>1.3800000000000001</c:v>
                </c:pt>
                <c:pt idx="5">
                  <c:v>1.4000000000000001</c:v>
                </c:pt>
                <c:pt idx="6">
                  <c:v>1.4200000000000002</c:v>
                </c:pt>
                <c:pt idx="7">
                  <c:v>1.4400000000000002</c:v>
                </c:pt>
                <c:pt idx="8">
                  <c:v>1.4600000000000002</c:v>
                </c:pt>
                <c:pt idx="9">
                  <c:v>1.4800000000000002</c:v>
                </c:pt>
                <c:pt idx="10">
                  <c:v>1.5000000000000002</c:v>
                </c:pt>
                <c:pt idx="11">
                  <c:v>1.5200000000000002</c:v>
                </c:pt>
                <c:pt idx="12">
                  <c:v>1.5400000000000003</c:v>
                </c:pt>
                <c:pt idx="13">
                  <c:v>1.5600000000000003</c:v>
                </c:pt>
                <c:pt idx="14">
                  <c:v>1.5800000000000003</c:v>
                </c:pt>
                <c:pt idx="15">
                  <c:v>1.6000000000000003</c:v>
                </c:pt>
                <c:pt idx="16">
                  <c:v>1.6200000000000003</c:v>
                </c:pt>
                <c:pt idx="17">
                  <c:v>1.6400000000000003</c:v>
                </c:pt>
                <c:pt idx="18">
                  <c:v>1.6600000000000004</c:v>
                </c:pt>
                <c:pt idx="19">
                  <c:v>1.6800000000000004</c:v>
                </c:pt>
                <c:pt idx="20">
                  <c:v>1.7000000000000004</c:v>
                </c:pt>
                <c:pt idx="21">
                  <c:v>1.7200000000000004</c:v>
                </c:pt>
                <c:pt idx="22">
                  <c:v>1.7400000000000004</c:v>
                </c:pt>
                <c:pt idx="23">
                  <c:v>1.7600000000000005</c:v>
                </c:pt>
                <c:pt idx="24">
                  <c:v>1.7800000000000005</c:v>
                </c:pt>
                <c:pt idx="25">
                  <c:v>1.8000000000000005</c:v>
                </c:pt>
                <c:pt idx="26">
                  <c:v>1.8200000000000005</c:v>
                </c:pt>
                <c:pt idx="27">
                  <c:v>1.8400000000000005</c:v>
                </c:pt>
                <c:pt idx="28">
                  <c:v>1.8600000000000005</c:v>
                </c:pt>
                <c:pt idx="29">
                  <c:v>1.8800000000000006</c:v>
                </c:pt>
              </c:numCache>
            </c:numRef>
          </c:xVal>
          <c:yVal>
            <c:numRef>
              <c:f>zcc_fx_155!$H$4:$H$33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0C-4737-8BC7-E239DE43E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323087"/>
        <c:axId val="381363487"/>
      </c:scatterChart>
      <c:valAx>
        <c:axId val="261323087"/>
        <c:scaling>
          <c:orientation val="minMax"/>
          <c:max val="1.9"/>
          <c:min val="1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/>
                  <a:t>Spot</a:t>
                </a:r>
                <a:r>
                  <a:rPr lang="tr-TR" sz="1400" baseline="0"/>
                  <a:t> Priece at Maturity</a:t>
                </a:r>
                <a:endParaRPr lang="en-US" sz="1400"/>
              </a:p>
            </c:rich>
          </c:tx>
          <c:overlay val="0"/>
          <c:spPr>
            <a:noFill/>
            <a:ln>
              <a:solidFill>
                <a:srgbClr val="0070C0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63487"/>
        <c:crosses val="autoZero"/>
        <c:crossBetween val="midCat"/>
      </c:valAx>
      <c:valAx>
        <c:axId val="3813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/>
                  <a:t>Prfit</a:t>
                </a:r>
                <a:r>
                  <a:rPr lang="tr-TR" sz="1400" baseline="0"/>
                  <a:t> and Loss at Maturity 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2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chemeClr val="accent1">
                    <a:lumMod val="50000"/>
                  </a:schemeClr>
                </a:solidFill>
              </a:rPr>
              <a:t>Short Commodity: Zero Cost Hedging</a:t>
            </a:r>
            <a:endParaRPr lang="en-US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BE-41DE-96D7-C1E013A93550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BE-41DE-96D7-C1E013A93550}"/>
            </c:ext>
          </c:extLst>
        </c:ser>
        <c:ser>
          <c:idx val="2"/>
          <c:order val="2"/>
          <c:tx>
            <c:v>hedge with forward</c:v>
          </c:tx>
          <c:spPr>
            <a:ln w="57150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BE-41DE-96D7-C1E013A93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323087"/>
        <c:axId val="381363487"/>
      </c:scatterChart>
      <c:valAx>
        <c:axId val="261323087"/>
        <c:scaling>
          <c:orientation val="minMax"/>
          <c:max val="1.9"/>
          <c:min val="1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/>
                  <a:t>Spot</a:t>
                </a:r>
                <a:r>
                  <a:rPr lang="tr-TR" sz="1400" baseline="0"/>
                  <a:t> Priece at Maturity</a:t>
                </a:r>
                <a:endParaRPr lang="en-US" sz="1400"/>
              </a:p>
            </c:rich>
          </c:tx>
          <c:overlay val="0"/>
          <c:spPr>
            <a:noFill/>
            <a:ln>
              <a:solidFill>
                <a:srgbClr val="0070C0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63487"/>
        <c:crosses val="autoZero"/>
        <c:crossBetween val="midCat"/>
      </c:valAx>
      <c:valAx>
        <c:axId val="3813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/>
                  <a:t>Prfit</a:t>
                </a:r>
                <a:r>
                  <a:rPr lang="tr-TR" sz="1400" baseline="0"/>
                  <a:t> and Loss at Maturity 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2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800">
                <a:solidFill>
                  <a:schemeClr val="tx2">
                    <a:lumMod val="60000"/>
                    <a:lumOff val="40000"/>
                  </a:schemeClr>
                </a:solidFill>
              </a:rPr>
              <a:t>zero cost collar</a:t>
            </a:r>
            <a:r>
              <a:rPr lang="tr-TR" sz="1800">
                <a:solidFill>
                  <a:schemeClr val="tx2">
                    <a:lumMod val="60000"/>
                    <a:lumOff val="40000"/>
                  </a:schemeClr>
                </a:solidFill>
              </a:rPr>
              <a:t>:long spot</a:t>
            </a:r>
            <a:r>
              <a:rPr lang="en-US" sz="1800">
                <a:solidFill>
                  <a:schemeClr val="tx2">
                    <a:lumMod val="60000"/>
                    <a:lumOff val="40000"/>
                  </a:schemeClr>
                </a:solidFill>
              </a:rPr>
              <a:t> </a:t>
            </a:r>
          </a:p>
        </c:rich>
      </c:tx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63209639154737"/>
          <c:y val="0.16172371955452269"/>
          <c:w val="0.81395715721643369"/>
          <c:h val="0.7120007243533637"/>
        </c:manualLayout>
      </c:layout>
      <c:scatterChart>
        <c:scatterStyle val="lineMarker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2-489E-BDB4-06EA6CE4952D}"/>
            </c:ext>
          </c:extLst>
        </c:ser>
        <c:ser>
          <c:idx val="1"/>
          <c:order val="1"/>
          <c:tx>
            <c:v>unhedged</c:v>
          </c:tx>
          <c:spPr>
            <a:ln w="381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2-489E-BDB4-06EA6CE49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36287"/>
        <c:axId val="775878639"/>
      </c:scatterChart>
      <c:valAx>
        <c:axId val="772936287"/>
        <c:scaling>
          <c:orientation val="minMax"/>
          <c:min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600"/>
                  <a:t>spot at the maturity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78639"/>
        <c:crosses val="autoZero"/>
        <c:crossBetween val="midCat"/>
        <c:majorUnit val="5.000000000000001E-2"/>
      </c:valAx>
      <c:valAx>
        <c:axId val="77587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600">
                    <a:solidFill>
                      <a:schemeClr val="accent1">
                        <a:lumMod val="50000"/>
                      </a:schemeClr>
                    </a:solidFill>
                  </a:rPr>
                  <a:t>profit and loss </a:t>
                </a:r>
                <a:endParaRPr lang="en-US" sz="1600">
                  <a:solidFill>
                    <a:schemeClr val="accent1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3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495319</xdr:colOff>
      <xdr:row>12</xdr:row>
      <xdr:rowOff>165509</xdr:rowOff>
    </xdr:from>
    <xdr:to>
      <xdr:col>30</xdr:col>
      <xdr:colOff>298417</xdr:colOff>
      <xdr:row>37</xdr:row>
      <xdr:rowOff>197816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B2A34-429F-43EE-B050-ED3FB8A99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40</xdr:row>
      <xdr:rowOff>0</xdr:rowOff>
    </xdr:from>
    <xdr:to>
      <xdr:col>28</xdr:col>
      <xdr:colOff>327930</xdr:colOff>
      <xdr:row>64</xdr:row>
      <xdr:rowOff>39854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1EE724-5BCB-43E7-83E9-1856D73EF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35375" y="7639050"/>
          <a:ext cx="8738505" cy="4796651"/>
        </a:xfrm>
        <a:prstGeom prst="rect">
          <a:avLst/>
        </a:prstGeom>
      </xdr:spPr>
    </xdr:pic>
    <xdr:clientData/>
  </xdr:twoCellAnchor>
  <xdr:twoCellAnchor>
    <xdr:from>
      <xdr:col>6</xdr:col>
      <xdr:colOff>142430</xdr:colOff>
      <xdr:row>15</xdr:row>
      <xdr:rowOff>72802</xdr:rowOff>
    </xdr:from>
    <xdr:to>
      <xdr:col>13</xdr:col>
      <xdr:colOff>467150</xdr:colOff>
      <xdr:row>34</xdr:row>
      <xdr:rowOff>97921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FC543-6579-4D8E-98B7-6AAB68B0B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71275</xdr:colOff>
      <xdr:row>19</xdr:row>
      <xdr:rowOff>110152</xdr:rowOff>
    </xdr:from>
    <xdr:to>
      <xdr:col>11</xdr:col>
      <xdr:colOff>362563</xdr:colOff>
      <xdr:row>46</xdr:row>
      <xdr:rowOff>22286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040B94-9D16-4BA9-8DB3-3D96D2D1F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75" y="3168519"/>
          <a:ext cx="7017104" cy="4285859"/>
        </a:xfrm>
        <a:prstGeom prst="rect">
          <a:avLst/>
        </a:prstGeom>
      </xdr:spPr>
    </xdr:pic>
    <xdr:clientData/>
  </xdr:twoCellAnchor>
  <xdr:twoCellAnchor editAs="oneCell">
    <xdr:from>
      <xdr:col>11</xdr:col>
      <xdr:colOff>473011</xdr:colOff>
      <xdr:row>0</xdr:row>
      <xdr:rowOff>0</xdr:rowOff>
    </xdr:from>
    <xdr:to>
      <xdr:col>23</xdr:col>
      <xdr:colOff>284776</xdr:colOff>
      <xdr:row>19</xdr:row>
      <xdr:rowOff>56959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DF20C0-D801-49BE-860F-E680FBE09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8827" y="0"/>
          <a:ext cx="7120745" cy="31153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9</xdr:col>
      <xdr:colOff>332821</xdr:colOff>
      <xdr:row>72</xdr:row>
      <xdr:rowOff>75851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1AF7D43-F53E-45EB-A20D-B694B2786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9898" y="11099541"/>
          <a:ext cx="5840474" cy="3639627"/>
        </a:xfrm>
        <a:prstGeom prst="rect">
          <a:avLst/>
        </a:prstGeom>
      </xdr:spPr>
    </xdr:pic>
    <xdr:clientData/>
  </xdr:twoCellAnchor>
  <xdr:twoCellAnchor editAs="oneCell">
    <xdr:from>
      <xdr:col>0</xdr:col>
      <xdr:colOff>414694</xdr:colOff>
      <xdr:row>74</xdr:row>
      <xdr:rowOff>129592</xdr:rowOff>
    </xdr:from>
    <xdr:to>
      <xdr:col>12</xdr:col>
      <xdr:colOff>450499</xdr:colOff>
      <xdr:row>100</xdr:row>
      <xdr:rowOff>39110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BCC1C21-A252-4D5C-AA8A-B9A1098E2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4694" y="12097398"/>
          <a:ext cx="7370703" cy="4121253"/>
        </a:xfrm>
        <a:prstGeom prst="rect">
          <a:avLst/>
        </a:prstGeom>
      </xdr:spPr>
    </xdr:pic>
    <xdr:clientData/>
  </xdr:twoCellAnchor>
  <xdr:twoCellAnchor>
    <xdr:from>
      <xdr:col>0</xdr:col>
      <xdr:colOff>609081</xdr:colOff>
      <xdr:row>101</xdr:row>
      <xdr:rowOff>161989</xdr:rowOff>
    </xdr:from>
    <xdr:to>
      <xdr:col>12</xdr:col>
      <xdr:colOff>550764</xdr:colOff>
      <xdr:row>128</xdr:row>
      <xdr:rowOff>147057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6369C7-FAC1-4ACC-9E4E-774A6460D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272142</xdr:colOff>
      <xdr:row>18</xdr:row>
      <xdr:rowOff>45357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2F95A14-1D57-4A3C-92E4-65007CAAE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466788</xdr:colOff>
      <xdr:row>0</xdr:row>
      <xdr:rowOff>256443</xdr:rowOff>
    </xdr:from>
    <xdr:to>
      <xdr:col>18</xdr:col>
      <xdr:colOff>293077</xdr:colOff>
      <xdr:row>11</xdr:row>
      <xdr:rowOff>18925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A3D00-207E-40EF-B566-42286C588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1250561</xdr:colOff>
      <xdr:row>35</xdr:row>
      <xdr:rowOff>0</xdr:rowOff>
    </xdr:from>
    <xdr:to>
      <xdr:col>7</xdr:col>
      <xdr:colOff>345362</xdr:colOff>
      <xdr:row>57</xdr:row>
      <xdr:rowOff>65962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BD1732-D4A3-4BCD-BA08-00B5AAC2D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349899</xdr:colOff>
      <xdr:row>0</xdr:row>
      <xdr:rowOff>25918</xdr:rowOff>
    </xdr:from>
    <xdr:to>
      <xdr:col>18</xdr:col>
      <xdr:colOff>71274</xdr:colOff>
      <xdr:row>16</xdr:row>
      <xdr:rowOff>161989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41CA9D-9B81-47D0-8021-6A9068DB0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157552</xdr:colOff>
      <xdr:row>17</xdr:row>
      <xdr:rowOff>30402</xdr:rowOff>
    </xdr:from>
    <xdr:to>
      <xdr:col>43</xdr:col>
      <xdr:colOff>352459</xdr:colOff>
      <xdr:row>43</xdr:row>
      <xdr:rowOff>42442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D9B66F-E5CB-42EE-A817-1C101E538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38</xdr:col>
      <xdr:colOff>607978</xdr:colOff>
      <xdr:row>11</xdr:row>
      <xdr:rowOff>0</xdr:rowOff>
    </xdr:from>
    <xdr:to>
      <xdr:col>53</xdr:col>
      <xdr:colOff>206333</xdr:colOff>
      <xdr:row>39</xdr:row>
      <xdr:rowOff>68932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E23167-2603-49F6-9FDC-413BEC06A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398723" y="1641543"/>
          <a:ext cx="8718036" cy="5175953"/>
        </a:xfrm>
        <a:prstGeom prst="rect">
          <a:avLst/>
        </a:prstGeom>
      </xdr:spPr>
    </xdr:pic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0.53304</cdr:x>
      <cdr:y>0.14234</cdr:y>
    </cdr:from>
    <cdr:to>
      <cdr:x>0.53304</cdr:x>
      <cdr:y>0.76764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FDEDA56-D972-48B6-84E4-FB7B0695E71E}"/>
            </a:ext>
          </a:extLst>
        </cdr:cNvPr>
        <cdr:cNvCxnSpPr/>
      </cdr:nvCxnSpPr>
      <cdr:spPr>
        <a:xfrm xmlns:a="http://schemas.openxmlformats.org/drawingml/2006/main">
          <a:off x="4667578" y="526978"/>
          <a:ext cx="0" cy="2315017"/>
        </a:xfrm>
        <a:prstGeom xmlns:a="http://schemas.openxmlformats.org/drawingml/2006/main" prst="line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3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0.62381</cdr:x>
      <cdr:y>0.1679</cdr:y>
    </cdr:from>
    <cdr:to>
      <cdr:x>0.87954</cdr:x>
      <cdr:y>0.31954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F6ABB079-FE1E-4753-9B3D-6794A966A7F8}"/>
            </a:ext>
          </a:extLst>
        </cdr:cNvPr>
        <cdr:cNvSpPr txBox="1"/>
      </cdr:nvSpPr>
      <cdr:spPr>
        <a:xfrm xmlns:a="http://schemas.openxmlformats.org/drawingml/2006/main">
          <a:off x="5462379" y="621597"/>
          <a:ext cx="2239321" cy="56140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tr-TR" sz="1100">
              <a:solidFill>
                <a:srgbClr val="C00000"/>
              </a:solidFill>
            </a:rPr>
            <a:t>74.5</a:t>
          </a:r>
          <a:r>
            <a:rPr lang="tr-TR" sz="1100" baseline="0">
              <a:solidFill>
                <a:srgbClr val="C00000"/>
              </a:solidFill>
            </a:rPr>
            <a:t> $ is the Brent after 6 months</a:t>
          </a:r>
          <a:endParaRPr lang="en-US" sz="1100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0.54457</cdr:x>
      <cdr:y>0.26502</cdr:y>
    </cdr:from>
    <cdr:to>
      <cdr:x>0.62309</cdr:x>
      <cdr:y>0.35873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EF2DCF36-78B1-4731-9B1D-BD2B134FAD0B}"/>
            </a:ext>
          </a:extLst>
        </cdr:cNvPr>
        <cdr:cNvCxnSpPr/>
      </cdr:nvCxnSpPr>
      <cdr:spPr>
        <a:xfrm xmlns:a="http://schemas.openxmlformats.org/drawingml/2006/main" flipV="1">
          <a:off x="4768506" y="981150"/>
          <a:ext cx="687566" cy="34693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8004</xdr:rowOff>
    </xdr:from>
    <xdr:to>
      <xdr:col>12</xdr:col>
      <xdr:colOff>411656</xdr:colOff>
      <xdr:row>29</xdr:row>
      <xdr:rowOff>146679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58CC3FC-2250-4FE2-A327-ED5262FCF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4"/>
          <a:ext cx="7711488" cy="5149305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0.62381</cdr:x>
      <cdr:y>0.1679</cdr:y>
    </cdr:from>
    <cdr:to>
      <cdr:x>0.87954</cdr:x>
      <cdr:y>0.31954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F6ABB079-FE1E-4753-9B3D-6794A966A7F8}"/>
            </a:ext>
          </a:extLst>
        </cdr:cNvPr>
        <cdr:cNvSpPr txBox="1"/>
      </cdr:nvSpPr>
      <cdr:spPr>
        <a:xfrm xmlns:a="http://schemas.openxmlformats.org/drawingml/2006/main">
          <a:off x="5462379" y="621597"/>
          <a:ext cx="2239321" cy="56140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tr-TR" sz="1100">
              <a:solidFill>
                <a:srgbClr val="C00000"/>
              </a:solidFill>
            </a:rPr>
            <a:t>74.5</a:t>
          </a:r>
          <a:r>
            <a:rPr lang="tr-TR" sz="1100" baseline="0">
              <a:solidFill>
                <a:srgbClr val="C00000"/>
              </a:solidFill>
            </a:rPr>
            <a:t> $ is the Brent after 6 months</a:t>
          </a:r>
        </a:p>
        <a:p xmlns:a="http://schemas.openxmlformats.org/drawingml/2006/main">
          <a:r>
            <a:rPr lang="tr-TR" sz="1100" baseline="0">
              <a:solidFill>
                <a:srgbClr val="C00000"/>
              </a:solidFill>
            </a:rPr>
            <a:t>120% Brent Call: 93$</a:t>
          </a:r>
        </a:p>
        <a:p xmlns:a="http://schemas.openxmlformats.org/drawingml/2006/main">
          <a:r>
            <a:rPr lang="tr-TR" sz="1100" baseline="0">
              <a:solidFill>
                <a:srgbClr val="C00000"/>
              </a:solidFill>
            </a:rPr>
            <a:t>92% spot: put: 68$</a:t>
          </a:r>
          <a:endParaRPr lang="en-US" sz="1100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0.54457</cdr:x>
      <cdr:y>0.26502</cdr:y>
    </cdr:from>
    <cdr:to>
      <cdr:x>0.62309</cdr:x>
      <cdr:y>0.35873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EF2DCF36-78B1-4731-9B1D-BD2B134FAD0B}"/>
            </a:ext>
          </a:extLst>
        </cdr:cNvPr>
        <cdr:cNvCxnSpPr/>
      </cdr:nvCxnSpPr>
      <cdr:spPr>
        <a:xfrm xmlns:a="http://schemas.openxmlformats.org/drawingml/2006/main" flipV="1">
          <a:off x="4768506" y="981150"/>
          <a:ext cx="687566" cy="34693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0.57573</cdr:x>
      <cdr:y>0.15873</cdr:y>
    </cdr:from>
    <cdr:to>
      <cdr:x>0.86953</cdr:x>
      <cdr:y>0.36797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687D7E0-5B66-4EE0-95ED-A9690763E060}"/>
            </a:ext>
          </a:extLst>
        </cdr:cNvPr>
        <cdr:cNvSpPr txBox="1"/>
      </cdr:nvSpPr>
      <cdr:spPr>
        <a:xfrm xmlns:a="http://schemas.openxmlformats.org/drawingml/2006/main">
          <a:off x="3828199" y="667356"/>
          <a:ext cx="1953535" cy="87969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tr-TR" sz="1800"/>
            <a:t>call strike 95$</a:t>
          </a:r>
        </a:p>
        <a:p xmlns:a="http://schemas.openxmlformats.org/drawingml/2006/main">
          <a:r>
            <a:rPr lang="tr-TR" sz="1800"/>
            <a:t>put</a:t>
          </a:r>
          <a:r>
            <a:rPr lang="tr-TR" sz="1800" baseline="0"/>
            <a:t> 58$</a:t>
          </a:r>
          <a:endParaRPr lang="en-US" sz="18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2181</xdr:colOff>
      <xdr:row>12</xdr:row>
      <xdr:rowOff>179020</xdr:rowOff>
    </xdr:from>
    <xdr:to>
      <xdr:col>28</xdr:col>
      <xdr:colOff>318684</xdr:colOff>
      <xdr:row>37</xdr:row>
      <xdr:rowOff>211327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B143A-F906-41FD-98A4-FA6B530C5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40</xdr:row>
      <xdr:rowOff>0</xdr:rowOff>
    </xdr:from>
    <xdr:to>
      <xdr:col>28</xdr:col>
      <xdr:colOff>327930</xdr:colOff>
      <xdr:row>64</xdr:row>
      <xdr:rowOff>70231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C26A72-82FE-4385-ABC2-056D2502B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35375" y="7639050"/>
          <a:ext cx="8738505" cy="4796651"/>
        </a:xfrm>
        <a:prstGeom prst="rect">
          <a:avLst/>
        </a:prstGeom>
      </xdr:spPr>
    </xdr:pic>
    <xdr:clientData/>
  </xdr:twoCellAnchor>
  <xdr:twoCellAnchor>
    <xdr:from>
      <xdr:col>2</xdr:col>
      <xdr:colOff>829829</xdr:colOff>
      <xdr:row>2</xdr:row>
      <xdr:rowOff>93807</xdr:rowOff>
    </xdr:from>
    <xdr:to>
      <xdr:col>8</xdr:col>
      <xdr:colOff>209262</xdr:colOff>
      <xdr:row>27</xdr:row>
      <xdr:rowOff>64942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7C9008-3EC5-49E1-B0E1-AF89BBF89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0.53304</cdr:x>
      <cdr:y>0.14234</cdr:y>
    </cdr:from>
    <cdr:to>
      <cdr:x>0.53304</cdr:x>
      <cdr:y>0.76764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FDEDA56-D972-48B6-84E4-FB7B0695E71E}"/>
            </a:ext>
          </a:extLst>
        </cdr:cNvPr>
        <cdr:cNvCxnSpPr/>
      </cdr:nvCxnSpPr>
      <cdr:spPr>
        <a:xfrm xmlns:a="http://schemas.openxmlformats.org/drawingml/2006/main">
          <a:off x="4667578" y="526978"/>
          <a:ext cx="0" cy="2315017"/>
        </a:xfrm>
        <a:prstGeom xmlns:a="http://schemas.openxmlformats.org/drawingml/2006/main" prst="line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3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0.62381</cdr:x>
      <cdr:y>0.1679</cdr:y>
    </cdr:from>
    <cdr:to>
      <cdr:x>0.87954</cdr:x>
      <cdr:y>0.31954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F6ABB079-FE1E-4753-9B3D-6794A966A7F8}"/>
            </a:ext>
          </a:extLst>
        </cdr:cNvPr>
        <cdr:cNvSpPr txBox="1"/>
      </cdr:nvSpPr>
      <cdr:spPr>
        <a:xfrm xmlns:a="http://schemas.openxmlformats.org/drawingml/2006/main">
          <a:off x="5462379" y="621597"/>
          <a:ext cx="2239321" cy="56140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tr-TR" sz="1100">
              <a:solidFill>
                <a:srgbClr val="C00000"/>
              </a:solidFill>
            </a:rPr>
            <a:t>74.5</a:t>
          </a:r>
          <a:r>
            <a:rPr lang="tr-TR" sz="1100" baseline="0">
              <a:solidFill>
                <a:srgbClr val="C00000"/>
              </a:solidFill>
            </a:rPr>
            <a:t> $ is the Brent after 6 months</a:t>
          </a:r>
          <a:endParaRPr lang="en-US" sz="1100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0.54457</cdr:x>
      <cdr:y>0.26502</cdr:y>
    </cdr:from>
    <cdr:to>
      <cdr:x>0.62309</cdr:x>
      <cdr:y>0.35873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EF2DCF36-78B1-4731-9B1D-BD2B134FAD0B}"/>
            </a:ext>
          </a:extLst>
        </cdr:cNvPr>
        <cdr:cNvCxnSpPr/>
      </cdr:nvCxnSpPr>
      <cdr:spPr>
        <a:xfrm xmlns:a="http://schemas.openxmlformats.org/drawingml/2006/main" flipV="1">
          <a:off x="4768506" y="981150"/>
          <a:ext cx="687566" cy="34693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317654</xdr:colOff>
      <xdr:row>27</xdr:row>
      <xdr:rowOff>148968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29C96F-2174-4239-BC36-377602788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61925"/>
          <a:ext cx="7632854" cy="435901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26</xdr:col>
      <xdr:colOff>537129</xdr:colOff>
      <xdr:row>28</xdr:row>
      <xdr:rowOff>121166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A73E09-228B-4C5A-9D7F-4F000230A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161925"/>
          <a:ext cx="7852329" cy="44931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13</xdr:col>
      <xdr:colOff>537129</xdr:colOff>
      <xdr:row>56</xdr:row>
      <xdr:rowOff>121166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D117F8F-6466-4892-B68A-9BEB54269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695825"/>
          <a:ext cx="7852329" cy="449314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26</xdr:col>
      <xdr:colOff>537129</xdr:colOff>
      <xdr:row>56</xdr:row>
      <xdr:rowOff>121166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DE462A1-7F56-44CD-BA57-067D48881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34400" y="4695825"/>
          <a:ext cx="7852329" cy="449314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2181</xdr:colOff>
      <xdr:row>12</xdr:row>
      <xdr:rowOff>179020</xdr:rowOff>
    </xdr:from>
    <xdr:to>
      <xdr:col>28</xdr:col>
      <xdr:colOff>318684</xdr:colOff>
      <xdr:row>37</xdr:row>
      <xdr:rowOff>211327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E8B60-8F27-4953-8E48-B1AEBEFE1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40</xdr:row>
      <xdr:rowOff>0</xdr:rowOff>
    </xdr:from>
    <xdr:to>
      <xdr:col>28</xdr:col>
      <xdr:colOff>327930</xdr:colOff>
      <xdr:row>65</xdr:row>
      <xdr:rowOff>34151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28A90B-6355-419D-9AF5-8D52DAF45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20851" y="7701064"/>
          <a:ext cx="8718036" cy="4810161"/>
        </a:xfrm>
        <a:prstGeom prst="rect">
          <a:avLst/>
        </a:prstGeom>
      </xdr:spPr>
    </xdr:pic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0.53304</cdr:x>
      <cdr:y>0.14234</cdr:y>
    </cdr:from>
    <cdr:to>
      <cdr:x>0.53304</cdr:x>
      <cdr:y>0.76764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FDEDA56-D972-48B6-84E4-FB7B0695E71E}"/>
            </a:ext>
          </a:extLst>
        </cdr:cNvPr>
        <cdr:cNvCxnSpPr/>
      </cdr:nvCxnSpPr>
      <cdr:spPr>
        <a:xfrm xmlns:a="http://schemas.openxmlformats.org/drawingml/2006/main">
          <a:off x="4667578" y="526978"/>
          <a:ext cx="0" cy="2315017"/>
        </a:xfrm>
        <a:prstGeom xmlns:a="http://schemas.openxmlformats.org/drawingml/2006/main" prst="line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3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0.62381</cdr:x>
      <cdr:y>0.1679</cdr:y>
    </cdr:from>
    <cdr:to>
      <cdr:x>0.87954</cdr:x>
      <cdr:y>0.31954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F6ABB079-FE1E-4753-9B3D-6794A966A7F8}"/>
            </a:ext>
          </a:extLst>
        </cdr:cNvPr>
        <cdr:cNvSpPr txBox="1"/>
      </cdr:nvSpPr>
      <cdr:spPr>
        <a:xfrm xmlns:a="http://schemas.openxmlformats.org/drawingml/2006/main">
          <a:off x="5462379" y="621597"/>
          <a:ext cx="2239321" cy="56140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tr-TR" sz="1100">
              <a:solidFill>
                <a:srgbClr val="C00000"/>
              </a:solidFill>
            </a:rPr>
            <a:t>74.5</a:t>
          </a:r>
          <a:r>
            <a:rPr lang="tr-TR" sz="1100" baseline="0">
              <a:solidFill>
                <a:srgbClr val="C00000"/>
              </a:solidFill>
            </a:rPr>
            <a:t> $ is the Brent after 6 months</a:t>
          </a:r>
        </a:p>
        <a:p xmlns:a="http://schemas.openxmlformats.org/drawingml/2006/main">
          <a:endParaRPr lang="en-US" sz="1100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0.54457</cdr:x>
      <cdr:y>0.26502</cdr:y>
    </cdr:from>
    <cdr:to>
      <cdr:x>0.62309</cdr:x>
      <cdr:y>0.35873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EF2DCF36-78B1-4731-9B1D-BD2B134FAD0B}"/>
            </a:ext>
          </a:extLst>
        </cdr:cNvPr>
        <cdr:cNvCxnSpPr/>
      </cdr:nvCxnSpPr>
      <cdr:spPr>
        <a:xfrm xmlns:a="http://schemas.openxmlformats.org/drawingml/2006/main" flipV="1">
          <a:off x="4768506" y="981150"/>
          <a:ext cx="687566" cy="34693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69387</xdr:colOff>
      <xdr:row>1</xdr:row>
      <xdr:rowOff>18924</xdr:rowOff>
    </xdr:from>
    <xdr:to>
      <xdr:col>20</xdr:col>
      <xdr:colOff>700182</xdr:colOff>
      <xdr:row>17</xdr:row>
      <xdr:rowOff>157700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07CB9-E7D0-4475-BDF3-9C44F4C43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712798</xdr:colOff>
      <xdr:row>4</xdr:row>
      <xdr:rowOff>63081</xdr:rowOff>
    </xdr:from>
    <xdr:to>
      <xdr:col>20</xdr:col>
      <xdr:colOff>832648</xdr:colOff>
      <xdr:row>25</xdr:row>
      <xdr:rowOff>82005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96947B-B396-41B9-AC55-B408DAB4E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ali\My%20Documents\risk%20turk\opsiyon%20ve%20var_son\Op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ali\My%20Documents\risk%20turk\opsiyon%20ve%20var_son\burak_hoca_opsiy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Tree-Price"/>
      <sheetName val="Tree-Payoff"/>
    </sheetNames>
    <sheetDataSet>
      <sheetData sheetId="0">
        <row r="6">
          <cell r="B6">
            <v>50</v>
          </cell>
        </row>
        <row r="7">
          <cell r="B7">
            <v>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nomial Tree"/>
      <sheetName val="TRinomial Tree Convergence"/>
      <sheetName val="european mc"/>
    </sheetNames>
    <sheetDataSet>
      <sheetData sheetId="0">
        <row r="3">
          <cell r="B3">
            <v>0.15</v>
          </cell>
        </row>
        <row r="4">
          <cell r="B4">
            <v>0.2</v>
          </cell>
        </row>
        <row r="5">
          <cell r="B5">
            <v>1350</v>
          </cell>
        </row>
        <row r="6">
          <cell r="B6">
            <v>1450</v>
          </cell>
        </row>
        <row r="7">
          <cell r="B7">
            <v>1</v>
          </cell>
        </row>
        <row r="10">
          <cell r="B10">
            <v>5</v>
          </cell>
        </row>
        <row r="11">
          <cell r="B11">
            <v>0.2</v>
          </cell>
        </row>
        <row r="12">
          <cell r="B12">
            <v>0.96078943915232318</v>
          </cell>
        </row>
        <row r="13">
          <cell r="B13">
            <v>1.0693832060523671</v>
          </cell>
        </row>
        <row r="14">
          <cell r="B14">
            <v>0.93511848170077816</v>
          </cell>
        </row>
        <row r="15">
          <cell r="B15">
            <v>0.78719330786276787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C8C76-1081-49C7-B107-C265A83C75DA}">
  <dimension ref="A1:AC78"/>
  <sheetViews>
    <sheetView zoomScale="107" workbookViewId="0">
      <selection activeCell="A25" sqref="A25"/>
    </sheetView>
  </sheetViews>
  <sheetFormatPr defaultRowHeight="12.75" x14ac:dyDescent="0.2"/>
  <cols>
    <col min="1" max="1" width="14.42578125" bestFit="1" customWidth="1"/>
    <col min="2" max="2" width="21.5703125" customWidth="1"/>
    <col min="3" max="3" width="23.28515625" customWidth="1"/>
    <col min="4" max="4" width="20.5703125" bestFit="1" customWidth="1"/>
    <col min="5" max="5" width="21.85546875" customWidth="1"/>
    <col min="6" max="6" width="21" customWidth="1"/>
    <col min="7" max="7" width="24.42578125" customWidth="1"/>
    <col min="8" max="8" width="15.7109375" customWidth="1"/>
    <col min="9" max="9" width="17.85546875" bestFit="1" customWidth="1"/>
    <col min="14" max="14" width="15" customWidth="1"/>
    <col min="15" max="15" width="12.7109375" customWidth="1"/>
    <col min="16" max="16" width="10.5703125" bestFit="1" customWidth="1"/>
    <col min="24" max="24" width="15" customWidth="1"/>
  </cols>
  <sheetData>
    <row r="1" spans="1:29" ht="14.25" thickTop="1" thickBot="1" x14ac:dyDescent="0.25">
      <c r="A1" s="66" t="s">
        <v>2</v>
      </c>
      <c r="B1" s="67" t="s">
        <v>23</v>
      </c>
      <c r="C1" s="22" t="s">
        <v>1</v>
      </c>
      <c r="D1" s="69" t="s">
        <v>38</v>
      </c>
      <c r="E1" s="69" t="s">
        <v>127</v>
      </c>
      <c r="F1" s="24" t="s">
        <v>41</v>
      </c>
      <c r="G1" s="70" t="s">
        <v>42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</row>
    <row r="2" spans="1:29" ht="14.25" thickTop="1" thickBot="1" x14ac:dyDescent="0.25">
      <c r="A2">
        <v>95</v>
      </c>
      <c r="B2" s="12">
        <f>E59</f>
        <v>58.271092939588051</v>
      </c>
      <c r="C2">
        <v>74.38</v>
      </c>
      <c r="D2" s="71">
        <f>C66</f>
        <v>0.91055744290447649</v>
      </c>
      <c r="E2" s="71">
        <f>AA3</f>
        <v>78.64</v>
      </c>
      <c r="F2" s="30">
        <v>1000000</v>
      </c>
      <c r="G2" s="74">
        <f>E66</f>
        <v>0.90001144651577913</v>
      </c>
      <c r="I2" s="62">
        <f>C67</f>
        <v>1000000</v>
      </c>
      <c r="N2" t="s">
        <v>94</v>
      </c>
      <c r="O2">
        <v>30.21</v>
      </c>
      <c r="P2">
        <v>29.03</v>
      </c>
      <c r="Q2">
        <v>28.74</v>
      </c>
      <c r="R2" s="6">
        <v>27.79</v>
      </c>
      <c r="S2">
        <v>27.18</v>
      </c>
      <c r="T2">
        <v>26.43</v>
      </c>
      <c r="U2">
        <v>33.090000000000003</v>
      </c>
      <c r="V2">
        <v>33.130000000000003</v>
      </c>
      <c r="X2" t="s">
        <v>81</v>
      </c>
      <c r="Y2">
        <v>50.35</v>
      </c>
      <c r="Z2">
        <v>54.02</v>
      </c>
      <c r="AA2">
        <v>57.91</v>
      </c>
      <c r="AB2">
        <v>61.19</v>
      </c>
      <c r="AC2">
        <v>63.91</v>
      </c>
    </row>
    <row r="3" spans="1:29" ht="14.25" thickTop="1" thickBot="1" x14ac:dyDescent="0.25">
      <c r="A3" s="63" t="s">
        <v>124</v>
      </c>
      <c r="B3" s="64" t="s">
        <v>40</v>
      </c>
      <c r="C3" s="65" t="s">
        <v>23</v>
      </c>
      <c r="D3" s="68" t="s">
        <v>125</v>
      </c>
      <c r="E3" s="76" t="s">
        <v>127</v>
      </c>
      <c r="F3" s="72" t="s">
        <v>128</v>
      </c>
      <c r="G3" t="s">
        <v>129</v>
      </c>
      <c r="H3" t="s">
        <v>130</v>
      </c>
      <c r="I3" t="s">
        <v>131</v>
      </c>
      <c r="N3" t="s">
        <v>95</v>
      </c>
      <c r="O3">
        <v>28.93</v>
      </c>
      <c r="P3">
        <v>28.47</v>
      </c>
      <c r="Q3">
        <v>28.33</v>
      </c>
      <c r="R3">
        <v>27.57</v>
      </c>
      <c r="S3">
        <v>26.85</v>
      </c>
      <c r="T3">
        <v>26.3</v>
      </c>
      <c r="U3">
        <v>32.22</v>
      </c>
      <c r="V3">
        <v>32.82</v>
      </c>
      <c r="X3" t="s">
        <v>94</v>
      </c>
      <c r="Y3">
        <v>76.290000000000006</v>
      </c>
      <c r="Z3">
        <v>77.209999999999994</v>
      </c>
      <c r="AA3">
        <v>78.64</v>
      </c>
      <c r="AB3">
        <v>79.680000000000007</v>
      </c>
      <c r="AC3">
        <v>80.650000000000006</v>
      </c>
    </row>
    <row r="4" spans="1:29" ht="14.25" thickTop="1" thickBot="1" x14ac:dyDescent="0.25">
      <c r="A4" s="63">
        <v>38</v>
      </c>
      <c r="B4" s="129">
        <f>(MAX((A4-$A$2),0)-$D$2)*$F$2</f>
        <v>-910557.44290447654</v>
      </c>
      <c r="C4" s="130">
        <f>(MIN(A4-$B$2,0)+$G$2)*$F$2</f>
        <v>-19371081.493072271</v>
      </c>
      <c r="D4" s="30">
        <f>B4+C4</f>
        <v>-20281638.935976747</v>
      </c>
      <c r="E4" s="77">
        <f>(A4-$E$2)*$I$2</f>
        <v>-40640000</v>
      </c>
      <c r="F4" s="77">
        <f>($E$2-A4)*$F$2</f>
        <v>40640000</v>
      </c>
      <c r="G4" s="35">
        <v>0</v>
      </c>
      <c r="H4" s="35">
        <f>C4+F4</f>
        <v>21268918.506927729</v>
      </c>
      <c r="I4" s="35">
        <f>D4+F4</f>
        <v>20358361.064023253</v>
      </c>
    </row>
    <row r="5" spans="1:29" ht="14.25" thickTop="1" thickBot="1" x14ac:dyDescent="0.25">
      <c r="A5" s="73">
        <v>45</v>
      </c>
      <c r="B5" s="75">
        <f>(MAX((A5-$A$2),0)-$D$2)*$F$2</f>
        <v>-910557.44290447654</v>
      </c>
      <c r="C5" s="75">
        <f>(MIN(A5-$B$2,0)+$G$2)*$F$2</f>
        <v>-12371081.493072271</v>
      </c>
      <c r="D5" s="30">
        <f>B5+C5</f>
        <v>-13281638.935976747</v>
      </c>
      <c r="E5" s="77">
        <f>(A5-$E$2)*$I$2</f>
        <v>-33640000</v>
      </c>
      <c r="F5" s="77">
        <f>($E$2-A5)*$F$2</f>
        <v>33640000</v>
      </c>
      <c r="G5" s="35">
        <f>E5+F5</f>
        <v>0</v>
      </c>
      <c r="H5" s="35">
        <f>C5+F5</f>
        <v>21268918.506927729</v>
      </c>
      <c r="I5" s="35">
        <f>D5+F5</f>
        <v>20358361.064023253</v>
      </c>
      <c r="N5" t="s">
        <v>96</v>
      </c>
      <c r="O5">
        <v>30.63</v>
      </c>
      <c r="P5">
        <v>29.46</v>
      </c>
      <c r="Q5">
        <v>29.14</v>
      </c>
      <c r="R5">
        <v>28.18</v>
      </c>
      <c r="S5">
        <v>27.56</v>
      </c>
      <c r="T5">
        <v>27.04</v>
      </c>
      <c r="U5">
        <v>34.119999999999997</v>
      </c>
      <c r="V5">
        <v>33.96</v>
      </c>
    </row>
    <row r="6" spans="1:29" ht="14.25" thickTop="1" thickBot="1" x14ac:dyDescent="0.25">
      <c r="A6" s="73">
        <f>A5+5</f>
        <v>50</v>
      </c>
      <c r="B6" s="75">
        <f t="shared" ref="B6:B42" si="0">(MAX((A6-$A$2),0)-$D$2)*$F$2</f>
        <v>-910557.44290447654</v>
      </c>
      <c r="C6" s="75">
        <f t="shared" ref="C6:C33" si="1">(MIN(A6-$B$2,0)+$G$2)*$F$2</f>
        <v>-7371081.4930722723</v>
      </c>
      <c r="D6" s="30">
        <f t="shared" ref="D6:D33" si="2">B6+C6</f>
        <v>-8281638.9359767493</v>
      </c>
      <c r="E6" s="77">
        <f t="shared" ref="E6:E33" si="3">(A6-$E$2)*$I$2</f>
        <v>-28640000</v>
      </c>
      <c r="F6" s="77">
        <f t="shared" ref="F6:F33" si="4">($E$2-A6)*$F$2</f>
        <v>28640000</v>
      </c>
      <c r="G6" s="35">
        <f t="shared" ref="G6:G33" si="5">E6+F6</f>
        <v>0</v>
      </c>
      <c r="H6" s="35">
        <f t="shared" ref="H6:H33" si="6">C6+F6</f>
        <v>21268918.506927729</v>
      </c>
      <c r="I6" s="35">
        <f t="shared" ref="I6:I33" si="7">D6+F6</f>
        <v>20358361.064023249</v>
      </c>
      <c r="N6" t="s">
        <v>97</v>
      </c>
      <c r="O6">
        <v>31.07</v>
      </c>
      <c r="P6">
        <v>30.29</v>
      </c>
      <c r="Q6">
        <v>30.48</v>
      </c>
      <c r="R6">
        <v>29.19</v>
      </c>
      <c r="S6">
        <v>28.43</v>
      </c>
      <c r="T6">
        <v>27.93</v>
      </c>
      <c r="U6">
        <v>34.549999999999997</v>
      </c>
      <c r="V6">
        <v>34.53</v>
      </c>
    </row>
    <row r="7" spans="1:29" ht="14.25" thickTop="1" thickBot="1" x14ac:dyDescent="0.25">
      <c r="A7" s="73">
        <f t="shared" ref="A7:A42" si="8">A6+1.5</f>
        <v>51.5</v>
      </c>
      <c r="B7" s="75">
        <f t="shared" si="0"/>
        <v>-910557.44290447654</v>
      </c>
      <c r="C7" s="75">
        <f t="shared" si="1"/>
        <v>-5871081.4930722723</v>
      </c>
      <c r="D7" s="30">
        <f t="shared" si="2"/>
        <v>-6781638.9359767493</v>
      </c>
      <c r="E7" s="77">
        <f t="shared" si="3"/>
        <v>-27140000</v>
      </c>
      <c r="F7" s="77">
        <f t="shared" si="4"/>
        <v>27140000</v>
      </c>
      <c r="G7" s="35">
        <f t="shared" si="5"/>
        <v>0</v>
      </c>
      <c r="H7" s="35">
        <f t="shared" si="6"/>
        <v>21268918.506927729</v>
      </c>
      <c r="I7" s="35">
        <f t="shared" si="7"/>
        <v>20358361.064023249</v>
      </c>
      <c r="N7" t="s">
        <v>98</v>
      </c>
      <c r="O7">
        <v>30.69</v>
      </c>
      <c r="P7">
        <v>29.97</v>
      </c>
      <c r="Q7">
        <v>30.11</v>
      </c>
      <c r="R7">
        <v>28.89</v>
      </c>
      <c r="S7">
        <v>28.3</v>
      </c>
      <c r="T7">
        <v>27.1</v>
      </c>
      <c r="U7">
        <v>34.229999999999997</v>
      </c>
      <c r="V7">
        <v>33.74</v>
      </c>
    </row>
    <row r="8" spans="1:29" ht="14.25" thickTop="1" thickBot="1" x14ac:dyDescent="0.25">
      <c r="A8" s="73">
        <f t="shared" si="8"/>
        <v>53</v>
      </c>
      <c r="B8" s="75">
        <f t="shared" si="0"/>
        <v>-910557.44290447654</v>
      </c>
      <c r="C8" s="75">
        <f t="shared" si="1"/>
        <v>-4371081.4930722723</v>
      </c>
      <c r="D8" s="30">
        <f t="shared" si="2"/>
        <v>-5281638.9359767493</v>
      </c>
      <c r="E8" s="77">
        <f t="shared" si="3"/>
        <v>-25640000</v>
      </c>
      <c r="F8" s="77">
        <f t="shared" si="4"/>
        <v>25640000</v>
      </c>
      <c r="G8" s="35">
        <f t="shared" si="5"/>
        <v>0</v>
      </c>
      <c r="H8" s="35">
        <f t="shared" si="6"/>
        <v>21268918.506927729</v>
      </c>
      <c r="I8" s="35">
        <f t="shared" si="7"/>
        <v>20358361.064023249</v>
      </c>
      <c r="N8" t="s">
        <v>99</v>
      </c>
      <c r="O8">
        <v>29.9</v>
      </c>
      <c r="P8">
        <v>29.57</v>
      </c>
      <c r="Q8">
        <v>29.58</v>
      </c>
      <c r="R8">
        <v>28.48</v>
      </c>
      <c r="S8">
        <v>28.15</v>
      </c>
      <c r="T8">
        <v>26.92</v>
      </c>
      <c r="U8">
        <v>33.19</v>
      </c>
      <c r="V8">
        <v>33.44</v>
      </c>
    </row>
    <row r="9" spans="1:29" ht="14.25" thickTop="1" thickBot="1" x14ac:dyDescent="0.25">
      <c r="A9" s="73">
        <f t="shared" si="8"/>
        <v>54.5</v>
      </c>
      <c r="B9" s="75">
        <f t="shared" si="0"/>
        <v>-910557.44290447654</v>
      </c>
      <c r="C9" s="75">
        <f t="shared" si="1"/>
        <v>-2871081.4930722723</v>
      </c>
      <c r="D9" s="30">
        <f t="shared" si="2"/>
        <v>-3781638.9359767488</v>
      </c>
      <c r="E9" s="77">
        <f t="shared" si="3"/>
        <v>-24140000</v>
      </c>
      <c r="F9" s="77">
        <f t="shared" si="4"/>
        <v>24140000</v>
      </c>
      <c r="G9" s="35">
        <f t="shared" si="5"/>
        <v>0</v>
      </c>
      <c r="H9" s="35">
        <f t="shared" si="6"/>
        <v>21268918.506927729</v>
      </c>
      <c r="I9" s="35">
        <f t="shared" si="7"/>
        <v>20358361.064023253</v>
      </c>
    </row>
    <row r="10" spans="1:29" ht="14.25" thickTop="1" thickBot="1" x14ac:dyDescent="0.25">
      <c r="A10" s="73">
        <f t="shared" si="8"/>
        <v>56</v>
      </c>
      <c r="B10" s="75">
        <f t="shared" si="0"/>
        <v>-910557.44290447654</v>
      </c>
      <c r="C10" s="75">
        <f t="shared" si="1"/>
        <v>-1371081.493072272</v>
      </c>
      <c r="D10" s="30">
        <f t="shared" si="2"/>
        <v>-2281638.9359767484</v>
      </c>
      <c r="E10" s="77">
        <f t="shared" si="3"/>
        <v>-22640000</v>
      </c>
      <c r="F10" s="77">
        <f t="shared" si="4"/>
        <v>22640000</v>
      </c>
      <c r="G10" s="35">
        <f t="shared" si="5"/>
        <v>0</v>
      </c>
      <c r="H10" s="35">
        <f t="shared" si="6"/>
        <v>21268918.506927729</v>
      </c>
      <c r="I10" s="35">
        <f t="shared" si="7"/>
        <v>20358361.064023253</v>
      </c>
    </row>
    <row r="11" spans="1:29" ht="14.25" thickTop="1" thickBot="1" x14ac:dyDescent="0.25">
      <c r="A11" s="73">
        <f t="shared" si="8"/>
        <v>57.5</v>
      </c>
      <c r="B11" s="75">
        <f t="shared" si="0"/>
        <v>-910557.44290447654</v>
      </c>
      <c r="C11" s="75">
        <f t="shared" si="1"/>
        <v>128918.50692772788</v>
      </c>
      <c r="D11" s="30">
        <f t="shared" si="2"/>
        <v>-781638.9359767487</v>
      </c>
      <c r="E11" s="77">
        <f t="shared" si="3"/>
        <v>-21140000</v>
      </c>
      <c r="F11" s="77">
        <f t="shared" si="4"/>
        <v>21140000</v>
      </c>
      <c r="G11" s="35">
        <f t="shared" si="5"/>
        <v>0</v>
      </c>
      <c r="H11" s="35">
        <f t="shared" si="6"/>
        <v>21268918.506927729</v>
      </c>
      <c r="I11" s="35">
        <f t="shared" si="7"/>
        <v>20358361.064023253</v>
      </c>
    </row>
    <row r="12" spans="1:29" ht="14.25" thickTop="1" thickBot="1" x14ac:dyDescent="0.25">
      <c r="A12" s="73">
        <f t="shared" si="8"/>
        <v>59</v>
      </c>
      <c r="B12" s="75">
        <f t="shared" si="0"/>
        <v>-910557.44290447654</v>
      </c>
      <c r="C12" s="75">
        <f t="shared" si="1"/>
        <v>900011.44651577913</v>
      </c>
      <c r="D12" s="30">
        <f t="shared" si="2"/>
        <v>-10545.996388697415</v>
      </c>
      <c r="E12" s="77">
        <f t="shared" si="3"/>
        <v>-19640000</v>
      </c>
      <c r="F12" s="77">
        <f t="shared" si="4"/>
        <v>19640000</v>
      </c>
      <c r="G12" s="35">
        <f t="shared" si="5"/>
        <v>0</v>
      </c>
      <c r="H12" s="35">
        <f t="shared" si="6"/>
        <v>20540011.44651578</v>
      </c>
      <c r="I12" s="35">
        <f t="shared" si="7"/>
        <v>19629454.003611304</v>
      </c>
      <c r="L12" s="22" t="s">
        <v>154</v>
      </c>
      <c r="N12" s="22" t="s">
        <v>18</v>
      </c>
    </row>
    <row r="13" spans="1:29" ht="14.25" thickTop="1" thickBot="1" x14ac:dyDescent="0.25">
      <c r="A13" s="73">
        <f t="shared" si="8"/>
        <v>60.5</v>
      </c>
      <c r="B13" s="75">
        <f t="shared" si="0"/>
        <v>-910557.44290447654</v>
      </c>
      <c r="C13" s="75">
        <f t="shared" si="1"/>
        <v>900011.44651577913</v>
      </c>
      <c r="D13" s="30">
        <f t="shared" si="2"/>
        <v>-10545.996388697415</v>
      </c>
      <c r="E13" s="77">
        <f t="shared" si="3"/>
        <v>-18140000</v>
      </c>
      <c r="F13" s="77">
        <f t="shared" si="4"/>
        <v>18140000</v>
      </c>
      <c r="G13" s="35">
        <f t="shared" si="5"/>
        <v>0</v>
      </c>
      <c r="H13" s="35">
        <f t="shared" si="6"/>
        <v>19040011.44651578</v>
      </c>
      <c r="I13" s="35">
        <f t="shared" si="7"/>
        <v>18129454.003611304</v>
      </c>
      <c r="L13">
        <v>0.1</v>
      </c>
      <c r="M13">
        <f>C2*(1+L13)</f>
        <v>81.817999999999998</v>
      </c>
    </row>
    <row r="14" spans="1:29" s="84" customFormat="1" ht="14.25" thickTop="1" thickBot="1" x14ac:dyDescent="0.25">
      <c r="A14" s="73">
        <f t="shared" si="8"/>
        <v>62</v>
      </c>
      <c r="B14" s="81">
        <f t="shared" si="0"/>
        <v>-910557.44290447654</v>
      </c>
      <c r="C14" s="81">
        <f t="shared" si="1"/>
        <v>900011.44651577913</v>
      </c>
      <c r="D14" s="82">
        <f t="shared" si="2"/>
        <v>-10545.996388697415</v>
      </c>
      <c r="E14" s="77">
        <f t="shared" si="3"/>
        <v>-16640000</v>
      </c>
      <c r="F14" s="77">
        <f t="shared" si="4"/>
        <v>16640000</v>
      </c>
      <c r="G14" s="83">
        <f t="shared" si="5"/>
        <v>0</v>
      </c>
      <c r="H14" s="83">
        <f t="shared" si="6"/>
        <v>17540011.44651578</v>
      </c>
      <c r="I14" s="83">
        <f t="shared" si="7"/>
        <v>16629454.003611302</v>
      </c>
      <c r="L14" s="84">
        <v>0.2</v>
      </c>
      <c r="M14" s="84">
        <f>C2*(1+L14)</f>
        <v>89.255999999999986</v>
      </c>
    </row>
    <row r="15" spans="1:29" ht="14.25" thickTop="1" thickBot="1" x14ac:dyDescent="0.25">
      <c r="A15" s="73">
        <f t="shared" si="8"/>
        <v>63.5</v>
      </c>
      <c r="B15" s="75">
        <f t="shared" si="0"/>
        <v>-910557.44290447654</v>
      </c>
      <c r="C15" s="75">
        <f t="shared" si="1"/>
        <v>900011.44651577913</v>
      </c>
      <c r="D15" s="30">
        <f t="shared" si="2"/>
        <v>-10545.996388697415</v>
      </c>
      <c r="E15" s="77">
        <f t="shared" si="3"/>
        <v>-15140000</v>
      </c>
      <c r="F15" s="77">
        <f t="shared" si="4"/>
        <v>15140000</v>
      </c>
      <c r="G15" s="35">
        <f t="shared" si="5"/>
        <v>0</v>
      </c>
      <c r="H15" s="35">
        <f t="shared" si="6"/>
        <v>16040011.44651578</v>
      </c>
      <c r="I15" s="35">
        <f t="shared" si="7"/>
        <v>15129454.003611302</v>
      </c>
      <c r="L15">
        <v>0.25</v>
      </c>
      <c r="M15">
        <f>C2*(1+L15)</f>
        <v>92.974999999999994</v>
      </c>
      <c r="N15">
        <v>68</v>
      </c>
    </row>
    <row r="16" spans="1:29" s="72" customFormat="1" ht="14.25" thickTop="1" thickBot="1" x14ac:dyDescent="0.25">
      <c r="A16" s="73">
        <f t="shared" si="8"/>
        <v>65</v>
      </c>
      <c r="B16" s="78">
        <f t="shared" si="0"/>
        <v>-910557.44290447654</v>
      </c>
      <c r="C16" s="78">
        <f t="shared" si="1"/>
        <v>900011.44651577913</v>
      </c>
      <c r="D16" s="79">
        <f t="shared" si="2"/>
        <v>-10545.996388697415</v>
      </c>
      <c r="E16" s="77">
        <f t="shared" si="3"/>
        <v>-13640000</v>
      </c>
      <c r="F16" s="77">
        <f t="shared" si="4"/>
        <v>13640000</v>
      </c>
      <c r="G16" s="80">
        <f t="shared" si="5"/>
        <v>0</v>
      </c>
      <c r="H16" s="80">
        <f t="shared" si="6"/>
        <v>14540011.44651578</v>
      </c>
      <c r="I16" s="80">
        <f t="shared" si="7"/>
        <v>13629454.003611302</v>
      </c>
    </row>
    <row r="17" spans="1:16" ht="14.25" thickTop="1" thickBot="1" x14ac:dyDescent="0.25">
      <c r="A17" s="73">
        <f t="shared" si="8"/>
        <v>66.5</v>
      </c>
      <c r="B17" s="75">
        <f t="shared" si="0"/>
        <v>-910557.44290447654</v>
      </c>
      <c r="C17" s="75">
        <f t="shared" si="1"/>
        <v>900011.44651577913</v>
      </c>
      <c r="D17" s="30">
        <f t="shared" si="2"/>
        <v>-10545.996388697415</v>
      </c>
      <c r="E17" s="77">
        <f t="shared" si="3"/>
        <v>-12140000</v>
      </c>
      <c r="F17" s="77">
        <f t="shared" si="4"/>
        <v>12140000</v>
      </c>
      <c r="G17" s="35">
        <f t="shared" si="5"/>
        <v>0</v>
      </c>
      <c r="H17" s="35">
        <f t="shared" si="6"/>
        <v>13040011.44651578</v>
      </c>
      <c r="I17" s="35">
        <f t="shared" si="7"/>
        <v>12129454.003611302</v>
      </c>
    </row>
    <row r="18" spans="1:16" ht="14.25" thickTop="1" thickBot="1" x14ac:dyDescent="0.25">
      <c r="A18" s="73">
        <f t="shared" si="8"/>
        <v>68</v>
      </c>
      <c r="B18" s="75">
        <f t="shared" si="0"/>
        <v>-910557.44290447654</v>
      </c>
      <c r="C18" s="75">
        <f t="shared" si="1"/>
        <v>900011.44651577913</v>
      </c>
      <c r="D18" s="30">
        <f t="shared" si="2"/>
        <v>-10545.996388697415</v>
      </c>
      <c r="E18" s="77">
        <f t="shared" si="3"/>
        <v>-10640000</v>
      </c>
      <c r="F18" s="77">
        <f t="shared" si="4"/>
        <v>10640000</v>
      </c>
      <c r="G18" s="35">
        <f t="shared" si="5"/>
        <v>0</v>
      </c>
      <c r="H18" s="35">
        <f t="shared" si="6"/>
        <v>11540011.44651578</v>
      </c>
      <c r="I18" s="35">
        <f t="shared" si="7"/>
        <v>10629454.003611302</v>
      </c>
    </row>
    <row r="19" spans="1:16" ht="14.25" thickTop="1" thickBot="1" x14ac:dyDescent="0.25">
      <c r="A19" s="73">
        <f t="shared" si="8"/>
        <v>69.5</v>
      </c>
      <c r="B19" s="75">
        <f t="shared" si="0"/>
        <v>-910557.44290447654</v>
      </c>
      <c r="C19" s="75">
        <f t="shared" si="1"/>
        <v>900011.44651577913</v>
      </c>
      <c r="D19" s="30">
        <f t="shared" si="2"/>
        <v>-10545.996388697415</v>
      </c>
      <c r="E19" s="77">
        <f t="shared" si="3"/>
        <v>-9140000</v>
      </c>
      <c r="F19" s="77">
        <f t="shared" si="4"/>
        <v>9140000</v>
      </c>
      <c r="G19" s="35">
        <f t="shared" si="5"/>
        <v>0</v>
      </c>
      <c r="H19" s="35">
        <f t="shared" si="6"/>
        <v>10040011.44651578</v>
      </c>
      <c r="I19" s="35">
        <f t="shared" si="7"/>
        <v>9129454.003611302</v>
      </c>
    </row>
    <row r="20" spans="1:16" ht="14.25" thickTop="1" thickBot="1" x14ac:dyDescent="0.25">
      <c r="A20" s="73">
        <f t="shared" si="8"/>
        <v>71</v>
      </c>
      <c r="B20" s="75">
        <f t="shared" si="0"/>
        <v>-910557.44290447654</v>
      </c>
      <c r="C20" s="75">
        <f t="shared" si="1"/>
        <v>900011.44651577913</v>
      </c>
      <c r="D20" s="30">
        <f t="shared" si="2"/>
        <v>-10545.996388697415</v>
      </c>
      <c r="E20" s="77">
        <f t="shared" si="3"/>
        <v>-7640000.0000000009</v>
      </c>
      <c r="F20" s="77">
        <f t="shared" si="4"/>
        <v>7640000.0000000009</v>
      </c>
      <c r="G20" s="35">
        <f t="shared" si="5"/>
        <v>0</v>
      </c>
      <c r="H20" s="35">
        <f t="shared" si="6"/>
        <v>8540011.4465157799</v>
      </c>
      <c r="I20" s="35">
        <f t="shared" si="7"/>
        <v>7629454.0036113039</v>
      </c>
      <c r="P20">
        <f>74.38*0.92</f>
        <v>68.429599999999994</v>
      </c>
    </row>
    <row r="21" spans="1:16" ht="14.25" thickTop="1" thickBot="1" x14ac:dyDescent="0.25">
      <c r="A21" s="73">
        <f t="shared" si="8"/>
        <v>72.5</v>
      </c>
      <c r="B21" s="75">
        <f t="shared" si="0"/>
        <v>-910557.44290447654</v>
      </c>
      <c r="C21" s="75">
        <f t="shared" si="1"/>
        <v>900011.44651577913</v>
      </c>
      <c r="D21" s="30">
        <f t="shared" si="2"/>
        <v>-10545.996388697415</v>
      </c>
      <c r="E21" s="77">
        <f t="shared" si="3"/>
        <v>-6140000.0000000009</v>
      </c>
      <c r="F21" s="77">
        <f t="shared" si="4"/>
        <v>6140000.0000000009</v>
      </c>
      <c r="G21" s="35">
        <f t="shared" si="5"/>
        <v>0</v>
      </c>
      <c r="H21" s="35">
        <f t="shared" si="6"/>
        <v>7040011.4465157799</v>
      </c>
      <c r="I21" s="35">
        <f t="shared" si="7"/>
        <v>6129454.0036113039</v>
      </c>
    </row>
    <row r="22" spans="1:16" ht="14.25" thickTop="1" thickBot="1" x14ac:dyDescent="0.25">
      <c r="A22" s="73">
        <f t="shared" si="8"/>
        <v>74</v>
      </c>
      <c r="B22" s="75">
        <f t="shared" si="0"/>
        <v>-910557.44290447654</v>
      </c>
      <c r="C22" s="75">
        <f t="shared" si="1"/>
        <v>900011.44651577913</v>
      </c>
      <c r="D22" s="30">
        <f t="shared" si="2"/>
        <v>-10545.996388697415</v>
      </c>
      <c r="E22" s="77">
        <f t="shared" si="3"/>
        <v>-4640000.0000000009</v>
      </c>
      <c r="F22" s="77">
        <f t="shared" si="4"/>
        <v>4640000.0000000009</v>
      </c>
      <c r="G22" s="35">
        <f t="shared" si="5"/>
        <v>0</v>
      </c>
      <c r="H22" s="35">
        <f t="shared" si="6"/>
        <v>5540011.4465157799</v>
      </c>
      <c r="I22" s="35">
        <f t="shared" si="7"/>
        <v>4629454.0036113039</v>
      </c>
    </row>
    <row r="23" spans="1:16" ht="14.25" thickTop="1" thickBot="1" x14ac:dyDescent="0.25">
      <c r="A23" s="73">
        <f t="shared" si="8"/>
        <v>75.5</v>
      </c>
      <c r="B23" s="75">
        <f t="shared" si="0"/>
        <v>-910557.44290447654</v>
      </c>
      <c r="C23" s="75">
        <f t="shared" si="1"/>
        <v>900011.44651577913</v>
      </c>
      <c r="D23" s="30">
        <f t="shared" si="2"/>
        <v>-10545.996388697415</v>
      </c>
      <c r="E23" s="77">
        <f t="shared" si="3"/>
        <v>-3140000.0000000005</v>
      </c>
      <c r="F23" s="77">
        <f t="shared" si="4"/>
        <v>3140000.0000000005</v>
      </c>
      <c r="G23" s="35">
        <f t="shared" si="5"/>
        <v>0</v>
      </c>
      <c r="H23" s="35">
        <f t="shared" si="6"/>
        <v>4040011.4465157795</v>
      </c>
      <c r="I23" s="35">
        <f t="shared" si="7"/>
        <v>3129454.0036113029</v>
      </c>
    </row>
    <row r="24" spans="1:16" ht="14.25" thickTop="1" thickBot="1" x14ac:dyDescent="0.25">
      <c r="A24" s="73">
        <f t="shared" si="8"/>
        <v>77</v>
      </c>
      <c r="B24" s="75">
        <f t="shared" si="0"/>
        <v>-910557.44290447654</v>
      </c>
      <c r="C24" s="75">
        <f t="shared" si="1"/>
        <v>900011.44651577913</v>
      </c>
      <c r="D24" s="30">
        <f t="shared" si="2"/>
        <v>-10545.996388697415</v>
      </c>
      <c r="E24" s="77">
        <f t="shared" si="3"/>
        <v>-1640000.0000000005</v>
      </c>
      <c r="F24" s="77">
        <f t="shared" si="4"/>
        <v>1640000.0000000005</v>
      </c>
      <c r="G24" s="35">
        <f t="shared" si="5"/>
        <v>0</v>
      </c>
      <c r="H24" s="35">
        <f t="shared" si="6"/>
        <v>2540011.4465157795</v>
      </c>
      <c r="I24" s="35">
        <f t="shared" si="7"/>
        <v>1629454.0036113029</v>
      </c>
    </row>
    <row r="25" spans="1:16" ht="14.25" thickTop="1" thickBot="1" x14ac:dyDescent="0.25">
      <c r="A25" s="73">
        <f t="shared" si="8"/>
        <v>78.5</v>
      </c>
      <c r="B25" s="75">
        <f t="shared" si="0"/>
        <v>-910557.44290447654</v>
      </c>
      <c r="C25" s="75">
        <f t="shared" si="1"/>
        <v>900011.44651577913</v>
      </c>
      <c r="D25" s="30">
        <f t="shared" si="2"/>
        <v>-10545.996388697415</v>
      </c>
      <c r="E25" s="77">
        <f t="shared" si="3"/>
        <v>-140000.00000000058</v>
      </c>
      <c r="F25" s="77">
        <f t="shared" si="4"/>
        <v>140000.00000000058</v>
      </c>
      <c r="G25" s="35">
        <f t="shared" si="5"/>
        <v>0</v>
      </c>
      <c r="H25" s="35">
        <f t="shared" si="6"/>
        <v>1040011.4465157797</v>
      </c>
      <c r="I25" s="35">
        <f t="shared" si="7"/>
        <v>129454.00361130317</v>
      </c>
    </row>
    <row r="26" spans="1:16" ht="14.25" thickTop="1" thickBot="1" x14ac:dyDescent="0.25">
      <c r="A26" s="73">
        <f t="shared" si="8"/>
        <v>80</v>
      </c>
      <c r="B26" s="75">
        <f t="shared" si="0"/>
        <v>-910557.44290447654</v>
      </c>
      <c r="C26" s="75">
        <f t="shared" si="1"/>
        <v>900011.44651577913</v>
      </c>
      <c r="D26" s="30">
        <f t="shared" si="2"/>
        <v>-10545.996388697415</v>
      </c>
      <c r="E26" s="77">
        <f t="shared" si="3"/>
        <v>1359999.9999999995</v>
      </c>
      <c r="F26" s="77">
        <f t="shared" si="4"/>
        <v>-1359999.9999999995</v>
      </c>
      <c r="G26" s="35">
        <f t="shared" si="5"/>
        <v>0</v>
      </c>
      <c r="H26" s="35">
        <f t="shared" si="6"/>
        <v>-459988.55348422041</v>
      </c>
      <c r="I26" s="35">
        <f t="shared" si="7"/>
        <v>-1370545.9963886971</v>
      </c>
    </row>
    <row r="27" spans="1:16" ht="14.25" thickTop="1" thickBot="1" x14ac:dyDescent="0.25">
      <c r="A27" s="73">
        <f t="shared" si="8"/>
        <v>81.5</v>
      </c>
      <c r="B27" s="75">
        <f t="shared" si="0"/>
        <v>-910557.44290447654</v>
      </c>
      <c r="C27" s="75">
        <f t="shared" si="1"/>
        <v>900011.44651577913</v>
      </c>
      <c r="D27" s="30">
        <f t="shared" si="2"/>
        <v>-10545.996388697415</v>
      </c>
      <c r="E27" s="77">
        <f t="shared" si="3"/>
        <v>2859999.9999999995</v>
      </c>
      <c r="F27" s="77">
        <f t="shared" si="4"/>
        <v>-2859999.9999999995</v>
      </c>
      <c r="G27" s="35">
        <f t="shared" si="5"/>
        <v>0</v>
      </c>
      <c r="H27" s="35">
        <f t="shared" si="6"/>
        <v>-1959988.5534842205</v>
      </c>
      <c r="I27" s="35">
        <f t="shared" si="7"/>
        <v>-2870545.9963886971</v>
      </c>
    </row>
    <row r="28" spans="1:16" ht="14.25" thickTop="1" thickBot="1" x14ac:dyDescent="0.25">
      <c r="A28" s="73">
        <f t="shared" si="8"/>
        <v>83</v>
      </c>
      <c r="B28" s="75">
        <f t="shared" si="0"/>
        <v>-910557.44290447654</v>
      </c>
      <c r="C28" s="75">
        <f t="shared" si="1"/>
        <v>900011.44651577913</v>
      </c>
      <c r="D28" s="30">
        <f t="shared" si="2"/>
        <v>-10545.996388697415</v>
      </c>
      <c r="E28" s="77">
        <f t="shared" si="3"/>
        <v>4359999.9999999991</v>
      </c>
      <c r="F28" s="77">
        <f t="shared" si="4"/>
        <v>-4359999.9999999991</v>
      </c>
      <c r="G28" s="35">
        <f t="shared" si="5"/>
        <v>0</v>
      </c>
      <c r="H28" s="35">
        <f t="shared" si="6"/>
        <v>-3459988.5534842201</v>
      </c>
      <c r="I28" s="35">
        <f t="shared" si="7"/>
        <v>-4370545.9963886961</v>
      </c>
    </row>
    <row r="29" spans="1:16" ht="14.25" thickTop="1" thickBot="1" x14ac:dyDescent="0.25">
      <c r="A29" s="73">
        <f t="shared" si="8"/>
        <v>84.5</v>
      </c>
      <c r="B29" s="75">
        <f t="shared" si="0"/>
        <v>-910557.44290447654</v>
      </c>
      <c r="C29" s="75">
        <f t="shared" si="1"/>
        <v>900011.44651577913</v>
      </c>
      <c r="D29" s="30">
        <f t="shared" si="2"/>
        <v>-10545.996388697415</v>
      </c>
      <c r="E29" s="77">
        <f t="shared" si="3"/>
        <v>5859999.9999999991</v>
      </c>
      <c r="F29" s="77">
        <f t="shared" si="4"/>
        <v>-5859999.9999999991</v>
      </c>
      <c r="G29" s="35">
        <f t="shared" si="5"/>
        <v>0</v>
      </c>
      <c r="H29" s="35">
        <f t="shared" si="6"/>
        <v>-4959988.5534842201</v>
      </c>
      <c r="I29" s="35">
        <f t="shared" si="7"/>
        <v>-5870545.9963886961</v>
      </c>
    </row>
    <row r="30" spans="1:16" ht="14.25" thickTop="1" thickBot="1" x14ac:dyDescent="0.25">
      <c r="A30" s="73">
        <f t="shared" si="8"/>
        <v>86</v>
      </c>
      <c r="B30" s="75">
        <f t="shared" si="0"/>
        <v>-910557.44290447654</v>
      </c>
      <c r="C30" s="75">
        <f t="shared" si="1"/>
        <v>900011.44651577913</v>
      </c>
      <c r="D30" s="30">
        <f t="shared" si="2"/>
        <v>-10545.996388697415</v>
      </c>
      <c r="E30" s="77">
        <f t="shared" si="3"/>
        <v>7359999.9999999991</v>
      </c>
      <c r="F30" s="77">
        <f t="shared" si="4"/>
        <v>-7359999.9999999991</v>
      </c>
      <c r="G30" s="35">
        <f t="shared" si="5"/>
        <v>0</v>
      </c>
      <c r="H30" s="35">
        <f t="shared" si="6"/>
        <v>-6459988.5534842201</v>
      </c>
      <c r="I30" s="35">
        <f t="shared" si="7"/>
        <v>-7370545.9963886961</v>
      </c>
    </row>
    <row r="31" spans="1:16" ht="14.25" thickTop="1" thickBot="1" x14ac:dyDescent="0.25">
      <c r="A31" s="73">
        <f t="shared" si="8"/>
        <v>87.5</v>
      </c>
      <c r="B31" s="75">
        <f t="shared" si="0"/>
        <v>-910557.44290447654</v>
      </c>
      <c r="C31" s="75">
        <f t="shared" si="1"/>
        <v>900011.44651577913</v>
      </c>
      <c r="D31" s="30">
        <f t="shared" si="2"/>
        <v>-10545.996388697415</v>
      </c>
      <c r="E31" s="77">
        <f t="shared" si="3"/>
        <v>8860000</v>
      </c>
      <c r="F31" s="77">
        <f t="shared" si="4"/>
        <v>-8860000</v>
      </c>
      <c r="G31" s="35">
        <f t="shared" si="5"/>
        <v>0</v>
      </c>
      <c r="H31" s="35">
        <f t="shared" si="6"/>
        <v>-7959988.553484221</v>
      </c>
      <c r="I31" s="35">
        <f t="shared" si="7"/>
        <v>-8870545.996388698</v>
      </c>
    </row>
    <row r="32" spans="1:16" ht="14.25" thickTop="1" thickBot="1" x14ac:dyDescent="0.25">
      <c r="A32" s="73">
        <f t="shared" si="8"/>
        <v>89</v>
      </c>
      <c r="B32" s="75">
        <f t="shared" si="0"/>
        <v>-910557.44290447654</v>
      </c>
      <c r="C32" s="75">
        <f t="shared" si="1"/>
        <v>900011.44651577913</v>
      </c>
      <c r="D32" s="30">
        <f t="shared" si="2"/>
        <v>-10545.996388697415</v>
      </c>
      <c r="E32" s="77">
        <f t="shared" si="3"/>
        <v>10360000</v>
      </c>
      <c r="F32" s="77">
        <f t="shared" si="4"/>
        <v>-10360000</v>
      </c>
      <c r="G32" s="35">
        <f t="shared" si="5"/>
        <v>0</v>
      </c>
      <c r="H32" s="35">
        <f t="shared" si="6"/>
        <v>-9459988.5534842201</v>
      </c>
      <c r="I32" s="35">
        <f t="shared" si="7"/>
        <v>-10370545.996388698</v>
      </c>
    </row>
    <row r="33" spans="1:28" ht="14.25" thickTop="1" thickBot="1" x14ac:dyDescent="0.25">
      <c r="A33" s="73">
        <f t="shared" si="8"/>
        <v>90.5</v>
      </c>
      <c r="B33" s="75">
        <f t="shared" si="0"/>
        <v>-910557.44290447654</v>
      </c>
      <c r="C33" s="75">
        <f t="shared" si="1"/>
        <v>900011.44651577913</v>
      </c>
      <c r="D33" s="30">
        <f t="shared" si="2"/>
        <v>-10545.996388697415</v>
      </c>
      <c r="E33" s="77">
        <f t="shared" si="3"/>
        <v>11860000</v>
      </c>
      <c r="F33" s="77">
        <f t="shared" si="4"/>
        <v>-11860000</v>
      </c>
      <c r="G33" s="35">
        <f t="shared" si="5"/>
        <v>0</v>
      </c>
      <c r="H33" s="35">
        <f t="shared" si="6"/>
        <v>-10959988.55348422</v>
      </c>
      <c r="I33" s="35">
        <f t="shared" si="7"/>
        <v>-11870545.996388698</v>
      </c>
    </row>
    <row r="34" spans="1:28" ht="14.25" thickTop="1" thickBot="1" x14ac:dyDescent="0.25">
      <c r="A34" s="73">
        <f t="shared" si="8"/>
        <v>92</v>
      </c>
      <c r="B34" s="75">
        <f t="shared" si="0"/>
        <v>-910557.44290447654</v>
      </c>
      <c r="C34" s="75">
        <f t="shared" ref="C34:C42" si="9">(MIN(A34-$B$2,0)+$G$2)*$F$2</f>
        <v>900011.44651577913</v>
      </c>
      <c r="D34" s="30">
        <f t="shared" ref="D34:D42" si="10">B34+C34</f>
        <v>-10545.996388697415</v>
      </c>
      <c r="E34" s="77">
        <f t="shared" ref="E34:E41" si="11">(A34-$E$2)*$I$2</f>
        <v>13360000</v>
      </c>
      <c r="F34" s="77">
        <f t="shared" ref="F34:F41" si="12">($E$2-A34)*$F$2</f>
        <v>-13360000</v>
      </c>
      <c r="G34" s="35">
        <f t="shared" ref="G34:G41" si="13">E34+F34</f>
        <v>0</v>
      </c>
      <c r="H34" s="35">
        <f t="shared" ref="H34:H41" si="14">C34+F34</f>
        <v>-12459988.55348422</v>
      </c>
      <c r="I34" s="35">
        <f t="shared" ref="I34:I41" si="15">D34+F34</f>
        <v>-13370545.996388698</v>
      </c>
    </row>
    <row r="35" spans="1:28" ht="14.25" thickTop="1" thickBot="1" x14ac:dyDescent="0.25">
      <c r="A35" s="73">
        <f t="shared" si="8"/>
        <v>93.5</v>
      </c>
      <c r="B35" s="75">
        <f t="shared" si="0"/>
        <v>-910557.44290447654</v>
      </c>
      <c r="C35" s="75">
        <f t="shared" si="9"/>
        <v>900011.44651577913</v>
      </c>
      <c r="D35" s="30">
        <f t="shared" si="10"/>
        <v>-10545.996388697415</v>
      </c>
      <c r="E35" s="77">
        <f t="shared" si="11"/>
        <v>14860000</v>
      </c>
      <c r="F35" s="77">
        <f t="shared" si="12"/>
        <v>-14860000</v>
      </c>
      <c r="G35" s="35">
        <f t="shared" si="13"/>
        <v>0</v>
      </c>
      <c r="H35" s="35">
        <f t="shared" si="14"/>
        <v>-13959988.55348422</v>
      </c>
      <c r="I35" s="35">
        <f t="shared" si="15"/>
        <v>-14870545.996388698</v>
      </c>
      <c r="N35" s="13"/>
    </row>
    <row r="36" spans="1:28" ht="14.25" thickTop="1" thickBot="1" x14ac:dyDescent="0.25">
      <c r="A36" s="73">
        <f t="shared" si="8"/>
        <v>95</v>
      </c>
      <c r="B36" s="75">
        <f t="shared" si="0"/>
        <v>-910557.44290447654</v>
      </c>
      <c r="C36" s="75">
        <f t="shared" si="9"/>
        <v>900011.44651577913</v>
      </c>
      <c r="D36" s="30">
        <f t="shared" si="10"/>
        <v>-10545.996388697415</v>
      </c>
      <c r="E36" s="77">
        <f t="shared" si="11"/>
        <v>16360000</v>
      </c>
      <c r="F36" s="77">
        <f t="shared" si="12"/>
        <v>-16360000</v>
      </c>
      <c r="G36" s="35">
        <f t="shared" si="13"/>
        <v>0</v>
      </c>
      <c r="H36" s="35">
        <f t="shared" si="14"/>
        <v>-15459988.55348422</v>
      </c>
      <c r="I36" s="35">
        <f t="shared" si="15"/>
        <v>-16370545.996388698</v>
      </c>
    </row>
    <row r="37" spans="1:28" ht="14.25" thickTop="1" thickBot="1" x14ac:dyDescent="0.25">
      <c r="A37" s="73">
        <f t="shared" si="8"/>
        <v>96.5</v>
      </c>
      <c r="B37" s="75">
        <f t="shared" si="0"/>
        <v>589442.55709552346</v>
      </c>
      <c r="C37" s="75">
        <f t="shared" si="9"/>
        <v>900011.44651577913</v>
      </c>
      <c r="D37" s="30">
        <f t="shared" si="10"/>
        <v>1489454.0036113025</v>
      </c>
      <c r="E37" s="77">
        <f t="shared" si="11"/>
        <v>17860000</v>
      </c>
      <c r="F37" s="77">
        <f t="shared" si="12"/>
        <v>-17860000</v>
      </c>
      <c r="G37" s="35">
        <f t="shared" si="13"/>
        <v>0</v>
      </c>
      <c r="H37" s="35">
        <f t="shared" si="14"/>
        <v>-16959988.55348422</v>
      </c>
      <c r="I37" s="35">
        <f t="shared" si="15"/>
        <v>-16370545.996388698</v>
      </c>
      <c r="N37" s="13"/>
    </row>
    <row r="38" spans="1:28" ht="14.25" thickTop="1" thickBot="1" x14ac:dyDescent="0.25">
      <c r="A38" s="73">
        <f t="shared" si="8"/>
        <v>98</v>
      </c>
      <c r="B38" s="75">
        <f t="shared" si="0"/>
        <v>2089442.5570955235</v>
      </c>
      <c r="C38" s="75">
        <f t="shared" si="9"/>
        <v>900011.44651577913</v>
      </c>
      <c r="D38" s="30">
        <f t="shared" si="10"/>
        <v>2989454.0036113025</v>
      </c>
      <c r="E38" s="77">
        <f t="shared" si="11"/>
        <v>19360000</v>
      </c>
      <c r="F38" s="77">
        <f t="shared" si="12"/>
        <v>-19360000</v>
      </c>
      <c r="G38" s="35">
        <f t="shared" si="13"/>
        <v>0</v>
      </c>
      <c r="H38" s="35">
        <f t="shared" si="14"/>
        <v>-18459988.55348422</v>
      </c>
      <c r="I38" s="35">
        <f t="shared" si="15"/>
        <v>-16370545.996388698</v>
      </c>
      <c r="N38" s="13"/>
    </row>
    <row r="39" spans="1:28" ht="14.25" thickTop="1" thickBot="1" x14ac:dyDescent="0.25">
      <c r="A39" s="73">
        <f t="shared" si="8"/>
        <v>99.5</v>
      </c>
      <c r="B39" s="75">
        <f t="shared" si="0"/>
        <v>3589442.5570955235</v>
      </c>
      <c r="C39" s="75">
        <f t="shared" si="9"/>
        <v>900011.44651577913</v>
      </c>
      <c r="D39" s="30">
        <f t="shared" si="10"/>
        <v>4489454.0036113029</v>
      </c>
      <c r="E39" s="77">
        <f t="shared" si="11"/>
        <v>20860000</v>
      </c>
      <c r="F39" s="77">
        <f t="shared" si="12"/>
        <v>-20860000</v>
      </c>
      <c r="G39" s="35">
        <f t="shared" si="13"/>
        <v>0</v>
      </c>
      <c r="H39" s="35">
        <f t="shared" si="14"/>
        <v>-19959988.55348422</v>
      </c>
      <c r="I39" s="35">
        <f t="shared" si="15"/>
        <v>-16370545.996388696</v>
      </c>
      <c r="N39" s="13"/>
    </row>
    <row r="40" spans="1:28" ht="14.25" thickTop="1" thickBot="1" x14ac:dyDescent="0.25">
      <c r="A40" s="73">
        <f t="shared" si="8"/>
        <v>101</v>
      </c>
      <c r="B40" s="75">
        <f t="shared" si="0"/>
        <v>5089442.5570955239</v>
      </c>
      <c r="C40" s="75">
        <f t="shared" si="9"/>
        <v>900011.44651577913</v>
      </c>
      <c r="D40" s="30">
        <f t="shared" si="10"/>
        <v>5989454.0036113029</v>
      </c>
      <c r="E40" s="77">
        <f t="shared" si="11"/>
        <v>22360000</v>
      </c>
      <c r="F40" s="77">
        <f t="shared" si="12"/>
        <v>-22360000</v>
      </c>
      <c r="G40" s="35">
        <f t="shared" si="13"/>
        <v>0</v>
      </c>
      <c r="H40" s="35">
        <f t="shared" si="14"/>
        <v>-21459988.55348422</v>
      </c>
      <c r="I40" s="35">
        <f t="shared" si="15"/>
        <v>-16370545.996388696</v>
      </c>
    </row>
    <row r="41" spans="1:28" ht="14.25" thickTop="1" thickBot="1" x14ac:dyDescent="0.25">
      <c r="A41" s="73">
        <f t="shared" si="8"/>
        <v>102.5</v>
      </c>
      <c r="B41" s="75">
        <f t="shared" si="0"/>
        <v>6589442.5570955239</v>
      </c>
      <c r="C41" s="75">
        <f t="shared" si="9"/>
        <v>900011.44651577913</v>
      </c>
      <c r="D41" s="30">
        <f t="shared" si="10"/>
        <v>7489454.0036113029</v>
      </c>
      <c r="E41" s="77">
        <f t="shared" si="11"/>
        <v>23860000</v>
      </c>
      <c r="F41" s="77">
        <f t="shared" si="12"/>
        <v>-23860000</v>
      </c>
      <c r="G41" s="35">
        <f t="shared" si="13"/>
        <v>0</v>
      </c>
      <c r="H41" s="35">
        <f t="shared" si="14"/>
        <v>-22959988.55348422</v>
      </c>
      <c r="I41" s="35">
        <f t="shared" si="15"/>
        <v>-16370545.996388696</v>
      </c>
    </row>
    <row r="42" spans="1:28" ht="14.25" thickTop="1" thickBot="1" x14ac:dyDescent="0.25">
      <c r="A42" s="73">
        <f t="shared" si="8"/>
        <v>104</v>
      </c>
      <c r="B42" s="75">
        <f t="shared" si="0"/>
        <v>8089442.5570955239</v>
      </c>
      <c r="C42" s="75">
        <f t="shared" si="9"/>
        <v>900011.44651577913</v>
      </c>
      <c r="D42" s="30">
        <f t="shared" si="10"/>
        <v>8989454.0036113039</v>
      </c>
      <c r="E42" s="77">
        <f t="shared" ref="E42" si="16">(A42-$E$2)*$I$2</f>
        <v>25360000</v>
      </c>
      <c r="F42" s="77">
        <f t="shared" ref="F42" si="17">($E$2-A42)*$F$2</f>
        <v>-25360000</v>
      </c>
      <c r="G42" s="35">
        <f t="shared" ref="G42" si="18">E42+F42</f>
        <v>0</v>
      </c>
      <c r="H42" s="35">
        <f t="shared" ref="H42" si="19">C42+F42</f>
        <v>-24459988.55348422</v>
      </c>
      <c r="I42" s="35">
        <f t="shared" ref="I42" si="20">D42+F42</f>
        <v>-16370545.996388696</v>
      </c>
      <c r="P42" t="s">
        <v>68</v>
      </c>
      <c r="Q42" t="s">
        <v>69</v>
      </c>
      <c r="R42" t="s">
        <v>70</v>
      </c>
      <c r="S42" t="s">
        <v>71</v>
      </c>
      <c r="T42" s="50" t="s">
        <v>72</v>
      </c>
      <c r="U42" t="s">
        <v>73</v>
      </c>
      <c r="V42" t="s">
        <v>74</v>
      </c>
      <c r="W42" t="s">
        <v>75</v>
      </c>
      <c r="X42" t="s">
        <v>76</v>
      </c>
      <c r="Y42" t="s">
        <v>77</v>
      </c>
      <c r="Z42" t="s">
        <v>78</v>
      </c>
      <c r="AA42" t="s">
        <v>79</v>
      </c>
      <c r="AB42" t="s">
        <v>80</v>
      </c>
    </row>
    <row r="43" spans="1:28" ht="14.25" thickTop="1" thickBot="1" x14ac:dyDescent="0.25">
      <c r="G43" s="104"/>
      <c r="P43" t="s">
        <v>81</v>
      </c>
      <c r="Q43">
        <v>77.03</v>
      </c>
      <c r="R43">
        <v>0</v>
      </c>
      <c r="S43">
        <v>0</v>
      </c>
      <c r="T43" s="50">
        <v>50.88</v>
      </c>
      <c r="U43">
        <v>42.69</v>
      </c>
      <c r="V43">
        <v>0</v>
      </c>
      <c r="W43">
        <v>79.81</v>
      </c>
      <c r="X43">
        <v>70.430000000000007</v>
      </c>
      <c r="Y43">
        <v>63.84</v>
      </c>
      <c r="Z43">
        <v>52.79</v>
      </c>
      <c r="AA43">
        <v>41.25</v>
      </c>
      <c r="AB43">
        <v>38.75</v>
      </c>
    </row>
    <row r="44" spans="1:28" ht="13.5" thickTop="1" x14ac:dyDescent="0.2">
      <c r="P44" t="s">
        <v>82</v>
      </c>
      <c r="Q44">
        <v>90.23</v>
      </c>
      <c r="R44">
        <v>75.489999999999995</v>
      </c>
      <c r="S44">
        <v>71.61</v>
      </c>
      <c r="T44" s="50">
        <v>56.29</v>
      </c>
      <c r="U44">
        <v>48.75</v>
      </c>
      <c r="V44">
        <v>41.96</v>
      </c>
      <c r="W44">
        <v>85.62</v>
      </c>
      <c r="X44">
        <v>77.180000000000007</v>
      </c>
      <c r="Y44">
        <v>69.239999999999995</v>
      </c>
      <c r="Z44">
        <v>59.31</v>
      </c>
      <c r="AA44">
        <v>45.19</v>
      </c>
      <c r="AB44">
        <v>41.69</v>
      </c>
    </row>
    <row r="45" spans="1:28" x14ac:dyDescent="0.2">
      <c r="P45" t="s">
        <v>83</v>
      </c>
      <c r="Q45">
        <v>89.44</v>
      </c>
      <c r="R45">
        <v>80.62</v>
      </c>
      <c r="S45">
        <v>74.52</v>
      </c>
      <c r="T45" s="51">
        <v>60.15</v>
      </c>
      <c r="U45" s="6">
        <v>50.27</v>
      </c>
      <c r="V45" s="6">
        <v>54.56</v>
      </c>
      <c r="W45" s="6">
        <v>91.94</v>
      </c>
      <c r="X45" s="6">
        <v>85.7</v>
      </c>
      <c r="Y45" s="6">
        <v>78.72</v>
      </c>
      <c r="Z45" s="51">
        <v>64.150000000000006</v>
      </c>
      <c r="AA45">
        <v>53.54</v>
      </c>
      <c r="AB45">
        <v>45.26</v>
      </c>
    </row>
    <row r="46" spans="1:28" x14ac:dyDescent="0.2">
      <c r="P46" t="s">
        <v>84</v>
      </c>
      <c r="Q46">
        <v>110.69</v>
      </c>
      <c r="R46">
        <v>88</v>
      </c>
      <c r="S46">
        <v>78.75</v>
      </c>
      <c r="T46" s="50">
        <v>62.4</v>
      </c>
      <c r="U46">
        <v>53.29</v>
      </c>
      <c r="V46">
        <v>52.78</v>
      </c>
      <c r="W46">
        <v>91.15</v>
      </c>
      <c r="X46">
        <v>78.650000000000006</v>
      </c>
      <c r="Y46">
        <v>79.08</v>
      </c>
      <c r="Z46">
        <v>65.67</v>
      </c>
      <c r="AA46">
        <v>56.72</v>
      </c>
      <c r="AB46">
        <v>38.979999999999997</v>
      </c>
    </row>
    <row r="47" spans="1:28" x14ac:dyDescent="0.2">
      <c r="P47" t="s">
        <v>85</v>
      </c>
      <c r="Q47">
        <v>99.58</v>
      </c>
      <c r="R47">
        <v>81.760000000000005</v>
      </c>
      <c r="S47">
        <v>78.63</v>
      </c>
      <c r="T47" s="50">
        <v>61.44</v>
      </c>
      <c r="U47">
        <v>52.88</v>
      </c>
      <c r="V47">
        <v>51.92</v>
      </c>
      <c r="W47">
        <v>93.21</v>
      </c>
      <c r="X47">
        <v>83.56</v>
      </c>
      <c r="Y47">
        <v>78.03</v>
      </c>
      <c r="Z47">
        <v>63.76</v>
      </c>
      <c r="AA47">
        <v>56.43</v>
      </c>
      <c r="AB47">
        <v>54.7</v>
      </c>
    </row>
    <row r="48" spans="1:28" x14ac:dyDescent="0.2">
      <c r="N48" s="5"/>
      <c r="P48" t="s">
        <v>86</v>
      </c>
      <c r="Q48">
        <v>97.78</v>
      </c>
      <c r="R48">
        <v>85.71</v>
      </c>
      <c r="S48">
        <v>77.84</v>
      </c>
      <c r="T48" s="50">
        <v>64.37</v>
      </c>
      <c r="U48">
        <v>56.64</v>
      </c>
      <c r="V48">
        <v>50.78</v>
      </c>
      <c r="W48">
        <v>95.43</v>
      </c>
      <c r="X48">
        <v>89.65</v>
      </c>
      <c r="Y48">
        <v>82.2</v>
      </c>
      <c r="Z48">
        <v>66.260000000000005</v>
      </c>
      <c r="AA48">
        <v>56.66</v>
      </c>
      <c r="AB48">
        <v>51.46</v>
      </c>
    </row>
    <row r="49" spans="2:28" x14ac:dyDescent="0.2">
      <c r="P49" t="s">
        <v>87</v>
      </c>
      <c r="Q49">
        <v>104.17</v>
      </c>
      <c r="R49">
        <v>85.86</v>
      </c>
      <c r="S49">
        <v>78.209999999999994</v>
      </c>
      <c r="T49" s="50">
        <v>64.040000000000006</v>
      </c>
      <c r="U49">
        <v>56.61</v>
      </c>
      <c r="V49">
        <v>49.4</v>
      </c>
      <c r="W49">
        <v>91.32</v>
      </c>
      <c r="X49">
        <v>88.22</v>
      </c>
      <c r="Y49">
        <v>81.75</v>
      </c>
      <c r="Z49">
        <v>67.62</v>
      </c>
      <c r="AA49">
        <v>62.85</v>
      </c>
      <c r="AB49">
        <v>48.24</v>
      </c>
    </row>
    <row r="50" spans="2:28" ht="13.5" thickBot="1" x14ac:dyDescent="0.25">
      <c r="P50" t="s">
        <v>88</v>
      </c>
      <c r="Q50">
        <v>90.82</v>
      </c>
      <c r="R50">
        <v>81.069999999999993</v>
      </c>
      <c r="S50">
        <v>71.75</v>
      </c>
      <c r="T50" s="50">
        <v>60.87</v>
      </c>
      <c r="U50">
        <v>55.94</v>
      </c>
      <c r="V50">
        <v>49.87</v>
      </c>
      <c r="W50">
        <v>95.48</v>
      </c>
      <c r="X50">
        <v>85.7</v>
      </c>
      <c r="Y50">
        <v>77.790000000000006</v>
      </c>
      <c r="Z50">
        <v>62.81</v>
      </c>
      <c r="AA50">
        <v>55.88</v>
      </c>
      <c r="AB50">
        <v>67.150000000000006</v>
      </c>
    </row>
    <row r="51" spans="2:28" ht="14.25" thickTop="1" thickBot="1" x14ac:dyDescent="0.25">
      <c r="B51" s="92" t="s">
        <v>25</v>
      </c>
      <c r="C51" s="93">
        <f>EXP(-C63*C60)*NORMDIST(C64,0,1,TRUE)</f>
        <v>0.13715031173601888</v>
      </c>
      <c r="D51" s="100" t="s">
        <v>26</v>
      </c>
      <c r="E51" s="101">
        <f>EXP(-E63*E60)*(NORMDIST(E64,0,1,TRUE)-1)</f>
        <v>-0.10199292822347827</v>
      </c>
      <c r="F51" s="96"/>
      <c r="G51" s="97"/>
    </row>
    <row r="52" spans="2:28" ht="14.25" thickTop="1" thickBot="1" x14ac:dyDescent="0.25">
      <c r="B52" s="92" t="s">
        <v>27</v>
      </c>
      <c r="C52" s="94">
        <f>(NORMDIST(C64,0,1,TRUE)*EXP(-C63*C60))/(C58*C61*SQRT(C60))</f>
        <v>9.65810357925646E-3</v>
      </c>
      <c r="D52" s="100" t="s">
        <v>30</v>
      </c>
      <c r="E52" s="101">
        <f>G52</f>
        <v>0</v>
      </c>
      <c r="F52" s="96"/>
      <c r="G52" s="98"/>
    </row>
    <row r="53" spans="2:28" ht="14.25" thickTop="1" thickBot="1" x14ac:dyDescent="0.25">
      <c r="B53" s="92" t="s">
        <v>28</v>
      </c>
      <c r="C53" s="94">
        <f>C58*EXP(-C63*C60)*NORMDIST(C64,0,1,TRUE)*SQRT(C60)</f>
        <v>7.2133661126874511</v>
      </c>
      <c r="D53" s="100" t="s">
        <v>31</v>
      </c>
      <c r="E53" s="101">
        <f>G53</f>
        <v>0</v>
      </c>
      <c r="F53" s="96"/>
      <c r="G53" s="98"/>
    </row>
    <row r="54" spans="2:28" ht="14.25" thickTop="1" thickBot="1" x14ac:dyDescent="0.25">
      <c r="B54" s="92" t="s">
        <v>29</v>
      </c>
      <c r="C54" s="95">
        <f>(-C58*EXP(-C63*C60)*NORMDIST(C64,0,1,TRUE)*C61/(2*SQRT(C60))-(-C63)*C58*EXP(-C63*C60)*NORMDIST(C64,0,1,TRUE)-C62*C59*EXP(-C62*C60)*NORMDIST(C65,0,1,TRUE))/365</f>
        <v>-6.2395290077762828E-3</v>
      </c>
      <c r="D54" s="100" t="s">
        <v>32</v>
      </c>
      <c r="E54" s="102">
        <f>(-E58*EXP(-E63*E60)*NORMDIST(E64,0,1,TRUE)*E61/(2*SQRT(E60))+(-E63)*E58*EXP(-E63*E60)*NORMDIST(-E64,0,1,TRUE)+E62*E59*EXP(-E62*E60)*NORMDIST(-E65,0,1,TRUE))/365</f>
        <v>-4.0582033555578718E-2</v>
      </c>
      <c r="F54" s="96"/>
      <c r="G54" s="99"/>
    </row>
    <row r="55" spans="2:28" ht="13.5" thickTop="1" x14ac:dyDescent="0.2"/>
    <row r="56" spans="2:28" ht="13.5" thickBot="1" x14ac:dyDescent="0.25"/>
    <row r="57" spans="2:28" ht="19.5" thickTop="1" thickBot="1" x14ac:dyDescent="0.3">
      <c r="B57" s="106" t="s">
        <v>144</v>
      </c>
      <c r="C57" s="107" t="s">
        <v>148</v>
      </c>
      <c r="D57" s="106" t="s">
        <v>119</v>
      </c>
      <c r="E57" s="108" t="s">
        <v>149</v>
      </c>
    </row>
    <row r="58" spans="2:28" ht="19.5" thickTop="1" thickBot="1" x14ac:dyDescent="0.3">
      <c r="B58" s="109" t="s">
        <v>142</v>
      </c>
      <c r="C58" s="110">
        <v>74.38</v>
      </c>
      <c r="D58" s="109" t="s">
        <v>142</v>
      </c>
      <c r="E58" s="110">
        <v>74.38</v>
      </c>
    </row>
    <row r="59" spans="2:28" ht="19.5" thickTop="1" thickBot="1" x14ac:dyDescent="0.3">
      <c r="B59" s="111" t="s">
        <v>35</v>
      </c>
      <c r="C59" s="110">
        <v>95</v>
      </c>
      <c r="D59" s="111" t="s">
        <v>35</v>
      </c>
      <c r="E59" s="110">
        <v>58.271092939588051</v>
      </c>
    </row>
    <row r="60" spans="2:28" ht="19.5" thickTop="1" thickBot="1" x14ac:dyDescent="0.3">
      <c r="B60" s="111" t="s">
        <v>143</v>
      </c>
      <c r="C60" s="110">
        <f>180/360</f>
        <v>0.5</v>
      </c>
      <c r="D60" s="111" t="s">
        <v>143</v>
      </c>
      <c r="E60" s="110">
        <f>180/360</f>
        <v>0.5</v>
      </c>
    </row>
    <row r="61" spans="2:28" ht="19.5" thickTop="1" thickBot="1" x14ac:dyDescent="0.3">
      <c r="B61" s="111" t="s">
        <v>59</v>
      </c>
      <c r="C61" s="110">
        <v>0.27</v>
      </c>
      <c r="D61" s="111" t="s">
        <v>59</v>
      </c>
      <c r="E61" s="110">
        <v>0.32</v>
      </c>
      <c r="X61" t="s">
        <v>115</v>
      </c>
      <c r="Y61" t="s">
        <v>116</v>
      </c>
      <c r="Z61" t="s">
        <v>118</v>
      </c>
      <c r="AA61" t="s">
        <v>117</v>
      </c>
    </row>
    <row r="62" spans="2:28" ht="19.5" thickTop="1" thickBot="1" x14ac:dyDescent="0.3">
      <c r="B62" s="112" t="s">
        <v>121</v>
      </c>
      <c r="C62" s="110">
        <v>3.5499999999999997E-2</v>
      </c>
      <c r="D62" s="112" t="s">
        <v>121</v>
      </c>
      <c r="E62" s="110">
        <v>3.5499999999999997E-2</v>
      </c>
      <c r="X62">
        <v>33.46</v>
      </c>
      <c r="Y62" s="6">
        <v>32.47</v>
      </c>
      <c r="Z62">
        <v>32.409999999999997</v>
      </c>
      <c r="AA62">
        <v>31.41</v>
      </c>
    </row>
    <row r="63" spans="2:28" ht="19.5" thickTop="1" thickBot="1" x14ac:dyDescent="0.3">
      <c r="B63" s="112" t="s">
        <v>122</v>
      </c>
      <c r="C63" s="110">
        <v>0</v>
      </c>
      <c r="D63" s="112" t="s">
        <v>122</v>
      </c>
      <c r="E63" s="110">
        <v>0</v>
      </c>
      <c r="X63">
        <v>33.06</v>
      </c>
      <c r="Y63">
        <v>32.1</v>
      </c>
      <c r="Z63">
        <v>32.090000000000003</v>
      </c>
      <c r="AA63">
        <v>31.2</v>
      </c>
    </row>
    <row r="64" spans="2:28" ht="19.5" thickTop="1" thickBot="1" x14ac:dyDescent="0.3">
      <c r="B64" s="112" t="s">
        <v>10</v>
      </c>
      <c r="C64" s="110">
        <f>(LN(C58/C59)+(C62-C63+C61^2/2)*C60)/(C61*SQRT(C60))</f>
        <v>-1.093212241545056</v>
      </c>
      <c r="D64" s="112" t="s">
        <v>10</v>
      </c>
      <c r="E64" s="110">
        <f>(LN(E58/E59)+(E62-E63+E61^2/2)*E60)/(E61*SQRT(E60))</f>
        <v>1.270277341299016</v>
      </c>
      <c r="X64">
        <v>33.729999999999997</v>
      </c>
      <c r="Y64">
        <v>32.96</v>
      </c>
      <c r="Z64">
        <v>32.92</v>
      </c>
      <c r="AA64">
        <v>32.18</v>
      </c>
    </row>
    <row r="65" spans="2:27" ht="19.5" thickTop="1" thickBot="1" x14ac:dyDescent="0.3">
      <c r="B65" s="115" t="s">
        <v>11</v>
      </c>
      <c r="C65" s="117">
        <f>C64-C61*SQRT(C60)</f>
        <v>-1.2841310724654238</v>
      </c>
      <c r="D65" s="115" t="s">
        <v>11</v>
      </c>
      <c r="E65" s="117">
        <f>E64-E61*SQRT(E60)</f>
        <v>1.0440031713193207</v>
      </c>
      <c r="X65">
        <v>34.35</v>
      </c>
      <c r="Y65">
        <v>33.81</v>
      </c>
      <c r="Z65">
        <v>33.49</v>
      </c>
      <c r="AA65">
        <v>32.71</v>
      </c>
    </row>
    <row r="66" spans="2:27" ht="20.25" thickTop="1" thickBot="1" x14ac:dyDescent="0.35">
      <c r="B66" s="116" t="s">
        <v>150</v>
      </c>
      <c r="C66" s="120">
        <f>C58*EXP(-C63*C60)*NORMDIST(C64,0,1,TRUE)-C59*EXP(-C62*C60)*NORMDIST(C65,0,1,TRUE)</f>
        <v>0.91055744290447649</v>
      </c>
      <c r="D66" s="119" t="s">
        <v>126</v>
      </c>
      <c r="E66" s="118">
        <f>E59*EXP(-E62*E60)*NORMDIST(-E65,0,1,TRUE)-E58*EXP(-E63*E60)*NORMDIST(-E64,0,1,TRUE)</f>
        <v>0.90001144651577913</v>
      </c>
      <c r="X66">
        <v>33.69</v>
      </c>
      <c r="Y66">
        <v>33.340000000000003</v>
      </c>
      <c r="Z66">
        <v>32.979999999999997</v>
      </c>
      <c r="AA66">
        <v>32.340000000000003</v>
      </c>
    </row>
    <row r="67" spans="2:27" ht="19.5" thickTop="1" thickBot="1" x14ac:dyDescent="0.3">
      <c r="B67" s="112" t="s">
        <v>15</v>
      </c>
      <c r="C67" s="113">
        <v>1000000</v>
      </c>
      <c r="D67" s="112" t="s">
        <v>15</v>
      </c>
      <c r="E67" s="114">
        <v>1000000</v>
      </c>
      <c r="X67">
        <v>33.44</v>
      </c>
      <c r="Y67">
        <v>33.01</v>
      </c>
      <c r="Z67">
        <v>33.130000000000003</v>
      </c>
      <c r="AA67">
        <v>31.99</v>
      </c>
    </row>
    <row r="68" spans="2:27" ht="19.5" thickTop="1" thickBot="1" x14ac:dyDescent="0.3">
      <c r="B68" s="115" t="s">
        <v>38</v>
      </c>
      <c r="C68" s="124">
        <f>C66*C67</f>
        <v>910557.44290447654</v>
      </c>
      <c r="D68" s="115" t="s">
        <v>145</v>
      </c>
      <c r="E68" s="125">
        <f>E66*E67</f>
        <v>900011.44651577913</v>
      </c>
    </row>
    <row r="69" spans="2:27" ht="19.5" thickTop="1" thickBot="1" x14ac:dyDescent="0.3">
      <c r="B69" s="122" t="s">
        <v>146</v>
      </c>
      <c r="C69" s="123" t="s">
        <v>147</v>
      </c>
      <c r="D69" s="126" t="s">
        <v>39</v>
      </c>
      <c r="E69" s="105">
        <f>-E68+C68</f>
        <v>10545.996388697415</v>
      </c>
    </row>
    <row r="70" spans="2:27" ht="13.5" thickTop="1" x14ac:dyDescent="0.2"/>
    <row r="71" spans="2:27" x14ac:dyDescent="0.2">
      <c r="P71" t="s">
        <v>101</v>
      </c>
      <c r="Q71" t="s">
        <v>102</v>
      </c>
      <c r="R71" t="s">
        <v>103</v>
      </c>
      <c r="S71" t="s">
        <v>104</v>
      </c>
      <c r="T71" t="s">
        <v>105</v>
      </c>
      <c r="U71" t="s">
        <v>106</v>
      </c>
    </row>
    <row r="72" spans="2:27" x14ac:dyDescent="0.2">
      <c r="O72" t="s">
        <v>94</v>
      </c>
      <c r="P72">
        <v>31.1</v>
      </c>
      <c r="Q72">
        <v>30.66</v>
      </c>
      <c r="R72">
        <v>30.7</v>
      </c>
      <c r="S72">
        <v>29.47</v>
      </c>
      <c r="T72">
        <v>29.02</v>
      </c>
      <c r="U72">
        <v>27.95</v>
      </c>
    </row>
    <row r="73" spans="2:27" x14ac:dyDescent="0.2">
      <c r="O73" t="s">
        <v>95</v>
      </c>
      <c r="P73">
        <v>29.95</v>
      </c>
      <c r="Q73">
        <v>30.1</v>
      </c>
      <c r="R73">
        <v>30.16</v>
      </c>
      <c r="S73">
        <v>29.02</v>
      </c>
      <c r="T73">
        <v>28.6</v>
      </c>
      <c r="U73">
        <v>27.62</v>
      </c>
    </row>
    <row r="74" spans="2:27" x14ac:dyDescent="0.2">
      <c r="O74" t="s">
        <v>96</v>
      </c>
      <c r="P74">
        <v>31.78</v>
      </c>
      <c r="Q74">
        <v>31.16</v>
      </c>
      <c r="R74">
        <v>30.89</v>
      </c>
      <c r="S74">
        <v>29.66</v>
      </c>
      <c r="T74">
        <v>29.39</v>
      </c>
      <c r="U74">
        <v>28.3</v>
      </c>
    </row>
    <row r="75" spans="2:27" x14ac:dyDescent="0.2">
      <c r="O75" t="s">
        <v>97</v>
      </c>
      <c r="P75">
        <v>32.19</v>
      </c>
      <c r="Q75">
        <v>31.76</v>
      </c>
      <c r="R75">
        <v>31.81</v>
      </c>
      <c r="S75">
        <v>30.63</v>
      </c>
      <c r="T75">
        <v>30.36</v>
      </c>
      <c r="U75">
        <v>29.05</v>
      </c>
    </row>
    <row r="76" spans="2:27" x14ac:dyDescent="0.2">
      <c r="O76" t="s">
        <v>98</v>
      </c>
      <c r="P76">
        <v>31.91</v>
      </c>
      <c r="Q76">
        <v>31.32</v>
      </c>
      <c r="R76">
        <v>31.31</v>
      </c>
      <c r="S76">
        <v>30.29</v>
      </c>
      <c r="T76">
        <v>29.8</v>
      </c>
      <c r="U76">
        <v>28.67</v>
      </c>
    </row>
    <row r="77" spans="2:27" x14ac:dyDescent="0.2">
      <c r="O77" t="s">
        <v>99</v>
      </c>
      <c r="P77">
        <v>31.09</v>
      </c>
      <c r="Q77">
        <v>31.04</v>
      </c>
      <c r="R77">
        <v>30.94</v>
      </c>
      <c r="S77">
        <v>30.06</v>
      </c>
      <c r="T77">
        <v>29.7</v>
      </c>
      <c r="U77">
        <v>28.52</v>
      </c>
    </row>
    <row r="78" spans="2:27" x14ac:dyDescent="0.2">
      <c r="O78" t="s">
        <v>100</v>
      </c>
      <c r="P78">
        <v>30.28</v>
      </c>
      <c r="Q78">
        <v>30.4</v>
      </c>
      <c r="R78">
        <v>30.61</v>
      </c>
      <c r="S78">
        <v>29.83</v>
      </c>
      <c r="T78">
        <v>29.35</v>
      </c>
      <c r="U78">
        <v>28.35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7152-224C-4EFC-9F9D-85003E5B5382}">
  <dimension ref="P1:Z30"/>
  <sheetViews>
    <sheetView zoomScale="119" workbookViewId="0">
      <selection activeCell="Q4" sqref="Q4"/>
    </sheetView>
  </sheetViews>
  <sheetFormatPr defaultRowHeight="12.75" x14ac:dyDescent="0.2"/>
  <cols>
    <col min="16" max="16" width="13.42578125" bestFit="1" customWidth="1"/>
    <col min="17" max="17" width="15.140625" bestFit="1" customWidth="1"/>
    <col min="19" max="19" width="10.7109375" bestFit="1" customWidth="1"/>
    <col min="25" max="25" width="25" customWidth="1"/>
    <col min="26" max="26" width="21.85546875" customWidth="1"/>
  </cols>
  <sheetData>
    <row r="1" spans="16:26" ht="14.25" thickTop="1" thickBot="1" x14ac:dyDescent="0.25">
      <c r="S1" s="23"/>
      <c r="T1" s="24" t="s">
        <v>1</v>
      </c>
      <c r="U1" s="24" t="s">
        <v>132</v>
      </c>
      <c r="Y1" s="27" t="s">
        <v>41</v>
      </c>
      <c r="Z1" s="56">
        <v>1000000</v>
      </c>
    </row>
    <row r="2" spans="16:26" ht="14.25" thickTop="1" thickBot="1" x14ac:dyDescent="0.25">
      <c r="P2" s="54" t="s">
        <v>119</v>
      </c>
      <c r="Q2" s="23"/>
      <c r="R2" s="22" t="s">
        <v>133</v>
      </c>
      <c r="S2" s="87">
        <v>40234</v>
      </c>
      <c r="T2" s="23">
        <v>74.38</v>
      </c>
      <c r="U2" s="23">
        <v>78</v>
      </c>
      <c r="Y2" s="27" t="s">
        <v>140</v>
      </c>
      <c r="Z2" s="56" t="s">
        <v>141</v>
      </c>
    </row>
    <row r="3" spans="16:26" ht="14.25" thickTop="1" thickBot="1" x14ac:dyDescent="0.25">
      <c r="P3" s="29" t="s">
        <v>123</v>
      </c>
      <c r="Q3" s="23">
        <v>74</v>
      </c>
      <c r="R3" s="22" t="s">
        <v>134</v>
      </c>
      <c r="S3" s="85">
        <v>40416</v>
      </c>
      <c r="T3" s="86">
        <v>74.5</v>
      </c>
      <c r="U3" s="23"/>
      <c r="Y3" s="27" t="s">
        <v>136</v>
      </c>
      <c r="Z3" s="88">
        <v>74.5</v>
      </c>
    </row>
    <row r="4" spans="16:26" ht="14.25" thickTop="1" thickBot="1" x14ac:dyDescent="0.25">
      <c r="P4" s="23"/>
      <c r="Q4" s="23"/>
      <c r="Y4" s="27" t="s">
        <v>135</v>
      </c>
      <c r="Z4" s="88">
        <v>78.3</v>
      </c>
    </row>
    <row r="5" spans="16:26" ht="14.25" thickTop="1" thickBot="1" x14ac:dyDescent="0.25">
      <c r="P5" s="55" t="s">
        <v>58</v>
      </c>
      <c r="Q5" s="23">
        <v>88</v>
      </c>
      <c r="Y5" s="27" t="s">
        <v>36</v>
      </c>
      <c r="Z5" s="36" t="s">
        <v>137</v>
      </c>
    </row>
    <row r="6" spans="16:26" ht="14.25" thickTop="1" thickBot="1" x14ac:dyDescent="0.25">
      <c r="P6" s="55" t="s">
        <v>120</v>
      </c>
      <c r="Q6" s="23">
        <f>180/365</f>
        <v>0.49315068493150682</v>
      </c>
      <c r="Y6" s="27" t="s">
        <v>37</v>
      </c>
      <c r="Z6" s="89">
        <f>0.2001</f>
        <v>0.2001</v>
      </c>
    </row>
    <row r="7" spans="16:26" ht="14.25" thickTop="1" thickBot="1" x14ac:dyDescent="0.25">
      <c r="P7" s="55" t="s">
        <v>59</v>
      </c>
      <c r="Q7" s="25">
        <v>0.26400000000000001</v>
      </c>
      <c r="Y7" s="27" t="s">
        <v>138</v>
      </c>
      <c r="Z7" s="90" t="s">
        <v>139</v>
      </c>
    </row>
    <row r="8" spans="16:26" ht="14.25" thickTop="1" thickBot="1" x14ac:dyDescent="0.25">
      <c r="P8" s="23" t="s">
        <v>121</v>
      </c>
      <c r="Q8" s="25">
        <v>4.5499999999999999E-2</v>
      </c>
      <c r="Y8" s="27"/>
      <c r="Z8" s="28"/>
    </row>
    <row r="9" spans="16:26" ht="14.25" thickTop="1" thickBot="1" x14ac:dyDescent="0.25">
      <c r="P9" s="23" t="s">
        <v>122</v>
      </c>
      <c r="Q9" s="25">
        <v>1.55E-2</v>
      </c>
    </row>
    <row r="10" spans="16:26" ht="14.25" thickTop="1" thickBot="1" x14ac:dyDescent="0.25">
      <c r="P10" s="23" t="s">
        <v>10</v>
      </c>
      <c r="Q10" s="26">
        <f>(LN(Q3/Q5)+(Q8-Q9+Q7^2/2)*Q6)/(Q7*SQRT(Q6))</f>
        <v>-0.76212020217266185</v>
      </c>
    </row>
    <row r="11" spans="16:26" ht="14.25" thickTop="1" thickBot="1" x14ac:dyDescent="0.25">
      <c r="P11" s="23" t="s">
        <v>11</v>
      </c>
      <c r="Q11" s="26">
        <f>Q10-Q7*SQRT(Q6)</f>
        <v>-0.94751337933133262</v>
      </c>
    </row>
    <row r="12" spans="16:26" ht="14.25" thickTop="1" thickBot="1" x14ac:dyDescent="0.25"/>
    <row r="13" spans="16:26" ht="14.25" thickTop="1" thickBot="1" x14ac:dyDescent="0.25">
      <c r="P13" s="52" t="s">
        <v>17</v>
      </c>
      <c r="Q13" s="53">
        <f>Q3*EXP(-Q9*Q6)*NORMDIST(Q10,0,1,TRUE)-Q5*EXP(-Q8*Q6)*NORMDIST(Q11,0,1,TRUE)</f>
        <v>1.6025497829700708</v>
      </c>
    </row>
    <row r="14" spans="16:26" ht="14.25" thickTop="1" thickBot="1" x14ac:dyDescent="0.25">
      <c r="P14" s="60"/>
      <c r="Q14" s="58"/>
    </row>
    <row r="15" spans="16:26" ht="14.25" thickTop="1" thickBot="1" x14ac:dyDescent="0.25">
      <c r="P15" s="57" t="s">
        <v>15</v>
      </c>
      <c r="Q15" s="59">
        <v>1000000</v>
      </c>
    </row>
    <row r="16" spans="16:26" ht="13.5" thickTop="1" x14ac:dyDescent="0.2">
      <c r="P16" s="22" t="s">
        <v>39</v>
      </c>
      <c r="Q16" s="61">
        <f>Q13*Q15</f>
        <v>1602549.7829700708</v>
      </c>
    </row>
    <row r="18" spans="16:17" x14ac:dyDescent="0.2">
      <c r="P18" t="s">
        <v>119</v>
      </c>
    </row>
    <row r="19" spans="16:17" x14ac:dyDescent="0.2">
      <c r="P19" t="s">
        <v>123</v>
      </c>
      <c r="Q19">
        <v>78</v>
      </c>
    </row>
    <row r="21" spans="16:17" x14ac:dyDescent="0.2">
      <c r="P21" t="s">
        <v>58</v>
      </c>
      <c r="Q21">
        <v>68.968036450693006</v>
      </c>
    </row>
    <row r="22" spans="16:17" x14ac:dyDescent="0.2">
      <c r="P22" t="s">
        <v>120</v>
      </c>
      <c r="Q22">
        <v>0.49315068493150682</v>
      </c>
    </row>
    <row r="23" spans="16:17" x14ac:dyDescent="0.2">
      <c r="P23" t="s">
        <v>59</v>
      </c>
      <c r="Q23">
        <v>0.32</v>
      </c>
    </row>
    <row r="24" spans="16:17" x14ac:dyDescent="0.2">
      <c r="P24" t="s">
        <v>121</v>
      </c>
      <c r="Q24">
        <v>4.5499999999999999E-2</v>
      </c>
    </row>
    <row r="25" spans="16:17" x14ac:dyDescent="0.2">
      <c r="P25" t="s">
        <v>122</v>
      </c>
      <c r="Q25">
        <v>1.55E-2</v>
      </c>
    </row>
    <row r="26" spans="16:17" x14ac:dyDescent="0.2">
      <c r="P26" t="s">
        <v>10</v>
      </c>
      <c r="Q26">
        <v>0.72583761490269383</v>
      </c>
    </row>
    <row r="27" spans="16:17" x14ac:dyDescent="0.2">
      <c r="P27" t="s">
        <v>11</v>
      </c>
      <c r="Q27">
        <v>0.50111861228612309</v>
      </c>
    </row>
    <row r="30" spans="16:17" x14ac:dyDescent="0.2">
      <c r="P30" t="s">
        <v>126</v>
      </c>
      <c r="Q30">
        <f>Q21*EXP(-Q24*Q22)*NORMDIST(-Q27,0,1,TRUE)-Q19*EXP(-Q25*Q22)*NORMDIST(-Q26,0,1,TRUE)</f>
        <v>2.6698935487367059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94DD-395C-4A32-950D-84CF7F18511D}">
  <dimension ref="A1:I35"/>
  <sheetViews>
    <sheetView topLeftCell="A6" zoomScale="113" workbookViewId="0">
      <selection activeCell="A3" sqref="A3:A18"/>
    </sheetView>
  </sheetViews>
  <sheetFormatPr defaultRowHeight="12.75" x14ac:dyDescent="0.2"/>
  <cols>
    <col min="1" max="1" width="18.42578125" customWidth="1"/>
    <col min="2" max="2" width="16.28515625" customWidth="1"/>
    <col min="3" max="4" width="13.85546875" bestFit="1" customWidth="1"/>
    <col min="5" max="5" width="18.5703125" customWidth="1"/>
    <col min="6" max="7" width="13.5703125" bestFit="1" customWidth="1"/>
    <col min="8" max="8" width="18.7109375" customWidth="1"/>
    <col min="9" max="9" width="23.5703125" customWidth="1"/>
  </cols>
  <sheetData>
    <row r="1" spans="1:9" ht="15" x14ac:dyDescent="0.2">
      <c r="A1" s="127" t="s">
        <v>2</v>
      </c>
      <c r="B1" s="127" t="s">
        <v>23</v>
      </c>
      <c r="C1" s="127" t="s">
        <v>1</v>
      </c>
      <c r="D1" s="127" t="s">
        <v>38</v>
      </c>
      <c r="E1" s="127" t="s">
        <v>127</v>
      </c>
      <c r="F1" s="127" t="s">
        <v>41</v>
      </c>
      <c r="G1" s="127" t="s">
        <v>42</v>
      </c>
      <c r="H1" s="127"/>
      <c r="I1" s="127"/>
    </row>
    <row r="2" spans="1:9" ht="15" x14ac:dyDescent="0.2">
      <c r="A2" s="127">
        <v>88</v>
      </c>
      <c r="B2" s="127">
        <v>63.017515919091181</v>
      </c>
      <c r="C2" s="127">
        <v>74.5</v>
      </c>
      <c r="D2" s="127">
        <v>1.7825182132212589</v>
      </c>
      <c r="E2" s="127">
        <v>78.64</v>
      </c>
      <c r="F2" s="127">
        <v>500000</v>
      </c>
      <c r="G2" s="127">
        <v>1.7819350438367199</v>
      </c>
      <c r="H2" s="127"/>
      <c r="I2" s="127">
        <v>1000000</v>
      </c>
    </row>
    <row r="3" spans="1:9" ht="15" x14ac:dyDescent="0.2">
      <c r="A3" s="127" t="s">
        <v>124</v>
      </c>
      <c r="B3" s="127" t="s">
        <v>40</v>
      </c>
      <c r="C3" s="127" t="s">
        <v>23</v>
      </c>
      <c r="D3" s="127" t="s">
        <v>125</v>
      </c>
      <c r="E3" s="127" t="s">
        <v>127</v>
      </c>
      <c r="F3" s="127" t="s">
        <v>128</v>
      </c>
      <c r="G3" s="127" t="s">
        <v>129</v>
      </c>
      <c r="H3" s="127" t="s">
        <v>130</v>
      </c>
      <c r="I3" s="127" t="s">
        <v>131</v>
      </c>
    </row>
    <row r="4" spans="1:9" ht="15" x14ac:dyDescent="0.2">
      <c r="A4" s="127">
        <v>58</v>
      </c>
      <c r="B4" s="128">
        <v>-891259.10661062947</v>
      </c>
      <c r="C4" s="128">
        <v>-1617790.4376272308</v>
      </c>
      <c r="D4" s="128">
        <v>-2509049.5442378605</v>
      </c>
      <c r="E4" s="128">
        <v>-10320000</v>
      </c>
      <c r="F4" s="128">
        <v>20640000</v>
      </c>
      <c r="G4" s="128">
        <v>10320000</v>
      </c>
      <c r="H4" s="128">
        <v>19022209.56237277</v>
      </c>
      <c r="I4" s="128">
        <v>18130950.45576214</v>
      </c>
    </row>
    <row r="5" spans="1:9" ht="15" x14ac:dyDescent="0.2">
      <c r="A5" s="127">
        <v>59.5</v>
      </c>
      <c r="B5" s="128">
        <v>-891259.10661062947</v>
      </c>
      <c r="C5" s="128">
        <v>-867790.43762723077</v>
      </c>
      <c r="D5" s="128">
        <v>-1759049.5442378602</v>
      </c>
      <c r="E5" s="128">
        <v>-9570000</v>
      </c>
      <c r="F5" s="128">
        <v>19140000</v>
      </c>
      <c r="G5" s="128">
        <v>9570000</v>
      </c>
      <c r="H5" s="128">
        <v>18272209.56237277</v>
      </c>
      <c r="I5" s="128">
        <v>17380950.45576214</v>
      </c>
    </row>
    <row r="6" spans="1:9" ht="15" x14ac:dyDescent="0.2">
      <c r="A6" s="127">
        <v>61</v>
      </c>
      <c r="B6" s="128">
        <v>-891259.10661062947</v>
      </c>
      <c r="C6" s="128">
        <v>-117790.43762723074</v>
      </c>
      <c r="D6" s="128">
        <v>-1009049.5442378602</v>
      </c>
      <c r="E6" s="128">
        <v>-8820000</v>
      </c>
      <c r="F6" s="128">
        <v>17640000</v>
      </c>
      <c r="G6" s="128">
        <v>8820000</v>
      </c>
      <c r="H6" s="128">
        <v>17522209.56237277</v>
      </c>
      <c r="I6" s="128">
        <v>16630950.45576214</v>
      </c>
    </row>
    <row r="7" spans="1:9" ht="15" x14ac:dyDescent="0.2">
      <c r="A7" s="127">
        <v>62.5</v>
      </c>
      <c r="B7" s="128">
        <v>-891259.10661062947</v>
      </c>
      <c r="C7" s="128">
        <v>632209.56237276923</v>
      </c>
      <c r="D7" s="128">
        <v>-259049.54423786025</v>
      </c>
      <c r="E7" s="128">
        <v>-8070000</v>
      </c>
      <c r="F7" s="128">
        <v>16140000</v>
      </c>
      <c r="G7" s="128">
        <v>8070000</v>
      </c>
      <c r="H7" s="128">
        <v>16772209.56237277</v>
      </c>
      <c r="I7" s="128">
        <v>15880950.45576214</v>
      </c>
    </row>
    <row r="8" spans="1:9" ht="15" x14ac:dyDescent="0.2">
      <c r="A8" s="127">
        <v>64</v>
      </c>
      <c r="B8" s="128">
        <v>-891259.10661062947</v>
      </c>
      <c r="C8" s="128">
        <v>890967.52191835991</v>
      </c>
      <c r="D8" s="128">
        <v>-291.58469226956367</v>
      </c>
      <c r="E8" s="128">
        <v>-7320000</v>
      </c>
      <c r="F8" s="128">
        <v>14640000</v>
      </c>
      <c r="G8" s="128">
        <v>7320000</v>
      </c>
      <c r="H8" s="128">
        <v>15530967.52191836</v>
      </c>
      <c r="I8" s="128">
        <v>14639708.41530773</v>
      </c>
    </row>
    <row r="9" spans="1:9" ht="15" x14ac:dyDescent="0.2">
      <c r="A9" s="127">
        <v>65.5</v>
      </c>
      <c r="B9" s="128">
        <v>-891259.10661062947</v>
      </c>
      <c r="C9" s="128">
        <v>890967.52191835991</v>
      </c>
      <c r="D9" s="128">
        <v>-291.58469226956367</v>
      </c>
      <c r="E9" s="128">
        <v>-6570000</v>
      </c>
      <c r="F9" s="128">
        <v>13140000</v>
      </c>
      <c r="G9" s="128">
        <v>6570000</v>
      </c>
      <c r="H9" s="128">
        <v>14030967.52191836</v>
      </c>
      <c r="I9" s="128">
        <v>13139708.41530773</v>
      </c>
    </row>
    <row r="10" spans="1:9" ht="15" x14ac:dyDescent="0.2">
      <c r="A10" s="127">
        <v>67</v>
      </c>
      <c r="B10" s="128">
        <v>-891259.10661062947</v>
      </c>
      <c r="C10" s="128">
        <v>890967.52191835991</v>
      </c>
      <c r="D10" s="128">
        <v>-291.58469226956367</v>
      </c>
      <c r="E10" s="128">
        <v>-5820000</v>
      </c>
      <c r="F10" s="128">
        <v>11640000</v>
      </c>
      <c r="G10" s="128">
        <v>5820000</v>
      </c>
      <c r="H10" s="128">
        <v>12530967.52191836</v>
      </c>
      <c r="I10" s="128">
        <v>11639708.41530773</v>
      </c>
    </row>
    <row r="11" spans="1:9" ht="15" x14ac:dyDescent="0.2">
      <c r="A11" s="127">
        <v>68.5</v>
      </c>
      <c r="B11" s="128">
        <v>-891259.10661062947</v>
      </c>
      <c r="C11" s="128">
        <v>890967.52191835991</v>
      </c>
      <c r="D11" s="128">
        <v>-291.58469226956367</v>
      </c>
      <c r="E11" s="128">
        <v>-5070000</v>
      </c>
      <c r="F11" s="128">
        <v>10140000</v>
      </c>
      <c r="G11" s="128">
        <v>5070000</v>
      </c>
      <c r="H11" s="128">
        <v>11030967.52191836</v>
      </c>
      <c r="I11" s="128">
        <v>10139708.41530773</v>
      </c>
    </row>
    <row r="12" spans="1:9" ht="15" x14ac:dyDescent="0.2">
      <c r="A12" s="127">
        <v>70</v>
      </c>
      <c r="B12" s="128">
        <v>-891259.10661062947</v>
      </c>
      <c r="C12" s="128">
        <v>890967.52191835991</v>
      </c>
      <c r="D12" s="128">
        <v>-291.58469226956367</v>
      </c>
      <c r="E12" s="128">
        <v>-4320000</v>
      </c>
      <c r="F12" s="128">
        <v>8640000</v>
      </c>
      <c r="G12" s="128">
        <v>4320000</v>
      </c>
      <c r="H12" s="128">
        <v>9530967.5219183601</v>
      </c>
      <c r="I12" s="128">
        <v>8639708.4153077304</v>
      </c>
    </row>
    <row r="13" spans="1:9" ht="15" x14ac:dyDescent="0.2">
      <c r="A13" s="127">
        <v>71.5</v>
      </c>
      <c r="B13" s="128">
        <v>-891259.10661062947</v>
      </c>
      <c r="C13" s="128">
        <v>890967.52191835991</v>
      </c>
      <c r="D13" s="128">
        <v>-291.58469226956367</v>
      </c>
      <c r="E13" s="128">
        <v>-3570000.0000000005</v>
      </c>
      <c r="F13" s="128">
        <v>7140000.0000000009</v>
      </c>
      <c r="G13" s="128">
        <v>3570000.0000000005</v>
      </c>
      <c r="H13" s="128">
        <v>8030967.5219183611</v>
      </c>
      <c r="I13" s="128">
        <v>7139708.4153077314</v>
      </c>
    </row>
    <row r="14" spans="1:9" ht="15" x14ac:dyDescent="0.2">
      <c r="A14" s="127">
        <v>73</v>
      </c>
      <c r="B14" s="128">
        <v>-891259.10661062947</v>
      </c>
      <c r="C14" s="128">
        <v>890967.52191835991</v>
      </c>
      <c r="D14" s="128">
        <v>-291.58469226956367</v>
      </c>
      <c r="E14" s="128">
        <v>-2820000.0000000005</v>
      </c>
      <c r="F14" s="128">
        <v>5640000.0000000009</v>
      </c>
      <c r="G14" s="128">
        <v>2820000.0000000005</v>
      </c>
      <c r="H14" s="128">
        <v>6530967.5219183611</v>
      </c>
      <c r="I14" s="128">
        <v>5639708.4153077314</v>
      </c>
    </row>
    <row r="15" spans="1:9" ht="15" x14ac:dyDescent="0.2">
      <c r="A15" s="127">
        <v>74.5</v>
      </c>
      <c r="B15" s="128">
        <v>-891259.10661062947</v>
      </c>
      <c r="C15" s="128">
        <v>890967.52191835991</v>
      </c>
      <c r="D15" s="128">
        <v>-291.58469226956367</v>
      </c>
      <c r="E15" s="128">
        <v>-2070000.0000000002</v>
      </c>
      <c r="F15" s="128">
        <v>4140000.0000000005</v>
      </c>
      <c r="G15" s="128">
        <v>2070000.0000000002</v>
      </c>
      <c r="H15" s="128">
        <v>5030967.5219183601</v>
      </c>
      <c r="I15" s="128">
        <v>4139708.4153077309</v>
      </c>
    </row>
    <row r="16" spans="1:9" ht="15" x14ac:dyDescent="0.2">
      <c r="A16" s="127">
        <v>76</v>
      </c>
      <c r="B16" s="128">
        <v>-891259.10661062947</v>
      </c>
      <c r="C16" s="128">
        <v>890967.52191835991</v>
      </c>
      <c r="D16" s="128">
        <v>-291.58469226956367</v>
      </c>
      <c r="E16" s="128">
        <v>-1320000.0000000002</v>
      </c>
      <c r="F16" s="128">
        <v>2640000.0000000005</v>
      </c>
      <c r="G16" s="128">
        <v>1320000.0000000002</v>
      </c>
      <c r="H16" s="128">
        <v>3530967.5219183601</v>
      </c>
      <c r="I16" s="128">
        <v>2639708.4153077309</v>
      </c>
    </row>
    <row r="17" spans="1:9" ht="15" x14ac:dyDescent="0.2">
      <c r="A17" s="127">
        <v>77.5</v>
      </c>
      <c r="B17" s="128">
        <v>-891259.10661062947</v>
      </c>
      <c r="C17" s="128">
        <v>890967.52191835991</v>
      </c>
      <c r="D17" s="128">
        <v>-291.58469226956367</v>
      </c>
      <c r="E17" s="128">
        <v>-570000.00000000023</v>
      </c>
      <c r="F17" s="128">
        <v>1140000.0000000005</v>
      </c>
      <c r="G17" s="128">
        <v>570000.00000000023</v>
      </c>
      <c r="H17" s="128">
        <v>2030967.5219183604</v>
      </c>
      <c r="I17" s="128">
        <v>1139708.4153077309</v>
      </c>
    </row>
    <row r="18" spans="1:9" ht="15" x14ac:dyDescent="0.2">
      <c r="A18" s="127">
        <v>79</v>
      </c>
      <c r="B18" s="128">
        <v>-891259.10661062947</v>
      </c>
      <c r="C18" s="128">
        <v>890967.52191835991</v>
      </c>
      <c r="D18" s="128">
        <v>-291.58469226956367</v>
      </c>
      <c r="E18" s="128">
        <v>179999.99999999971</v>
      </c>
      <c r="F18" s="128">
        <v>-359999.99999999942</v>
      </c>
      <c r="G18" s="128">
        <v>-179999.99999999971</v>
      </c>
      <c r="H18" s="128">
        <v>530967.52191836049</v>
      </c>
      <c r="I18" s="128">
        <v>-360291.58469226898</v>
      </c>
    </row>
    <row r="19" spans="1:9" ht="15" x14ac:dyDescent="0.2">
      <c r="A19" s="127">
        <v>80.5</v>
      </c>
      <c r="B19" s="128">
        <v>-891259.10661062947</v>
      </c>
      <c r="C19" s="128">
        <v>890967.52191835991</v>
      </c>
      <c r="D19" s="128">
        <v>-291.58469226956367</v>
      </c>
      <c r="E19" s="128">
        <v>929999.99999999977</v>
      </c>
      <c r="F19" s="128">
        <v>-1859999.9999999995</v>
      </c>
      <c r="G19" s="128">
        <v>-929999.99999999977</v>
      </c>
      <c r="H19" s="128">
        <v>-969032.47808163962</v>
      </c>
      <c r="I19" s="128">
        <v>-1860291.5846922691</v>
      </c>
    </row>
    <row r="20" spans="1:9" ht="15" x14ac:dyDescent="0.2">
      <c r="A20" s="127">
        <v>82</v>
      </c>
      <c r="B20" s="128">
        <v>-891259.10661062947</v>
      </c>
      <c r="C20" s="128">
        <v>890967.52191835991</v>
      </c>
      <c r="D20" s="128">
        <v>-291.58469226956367</v>
      </c>
      <c r="E20" s="128">
        <v>1679999.9999999998</v>
      </c>
      <c r="F20" s="128">
        <v>-3359999.9999999995</v>
      </c>
      <c r="G20" s="128">
        <v>-1679999.9999999998</v>
      </c>
      <c r="H20" s="128">
        <v>-2469032.4780816399</v>
      </c>
      <c r="I20" s="128">
        <v>-3360291.5846922691</v>
      </c>
    </row>
    <row r="21" spans="1:9" ht="15" x14ac:dyDescent="0.2">
      <c r="A21" s="127">
        <v>83.5</v>
      </c>
      <c r="B21" s="128">
        <v>-891259.10661062947</v>
      </c>
      <c r="C21" s="128">
        <v>890967.52191835991</v>
      </c>
      <c r="D21" s="128">
        <v>-291.58469226956367</v>
      </c>
      <c r="E21" s="128">
        <v>2429999.9999999995</v>
      </c>
      <c r="F21" s="128">
        <v>-4859999.9999999991</v>
      </c>
      <c r="G21" s="128">
        <v>-2429999.9999999995</v>
      </c>
      <c r="H21" s="128">
        <v>-3969032.4780816389</v>
      </c>
      <c r="I21" s="128">
        <v>-4860291.5846922686</v>
      </c>
    </row>
    <row r="22" spans="1:9" ht="15" x14ac:dyDescent="0.2">
      <c r="A22" s="127">
        <v>85</v>
      </c>
      <c r="B22" s="128">
        <v>-891259.10661062947</v>
      </c>
      <c r="C22" s="128">
        <v>890967.52191835991</v>
      </c>
      <c r="D22" s="128">
        <v>-291.58469226956367</v>
      </c>
      <c r="E22" s="128">
        <v>3179999.9999999995</v>
      </c>
      <c r="F22" s="128">
        <v>-6359999.9999999991</v>
      </c>
      <c r="G22" s="128">
        <v>-3179999.9999999995</v>
      </c>
      <c r="H22" s="128">
        <v>-5469032.4780816389</v>
      </c>
      <c r="I22" s="128">
        <v>-6360291.5846922686</v>
      </c>
    </row>
    <row r="23" spans="1:9" ht="15" x14ac:dyDescent="0.2">
      <c r="A23" s="127">
        <v>86.5</v>
      </c>
      <c r="B23" s="128">
        <v>-891259.10661062947</v>
      </c>
      <c r="C23" s="128">
        <v>890967.52191835991</v>
      </c>
      <c r="D23" s="128">
        <v>-291.58469226956367</v>
      </c>
      <c r="E23" s="128">
        <v>3929999.9999999995</v>
      </c>
      <c r="F23" s="128">
        <v>-7859999.9999999991</v>
      </c>
      <c r="G23" s="128">
        <v>-3929999.9999999995</v>
      </c>
      <c r="H23" s="128">
        <v>-6969032.4780816389</v>
      </c>
      <c r="I23" s="128">
        <v>-7860291.5846922686</v>
      </c>
    </row>
    <row r="24" spans="1:9" ht="15" x14ac:dyDescent="0.2">
      <c r="A24" s="127">
        <v>88</v>
      </c>
      <c r="B24" s="128">
        <v>-891259.10661062947</v>
      </c>
      <c r="C24" s="128">
        <v>890967.52191835991</v>
      </c>
      <c r="D24" s="128">
        <v>-291.58469226956367</v>
      </c>
      <c r="E24" s="128">
        <v>4680000</v>
      </c>
      <c r="F24" s="128">
        <v>-9360000</v>
      </c>
      <c r="G24" s="128">
        <v>-4680000</v>
      </c>
      <c r="H24" s="128">
        <v>-8469032.4780816399</v>
      </c>
      <c r="I24" s="128">
        <v>-9360291.5846922696</v>
      </c>
    </row>
    <row r="25" spans="1:9" ht="15" x14ac:dyDescent="0.2">
      <c r="A25" s="127">
        <v>89.5</v>
      </c>
      <c r="B25" s="128">
        <v>-141259.10661062945</v>
      </c>
      <c r="C25" s="128">
        <v>890967.52191835991</v>
      </c>
      <c r="D25" s="128">
        <v>749708.41530773044</v>
      </c>
      <c r="E25" s="128">
        <v>5430000</v>
      </c>
      <c r="F25" s="128">
        <v>-10860000</v>
      </c>
      <c r="G25" s="128">
        <v>-5430000</v>
      </c>
      <c r="H25" s="128">
        <v>-9969032.4780816399</v>
      </c>
      <c r="I25" s="128">
        <v>-10110291.58469227</v>
      </c>
    </row>
    <row r="26" spans="1:9" ht="15" x14ac:dyDescent="0.2">
      <c r="A26" s="127">
        <v>91</v>
      </c>
      <c r="B26" s="128">
        <v>608740.89338937053</v>
      </c>
      <c r="C26" s="128">
        <v>890967.52191835991</v>
      </c>
      <c r="D26" s="128">
        <v>1499708.4153077304</v>
      </c>
      <c r="E26" s="128">
        <v>6180000</v>
      </c>
      <c r="F26" s="128">
        <v>-12360000</v>
      </c>
      <c r="G26" s="128">
        <v>-6180000</v>
      </c>
      <c r="H26" s="128">
        <v>-11469032.47808164</v>
      </c>
      <c r="I26" s="128">
        <v>-10860291.58469227</v>
      </c>
    </row>
    <row r="27" spans="1:9" ht="15" x14ac:dyDescent="0.2">
      <c r="A27" s="127">
        <v>92.5</v>
      </c>
      <c r="B27" s="128">
        <v>1358740.8933893705</v>
      </c>
      <c r="C27" s="128">
        <v>890967.52191835991</v>
      </c>
      <c r="D27" s="128">
        <v>2249708.4153077304</v>
      </c>
      <c r="E27" s="128">
        <v>6930000</v>
      </c>
      <c r="F27" s="128">
        <v>-13860000</v>
      </c>
      <c r="G27" s="128">
        <v>-6930000</v>
      </c>
      <c r="H27" s="128">
        <v>-12969032.47808164</v>
      </c>
      <c r="I27" s="128">
        <v>-11610291.58469227</v>
      </c>
    </row>
    <row r="28" spans="1:9" ht="15" x14ac:dyDescent="0.2">
      <c r="A28" s="127">
        <v>94</v>
      </c>
      <c r="B28" s="128">
        <v>2108740.8933893708</v>
      </c>
      <c r="C28" s="128">
        <v>890967.52191835991</v>
      </c>
      <c r="D28" s="128">
        <v>2999708.4153077304</v>
      </c>
      <c r="E28" s="128">
        <v>7680000</v>
      </c>
      <c r="F28" s="128">
        <v>-15360000</v>
      </c>
      <c r="G28" s="128">
        <v>-7680000</v>
      </c>
      <c r="H28" s="128">
        <v>-14469032.47808164</v>
      </c>
      <c r="I28" s="128">
        <v>-12360291.58469227</v>
      </c>
    </row>
    <row r="29" spans="1:9" ht="15" x14ac:dyDescent="0.2">
      <c r="A29" s="127">
        <v>95.5</v>
      </c>
      <c r="B29" s="128">
        <v>2858740.8933893708</v>
      </c>
      <c r="C29" s="128">
        <v>890967.52191835991</v>
      </c>
      <c r="D29" s="128">
        <v>3749708.4153077304</v>
      </c>
      <c r="E29" s="128">
        <v>8430000</v>
      </c>
      <c r="F29" s="128">
        <v>-16860000</v>
      </c>
      <c r="G29" s="128">
        <v>-8430000</v>
      </c>
      <c r="H29" s="128">
        <v>-15969032.47808164</v>
      </c>
      <c r="I29" s="128">
        <v>-13110291.58469227</v>
      </c>
    </row>
    <row r="30" spans="1:9" ht="15" x14ac:dyDescent="0.2">
      <c r="A30" s="127">
        <v>97</v>
      </c>
      <c r="B30" s="128">
        <v>3608740.8933893708</v>
      </c>
      <c r="C30" s="128">
        <v>890967.52191835991</v>
      </c>
      <c r="D30" s="128">
        <v>4499708.4153077304</v>
      </c>
      <c r="E30" s="128">
        <v>9180000</v>
      </c>
      <c r="F30" s="128">
        <v>-18360000</v>
      </c>
      <c r="G30" s="128">
        <v>-9180000</v>
      </c>
      <c r="H30" s="128">
        <v>-17469032.47808164</v>
      </c>
      <c r="I30" s="128">
        <v>-13860291.58469227</v>
      </c>
    </row>
    <row r="31" spans="1:9" ht="15" x14ac:dyDescent="0.2">
      <c r="A31" s="127">
        <v>98.5</v>
      </c>
      <c r="B31" s="128">
        <v>4358740.8933893703</v>
      </c>
      <c r="C31" s="128">
        <v>890967.52191835991</v>
      </c>
      <c r="D31" s="128">
        <v>5249708.4153077304</v>
      </c>
      <c r="E31" s="128">
        <v>9930000</v>
      </c>
      <c r="F31" s="128">
        <v>-19860000</v>
      </c>
      <c r="G31" s="128">
        <v>-9930000</v>
      </c>
      <c r="H31" s="128">
        <v>-18969032.47808164</v>
      </c>
      <c r="I31" s="128">
        <v>-14610291.58469227</v>
      </c>
    </row>
    <row r="32" spans="1:9" ht="15" x14ac:dyDescent="0.2">
      <c r="A32" s="127">
        <v>100</v>
      </c>
      <c r="B32" s="128">
        <v>5108740.8933893703</v>
      </c>
      <c r="C32" s="128">
        <v>890967.52191835991</v>
      </c>
      <c r="D32" s="128">
        <v>5999708.4153077304</v>
      </c>
      <c r="E32" s="128">
        <v>10680000</v>
      </c>
      <c r="F32" s="128">
        <v>-21360000</v>
      </c>
      <c r="G32" s="128">
        <v>-10680000</v>
      </c>
      <c r="H32" s="128">
        <v>-20469032.47808164</v>
      </c>
      <c r="I32" s="128">
        <v>-15360291.58469227</v>
      </c>
    </row>
    <row r="33" spans="1:9" ht="15" x14ac:dyDescent="0.2">
      <c r="A33" s="127">
        <v>101.5</v>
      </c>
      <c r="B33" s="128">
        <v>5858740.8933893703</v>
      </c>
      <c r="C33" s="128">
        <v>890967.52191835991</v>
      </c>
      <c r="D33" s="128">
        <v>6749708.4153077304</v>
      </c>
      <c r="E33" s="128">
        <v>11430000</v>
      </c>
      <c r="F33" s="128">
        <v>-22860000</v>
      </c>
      <c r="G33" s="128">
        <v>-11430000</v>
      </c>
      <c r="H33" s="128">
        <v>-21969032.47808164</v>
      </c>
      <c r="I33" s="128">
        <v>-16110291.58469227</v>
      </c>
    </row>
    <row r="34" spans="1:9" ht="15" x14ac:dyDescent="0.2">
      <c r="A34" s="127">
        <v>103</v>
      </c>
      <c r="B34" s="128">
        <v>6608740.8933893703</v>
      </c>
      <c r="C34" s="128">
        <v>890967.52191835991</v>
      </c>
      <c r="D34" s="128">
        <v>7499708.4153077304</v>
      </c>
      <c r="E34" s="128">
        <v>12180000</v>
      </c>
      <c r="F34" s="128">
        <v>-24360000</v>
      </c>
      <c r="G34" s="128">
        <v>-12180000</v>
      </c>
      <c r="H34" s="128">
        <v>-23469032.47808164</v>
      </c>
      <c r="I34" s="128">
        <v>-16860291.58469227</v>
      </c>
    </row>
    <row r="35" spans="1:9" ht="15" x14ac:dyDescent="0.2">
      <c r="A35" s="127"/>
      <c r="B35" s="127"/>
      <c r="C35" s="127"/>
      <c r="D35" s="127"/>
      <c r="E35" s="127"/>
      <c r="F35" s="127"/>
      <c r="G35" s="127"/>
      <c r="H35" s="127"/>
      <c r="I35" s="12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0B3A-491D-4785-8760-27C071E992E8}">
  <dimension ref="B2:G11"/>
  <sheetViews>
    <sheetView tabSelected="1" workbookViewId="0">
      <selection activeCell="E9" sqref="E9"/>
    </sheetView>
  </sheetViews>
  <sheetFormatPr defaultRowHeight="12.75" x14ac:dyDescent="0.2"/>
  <cols>
    <col min="2" max="2" width="17.5703125" customWidth="1"/>
    <col min="5" max="5" width="18.85546875" customWidth="1"/>
  </cols>
  <sheetData>
    <row r="2" spans="2:7" x14ac:dyDescent="0.2">
      <c r="B2" t="s">
        <v>155</v>
      </c>
      <c r="C2" t="s">
        <v>156</v>
      </c>
      <c r="E2" t="s">
        <v>158</v>
      </c>
      <c r="F2" t="s">
        <v>132</v>
      </c>
    </row>
    <row r="3" spans="2:7" x14ac:dyDescent="0.2">
      <c r="B3" t="s">
        <v>157</v>
      </c>
      <c r="F3" t="s">
        <v>159</v>
      </c>
      <c r="G3" t="s">
        <v>18</v>
      </c>
    </row>
    <row r="4" spans="2:7" x14ac:dyDescent="0.2">
      <c r="B4" t="s">
        <v>50</v>
      </c>
      <c r="G4" t="s">
        <v>17</v>
      </c>
    </row>
    <row r="5" spans="2:7" x14ac:dyDescent="0.2">
      <c r="G5" t="s">
        <v>160</v>
      </c>
    </row>
    <row r="8" spans="2:7" x14ac:dyDescent="0.2">
      <c r="B8" t="s">
        <v>161</v>
      </c>
      <c r="C8">
        <v>40</v>
      </c>
      <c r="E8" t="s">
        <v>163</v>
      </c>
    </row>
    <row r="9" spans="2:7" x14ac:dyDescent="0.2">
      <c r="C9">
        <v>45</v>
      </c>
    </row>
    <row r="10" spans="2:7" x14ac:dyDescent="0.2">
      <c r="C10">
        <v>50</v>
      </c>
    </row>
    <row r="11" spans="2:7" x14ac:dyDescent="0.2">
      <c r="C11" t="s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4A8BE-CEB6-47D8-8202-D2DB7F919BA2}">
  <dimension ref="A1:AC78"/>
  <sheetViews>
    <sheetView topLeftCell="C1" zoomScale="132" workbookViewId="0">
      <selection activeCell="J3" sqref="J3"/>
    </sheetView>
  </sheetViews>
  <sheetFormatPr defaultRowHeight="12.75" x14ac:dyDescent="0.2"/>
  <cols>
    <col min="1" max="1" width="14.42578125" bestFit="1" customWidth="1"/>
    <col min="2" max="2" width="21.5703125" customWidth="1"/>
    <col min="3" max="3" width="23.28515625" customWidth="1"/>
    <col min="4" max="4" width="20.5703125" bestFit="1" customWidth="1"/>
    <col min="5" max="5" width="21.85546875" customWidth="1"/>
    <col min="6" max="6" width="21" customWidth="1"/>
    <col min="7" max="7" width="24.42578125" customWidth="1"/>
    <col min="8" max="8" width="15.7109375" customWidth="1"/>
    <col min="9" max="9" width="17.85546875" bestFit="1" customWidth="1"/>
    <col min="14" max="14" width="15" customWidth="1"/>
    <col min="15" max="15" width="12.7109375" customWidth="1"/>
    <col min="16" max="16" width="10.5703125" bestFit="1" customWidth="1"/>
    <col min="24" max="24" width="15" customWidth="1"/>
  </cols>
  <sheetData>
    <row r="1" spans="1:29" ht="14.25" thickTop="1" thickBot="1" x14ac:dyDescent="0.25">
      <c r="A1" s="66" t="s">
        <v>2</v>
      </c>
      <c r="B1" s="67" t="s">
        <v>23</v>
      </c>
      <c r="C1" s="22" t="s">
        <v>1</v>
      </c>
      <c r="D1" s="69" t="s">
        <v>38</v>
      </c>
      <c r="E1" s="69" t="s">
        <v>127</v>
      </c>
      <c r="F1" s="24" t="s">
        <v>153</v>
      </c>
      <c r="G1" s="70" t="s">
        <v>42</v>
      </c>
      <c r="I1" s="22" t="s">
        <v>151</v>
      </c>
      <c r="J1" s="22" t="s">
        <v>152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</row>
    <row r="2" spans="1:29" ht="14.25" thickTop="1" thickBot="1" x14ac:dyDescent="0.25">
      <c r="A2">
        <f>C59</f>
        <v>88</v>
      </c>
      <c r="B2" s="12">
        <f>E59</f>
        <v>63.312249549260194</v>
      </c>
      <c r="C2">
        <v>74.38</v>
      </c>
      <c r="D2" s="71">
        <f>C66</f>
        <v>1.8753099371421804</v>
      </c>
      <c r="E2" s="71">
        <f>AA3</f>
        <v>78.64</v>
      </c>
      <c r="F2" s="30">
        <f>I2*J2</f>
        <v>250000</v>
      </c>
      <c r="G2" s="74">
        <f>E66</f>
        <v>1.874332558395162</v>
      </c>
      <c r="I2" s="62">
        <f>C67</f>
        <v>1000000</v>
      </c>
      <c r="J2">
        <v>0.25</v>
      </c>
      <c r="N2" t="s">
        <v>94</v>
      </c>
      <c r="O2">
        <v>30.21</v>
      </c>
      <c r="P2">
        <v>29.03</v>
      </c>
      <c r="Q2">
        <v>28.74</v>
      </c>
      <c r="R2" s="6">
        <v>27.79</v>
      </c>
      <c r="S2">
        <v>27.18</v>
      </c>
      <c r="T2">
        <v>26.43</v>
      </c>
      <c r="U2">
        <v>33.090000000000003</v>
      </c>
      <c r="V2">
        <v>33.130000000000003</v>
      </c>
      <c r="X2" t="s">
        <v>81</v>
      </c>
      <c r="Y2">
        <v>50.35</v>
      </c>
      <c r="Z2">
        <v>54.02</v>
      </c>
      <c r="AA2">
        <v>57.91</v>
      </c>
      <c r="AB2">
        <v>61.19</v>
      </c>
      <c r="AC2">
        <v>63.91</v>
      </c>
    </row>
    <row r="3" spans="1:29" ht="14.25" thickTop="1" thickBot="1" x14ac:dyDescent="0.25">
      <c r="A3" s="63" t="s">
        <v>124</v>
      </c>
      <c r="B3" s="64" t="s">
        <v>40</v>
      </c>
      <c r="C3" s="65" t="s">
        <v>23</v>
      </c>
      <c r="D3" s="68" t="s">
        <v>125</v>
      </c>
      <c r="E3" s="76" t="s">
        <v>127</v>
      </c>
      <c r="F3" s="72" t="s">
        <v>128</v>
      </c>
      <c r="G3" t="s">
        <v>129</v>
      </c>
      <c r="H3" t="s">
        <v>130</v>
      </c>
      <c r="I3" t="s">
        <v>131</v>
      </c>
      <c r="N3" t="s">
        <v>95</v>
      </c>
      <c r="O3">
        <v>28.93</v>
      </c>
      <c r="P3">
        <v>28.47</v>
      </c>
      <c r="Q3">
        <v>28.33</v>
      </c>
      <c r="R3">
        <v>27.57</v>
      </c>
      <c r="S3">
        <v>26.85</v>
      </c>
      <c r="T3">
        <v>26.3</v>
      </c>
      <c r="U3">
        <v>32.22</v>
      </c>
      <c r="V3">
        <v>32.82</v>
      </c>
      <c r="X3" t="s">
        <v>94</v>
      </c>
      <c r="Y3">
        <v>76.290000000000006</v>
      </c>
      <c r="Z3">
        <v>77.209999999999994</v>
      </c>
      <c r="AA3">
        <v>78.64</v>
      </c>
      <c r="AB3">
        <v>79.680000000000007</v>
      </c>
      <c r="AC3">
        <v>80.650000000000006</v>
      </c>
    </row>
    <row r="4" spans="1:29" ht="14.25" thickTop="1" thickBot="1" x14ac:dyDescent="0.25">
      <c r="A4" s="63">
        <v>45</v>
      </c>
      <c r="B4" s="129">
        <f>(MAX((A4-$A$2),0)-$D$2)*$F$2</f>
        <v>-468827.48428554513</v>
      </c>
      <c r="C4" s="130">
        <f>(MIN(A4-$B$2,0)+$G$2)*$F$2</f>
        <v>-4109479.2477162583</v>
      </c>
      <c r="D4" s="30">
        <f>B4+C4</f>
        <v>-4578306.7320018038</v>
      </c>
      <c r="E4" s="77">
        <f>(A4-$E$2)*$F$2</f>
        <v>-8410000</v>
      </c>
      <c r="F4" s="77">
        <f>($E$2-A4)*$I$2</f>
        <v>33640000</v>
      </c>
      <c r="G4" s="35">
        <f>E4+F4</f>
        <v>25230000</v>
      </c>
      <c r="H4" s="35">
        <f>C4+F4</f>
        <v>29530520.752283741</v>
      </c>
      <c r="I4" s="35">
        <f>D4+F4</f>
        <v>29061693.267998196</v>
      </c>
    </row>
    <row r="5" spans="1:29" ht="14.25" thickTop="1" thickBot="1" x14ac:dyDescent="0.25">
      <c r="A5" s="73">
        <f>A4+2</f>
        <v>47</v>
      </c>
      <c r="B5" s="75">
        <f>(MAX((A5-$A$2),0)-$D$2)*$F$2</f>
        <v>-468827.48428554513</v>
      </c>
      <c r="C5" s="75">
        <f>(MIN(A5-$B$2,0)+$G$2)*$F$2</f>
        <v>-3609479.2477162583</v>
      </c>
      <c r="D5" s="30">
        <f>B5+C5</f>
        <v>-4078306.7320018033</v>
      </c>
      <c r="E5" s="77">
        <f t="shared" ref="E5:E39" si="0">(A5-$E$2)*$F$2</f>
        <v>-7910000</v>
      </c>
      <c r="F5" s="77">
        <f t="shared" ref="F5:F39" si="1">($E$2-A5)*$I$2</f>
        <v>31640000</v>
      </c>
      <c r="G5" s="35">
        <f>E5+F5</f>
        <v>23730000</v>
      </c>
      <c r="H5" s="35">
        <f>C5+F5</f>
        <v>28030520.752283741</v>
      </c>
      <c r="I5" s="35">
        <f>D5+F5</f>
        <v>27561693.267998196</v>
      </c>
      <c r="N5" t="s">
        <v>96</v>
      </c>
      <c r="O5">
        <v>30.63</v>
      </c>
      <c r="P5">
        <v>29.46</v>
      </c>
      <c r="Q5">
        <v>29.14</v>
      </c>
      <c r="R5">
        <v>28.18</v>
      </c>
      <c r="S5">
        <v>27.56</v>
      </c>
      <c r="T5">
        <v>27.04</v>
      </c>
      <c r="U5">
        <v>34.119999999999997</v>
      </c>
      <c r="V5">
        <v>33.96</v>
      </c>
    </row>
    <row r="6" spans="1:29" ht="14.25" thickTop="1" thickBot="1" x14ac:dyDescent="0.25">
      <c r="A6" s="73">
        <f t="shared" ref="A6:A39" si="2">A5+2</f>
        <v>49</v>
      </c>
      <c r="B6" s="75">
        <f t="shared" ref="B6:B33" si="3">(MAX((A6-$A$2),0)-$D$2)*$F$2</f>
        <v>-468827.48428554513</v>
      </c>
      <c r="C6" s="75">
        <f t="shared" ref="C6:C33" si="4">(MIN(A6-$B$2,0)+$G$2)*$F$2</f>
        <v>-3109479.2477162583</v>
      </c>
      <c r="D6" s="30">
        <f t="shared" ref="D6:D33" si="5">B6+C6</f>
        <v>-3578306.7320018033</v>
      </c>
      <c r="E6" s="77">
        <f t="shared" si="0"/>
        <v>-7410000</v>
      </c>
      <c r="F6" s="77">
        <f t="shared" si="1"/>
        <v>29640000</v>
      </c>
      <c r="G6" s="35">
        <f t="shared" ref="G6:G33" si="6">E6+F6</f>
        <v>22230000</v>
      </c>
      <c r="H6" s="35">
        <f t="shared" ref="H6:H33" si="7">C6+F6</f>
        <v>26530520.752283741</v>
      </c>
      <c r="I6" s="35">
        <f t="shared" ref="I6:I39" si="8">D6+F6</f>
        <v>26061693.267998196</v>
      </c>
      <c r="N6" t="s">
        <v>97</v>
      </c>
      <c r="O6">
        <v>31.07</v>
      </c>
      <c r="P6">
        <v>30.29</v>
      </c>
      <c r="Q6">
        <v>30.48</v>
      </c>
      <c r="R6">
        <v>29.19</v>
      </c>
      <c r="S6">
        <v>28.43</v>
      </c>
      <c r="T6">
        <v>27.93</v>
      </c>
      <c r="U6">
        <v>34.549999999999997</v>
      </c>
      <c r="V6">
        <v>34.53</v>
      </c>
    </row>
    <row r="7" spans="1:29" ht="14.25" thickTop="1" thickBot="1" x14ac:dyDescent="0.25">
      <c r="A7" s="73">
        <f t="shared" si="2"/>
        <v>51</v>
      </c>
      <c r="B7" s="75">
        <f t="shared" si="3"/>
        <v>-468827.48428554513</v>
      </c>
      <c r="C7" s="75">
        <f t="shared" si="4"/>
        <v>-2609479.2477162583</v>
      </c>
      <c r="D7" s="30">
        <f t="shared" si="5"/>
        <v>-3078306.7320018033</v>
      </c>
      <c r="E7" s="77">
        <f t="shared" si="0"/>
        <v>-6910000</v>
      </c>
      <c r="F7" s="77">
        <f t="shared" si="1"/>
        <v>27640000</v>
      </c>
      <c r="G7" s="35">
        <f t="shared" si="6"/>
        <v>20730000</v>
      </c>
      <c r="H7" s="35">
        <f t="shared" si="7"/>
        <v>25030520.752283741</v>
      </c>
      <c r="I7" s="35">
        <f t="shared" si="8"/>
        <v>24561693.267998196</v>
      </c>
      <c r="N7" t="s">
        <v>98</v>
      </c>
      <c r="O7">
        <v>30.69</v>
      </c>
      <c r="P7">
        <v>29.97</v>
      </c>
      <c r="Q7">
        <v>30.11</v>
      </c>
      <c r="R7">
        <v>28.89</v>
      </c>
      <c r="S7">
        <v>28.3</v>
      </c>
      <c r="T7">
        <v>27.1</v>
      </c>
      <c r="U7">
        <v>34.229999999999997</v>
      </c>
      <c r="V7">
        <v>33.74</v>
      </c>
    </row>
    <row r="8" spans="1:29" ht="14.25" thickTop="1" thickBot="1" x14ac:dyDescent="0.25">
      <c r="A8" s="73">
        <f t="shared" si="2"/>
        <v>53</v>
      </c>
      <c r="B8" s="75">
        <f t="shared" si="3"/>
        <v>-468827.48428554513</v>
      </c>
      <c r="C8" s="75">
        <f t="shared" si="4"/>
        <v>-2109479.2477162583</v>
      </c>
      <c r="D8" s="30">
        <f t="shared" si="5"/>
        <v>-2578306.7320018033</v>
      </c>
      <c r="E8" s="77">
        <f t="shared" si="0"/>
        <v>-6410000</v>
      </c>
      <c r="F8" s="77">
        <f t="shared" si="1"/>
        <v>25640000</v>
      </c>
      <c r="G8" s="35">
        <f t="shared" si="6"/>
        <v>19230000</v>
      </c>
      <c r="H8" s="35">
        <f t="shared" si="7"/>
        <v>23530520.752283741</v>
      </c>
      <c r="I8" s="35">
        <f t="shared" si="8"/>
        <v>23061693.267998196</v>
      </c>
      <c r="N8" t="s">
        <v>99</v>
      </c>
      <c r="O8">
        <v>29.9</v>
      </c>
      <c r="P8">
        <v>29.57</v>
      </c>
      <c r="Q8">
        <v>29.58</v>
      </c>
      <c r="R8">
        <v>28.48</v>
      </c>
      <c r="S8">
        <v>28.15</v>
      </c>
      <c r="T8">
        <v>26.92</v>
      </c>
      <c r="U8">
        <v>33.19</v>
      </c>
      <c r="V8">
        <v>33.44</v>
      </c>
    </row>
    <row r="9" spans="1:29" ht="14.25" thickTop="1" thickBot="1" x14ac:dyDescent="0.25">
      <c r="A9" s="73">
        <f t="shared" si="2"/>
        <v>55</v>
      </c>
      <c r="B9" s="75">
        <f t="shared" si="3"/>
        <v>-468827.48428554513</v>
      </c>
      <c r="C9" s="75">
        <f t="shared" si="4"/>
        <v>-1609479.247716258</v>
      </c>
      <c r="D9" s="30">
        <f t="shared" si="5"/>
        <v>-2078306.7320018031</v>
      </c>
      <c r="E9" s="77">
        <f t="shared" si="0"/>
        <v>-5910000</v>
      </c>
      <c r="F9" s="77">
        <f t="shared" si="1"/>
        <v>23640000</v>
      </c>
      <c r="G9" s="35">
        <f t="shared" si="6"/>
        <v>17730000</v>
      </c>
      <c r="H9" s="35">
        <f t="shared" si="7"/>
        <v>22030520.752283741</v>
      </c>
      <c r="I9" s="35">
        <f t="shared" si="8"/>
        <v>21561693.267998196</v>
      </c>
    </row>
    <row r="10" spans="1:29" ht="14.25" thickTop="1" thickBot="1" x14ac:dyDescent="0.25">
      <c r="A10" s="73">
        <f t="shared" si="2"/>
        <v>57</v>
      </c>
      <c r="B10" s="75">
        <f t="shared" si="3"/>
        <v>-468827.48428554513</v>
      </c>
      <c r="C10" s="75">
        <f t="shared" si="4"/>
        <v>-1109479.247716258</v>
      </c>
      <c r="D10" s="30">
        <f t="shared" si="5"/>
        <v>-1578306.7320018031</v>
      </c>
      <c r="E10" s="77">
        <f t="shared" si="0"/>
        <v>-5410000</v>
      </c>
      <c r="F10" s="77">
        <f t="shared" si="1"/>
        <v>21640000</v>
      </c>
      <c r="G10" s="35">
        <f t="shared" si="6"/>
        <v>16230000</v>
      </c>
      <c r="H10" s="35">
        <f t="shared" si="7"/>
        <v>20530520.752283741</v>
      </c>
      <c r="I10" s="35">
        <f t="shared" si="8"/>
        <v>20061693.267998196</v>
      </c>
    </row>
    <row r="11" spans="1:29" ht="14.25" thickTop="1" thickBot="1" x14ac:dyDescent="0.25">
      <c r="A11" s="73">
        <f t="shared" si="2"/>
        <v>59</v>
      </c>
      <c r="B11" s="75">
        <f t="shared" si="3"/>
        <v>-468827.48428554513</v>
      </c>
      <c r="C11" s="75">
        <f t="shared" si="4"/>
        <v>-609479.24771625805</v>
      </c>
      <c r="D11" s="30">
        <f t="shared" si="5"/>
        <v>-1078306.7320018031</v>
      </c>
      <c r="E11" s="77">
        <f t="shared" si="0"/>
        <v>-4910000</v>
      </c>
      <c r="F11" s="77">
        <f t="shared" si="1"/>
        <v>19640000</v>
      </c>
      <c r="G11" s="35">
        <f t="shared" si="6"/>
        <v>14730000</v>
      </c>
      <c r="H11" s="35">
        <f t="shared" si="7"/>
        <v>19030520.752283741</v>
      </c>
      <c r="I11" s="35">
        <f t="shared" si="8"/>
        <v>18561693.267998196</v>
      </c>
    </row>
    <row r="12" spans="1:29" ht="14.25" thickTop="1" thickBot="1" x14ac:dyDescent="0.25">
      <c r="A12" s="73">
        <f t="shared" si="2"/>
        <v>61</v>
      </c>
      <c r="B12" s="75">
        <f t="shared" si="3"/>
        <v>-468827.48428554513</v>
      </c>
      <c r="C12" s="75">
        <f t="shared" si="4"/>
        <v>-109479.24771625806</v>
      </c>
      <c r="D12" s="30">
        <f t="shared" si="5"/>
        <v>-578306.73200180323</v>
      </c>
      <c r="E12" s="77">
        <f t="shared" si="0"/>
        <v>-4410000</v>
      </c>
      <c r="F12" s="77">
        <f t="shared" si="1"/>
        <v>17640000</v>
      </c>
      <c r="G12" s="35">
        <f t="shared" si="6"/>
        <v>13230000</v>
      </c>
      <c r="H12" s="35">
        <f t="shared" si="7"/>
        <v>17530520.752283741</v>
      </c>
      <c r="I12" s="35">
        <f t="shared" si="8"/>
        <v>17061693.267998196</v>
      </c>
    </row>
    <row r="13" spans="1:29" ht="14.25" thickTop="1" thickBot="1" x14ac:dyDescent="0.25">
      <c r="A13" s="73">
        <f t="shared" si="2"/>
        <v>63</v>
      </c>
      <c r="B13" s="75">
        <f t="shared" si="3"/>
        <v>-468827.48428554513</v>
      </c>
      <c r="C13" s="75">
        <f t="shared" si="4"/>
        <v>390520.75228374195</v>
      </c>
      <c r="D13" s="30">
        <f t="shared" si="5"/>
        <v>-78306.732001803175</v>
      </c>
      <c r="E13" s="77">
        <f t="shared" si="0"/>
        <v>-3910000</v>
      </c>
      <c r="F13" s="77">
        <f t="shared" si="1"/>
        <v>15640000</v>
      </c>
      <c r="G13" s="35">
        <f t="shared" si="6"/>
        <v>11730000</v>
      </c>
      <c r="H13" s="35">
        <f t="shared" si="7"/>
        <v>16030520.752283743</v>
      </c>
      <c r="I13" s="35">
        <f t="shared" si="8"/>
        <v>15561693.267998196</v>
      </c>
    </row>
    <row r="14" spans="1:29" s="84" customFormat="1" ht="14.25" thickTop="1" thickBot="1" x14ac:dyDescent="0.25">
      <c r="A14" s="73">
        <f t="shared" si="2"/>
        <v>65</v>
      </c>
      <c r="B14" s="81">
        <f t="shared" si="3"/>
        <v>-468827.48428554513</v>
      </c>
      <c r="C14" s="81">
        <f t="shared" si="4"/>
        <v>468583.1395987905</v>
      </c>
      <c r="D14" s="82">
        <f t="shared" si="5"/>
        <v>-244.34468675462995</v>
      </c>
      <c r="E14" s="77">
        <f t="shared" si="0"/>
        <v>-3410000</v>
      </c>
      <c r="F14" s="77">
        <f t="shared" si="1"/>
        <v>13640000</v>
      </c>
      <c r="G14" s="83">
        <f t="shared" si="6"/>
        <v>10230000</v>
      </c>
      <c r="H14" s="83">
        <f t="shared" si="7"/>
        <v>14108583.139598791</v>
      </c>
      <c r="I14" s="83">
        <f t="shared" si="8"/>
        <v>13639755.655313246</v>
      </c>
    </row>
    <row r="15" spans="1:29" ht="14.25" thickTop="1" thickBot="1" x14ac:dyDescent="0.25">
      <c r="A15" s="73">
        <f t="shared" si="2"/>
        <v>67</v>
      </c>
      <c r="B15" s="75">
        <f t="shared" si="3"/>
        <v>-468827.48428554513</v>
      </c>
      <c r="C15" s="75">
        <f t="shared" si="4"/>
        <v>468583.1395987905</v>
      </c>
      <c r="D15" s="30">
        <f t="shared" si="5"/>
        <v>-244.34468675462995</v>
      </c>
      <c r="E15" s="77">
        <f t="shared" si="0"/>
        <v>-2910000</v>
      </c>
      <c r="F15" s="77">
        <f t="shared" si="1"/>
        <v>11640000</v>
      </c>
      <c r="G15" s="35">
        <f t="shared" si="6"/>
        <v>8730000</v>
      </c>
      <c r="H15" s="35">
        <f t="shared" si="7"/>
        <v>12108583.139598791</v>
      </c>
      <c r="I15" s="35">
        <f t="shared" si="8"/>
        <v>11639755.655313246</v>
      </c>
    </row>
    <row r="16" spans="1:29" s="72" customFormat="1" ht="14.25" thickTop="1" thickBot="1" x14ac:dyDescent="0.25">
      <c r="A16" s="73">
        <f t="shared" si="2"/>
        <v>69</v>
      </c>
      <c r="B16" s="78">
        <f t="shared" si="3"/>
        <v>-468827.48428554513</v>
      </c>
      <c r="C16" s="78">
        <f t="shared" si="4"/>
        <v>468583.1395987905</v>
      </c>
      <c r="D16" s="79">
        <f t="shared" si="5"/>
        <v>-244.34468675462995</v>
      </c>
      <c r="E16" s="77">
        <f t="shared" si="0"/>
        <v>-2410000</v>
      </c>
      <c r="F16" s="77">
        <f t="shared" si="1"/>
        <v>9640000</v>
      </c>
      <c r="G16" s="80">
        <f t="shared" si="6"/>
        <v>7230000</v>
      </c>
      <c r="H16" s="80">
        <f t="shared" si="7"/>
        <v>10108583.139598791</v>
      </c>
      <c r="I16" s="80">
        <f t="shared" si="8"/>
        <v>9639755.655313246</v>
      </c>
    </row>
    <row r="17" spans="1:9" ht="14.25" thickTop="1" thickBot="1" x14ac:dyDescent="0.25">
      <c r="A17" s="73">
        <f t="shared" si="2"/>
        <v>71</v>
      </c>
      <c r="B17" s="75">
        <f t="shared" si="3"/>
        <v>-468827.48428554513</v>
      </c>
      <c r="C17" s="75">
        <f t="shared" si="4"/>
        <v>468583.1395987905</v>
      </c>
      <c r="D17" s="30">
        <f t="shared" si="5"/>
        <v>-244.34468675462995</v>
      </c>
      <c r="E17" s="77">
        <f t="shared" si="0"/>
        <v>-1910000.0000000002</v>
      </c>
      <c r="F17" s="77">
        <f t="shared" si="1"/>
        <v>7640000.0000000009</v>
      </c>
      <c r="G17" s="35">
        <f t="shared" si="6"/>
        <v>5730000.0000000009</v>
      </c>
      <c r="H17" s="35">
        <f t="shared" si="7"/>
        <v>8108583.1395987915</v>
      </c>
      <c r="I17" s="35">
        <f t="shared" si="8"/>
        <v>7639755.655313246</v>
      </c>
    </row>
    <row r="18" spans="1:9" ht="14.25" thickTop="1" thickBot="1" x14ac:dyDescent="0.25">
      <c r="A18" s="73">
        <f t="shared" si="2"/>
        <v>73</v>
      </c>
      <c r="B18" s="75">
        <f t="shared" si="3"/>
        <v>-468827.48428554513</v>
      </c>
      <c r="C18" s="75">
        <f t="shared" si="4"/>
        <v>468583.1395987905</v>
      </c>
      <c r="D18" s="30">
        <f t="shared" si="5"/>
        <v>-244.34468675462995</v>
      </c>
      <c r="E18" s="77">
        <f t="shared" si="0"/>
        <v>-1410000.0000000002</v>
      </c>
      <c r="F18" s="77">
        <f t="shared" si="1"/>
        <v>5640000.0000000009</v>
      </c>
      <c r="G18" s="35">
        <f t="shared" si="6"/>
        <v>4230000.0000000009</v>
      </c>
      <c r="H18" s="35">
        <f t="shared" si="7"/>
        <v>6108583.1395987915</v>
      </c>
      <c r="I18" s="35">
        <f t="shared" si="8"/>
        <v>5639755.655313246</v>
      </c>
    </row>
    <row r="19" spans="1:9" ht="14.25" thickTop="1" thickBot="1" x14ac:dyDescent="0.25">
      <c r="A19" s="73">
        <f t="shared" si="2"/>
        <v>75</v>
      </c>
      <c r="B19" s="75">
        <f t="shared" si="3"/>
        <v>-468827.48428554513</v>
      </c>
      <c r="C19" s="75">
        <f t="shared" si="4"/>
        <v>468583.1395987905</v>
      </c>
      <c r="D19" s="30">
        <f t="shared" si="5"/>
        <v>-244.34468675462995</v>
      </c>
      <c r="E19" s="77">
        <f t="shared" si="0"/>
        <v>-910000.00000000012</v>
      </c>
      <c r="F19" s="77">
        <f t="shared" si="1"/>
        <v>3640000.0000000005</v>
      </c>
      <c r="G19" s="35">
        <f t="shared" si="6"/>
        <v>2730000.0000000005</v>
      </c>
      <c r="H19" s="35">
        <f t="shared" si="7"/>
        <v>4108583.139598791</v>
      </c>
      <c r="I19" s="35">
        <f t="shared" si="8"/>
        <v>3639755.655313246</v>
      </c>
    </row>
    <row r="20" spans="1:9" ht="14.25" thickTop="1" thickBot="1" x14ac:dyDescent="0.25">
      <c r="A20" s="73">
        <f t="shared" si="2"/>
        <v>77</v>
      </c>
      <c r="B20" s="75">
        <f t="shared" si="3"/>
        <v>-468827.48428554513</v>
      </c>
      <c r="C20" s="75">
        <f t="shared" si="4"/>
        <v>468583.1395987905</v>
      </c>
      <c r="D20" s="30">
        <f t="shared" si="5"/>
        <v>-244.34468675462995</v>
      </c>
      <c r="E20" s="77">
        <f t="shared" si="0"/>
        <v>-410000.00000000012</v>
      </c>
      <c r="F20" s="77">
        <f t="shared" si="1"/>
        <v>1640000.0000000005</v>
      </c>
      <c r="G20" s="35">
        <f t="shared" si="6"/>
        <v>1230000.0000000005</v>
      </c>
      <c r="H20" s="35">
        <f t="shared" si="7"/>
        <v>2108583.139598791</v>
      </c>
      <c r="I20" s="35">
        <f t="shared" si="8"/>
        <v>1639755.655313246</v>
      </c>
    </row>
    <row r="21" spans="1:9" ht="14.25" thickTop="1" thickBot="1" x14ac:dyDescent="0.25">
      <c r="A21" s="73">
        <f t="shared" si="2"/>
        <v>79</v>
      </c>
      <c r="B21" s="75">
        <f t="shared" si="3"/>
        <v>-468827.48428554513</v>
      </c>
      <c r="C21" s="75">
        <f t="shared" si="4"/>
        <v>468583.1395987905</v>
      </c>
      <c r="D21" s="30">
        <f t="shared" si="5"/>
        <v>-244.34468675462995</v>
      </c>
      <c r="E21" s="77">
        <f t="shared" si="0"/>
        <v>89999.999999999854</v>
      </c>
      <c r="F21" s="77">
        <f t="shared" si="1"/>
        <v>-359999.99999999942</v>
      </c>
      <c r="G21" s="35">
        <f t="shared" si="6"/>
        <v>-269999.99999999953</v>
      </c>
      <c r="H21" s="35">
        <f t="shared" si="7"/>
        <v>108583.13959879108</v>
      </c>
      <c r="I21" s="35">
        <f t="shared" si="8"/>
        <v>-360244.34468675405</v>
      </c>
    </row>
    <row r="22" spans="1:9" ht="14.25" thickTop="1" thickBot="1" x14ac:dyDescent="0.25">
      <c r="A22" s="73">
        <f t="shared" si="2"/>
        <v>81</v>
      </c>
      <c r="B22" s="75">
        <f t="shared" si="3"/>
        <v>-468827.48428554513</v>
      </c>
      <c r="C22" s="75">
        <f t="shared" si="4"/>
        <v>468583.1395987905</v>
      </c>
      <c r="D22" s="30">
        <f t="shared" si="5"/>
        <v>-244.34468675462995</v>
      </c>
      <c r="E22" s="77">
        <f t="shared" si="0"/>
        <v>589999.99999999988</v>
      </c>
      <c r="F22" s="77">
        <f t="shared" si="1"/>
        <v>-2359999.9999999995</v>
      </c>
      <c r="G22" s="35">
        <f t="shared" si="6"/>
        <v>-1769999.9999999995</v>
      </c>
      <c r="H22" s="35">
        <f t="shared" si="7"/>
        <v>-1891416.860401209</v>
      </c>
      <c r="I22" s="35">
        <f t="shared" si="8"/>
        <v>-2360244.344686754</v>
      </c>
    </row>
    <row r="23" spans="1:9" ht="14.25" thickTop="1" thickBot="1" x14ac:dyDescent="0.25">
      <c r="A23" s="73">
        <f t="shared" si="2"/>
        <v>83</v>
      </c>
      <c r="B23" s="75">
        <f t="shared" si="3"/>
        <v>-468827.48428554513</v>
      </c>
      <c r="C23" s="75">
        <f t="shared" si="4"/>
        <v>468583.1395987905</v>
      </c>
      <c r="D23" s="30">
        <f t="shared" si="5"/>
        <v>-244.34468675462995</v>
      </c>
      <c r="E23" s="77">
        <f t="shared" si="0"/>
        <v>1089999.9999999998</v>
      </c>
      <c r="F23" s="77">
        <f t="shared" si="1"/>
        <v>-4359999.9999999991</v>
      </c>
      <c r="G23" s="35">
        <f t="shared" si="6"/>
        <v>-3269999.9999999991</v>
      </c>
      <c r="H23" s="35">
        <f t="shared" si="7"/>
        <v>-3891416.8604012085</v>
      </c>
      <c r="I23" s="35">
        <f t="shared" si="8"/>
        <v>-4360244.344686754</v>
      </c>
    </row>
    <row r="24" spans="1:9" ht="14.25" thickTop="1" thickBot="1" x14ac:dyDescent="0.25">
      <c r="A24" s="73">
        <f t="shared" si="2"/>
        <v>85</v>
      </c>
      <c r="B24" s="75">
        <f t="shared" si="3"/>
        <v>-468827.48428554513</v>
      </c>
      <c r="C24" s="75">
        <f t="shared" si="4"/>
        <v>468583.1395987905</v>
      </c>
      <c r="D24" s="30">
        <f t="shared" si="5"/>
        <v>-244.34468675462995</v>
      </c>
      <c r="E24" s="77">
        <f t="shared" si="0"/>
        <v>1589999.9999999998</v>
      </c>
      <c r="F24" s="77">
        <f t="shared" si="1"/>
        <v>-6359999.9999999991</v>
      </c>
      <c r="G24" s="35">
        <f t="shared" si="6"/>
        <v>-4769999.9999999991</v>
      </c>
      <c r="H24" s="35">
        <f t="shared" si="7"/>
        <v>-5891416.8604012085</v>
      </c>
      <c r="I24" s="35">
        <f t="shared" si="8"/>
        <v>-6360244.344686754</v>
      </c>
    </row>
    <row r="25" spans="1:9" ht="14.25" thickTop="1" thickBot="1" x14ac:dyDescent="0.25">
      <c r="A25" s="73">
        <f t="shared" si="2"/>
        <v>87</v>
      </c>
      <c r="B25" s="75">
        <f t="shared" si="3"/>
        <v>-468827.48428554513</v>
      </c>
      <c r="C25" s="75">
        <f t="shared" si="4"/>
        <v>468583.1395987905</v>
      </c>
      <c r="D25" s="30">
        <f t="shared" si="5"/>
        <v>-244.34468675462995</v>
      </c>
      <c r="E25" s="77">
        <f t="shared" si="0"/>
        <v>2089999.9999999998</v>
      </c>
      <c r="F25" s="77">
        <f t="shared" si="1"/>
        <v>-8359999.9999999991</v>
      </c>
      <c r="G25" s="35">
        <f t="shared" si="6"/>
        <v>-6269999.9999999991</v>
      </c>
      <c r="H25" s="35">
        <f t="shared" si="7"/>
        <v>-7891416.8604012085</v>
      </c>
      <c r="I25" s="35">
        <f t="shared" si="8"/>
        <v>-8360244.344686754</v>
      </c>
    </row>
    <row r="26" spans="1:9" ht="14.25" thickTop="1" thickBot="1" x14ac:dyDescent="0.25">
      <c r="A26" s="73">
        <f t="shared" si="2"/>
        <v>89</v>
      </c>
      <c r="B26" s="75">
        <f t="shared" si="3"/>
        <v>-218827.4842855451</v>
      </c>
      <c r="C26" s="75">
        <f t="shared" si="4"/>
        <v>468583.1395987905</v>
      </c>
      <c r="D26" s="30">
        <f t="shared" si="5"/>
        <v>249755.6553132454</v>
      </c>
      <c r="E26" s="77">
        <f t="shared" si="0"/>
        <v>2590000</v>
      </c>
      <c r="F26" s="77">
        <f t="shared" si="1"/>
        <v>-10360000</v>
      </c>
      <c r="G26" s="35">
        <f t="shared" si="6"/>
        <v>-7770000</v>
      </c>
      <c r="H26" s="35">
        <f t="shared" si="7"/>
        <v>-9891416.8604012094</v>
      </c>
      <c r="I26" s="35">
        <f t="shared" si="8"/>
        <v>-10110244.344686754</v>
      </c>
    </row>
    <row r="27" spans="1:9" ht="14.25" thickTop="1" thickBot="1" x14ac:dyDescent="0.25">
      <c r="A27" s="73">
        <f t="shared" si="2"/>
        <v>91</v>
      </c>
      <c r="B27" s="75">
        <f t="shared" si="3"/>
        <v>281172.51571445487</v>
      </c>
      <c r="C27" s="75">
        <f t="shared" si="4"/>
        <v>468583.1395987905</v>
      </c>
      <c r="D27" s="30">
        <f t="shared" si="5"/>
        <v>749755.65531324537</v>
      </c>
      <c r="E27" s="77">
        <f t="shared" si="0"/>
        <v>3090000</v>
      </c>
      <c r="F27" s="77">
        <f t="shared" si="1"/>
        <v>-12360000</v>
      </c>
      <c r="G27" s="35">
        <f t="shared" si="6"/>
        <v>-9270000</v>
      </c>
      <c r="H27" s="35">
        <f t="shared" si="7"/>
        <v>-11891416.860401209</v>
      </c>
      <c r="I27" s="35">
        <f t="shared" si="8"/>
        <v>-11610244.344686754</v>
      </c>
    </row>
    <row r="28" spans="1:9" ht="14.25" thickTop="1" thickBot="1" x14ac:dyDescent="0.25">
      <c r="A28" s="73">
        <f t="shared" si="2"/>
        <v>93</v>
      </c>
      <c r="B28" s="75">
        <f t="shared" si="3"/>
        <v>781172.51571445493</v>
      </c>
      <c r="C28" s="75">
        <f t="shared" si="4"/>
        <v>468583.1395987905</v>
      </c>
      <c r="D28" s="30">
        <f t="shared" si="5"/>
        <v>1249755.6553132455</v>
      </c>
      <c r="E28" s="77">
        <f t="shared" si="0"/>
        <v>3590000</v>
      </c>
      <c r="F28" s="77">
        <f t="shared" si="1"/>
        <v>-14360000</v>
      </c>
      <c r="G28" s="35">
        <f t="shared" si="6"/>
        <v>-10770000</v>
      </c>
      <c r="H28" s="35">
        <f t="shared" si="7"/>
        <v>-13891416.860401209</v>
      </c>
      <c r="I28" s="35">
        <f t="shared" si="8"/>
        <v>-13110244.344686754</v>
      </c>
    </row>
    <row r="29" spans="1:9" ht="14.25" thickTop="1" thickBot="1" x14ac:dyDescent="0.25">
      <c r="A29" s="73">
        <f t="shared" si="2"/>
        <v>95</v>
      </c>
      <c r="B29" s="75">
        <f t="shared" si="3"/>
        <v>1281172.5157144549</v>
      </c>
      <c r="C29" s="75">
        <f t="shared" si="4"/>
        <v>468583.1395987905</v>
      </c>
      <c r="D29" s="30">
        <f t="shared" si="5"/>
        <v>1749755.6553132455</v>
      </c>
      <c r="E29" s="77">
        <f t="shared" si="0"/>
        <v>4090000</v>
      </c>
      <c r="F29" s="77">
        <f t="shared" si="1"/>
        <v>-16360000</v>
      </c>
      <c r="G29" s="35">
        <f t="shared" si="6"/>
        <v>-12270000</v>
      </c>
      <c r="H29" s="35">
        <f t="shared" si="7"/>
        <v>-15891416.860401209</v>
      </c>
      <c r="I29" s="35">
        <f t="shared" si="8"/>
        <v>-14610244.344686754</v>
      </c>
    </row>
    <row r="30" spans="1:9" ht="14.25" thickTop="1" thickBot="1" x14ac:dyDescent="0.25">
      <c r="A30" s="73">
        <f t="shared" si="2"/>
        <v>97</v>
      </c>
      <c r="B30" s="75">
        <f t="shared" si="3"/>
        <v>1781172.5157144549</v>
      </c>
      <c r="C30" s="75">
        <f t="shared" si="4"/>
        <v>468583.1395987905</v>
      </c>
      <c r="D30" s="30">
        <f t="shared" si="5"/>
        <v>2249755.6553132455</v>
      </c>
      <c r="E30" s="77">
        <f t="shared" si="0"/>
        <v>4590000</v>
      </c>
      <c r="F30" s="77">
        <f t="shared" si="1"/>
        <v>-18360000</v>
      </c>
      <c r="G30" s="35">
        <f t="shared" si="6"/>
        <v>-13770000</v>
      </c>
      <c r="H30" s="35">
        <f t="shared" si="7"/>
        <v>-17891416.860401209</v>
      </c>
      <c r="I30" s="35">
        <f t="shared" si="8"/>
        <v>-16110244.344686754</v>
      </c>
    </row>
    <row r="31" spans="1:9" ht="14.25" thickTop="1" thickBot="1" x14ac:dyDescent="0.25">
      <c r="A31" s="73">
        <f t="shared" si="2"/>
        <v>99</v>
      </c>
      <c r="B31" s="75">
        <f t="shared" si="3"/>
        <v>2281172.5157144549</v>
      </c>
      <c r="C31" s="75">
        <f t="shared" si="4"/>
        <v>468583.1395987905</v>
      </c>
      <c r="D31" s="30">
        <f t="shared" si="5"/>
        <v>2749755.6553132455</v>
      </c>
      <c r="E31" s="77">
        <f t="shared" si="0"/>
        <v>5090000</v>
      </c>
      <c r="F31" s="77">
        <f t="shared" si="1"/>
        <v>-20360000</v>
      </c>
      <c r="G31" s="35">
        <f t="shared" si="6"/>
        <v>-15270000</v>
      </c>
      <c r="H31" s="35">
        <f t="shared" si="7"/>
        <v>-19891416.860401209</v>
      </c>
      <c r="I31" s="35">
        <f t="shared" si="8"/>
        <v>-17610244.344686754</v>
      </c>
    </row>
    <row r="32" spans="1:9" ht="14.25" thickTop="1" thickBot="1" x14ac:dyDescent="0.25">
      <c r="A32" s="73">
        <f t="shared" si="2"/>
        <v>101</v>
      </c>
      <c r="B32" s="75">
        <f t="shared" si="3"/>
        <v>2781172.5157144549</v>
      </c>
      <c r="C32" s="75">
        <f t="shared" si="4"/>
        <v>468583.1395987905</v>
      </c>
      <c r="D32" s="30">
        <f t="shared" si="5"/>
        <v>3249755.6553132455</v>
      </c>
      <c r="E32" s="77">
        <f t="shared" si="0"/>
        <v>5590000</v>
      </c>
      <c r="F32" s="77">
        <f t="shared" si="1"/>
        <v>-22360000</v>
      </c>
      <c r="G32" s="35">
        <f t="shared" si="6"/>
        <v>-16770000</v>
      </c>
      <c r="H32" s="35">
        <f t="shared" si="7"/>
        <v>-21891416.860401209</v>
      </c>
      <c r="I32" s="35">
        <f t="shared" si="8"/>
        <v>-19110244.344686754</v>
      </c>
    </row>
    <row r="33" spans="1:28" ht="14.25" thickTop="1" thickBot="1" x14ac:dyDescent="0.25">
      <c r="A33" s="73">
        <f t="shared" si="2"/>
        <v>103</v>
      </c>
      <c r="B33" s="75">
        <f t="shared" si="3"/>
        <v>3281172.5157144549</v>
      </c>
      <c r="C33" s="75">
        <f t="shared" si="4"/>
        <v>468583.1395987905</v>
      </c>
      <c r="D33" s="30">
        <f t="shared" si="5"/>
        <v>3749755.6553132455</v>
      </c>
      <c r="E33" s="77">
        <f t="shared" si="0"/>
        <v>6090000</v>
      </c>
      <c r="F33" s="77">
        <f t="shared" si="1"/>
        <v>-24360000</v>
      </c>
      <c r="G33" s="35">
        <f t="shared" si="6"/>
        <v>-18270000</v>
      </c>
      <c r="H33" s="35">
        <f t="shared" si="7"/>
        <v>-23891416.860401209</v>
      </c>
      <c r="I33" s="35">
        <f t="shared" si="8"/>
        <v>-20610244.344686754</v>
      </c>
    </row>
    <row r="34" spans="1:28" ht="14.25" thickTop="1" thickBot="1" x14ac:dyDescent="0.25">
      <c r="A34" s="73">
        <f t="shared" si="2"/>
        <v>105</v>
      </c>
      <c r="B34" s="75">
        <f t="shared" ref="B34:B39" si="9">(MAX((A34-$A$2),0)-$D$2)*$F$2</f>
        <v>3781172.5157144549</v>
      </c>
      <c r="C34" s="75">
        <f t="shared" ref="C34:C39" si="10">(MIN(A34-$B$2,0)+$G$2)*$F$2</f>
        <v>468583.1395987905</v>
      </c>
      <c r="D34" s="30">
        <f t="shared" ref="D34:D39" si="11">B34+C34</f>
        <v>4249755.655313245</v>
      </c>
      <c r="E34" s="77">
        <f t="shared" si="0"/>
        <v>6590000</v>
      </c>
      <c r="F34" s="77">
        <f t="shared" si="1"/>
        <v>-26360000</v>
      </c>
      <c r="G34" s="35">
        <f t="shared" ref="G34:G39" si="12">E34+F34</f>
        <v>-19770000</v>
      </c>
      <c r="H34" s="35">
        <f t="shared" ref="H34:H39" si="13">C34+F34</f>
        <v>-25891416.860401209</v>
      </c>
      <c r="I34" s="35">
        <f t="shared" si="8"/>
        <v>-22110244.344686754</v>
      </c>
    </row>
    <row r="35" spans="1:28" ht="14.25" thickTop="1" thickBot="1" x14ac:dyDescent="0.25">
      <c r="A35" s="73">
        <f t="shared" si="2"/>
        <v>107</v>
      </c>
      <c r="B35" s="75">
        <f t="shared" si="9"/>
        <v>4281172.5157144545</v>
      </c>
      <c r="C35" s="75">
        <f t="shared" si="10"/>
        <v>468583.1395987905</v>
      </c>
      <c r="D35" s="30">
        <f t="shared" si="11"/>
        <v>4749755.655313245</v>
      </c>
      <c r="E35" s="77">
        <f t="shared" si="0"/>
        <v>7090000</v>
      </c>
      <c r="F35" s="77">
        <f t="shared" si="1"/>
        <v>-28360000</v>
      </c>
      <c r="G35" s="35">
        <f t="shared" si="12"/>
        <v>-21270000</v>
      </c>
      <c r="H35" s="35">
        <f t="shared" si="13"/>
        <v>-27891416.860401209</v>
      </c>
      <c r="I35" s="35">
        <f t="shared" si="8"/>
        <v>-23610244.344686754</v>
      </c>
      <c r="N35" s="13"/>
    </row>
    <row r="36" spans="1:28" ht="14.25" thickTop="1" thickBot="1" x14ac:dyDescent="0.25">
      <c r="A36" s="73">
        <f t="shared" si="2"/>
        <v>109</v>
      </c>
      <c r="B36" s="75">
        <f t="shared" si="9"/>
        <v>4781172.5157144545</v>
      </c>
      <c r="C36" s="75">
        <f t="shared" si="10"/>
        <v>468583.1395987905</v>
      </c>
      <c r="D36" s="30">
        <f t="shared" si="11"/>
        <v>5249755.655313245</v>
      </c>
      <c r="E36" s="77">
        <f t="shared" si="0"/>
        <v>7590000</v>
      </c>
      <c r="F36" s="77">
        <f t="shared" si="1"/>
        <v>-30360000</v>
      </c>
      <c r="G36" s="35">
        <f t="shared" si="12"/>
        <v>-22770000</v>
      </c>
      <c r="H36" s="35">
        <f t="shared" si="13"/>
        <v>-29891416.860401209</v>
      </c>
      <c r="I36" s="35">
        <f t="shared" si="8"/>
        <v>-25110244.344686754</v>
      </c>
    </row>
    <row r="37" spans="1:28" ht="14.25" thickTop="1" thickBot="1" x14ac:dyDescent="0.25">
      <c r="A37" s="73">
        <f t="shared" si="2"/>
        <v>111</v>
      </c>
      <c r="B37" s="75">
        <f t="shared" si="9"/>
        <v>5281172.5157144545</v>
      </c>
      <c r="C37" s="75">
        <f t="shared" si="10"/>
        <v>468583.1395987905</v>
      </c>
      <c r="D37" s="30">
        <f t="shared" si="11"/>
        <v>5749755.655313245</v>
      </c>
      <c r="E37" s="77">
        <f t="shared" si="0"/>
        <v>8090000</v>
      </c>
      <c r="F37" s="77">
        <f t="shared" si="1"/>
        <v>-32360000</v>
      </c>
      <c r="G37" s="35">
        <f t="shared" si="12"/>
        <v>-24270000</v>
      </c>
      <c r="H37" s="35">
        <f t="shared" si="13"/>
        <v>-31891416.860401209</v>
      </c>
      <c r="I37" s="35">
        <f t="shared" si="8"/>
        <v>-26610244.344686754</v>
      </c>
      <c r="N37" s="13"/>
    </row>
    <row r="38" spans="1:28" ht="14.25" thickTop="1" thickBot="1" x14ac:dyDescent="0.25">
      <c r="A38" s="73">
        <f t="shared" si="2"/>
        <v>113</v>
      </c>
      <c r="B38" s="75">
        <f t="shared" si="9"/>
        <v>5781172.5157144545</v>
      </c>
      <c r="C38" s="75">
        <f t="shared" si="10"/>
        <v>468583.1395987905</v>
      </c>
      <c r="D38" s="30">
        <f t="shared" si="11"/>
        <v>6249755.655313245</v>
      </c>
      <c r="E38" s="77">
        <f t="shared" si="0"/>
        <v>8590000</v>
      </c>
      <c r="F38" s="77">
        <f t="shared" si="1"/>
        <v>-34360000</v>
      </c>
      <c r="G38" s="35">
        <f t="shared" si="12"/>
        <v>-25770000</v>
      </c>
      <c r="H38" s="35">
        <f t="shared" si="13"/>
        <v>-33891416.860401213</v>
      </c>
      <c r="I38" s="35">
        <f t="shared" si="8"/>
        <v>-28110244.344686754</v>
      </c>
      <c r="N38" s="13"/>
    </row>
    <row r="39" spans="1:28" ht="14.25" thickTop="1" thickBot="1" x14ac:dyDescent="0.25">
      <c r="A39" s="73">
        <f t="shared" si="2"/>
        <v>115</v>
      </c>
      <c r="B39" s="75">
        <f t="shared" si="9"/>
        <v>6281172.5157144545</v>
      </c>
      <c r="C39" s="75">
        <f t="shared" si="10"/>
        <v>468583.1395987905</v>
      </c>
      <c r="D39" s="30">
        <f t="shared" si="11"/>
        <v>6749755.655313245</v>
      </c>
      <c r="E39" s="77">
        <f t="shared" si="0"/>
        <v>9090000</v>
      </c>
      <c r="F39" s="77">
        <f t="shared" si="1"/>
        <v>-36360000</v>
      </c>
      <c r="G39" s="35">
        <f t="shared" si="12"/>
        <v>-27270000</v>
      </c>
      <c r="H39" s="35">
        <f t="shared" si="13"/>
        <v>-35891416.860401213</v>
      </c>
      <c r="I39" s="35">
        <f t="shared" si="8"/>
        <v>-29610244.344686754</v>
      </c>
      <c r="N39" s="13"/>
    </row>
    <row r="40" spans="1:28" ht="13.5" thickTop="1" x14ac:dyDescent="0.2"/>
    <row r="42" spans="1:28" ht="13.5" thickBot="1" x14ac:dyDescent="0.25">
      <c r="F42" s="121"/>
      <c r="P42" t="s">
        <v>68</v>
      </c>
      <c r="Q42" t="s">
        <v>69</v>
      </c>
      <c r="R42" t="s">
        <v>70</v>
      </c>
      <c r="S42" t="s">
        <v>71</v>
      </c>
      <c r="T42" s="50" t="s">
        <v>72</v>
      </c>
      <c r="U42" t="s">
        <v>73</v>
      </c>
      <c r="V42" t="s">
        <v>74</v>
      </c>
      <c r="W42" t="s">
        <v>75</v>
      </c>
      <c r="X42" t="s">
        <v>76</v>
      </c>
      <c r="Y42" t="s">
        <v>77</v>
      </c>
      <c r="Z42" t="s">
        <v>78</v>
      </c>
      <c r="AA42" t="s">
        <v>79</v>
      </c>
      <c r="AB42" t="s">
        <v>80</v>
      </c>
    </row>
    <row r="43" spans="1:28" ht="14.25" thickTop="1" thickBot="1" x14ac:dyDescent="0.25">
      <c r="G43" s="104"/>
      <c r="P43" t="s">
        <v>81</v>
      </c>
      <c r="Q43">
        <v>77.03</v>
      </c>
      <c r="R43">
        <v>0</v>
      </c>
      <c r="S43">
        <v>0</v>
      </c>
      <c r="T43" s="50">
        <v>50.88</v>
      </c>
      <c r="U43">
        <v>42.69</v>
      </c>
      <c r="V43">
        <v>0</v>
      </c>
      <c r="W43">
        <v>79.81</v>
      </c>
      <c r="X43">
        <v>70.430000000000007</v>
      </c>
      <c r="Y43">
        <v>63.84</v>
      </c>
      <c r="Z43">
        <v>52.79</v>
      </c>
      <c r="AA43">
        <v>41.25</v>
      </c>
      <c r="AB43">
        <v>38.75</v>
      </c>
    </row>
    <row r="44" spans="1:28" ht="13.5" thickTop="1" x14ac:dyDescent="0.2">
      <c r="P44" t="s">
        <v>82</v>
      </c>
      <c r="Q44">
        <v>90.23</v>
      </c>
      <c r="R44">
        <v>75.489999999999995</v>
      </c>
      <c r="S44">
        <v>71.61</v>
      </c>
      <c r="T44" s="50">
        <v>56.29</v>
      </c>
      <c r="U44">
        <v>48.75</v>
      </c>
      <c r="V44">
        <v>41.96</v>
      </c>
      <c r="W44">
        <v>85.62</v>
      </c>
      <c r="X44">
        <v>77.180000000000007</v>
      </c>
      <c r="Y44">
        <v>69.239999999999995</v>
      </c>
      <c r="Z44">
        <v>59.31</v>
      </c>
      <c r="AA44">
        <v>45.19</v>
      </c>
      <c r="AB44">
        <v>41.69</v>
      </c>
    </row>
    <row r="45" spans="1:28" x14ac:dyDescent="0.2">
      <c r="P45" t="s">
        <v>83</v>
      </c>
      <c r="Q45">
        <v>89.44</v>
      </c>
      <c r="R45">
        <v>80.62</v>
      </c>
      <c r="S45">
        <v>74.52</v>
      </c>
      <c r="T45" s="51">
        <v>60.15</v>
      </c>
      <c r="U45" s="6">
        <v>50.27</v>
      </c>
      <c r="V45" s="6">
        <v>54.56</v>
      </c>
      <c r="W45" s="6">
        <v>91.94</v>
      </c>
      <c r="X45" s="6">
        <v>85.7</v>
      </c>
      <c r="Y45" s="6">
        <v>78.72</v>
      </c>
      <c r="Z45" s="51">
        <v>64.150000000000006</v>
      </c>
      <c r="AA45">
        <v>53.54</v>
      </c>
      <c r="AB45">
        <v>45.26</v>
      </c>
    </row>
    <row r="46" spans="1:28" x14ac:dyDescent="0.2">
      <c r="P46" t="s">
        <v>84</v>
      </c>
      <c r="Q46">
        <v>110.69</v>
      </c>
      <c r="R46">
        <v>88</v>
      </c>
      <c r="S46">
        <v>78.75</v>
      </c>
      <c r="T46" s="50">
        <v>62.4</v>
      </c>
      <c r="U46">
        <v>53.29</v>
      </c>
      <c r="V46">
        <v>52.78</v>
      </c>
      <c r="W46">
        <v>91.15</v>
      </c>
      <c r="X46">
        <v>78.650000000000006</v>
      </c>
      <c r="Y46">
        <v>79.08</v>
      </c>
      <c r="Z46">
        <v>65.67</v>
      </c>
      <c r="AA46">
        <v>56.72</v>
      </c>
      <c r="AB46">
        <v>38.979999999999997</v>
      </c>
    </row>
    <row r="47" spans="1:28" x14ac:dyDescent="0.2">
      <c r="P47" t="s">
        <v>85</v>
      </c>
      <c r="Q47">
        <v>99.58</v>
      </c>
      <c r="R47">
        <v>81.760000000000005</v>
      </c>
      <c r="S47">
        <v>78.63</v>
      </c>
      <c r="T47" s="50">
        <v>61.44</v>
      </c>
      <c r="U47">
        <v>52.88</v>
      </c>
      <c r="V47">
        <v>51.92</v>
      </c>
      <c r="W47">
        <v>93.21</v>
      </c>
      <c r="X47">
        <v>83.56</v>
      </c>
      <c r="Y47">
        <v>78.03</v>
      </c>
      <c r="Z47">
        <v>63.76</v>
      </c>
      <c r="AA47">
        <v>56.43</v>
      </c>
      <c r="AB47">
        <v>54.7</v>
      </c>
    </row>
    <row r="48" spans="1:28" x14ac:dyDescent="0.2">
      <c r="N48" s="5"/>
      <c r="P48" t="s">
        <v>86</v>
      </c>
      <c r="Q48">
        <v>97.78</v>
      </c>
      <c r="R48">
        <v>85.71</v>
      </c>
      <c r="S48">
        <v>77.84</v>
      </c>
      <c r="T48" s="50">
        <v>64.37</v>
      </c>
      <c r="U48">
        <v>56.64</v>
      </c>
      <c r="V48">
        <v>50.78</v>
      </c>
      <c r="W48">
        <v>95.43</v>
      </c>
      <c r="X48">
        <v>89.65</v>
      </c>
      <c r="Y48">
        <v>82.2</v>
      </c>
      <c r="Z48">
        <v>66.260000000000005</v>
      </c>
      <c r="AA48">
        <v>56.66</v>
      </c>
      <c r="AB48">
        <v>51.46</v>
      </c>
    </row>
    <row r="49" spans="2:28" x14ac:dyDescent="0.2">
      <c r="P49" t="s">
        <v>87</v>
      </c>
      <c r="Q49">
        <v>104.17</v>
      </c>
      <c r="R49">
        <v>85.86</v>
      </c>
      <c r="S49">
        <v>78.209999999999994</v>
      </c>
      <c r="T49" s="50">
        <v>64.040000000000006</v>
      </c>
      <c r="U49">
        <v>56.61</v>
      </c>
      <c r="V49">
        <v>49.4</v>
      </c>
      <c r="W49">
        <v>91.32</v>
      </c>
      <c r="X49">
        <v>88.22</v>
      </c>
      <c r="Y49">
        <v>81.75</v>
      </c>
      <c r="Z49">
        <v>67.62</v>
      </c>
      <c r="AA49">
        <v>62.85</v>
      </c>
      <c r="AB49">
        <v>48.24</v>
      </c>
    </row>
    <row r="50" spans="2:28" ht="13.5" thickBot="1" x14ac:dyDescent="0.25">
      <c r="P50" t="s">
        <v>88</v>
      </c>
      <c r="Q50">
        <v>90.82</v>
      </c>
      <c r="R50">
        <v>81.069999999999993</v>
      </c>
      <c r="S50">
        <v>71.75</v>
      </c>
      <c r="T50" s="50">
        <v>60.87</v>
      </c>
      <c r="U50">
        <v>55.94</v>
      </c>
      <c r="V50">
        <v>49.87</v>
      </c>
      <c r="W50">
        <v>95.48</v>
      </c>
      <c r="X50">
        <v>85.7</v>
      </c>
      <c r="Y50">
        <v>77.790000000000006</v>
      </c>
      <c r="Z50">
        <v>62.81</v>
      </c>
      <c r="AA50">
        <v>55.88</v>
      </c>
      <c r="AB50">
        <v>67.150000000000006</v>
      </c>
    </row>
    <row r="51" spans="2:28" ht="14.25" thickTop="1" thickBot="1" x14ac:dyDescent="0.25">
      <c r="B51" s="92" t="s">
        <v>25</v>
      </c>
      <c r="C51" s="93">
        <f>EXP(-C63*C60)*NORMDIST(C64,0,1,TRUE)</f>
        <v>0.2443718123479442</v>
      </c>
      <c r="D51" s="100" t="s">
        <v>26</v>
      </c>
      <c r="E51" s="101">
        <f>EXP(-E63*E60)*(NORMDIST(E64,0,1,TRUE)-1)</f>
        <v>-0.1831073781464656</v>
      </c>
      <c r="F51" s="96"/>
      <c r="G51" s="97"/>
    </row>
    <row r="52" spans="2:28" ht="14.25" thickTop="1" thickBot="1" x14ac:dyDescent="0.25">
      <c r="B52" s="92" t="s">
        <v>27</v>
      </c>
      <c r="C52" s="94">
        <f>(NORMDIST(C64,0,1,TRUE)*EXP(-C63*C60))/(C58*C61*SQRT(C60))</f>
        <v>1.7208624943192398E-2</v>
      </c>
      <c r="D52" s="100" t="s">
        <v>30</v>
      </c>
      <c r="E52" s="101">
        <f>G52</f>
        <v>0</v>
      </c>
      <c r="F52" s="96"/>
      <c r="G52" s="98"/>
    </row>
    <row r="53" spans="2:28" ht="14.25" thickTop="1" thickBot="1" x14ac:dyDescent="0.25">
      <c r="B53" s="92" t="s">
        <v>28</v>
      </c>
      <c r="C53" s="94">
        <f>C58*EXP(-C63*C60)*NORMDIST(C64,0,1,TRUE)*SQRT(C60)</f>
        <v>12.852638304457749</v>
      </c>
      <c r="D53" s="100" t="s">
        <v>31</v>
      </c>
      <c r="E53" s="101">
        <f>G53</f>
        <v>0</v>
      </c>
      <c r="F53" s="96"/>
      <c r="G53" s="98"/>
    </row>
    <row r="54" spans="2:28" ht="14.25" thickTop="1" thickBot="1" x14ac:dyDescent="0.25">
      <c r="B54" s="92" t="s">
        <v>29</v>
      </c>
      <c r="C54" s="95">
        <f>(-C58*EXP(-C63*C60)*NORMDIST(C64,0,1,TRUE)*C61/(2*SQRT(C60))-(-C63)*C58*EXP(-C63*C60)*NORMDIST(C64,0,1,TRUE)-C62*C59*EXP(-C62*C60)*NORMDIST(C65,0,1,TRUE))/365</f>
        <v>-1.1092877167730596E-2</v>
      </c>
      <c r="D54" s="100" t="s">
        <v>32</v>
      </c>
      <c r="E54" s="102">
        <f>(-E58*EXP(-E63*E60)*NORMDIST(E64,0,1,TRUE)*E61/(2*SQRT(E60))+(-E63)*E58*EXP(-E63*E60)*NORMDIST(-E64,0,1,TRUE)+E62*E59*EXP(-E62*E60)*NORMDIST(-E65,0,1,TRUE))/365</f>
        <v>-3.6160256540289058E-2</v>
      </c>
      <c r="F54" s="96"/>
      <c r="G54" s="99"/>
    </row>
    <row r="55" spans="2:28" ht="13.5" thickTop="1" x14ac:dyDescent="0.2"/>
    <row r="56" spans="2:28" ht="13.5" thickBot="1" x14ac:dyDescent="0.25"/>
    <row r="57" spans="2:28" ht="19.5" thickTop="1" thickBot="1" x14ac:dyDescent="0.3">
      <c r="B57" s="106" t="s">
        <v>144</v>
      </c>
      <c r="C57" s="107" t="s">
        <v>148</v>
      </c>
      <c r="D57" s="106" t="s">
        <v>119</v>
      </c>
      <c r="E57" s="108" t="s">
        <v>149</v>
      </c>
    </row>
    <row r="58" spans="2:28" ht="19.5" thickTop="1" thickBot="1" x14ac:dyDescent="0.3">
      <c r="B58" s="109" t="s">
        <v>142</v>
      </c>
      <c r="C58" s="110">
        <v>74.38</v>
      </c>
      <c r="D58" s="109" t="s">
        <v>142</v>
      </c>
      <c r="E58" s="110">
        <v>74.38</v>
      </c>
    </row>
    <row r="59" spans="2:28" ht="19.5" thickTop="1" thickBot="1" x14ac:dyDescent="0.3">
      <c r="B59" s="111" t="s">
        <v>35</v>
      </c>
      <c r="C59" s="110">
        <v>88</v>
      </c>
      <c r="D59" s="111" t="s">
        <v>35</v>
      </c>
      <c r="E59" s="110">
        <v>63.312249549260194</v>
      </c>
    </row>
    <row r="60" spans="2:28" ht="19.5" thickTop="1" thickBot="1" x14ac:dyDescent="0.3">
      <c r="B60" s="111" t="s">
        <v>143</v>
      </c>
      <c r="C60" s="110">
        <f>180/360</f>
        <v>0.5</v>
      </c>
      <c r="D60" s="111" t="s">
        <v>143</v>
      </c>
      <c r="E60" s="110">
        <f>180/360</f>
        <v>0.5</v>
      </c>
    </row>
    <row r="61" spans="2:28" ht="19.5" thickTop="1" thickBot="1" x14ac:dyDescent="0.3">
      <c r="B61" s="111" t="s">
        <v>59</v>
      </c>
      <c r="C61" s="110">
        <v>0.27</v>
      </c>
      <c r="D61" s="111" t="s">
        <v>59</v>
      </c>
      <c r="E61" s="110">
        <v>0.32</v>
      </c>
      <c r="X61" t="s">
        <v>115</v>
      </c>
      <c r="Y61" t="s">
        <v>116</v>
      </c>
      <c r="Z61" t="s">
        <v>118</v>
      </c>
      <c r="AA61" t="s">
        <v>117</v>
      </c>
    </row>
    <row r="62" spans="2:28" ht="19.5" thickTop="1" thickBot="1" x14ac:dyDescent="0.3">
      <c r="B62" s="112" t="s">
        <v>121</v>
      </c>
      <c r="C62" s="110">
        <v>3.5499999999999997E-2</v>
      </c>
      <c r="D62" s="112" t="s">
        <v>121</v>
      </c>
      <c r="E62" s="110">
        <v>3.5499999999999997E-2</v>
      </c>
      <c r="X62">
        <v>33.46</v>
      </c>
      <c r="Y62" s="6">
        <v>32.47</v>
      </c>
      <c r="Z62">
        <v>32.409999999999997</v>
      </c>
      <c r="AA62">
        <v>31.41</v>
      </c>
    </row>
    <row r="63" spans="2:28" ht="19.5" thickTop="1" thickBot="1" x14ac:dyDescent="0.3">
      <c r="B63" s="112" t="s">
        <v>122</v>
      </c>
      <c r="C63" s="110">
        <v>0</v>
      </c>
      <c r="D63" s="112" t="s">
        <v>122</v>
      </c>
      <c r="E63" s="110">
        <v>0</v>
      </c>
      <c r="X63">
        <v>33.06</v>
      </c>
      <c r="Y63">
        <v>32.1</v>
      </c>
      <c r="Z63">
        <v>32.090000000000003</v>
      </c>
      <c r="AA63">
        <v>31.2</v>
      </c>
    </row>
    <row r="64" spans="2:28" ht="19.5" thickTop="1" thickBot="1" x14ac:dyDescent="0.3">
      <c r="B64" s="112" t="s">
        <v>10</v>
      </c>
      <c r="C64" s="110">
        <f>(LN(C58/C59)+(C62-C63+C61^2/2)*C60)/(C61*SQRT(C60))</f>
        <v>-0.69230848179880433</v>
      </c>
      <c r="D64" s="112" t="s">
        <v>10</v>
      </c>
      <c r="E64" s="110">
        <f>(LN(E58/E59)+(E62-E63+E61^2/2)*E60)/(E61*SQRT(E60))</f>
        <v>0.90358639830964382</v>
      </c>
      <c r="X64">
        <v>33.729999999999997</v>
      </c>
      <c r="Y64">
        <v>32.96</v>
      </c>
      <c r="Z64">
        <v>32.92</v>
      </c>
      <c r="AA64">
        <v>32.18</v>
      </c>
    </row>
    <row r="65" spans="2:27" ht="19.5" thickTop="1" thickBot="1" x14ac:dyDescent="0.3">
      <c r="B65" s="115" t="s">
        <v>11</v>
      </c>
      <c r="C65" s="117">
        <f>C64-C61*SQRT(C60)</f>
        <v>-0.88322731271917221</v>
      </c>
      <c r="D65" s="115" t="s">
        <v>11</v>
      </c>
      <c r="E65" s="117">
        <f>E64-E61*SQRT(E60)</f>
        <v>0.67731222832994864</v>
      </c>
      <c r="X65">
        <v>34.35</v>
      </c>
      <c r="Y65">
        <v>33.81</v>
      </c>
      <c r="Z65">
        <v>33.49</v>
      </c>
      <c r="AA65">
        <v>32.71</v>
      </c>
    </row>
    <row r="66" spans="2:27" ht="20.25" thickTop="1" thickBot="1" x14ac:dyDescent="0.35">
      <c r="B66" s="116" t="s">
        <v>150</v>
      </c>
      <c r="C66" s="120">
        <f>C58*EXP(-C63*C60)*NORMDIST(C64,0,1,TRUE)-C59*EXP(-C62*C60)*NORMDIST(C65,0,1,TRUE)</f>
        <v>1.8753099371421804</v>
      </c>
      <c r="D66" s="119" t="s">
        <v>126</v>
      </c>
      <c r="E66" s="118">
        <f>E59*EXP(-E62*E60)*NORMDIST(-E65,0,1,TRUE)-E58*EXP(-E63*E60)*NORMDIST(-E64,0,1,TRUE)</f>
        <v>1.874332558395162</v>
      </c>
      <c r="X66">
        <v>33.69</v>
      </c>
      <c r="Y66">
        <v>33.340000000000003</v>
      </c>
      <c r="Z66">
        <v>32.979999999999997</v>
      </c>
      <c r="AA66">
        <v>32.340000000000003</v>
      </c>
    </row>
    <row r="67" spans="2:27" ht="19.5" thickTop="1" thickBot="1" x14ac:dyDescent="0.3">
      <c r="B67" s="112" t="s">
        <v>15</v>
      </c>
      <c r="C67" s="113">
        <v>1000000</v>
      </c>
      <c r="D67" s="112" t="s">
        <v>15</v>
      </c>
      <c r="E67" s="114">
        <v>1000000</v>
      </c>
      <c r="X67">
        <v>33.44</v>
      </c>
      <c r="Y67">
        <v>33.01</v>
      </c>
      <c r="Z67">
        <v>33.130000000000003</v>
      </c>
      <c r="AA67">
        <v>31.99</v>
      </c>
    </row>
    <row r="68" spans="2:27" ht="19.5" thickTop="1" thickBot="1" x14ac:dyDescent="0.3">
      <c r="B68" s="115" t="s">
        <v>38</v>
      </c>
      <c r="C68" s="124">
        <f>C66*C67</f>
        <v>1875309.9371421805</v>
      </c>
      <c r="D68" s="115" t="s">
        <v>145</v>
      </c>
      <c r="E68" s="125">
        <f>E66*E67</f>
        <v>1874332.558395162</v>
      </c>
    </row>
    <row r="69" spans="2:27" ht="19.5" thickTop="1" thickBot="1" x14ac:dyDescent="0.3">
      <c r="B69" s="122" t="s">
        <v>146</v>
      </c>
      <c r="C69" s="123" t="s">
        <v>147</v>
      </c>
      <c r="D69" s="126" t="s">
        <v>39</v>
      </c>
      <c r="E69" s="105">
        <f>-E68+C68</f>
        <v>977.37874701851979</v>
      </c>
    </row>
    <row r="70" spans="2:27" ht="13.5" thickTop="1" x14ac:dyDescent="0.2"/>
    <row r="71" spans="2:27" x14ac:dyDescent="0.2">
      <c r="P71" t="s">
        <v>101</v>
      </c>
      <c r="Q71" t="s">
        <v>102</v>
      </c>
      <c r="R71" t="s">
        <v>103</v>
      </c>
      <c r="S71" t="s">
        <v>104</v>
      </c>
      <c r="T71" t="s">
        <v>105</v>
      </c>
      <c r="U71" t="s">
        <v>106</v>
      </c>
    </row>
    <row r="72" spans="2:27" x14ac:dyDescent="0.2">
      <c r="O72" t="s">
        <v>94</v>
      </c>
      <c r="P72">
        <v>31.1</v>
      </c>
      <c r="Q72">
        <v>30.66</v>
      </c>
      <c r="R72">
        <v>30.7</v>
      </c>
      <c r="S72">
        <v>29.47</v>
      </c>
      <c r="T72">
        <v>29.02</v>
      </c>
      <c r="U72">
        <v>27.95</v>
      </c>
    </row>
    <row r="73" spans="2:27" x14ac:dyDescent="0.2">
      <c r="O73" t="s">
        <v>95</v>
      </c>
      <c r="P73">
        <v>29.95</v>
      </c>
      <c r="Q73">
        <v>30.1</v>
      </c>
      <c r="R73">
        <v>30.16</v>
      </c>
      <c r="S73">
        <v>29.02</v>
      </c>
      <c r="T73">
        <v>28.6</v>
      </c>
      <c r="U73">
        <v>27.62</v>
      </c>
    </row>
    <row r="74" spans="2:27" x14ac:dyDescent="0.2">
      <c r="O74" t="s">
        <v>96</v>
      </c>
      <c r="P74">
        <v>31.78</v>
      </c>
      <c r="Q74">
        <v>31.16</v>
      </c>
      <c r="R74">
        <v>30.89</v>
      </c>
      <c r="S74">
        <v>29.66</v>
      </c>
      <c r="T74">
        <v>29.39</v>
      </c>
      <c r="U74">
        <v>28.3</v>
      </c>
    </row>
    <row r="75" spans="2:27" x14ac:dyDescent="0.2">
      <c r="O75" t="s">
        <v>97</v>
      </c>
      <c r="P75">
        <v>32.19</v>
      </c>
      <c r="Q75">
        <v>31.76</v>
      </c>
      <c r="R75">
        <v>31.81</v>
      </c>
      <c r="S75">
        <v>30.63</v>
      </c>
      <c r="T75">
        <v>30.36</v>
      </c>
      <c r="U75">
        <v>29.05</v>
      </c>
    </row>
    <row r="76" spans="2:27" x14ac:dyDescent="0.2">
      <c r="O76" t="s">
        <v>98</v>
      </c>
      <c r="P76">
        <v>31.91</v>
      </c>
      <c r="Q76">
        <v>31.32</v>
      </c>
      <c r="R76">
        <v>31.31</v>
      </c>
      <c r="S76">
        <v>30.29</v>
      </c>
      <c r="T76">
        <v>29.8</v>
      </c>
      <c r="U76">
        <v>28.67</v>
      </c>
    </row>
    <row r="77" spans="2:27" x14ac:dyDescent="0.2">
      <c r="O77" t="s">
        <v>99</v>
      </c>
      <c r="P77">
        <v>31.09</v>
      </c>
      <c r="Q77">
        <v>31.04</v>
      </c>
      <c r="R77">
        <v>30.94</v>
      </c>
      <c r="S77">
        <v>30.06</v>
      </c>
      <c r="T77">
        <v>29.7</v>
      </c>
      <c r="U77">
        <v>28.52</v>
      </c>
    </row>
    <row r="78" spans="2:27" x14ac:dyDescent="0.2">
      <c r="O78" t="s">
        <v>100</v>
      </c>
      <c r="P78">
        <v>30.28</v>
      </c>
      <c r="Q78">
        <v>30.4</v>
      </c>
      <c r="R78">
        <v>30.61</v>
      </c>
      <c r="S78">
        <v>29.83</v>
      </c>
      <c r="T78">
        <v>29.35</v>
      </c>
      <c r="U78">
        <v>28.35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EA370-2A9E-4294-A187-20830B3D55FC}">
  <dimension ref="A1"/>
  <sheetViews>
    <sheetView zoomScale="76" workbookViewId="0">
      <selection activeCell="O30" sqref="O30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D3341-1D67-4DF9-89A2-3F2339AE3417}">
  <dimension ref="A1:AC78"/>
  <sheetViews>
    <sheetView topLeftCell="L35" zoomScale="141" workbookViewId="0">
      <selection activeCell="I41" sqref="I41"/>
    </sheetView>
  </sheetViews>
  <sheetFormatPr defaultRowHeight="12.75" x14ac:dyDescent="0.2"/>
  <cols>
    <col min="1" max="1" width="14.42578125" bestFit="1" customWidth="1"/>
    <col min="2" max="2" width="21.5703125" customWidth="1"/>
    <col min="3" max="3" width="23.28515625" customWidth="1"/>
    <col min="4" max="4" width="20.5703125" bestFit="1" customWidth="1"/>
    <col min="5" max="5" width="21.85546875" customWidth="1"/>
    <col min="6" max="6" width="21" customWidth="1"/>
    <col min="7" max="7" width="24.42578125" customWidth="1"/>
    <col min="8" max="8" width="15.7109375" customWidth="1"/>
    <col min="9" max="9" width="17.85546875" bestFit="1" customWidth="1"/>
    <col min="14" max="14" width="15" customWidth="1"/>
    <col min="15" max="15" width="12.7109375" customWidth="1"/>
    <col min="16" max="16" width="10.5703125" bestFit="1" customWidth="1"/>
    <col min="24" max="24" width="15" customWidth="1"/>
  </cols>
  <sheetData>
    <row r="1" spans="1:29" ht="14.25" thickTop="1" thickBot="1" x14ac:dyDescent="0.25">
      <c r="A1" s="66" t="s">
        <v>2</v>
      </c>
      <c r="B1" s="67" t="s">
        <v>23</v>
      </c>
      <c r="C1" s="22" t="s">
        <v>1</v>
      </c>
      <c r="D1" s="69" t="s">
        <v>38</v>
      </c>
      <c r="E1" s="69" t="s">
        <v>127</v>
      </c>
      <c r="F1" s="24" t="s">
        <v>41</v>
      </c>
      <c r="G1" s="70" t="s">
        <v>42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</row>
    <row r="2" spans="1:29" ht="14.25" thickTop="1" thickBot="1" x14ac:dyDescent="0.25">
      <c r="A2">
        <f>C37</f>
        <v>88</v>
      </c>
      <c r="B2" s="12">
        <f>E37</f>
        <v>63.312249549260194</v>
      </c>
      <c r="C2">
        <v>74.38</v>
      </c>
      <c r="D2" s="71">
        <f>C44</f>
        <v>1.8753099371421804</v>
      </c>
      <c r="E2" s="71">
        <f>AA3</f>
        <v>78.64</v>
      </c>
      <c r="F2" s="30">
        <v>1000000</v>
      </c>
      <c r="G2" s="74">
        <f>E44</f>
        <v>1.874332558395162</v>
      </c>
      <c r="I2" s="62">
        <f>C45</f>
        <v>1000000</v>
      </c>
      <c r="N2" t="s">
        <v>94</v>
      </c>
      <c r="O2">
        <v>30.21</v>
      </c>
      <c r="P2">
        <v>29.03</v>
      </c>
      <c r="Q2">
        <v>28.74</v>
      </c>
      <c r="R2" s="6">
        <v>27.79</v>
      </c>
      <c r="S2">
        <v>27.18</v>
      </c>
      <c r="T2">
        <v>26.43</v>
      </c>
      <c r="U2">
        <v>33.090000000000003</v>
      </c>
      <c r="V2">
        <v>33.130000000000003</v>
      </c>
      <c r="X2" t="s">
        <v>81</v>
      </c>
      <c r="Y2">
        <v>50.35</v>
      </c>
      <c r="Z2">
        <v>54.02</v>
      </c>
      <c r="AA2">
        <v>57.91</v>
      </c>
      <c r="AB2">
        <v>61.19</v>
      </c>
      <c r="AC2">
        <v>63.91</v>
      </c>
    </row>
    <row r="3" spans="1:29" ht="14.25" thickTop="1" thickBot="1" x14ac:dyDescent="0.25">
      <c r="A3" s="63" t="s">
        <v>124</v>
      </c>
      <c r="B3" s="64" t="s">
        <v>40</v>
      </c>
      <c r="C3" s="65" t="s">
        <v>23</v>
      </c>
      <c r="D3" s="68" t="s">
        <v>125</v>
      </c>
      <c r="E3" s="76" t="s">
        <v>127</v>
      </c>
      <c r="F3" s="72" t="s">
        <v>128</v>
      </c>
      <c r="G3" t="s">
        <v>129</v>
      </c>
      <c r="H3" t="s">
        <v>130</v>
      </c>
      <c r="I3" t="s">
        <v>131</v>
      </c>
      <c r="N3" t="s">
        <v>95</v>
      </c>
      <c r="O3">
        <v>28.93</v>
      </c>
      <c r="P3">
        <v>28.47</v>
      </c>
      <c r="Q3">
        <v>28.33</v>
      </c>
      <c r="R3">
        <v>27.57</v>
      </c>
      <c r="S3">
        <v>26.85</v>
      </c>
      <c r="T3">
        <v>26.3</v>
      </c>
      <c r="U3">
        <v>32.22</v>
      </c>
      <c r="V3">
        <v>32.82</v>
      </c>
      <c r="X3" t="s">
        <v>94</v>
      </c>
      <c r="Y3">
        <v>76.290000000000006</v>
      </c>
      <c r="Z3">
        <v>77.209999999999994</v>
      </c>
      <c r="AA3">
        <v>78.64</v>
      </c>
      <c r="AB3">
        <v>79.680000000000007</v>
      </c>
      <c r="AC3">
        <v>80.650000000000006</v>
      </c>
    </row>
    <row r="4" spans="1:29" ht="14.25" thickTop="1" thickBot="1" x14ac:dyDescent="0.25">
      <c r="A4" s="63">
        <v>53</v>
      </c>
      <c r="B4" s="129">
        <f>(MAX((A4-$A$2),0)-$D$2)*$F$2</f>
        <v>-1875309.9371421805</v>
      </c>
      <c r="C4" s="130">
        <f>(MIN(A4-$B$2,0)+$G$2)*$F$2</f>
        <v>-8437916.9908650331</v>
      </c>
      <c r="D4" s="30">
        <f>B4+C4</f>
        <v>-10313226.928007213</v>
      </c>
      <c r="E4" s="77">
        <f>(A4-$E$2)*$I$2</f>
        <v>-25640000</v>
      </c>
      <c r="F4" s="77">
        <f>($E$2-A4)*$F$2</f>
        <v>25640000</v>
      </c>
      <c r="G4" s="35">
        <v>0</v>
      </c>
      <c r="H4" s="35">
        <f>C4+F4</f>
        <v>17202083.009134967</v>
      </c>
      <c r="I4" s="35">
        <f>D4+F4</f>
        <v>15326773.071992787</v>
      </c>
    </row>
    <row r="5" spans="1:29" ht="14.25" thickTop="1" thickBot="1" x14ac:dyDescent="0.25">
      <c r="A5" s="73">
        <v>58</v>
      </c>
      <c r="B5" s="75">
        <f>(MAX((A5-$A$2),0)-$D$2)*$F$2</f>
        <v>-1875309.9371421805</v>
      </c>
      <c r="C5" s="75">
        <f>(MIN(A5-$B$2,0)+$G$2)*$F$2</f>
        <v>-3437916.9908650322</v>
      </c>
      <c r="D5" s="30">
        <f>B5+C5</f>
        <v>-5313226.9280072125</v>
      </c>
      <c r="E5" s="77">
        <f>(A5-$E$2)*$I$2</f>
        <v>-20640000</v>
      </c>
      <c r="F5" s="77">
        <f>($E$2-A5)*$F$2</f>
        <v>20640000</v>
      </c>
      <c r="G5" s="35">
        <f>E5+F5</f>
        <v>0</v>
      </c>
      <c r="H5" s="35">
        <f>C5+F5</f>
        <v>17202083.009134967</v>
      </c>
      <c r="I5" s="35">
        <f>D5+F5</f>
        <v>15326773.071992788</v>
      </c>
      <c r="N5" t="s">
        <v>96</v>
      </c>
      <c r="O5">
        <v>30.63</v>
      </c>
      <c r="P5">
        <v>29.46</v>
      </c>
      <c r="Q5">
        <v>29.14</v>
      </c>
      <c r="R5">
        <v>28.18</v>
      </c>
      <c r="S5">
        <v>27.56</v>
      </c>
      <c r="T5">
        <v>27.04</v>
      </c>
      <c r="U5">
        <v>34.119999999999997</v>
      </c>
      <c r="V5">
        <v>33.96</v>
      </c>
    </row>
    <row r="6" spans="1:29" ht="14.25" thickTop="1" thickBot="1" x14ac:dyDescent="0.25">
      <c r="A6" s="73">
        <f>A5+1.5</f>
        <v>59.5</v>
      </c>
      <c r="B6" s="75">
        <f t="shared" ref="B6:B33" si="0">(MAX((A6-$A$2),0)-$D$2)*$F$2</f>
        <v>-1875309.9371421805</v>
      </c>
      <c r="C6" s="75">
        <f t="shared" ref="C6:C33" si="1">(MIN(A6-$B$2,0)+$G$2)*$F$2</f>
        <v>-1937916.9908650322</v>
      </c>
      <c r="D6" s="30">
        <f t="shared" ref="D6:D33" si="2">B6+C6</f>
        <v>-3813226.9280072125</v>
      </c>
      <c r="E6" s="77">
        <f t="shared" ref="E6:E33" si="3">(A6-$E$2)*$I$2</f>
        <v>-19140000</v>
      </c>
      <c r="F6" s="77">
        <f t="shared" ref="F6:F33" si="4">($E$2-A6)*$F$2</f>
        <v>19140000</v>
      </c>
      <c r="G6" s="35">
        <f t="shared" ref="G6:G33" si="5">E6+F6</f>
        <v>0</v>
      </c>
      <c r="H6" s="35">
        <f t="shared" ref="H6:H33" si="6">C6+F6</f>
        <v>17202083.009134967</v>
      </c>
      <c r="I6" s="35">
        <f t="shared" ref="I6:I33" si="7">D6+F6</f>
        <v>15326773.071992788</v>
      </c>
      <c r="N6" t="s">
        <v>97</v>
      </c>
      <c r="O6">
        <v>31.07</v>
      </c>
      <c r="P6">
        <v>30.29</v>
      </c>
      <c r="Q6">
        <v>30.48</v>
      </c>
      <c r="R6">
        <v>29.19</v>
      </c>
      <c r="S6">
        <v>28.43</v>
      </c>
      <c r="T6">
        <v>27.93</v>
      </c>
      <c r="U6">
        <v>34.549999999999997</v>
      </c>
      <c r="V6">
        <v>34.53</v>
      </c>
    </row>
    <row r="7" spans="1:29" ht="14.25" thickTop="1" thickBot="1" x14ac:dyDescent="0.25">
      <c r="A7" s="73">
        <f t="shared" ref="A7:A33" si="8">A6+1.5</f>
        <v>61</v>
      </c>
      <c r="B7" s="75">
        <f t="shared" si="0"/>
        <v>-1875309.9371421805</v>
      </c>
      <c r="C7" s="75">
        <f t="shared" si="1"/>
        <v>-437916.99086503225</v>
      </c>
      <c r="D7" s="30">
        <f t="shared" si="2"/>
        <v>-2313226.9280072129</v>
      </c>
      <c r="E7" s="77">
        <f t="shared" si="3"/>
        <v>-17640000</v>
      </c>
      <c r="F7" s="77">
        <f t="shared" si="4"/>
        <v>17640000</v>
      </c>
      <c r="G7" s="35">
        <f t="shared" si="5"/>
        <v>0</v>
      </c>
      <c r="H7" s="35">
        <f t="shared" si="6"/>
        <v>17202083.009134967</v>
      </c>
      <c r="I7" s="35">
        <f t="shared" si="7"/>
        <v>15326773.071992787</v>
      </c>
      <c r="N7" t="s">
        <v>98</v>
      </c>
      <c r="O7">
        <v>30.69</v>
      </c>
      <c r="P7">
        <v>29.97</v>
      </c>
      <c r="Q7">
        <v>30.11</v>
      </c>
      <c r="R7">
        <v>28.89</v>
      </c>
      <c r="S7">
        <v>28.3</v>
      </c>
      <c r="T7">
        <v>27.1</v>
      </c>
      <c r="U7">
        <v>34.229999999999997</v>
      </c>
      <c r="V7">
        <v>33.74</v>
      </c>
    </row>
    <row r="8" spans="1:29" ht="14.25" thickTop="1" thickBot="1" x14ac:dyDescent="0.25">
      <c r="A8" s="73">
        <f t="shared" si="8"/>
        <v>62.5</v>
      </c>
      <c r="B8" s="75">
        <f t="shared" si="0"/>
        <v>-1875309.9371421805</v>
      </c>
      <c r="C8" s="75">
        <f t="shared" si="1"/>
        <v>1062083.0091349678</v>
      </c>
      <c r="D8" s="30">
        <f t="shared" si="2"/>
        <v>-813226.9280072127</v>
      </c>
      <c r="E8" s="77">
        <f t="shared" si="3"/>
        <v>-16140000</v>
      </c>
      <c r="F8" s="77">
        <f t="shared" si="4"/>
        <v>16140000</v>
      </c>
      <c r="G8" s="35">
        <f t="shared" si="5"/>
        <v>0</v>
      </c>
      <c r="H8" s="35">
        <f t="shared" si="6"/>
        <v>17202083.009134967</v>
      </c>
      <c r="I8" s="35">
        <f t="shared" si="7"/>
        <v>15326773.071992787</v>
      </c>
      <c r="N8" t="s">
        <v>99</v>
      </c>
      <c r="O8">
        <v>29.9</v>
      </c>
      <c r="P8">
        <v>29.57</v>
      </c>
      <c r="Q8">
        <v>29.58</v>
      </c>
      <c r="R8">
        <v>28.48</v>
      </c>
      <c r="S8">
        <v>28.15</v>
      </c>
      <c r="T8">
        <v>26.92</v>
      </c>
      <c r="U8">
        <v>33.19</v>
      </c>
      <c r="V8">
        <v>33.44</v>
      </c>
    </row>
    <row r="9" spans="1:29" ht="14.25" thickTop="1" thickBot="1" x14ac:dyDescent="0.25">
      <c r="A9" s="73">
        <f t="shared" si="8"/>
        <v>64</v>
      </c>
      <c r="B9" s="75">
        <f t="shared" si="0"/>
        <v>-1875309.9371421805</v>
      </c>
      <c r="C9" s="75">
        <f t="shared" si="1"/>
        <v>1874332.558395162</v>
      </c>
      <c r="D9" s="30">
        <f t="shared" si="2"/>
        <v>-977.37874701851979</v>
      </c>
      <c r="E9" s="77">
        <f t="shared" si="3"/>
        <v>-14640000</v>
      </c>
      <c r="F9" s="77">
        <f t="shared" si="4"/>
        <v>14640000</v>
      </c>
      <c r="G9" s="35">
        <f t="shared" si="5"/>
        <v>0</v>
      </c>
      <c r="H9" s="35">
        <f t="shared" si="6"/>
        <v>16514332.558395162</v>
      </c>
      <c r="I9" s="35">
        <f t="shared" si="7"/>
        <v>14639022.621252982</v>
      </c>
    </row>
    <row r="10" spans="1:29" ht="14.25" thickTop="1" thickBot="1" x14ac:dyDescent="0.25">
      <c r="A10" s="73">
        <f t="shared" si="8"/>
        <v>65.5</v>
      </c>
      <c r="B10" s="75">
        <f t="shared" si="0"/>
        <v>-1875309.9371421805</v>
      </c>
      <c r="C10" s="75">
        <f t="shared" si="1"/>
        <v>1874332.558395162</v>
      </c>
      <c r="D10" s="30">
        <f t="shared" si="2"/>
        <v>-977.37874701851979</v>
      </c>
      <c r="E10" s="77">
        <f t="shared" si="3"/>
        <v>-13140000</v>
      </c>
      <c r="F10" s="77">
        <f t="shared" si="4"/>
        <v>13140000</v>
      </c>
      <c r="G10" s="35">
        <f t="shared" si="5"/>
        <v>0</v>
      </c>
      <c r="H10" s="35">
        <f t="shared" si="6"/>
        <v>15014332.558395162</v>
      </c>
      <c r="I10" s="35">
        <f t="shared" si="7"/>
        <v>13139022.621252982</v>
      </c>
    </row>
    <row r="11" spans="1:29" ht="14.25" thickTop="1" thickBot="1" x14ac:dyDescent="0.25">
      <c r="A11" s="73">
        <f t="shared" si="8"/>
        <v>67</v>
      </c>
      <c r="B11" s="75">
        <f t="shared" si="0"/>
        <v>-1875309.9371421805</v>
      </c>
      <c r="C11" s="75">
        <f t="shared" si="1"/>
        <v>1874332.558395162</v>
      </c>
      <c r="D11" s="30">
        <f t="shared" si="2"/>
        <v>-977.37874701851979</v>
      </c>
      <c r="E11" s="77">
        <f t="shared" si="3"/>
        <v>-11640000</v>
      </c>
      <c r="F11" s="77">
        <f t="shared" si="4"/>
        <v>11640000</v>
      </c>
      <c r="G11" s="35">
        <f t="shared" si="5"/>
        <v>0</v>
      </c>
      <c r="H11" s="35">
        <f t="shared" si="6"/>
        <v>13514332.558395162</v>
      </c>
      <c r="I11" s="35">
        <f t="shared" si="7"/>
        <v>11639022.621252982</v>
      </c>
    </row>
    <row r="12" spans="1:29" ht="14.25" thickTop="1" thickBot="1" x14ac:dyDescent="0.25">
      <c r="A12" s="73">
        <f t="shared" si="8"/>
        <v>68.5</v>
      </c>
      <c r="B12" s="75">
        <f t="shared" si="0"/>
        <v>-1875309.9371421805</v>
      </c>
      <c r="C12" s="75">
        <f t="shared" si="1"/>
        <v>1874332.558395162</v>
      </c>
      <c r="D12" s="30">
        <f t="shared" si="2"/>
        <v>-977.37874701851979</v>
      </c>
      <c r="E12" s="77">
        <f t="shared" si="3"/>
        <v>-10140000</v>
      </c>
      <c r="F12" s="77">
        <f t="shared" si="4"/>
        <v>10140000</v>
      </c>
      <c r="G12" s="35">
        <f t="shared" si="5"/>
        <v>0</v>
      </c>
      <c r="H12" s="35">
        <f t="shared" si="6"/>
        <v>12014332.558395162</v>
      </c>
      <c r="I12" s="35">
        <f t="shared" si="7"/>
        <v>10139022.621252982</v>
      </c>
    </row>
    <row r="13" spans="1:29" ht="14.25" thickTop="1" thickBot="1" x14ac:dyDescent="0.25">
      <c r="A13" s="73">
        <f t="shared" si="8"/>
        <v>70</v>
      </c>
      <c r="B13" s="75">
        <f t="shared" si="0"/>
        <v>-1875309.9371421805</v>
      </c>
      <c r="C13" s="75">
        <f t="shared" si="1"/>
        <v>1874332.558395162</v>
      </c>
      <c r="D13" s="30">
        <f t="shared" si="2"/>
        <v>-977.37874701851979</v>
      </c>
      <c r="E13" s="77">
        <f t="shared" si="3"/>
        <v>-8640000</v>
      </c>
      <c r="F13" s="77">
        <f t="shared" si="4"/>
        <v>8640000</v>
      </c>
      <c r="G13" s="35">
        <f t="shared" si="5"/>
        <v>0</v>
      </c>
      <c r="H13" s="35">
        <f t="shared" si="6"/>
        <v>10514332.558395162</v>
      </c>
      <c r="I13" s="35">
        <f t="shared" si="7"/>
        <v>8639022.6212529819</v>
      </c>
    </row>
    <row r="14" spans="1:29" s="84" customFormat="1" ht="14.25" thickTop="1" thickBot="1" x14ac:dyDescent="0.25">
      <c r="A14" s="73">
        <f t="shared" si="8"/>
        <v>71.5</v>
      </c>
      <c r="B14" s="81">
        <f t="shared" si="0"/>
        <v>-1875309.9371421805</v>
      </c>
      <c r="C14" s="81">
        <f t="shared" si="1"/>
        <v>1874332.558395162</v>
      </c>
      <c r="D14" s="82">
        <f t="shared" si="2"/>
        <v>-977.37874701851979</v>
      </c>
      <c r="E14" s="77">
        <f t="shared" si="3"/>
        <v>-7140000.0000000009</v>
      </c>
      <c r="F14" s="77">
        <f t="shared" si="4"/>
        <v>7140000.0000000009</v>
      </c>
      <c r="G14" s="83">
        <f t="shared" si="5"/>
        <v>0</v>
      </c>
      <c r="H14" s="83">
        <f t="shared" si="6"/>
        <v>9014332.5583951622</v>
      </c>
      <c r="I14" s="83">
        <f t="shared" si="7"/>
        <v>7139022.6212529819</v>
      </c>
    </row>
    <row r="15" spans="1:29" ht="14.25" thickTop="1" thickBot="1" x14ac:dyDescent="0.25">
      <c r="A15" s="73">
        <f t="shared" si="8"/>
        <v>73</v>
      </c>
      <c r="B15" s="75">
        <f t="shared" si="0"/>
        <v>-1875309.9371421805</v>
      </c>
      <c r="C15" s="75">
        <f t="shared" si="1"/>
        <v>1874332.558395162</v>
      </c>
      <c r="D15" s="30">
        <f t="shared" si="2"/>
        <v>-977.37874701851979</v>
      </c>
      <c r="E15" s="77">
        <f t="shared" si="3"/>
        <v>-5640000.0000000009</v>
      </c>
      <c r="F15" s="77">
        <f t="shared" si="4"/>
        <v>5640000.0000000009</v>
      </c>
      <c r="G15" s="35">
        <f t="shared" si="5"/>
        <v>0</v>
      </c>
      <c r="H15" s="35">
        <f t="shared" si="6"/>
        <v>7514332.5583951632</v>
      </c>
      <c r="I15" s="35">
        <f t="shared" si="7"/>
        <v>5639022.6212529819</v>
      </c>
    </row>
    <row r="16" spans="1:29" s="72" customFormat="1" ht="14.25" thickTop="1" thickBot="1" x14ac:dyDescent="0.25">
      <c r="A16" s="73">
        <f t="shared" si="8"/>
        <v>74.5</v>
      </c>
      <c r="B16" s="78">
        <f t="shared" si="0"/>
        <v>-1875309.9371421805</v>
      </c>
      <c r="C16" s="78">
        <f t="shared" si="1"/>
        <v>1874332.558395162</v>
      </c>
      <c r="D16" s="79">
        <f t="shared" si="2"/>
        <v>-977.37874701851979</v>
      </c>
      <c r="E16" s="77">
        <f t="shared" si="3"/>
        <v>-4140000.0000000005</v>
      </c>
      <c r="F16" s="77">
        <f t="shared" si="4"/>
        <v>4140000.0000000005</v>
      </c>
      <c r="G16" s="80">
        <f t="shared" si="5"/>
        <v>0</v>
      </c>
      <c r="H16" s="80">
        <f t="shared" si="6"/>
        <v>6014332.5583951622</v>
      </c>
      <c r="I16" s="80">
        <f t="shared" si="7"/>
        <v>4139022.6212529819</v>
      </c>
    </row>
    <row r="17" spans="1:9" ht="14.25" thickTop="1" thickBot="1" x14ac:dyDescent="0.25">
      <c r="A17" s="73">
        <f t="shared" si="8"/>
        <v>76</v>
      </c>
      <c r="B17" s="75">
        <f t="shared" si="0"/>
        <v>-1875309.9371421805</v>
      </c>
      <c r="C17" s="75">
        <f t="shared" si="1"/>
        <v>1874332.558395162</v>
      </c>
      <c r="D17" s="30">
        <f t="shared" si="2"/>
        <v>-977.37874701851979</v>
      </c>
      <c r="E17" s="77">
        <f t="shared" si="3"/>
        <v>-2640000.0000000005</v>
      </c>
      <c r="F17" s="77">
        <f t="shared" si="4"/>
        <v>2640000.0000000005</v>
      </c>
      <c r="G17" s="35">
        <f t="shared" si="5"/>
        <v>0</v>
      </c>
      <c r="H17" s="35">
        <f t="shared" si="6"/>
        <v>4514332.5583951622</v>
      </c>
      <c r="I17" s="35">
        <f t="shared" si="7"/>
        <v>2639022.6212529819</v>
      </c>
    </row>
    <row r="18" spans="1:9" ht="14.25" thickTop="1" thickBot="1" x14ac:dyDescent="0.25">
      <c r="A18" s="73">
        <f t="shared" si="8"/>
        <v>77.5</v>
      </c>
      <c r="B18" s="75">
        <f t="shared" si="0"/>
        <v>-1875309.9371421805</v>
      </c>
      <c r="C18" s="75">
        <f t="shared" si="1"/>
        <v>1874332.558395162</v>
      </c>
      <c r="D18" s="30">
        <f t="shared" si="2"/>
        <v>-977.37874701851979</v>
      </c>
      <c r="E18" s="77">
        <f t="shared" si="3"/>
        <v>-1140000.0000000005</v>
      </c>
      <c r="F18" s="77">
        <f t="shared" si="4"/>
        <v>1140000.0000000005</v>
      </c>
      <c r="G18" s="35">
        <f t="shared" si="5"/>
        <v>0</v>
      </c>
      <c r="H18" s="35">
        <f t="shared" si="6"/>
        <v>3014332.5583951622</v>
      </c>
      <c r="I18" s="35">
        <f t="shared" si="7"/>
        <v>1139022.6212529819</v>
      </c>
    </row>
    <row r="19" spans="1:9" ht="14.25" thickTop="1" thickBot="1" x14ac:dyDescent="0.25">
      <c r="A19" s="73">
        <f t="shared" si="8"/>
        <v>79</v>
      </c>
      <c r="B19" s="75">
        <f t="shared" si="0"/>
        <v>-1875309.9371421805</v>
      </c>
      <c r="C19" s="75">
        <f t="shared" si="1"/>
        <v>1874332.558395162</v>
      </c>
      <c r="D19" s="30">
        <f t="shared" si="2"/>
        <v>-977.37874701851979</v>
      </c>
      <c r="E19" s="77">
        <f t="shared" si="3"/>
        <v>359999.99999999942</v>
      </c>
      <c r="F19" s="77">
        <f t="shared" si="4"/>
        <v>-359999.99999999942</v>
      </c>
      <c r="G19" s="35">
        <f t="shared" si="5"/>
        <v>0</v>
      </c>
      <c r="H19" s="35">
        <f t="shared" si="6"/>
        <v>1514332.5583951627</v>
      </c>
      <c r="I19" s="35">
        <f t="shared" si="7"/>
        <v>-360977.37874701794</v>
      </c>
    </row>
    <row r="20" spans="1:9" ht="14.25" thickTop="1" thickBot="1" x14ac:dyDescent="0.25">
      <c r="A20" s="73">
        <f t="shared" si="8"/>
        <v>80.5</v>
      </c>
      <c r="B20" s="75">
        <f t="shared" si="0"/>
        <v>-1875309.9371421805</v>
      </c>
      <c r="C20" s="75">
        <f t="shared" si="1"/>
        <v>1874332.558395162</v>
      </c>
      <c r="D20" s="30">
        <f t="shared" si="2"/>
        <v>-977.37874701851979</v>
      </c>
      <c r="E20" s="77">
        <f t="shared" si="3"/>
        <v>1859999.9999999995</v>
      </c>
      <c r="F20" s="77">
        <f t="shared" si="4"/>
        <v>-1859999.9999999995</v>
      </c>
      <c r="G20" s="35">
        <f t="shared" si="5"/>
        <v>0</v>
      </c>
      <c r="H20" s="35">
        <f t="shared" si="6"/>
        <v>14332.558395162458</v>
      </c>
      <c r="I20" s="35">
        <f t="shared" si="7"/>
        <v>-1860977.3787470181</v>
      </c>
    </row>
    <row r="21" spans="1:9" ht="14.25" thickTop="1" thickBot="1" x14ac:dyDescent="0.25">
      <c r="A21" s="73">
        <f t="shared" si="8"/>
        <v>82</v>
      </c>
      <c r="B21" s="75">
        <f t="shared" si="0"/>
        <v>-1875309.9371421805</v>
      </c>
      <c r="C21" s="75">
        <f t="shared" si="1"/>
        <v>1874332.558395162</v>
      </c>
      <c r="D21" s="30">
        <f t="shared" si="2"/>
        <v>-977.37874701851979</v>
      </c>
      <c r="E21" s="77">
        <f t="shared" si="3"/>
        <v>3359999.9999999995</v>
      </c>
      <c r="F21" s="77">
        <f t="shared" si="4"/>
        <v>-3359999.9999999995</v>
      </c>
      <c r="G21" s="35">
        <f t="shared" si="5"/>
        <v>0</v>
      </c>
      <c r="H21" s="35">
        <f t="shared" si="6"/>
        <v>-1485667.4416048375</v>
      </c>
      <c r="I21" s="35">
        <f t="shared" si="7"/>
        <v>-3360977.3787470181</v>
      </c>
    </row>
    <row r="22" spans="1:9" ht="14.25" thickTop="1" thickBot="1" x14ac:dyDescent="0.25">
      <c r="A22" s="73">
        <f t="shared" si="8"/>
        <v>83.5</v>
      </c>
      <c r="B22" s="75">
        <f t="shared" si="0"/>
        <v>-1875309.9371421805</v>
      </c>
      <c r="C22" s="75">
        <f t="shared" si="1"/>
        <v>1874332.558395162</v>
      </c>
      <c r="D22" s="30">
        <f t="shared" si="2"/>
        <v>-977.37874701851979</v>
      </c>
      <c r="E22" s="77">
        <f t="shared" si="3"/>
        <v>4859999.9999999991</v>
      </c>
      <c r="F22" s="77">
        <f t="shared" si="4"/>
        <v>-4859999.9999999991</v>
      </c>
      <c r="G22" s="35">
        <f t="shared" si="5"/>
        <v>0</v>
      </c>
      <c r="H22" s="35">
        <f t="shared" si="6"/>
        <v>-2985667.4416048368</v>
      </c>
      <c r="I22" s="35">
        <f t="shared" si="7"/>
        <v>-4860977.3787470181</v>
      </c>
    </row>
    <row r="23" spans="1:9" ht="14.25" thickTop="1" thickBot="1" x14ac:dyDescent="0.25">
      <c r="A23" s="73">
        <f t="shared" si="8"/>
        <v>85</v>
      </c>
      <c r="B23" s="75">
        <f t="shared" si="0"/>
        <v>-1875309.9371421805</v>
      </c>
      <c r="C23" s="75">
        <f t="shared" si="1"/>
        <v>1874332.558395162</v>
      </c>
      <c r="D23" s="30">
        <f t="shared" si="2"/>
        <v>-977.37874701851979</v>
      </c>
      <c r="E23" s="77">
        <f t="shared" si="3"/>
        <v>6359999.9999999991</v>
      </c>
      <c r="F23" s="77">
        <f t="shared" si="4"/>
        <v>-6359999.9999999991</v>
      </c>
      <c r="G23" s="35">
        <f t="shared" si="5"/>
        <v>0</v>
      </c>
      <c r="H23" s="35">
        <f t="shared" si="6"/>
        <v>-4485667.4416048368</v>
      </c>
      <c r="I23" s="35">
        <f t="shared" si="7"/>
        <v>-6360977.3787470181</v>
      </c>
    </row>
    <row r="24" spans="1:9" ht="14.25" thickTop="1" thickBot="1" x14ac:dyDescent="0.25">
      <c r="A24" s="73">
        <f t="shared" si="8"/>
        <v>86.5</v>
      </c>
      <c r="B24" s="75">
        <f t="shared" si="0"/>
        <v>-1875309.9371421805</v>
      </c>
      <c r="C24" s="75">
        <f t="shared" si="1"/>
        <v>1874332.558395162</v>
      </c>
      <c r="D24" s="30">
        <f t="shared" si="2"/>
        <v>-977.37874701851979</v>
      </c>
      <c r="E24" s="77">
        <f t="shared" si="3"/>
        <v>7859999.9999999991</v>
      </c>
      <c r="F24" s="77">
        <f t="shared" si="4"/>
        <v>-7859999.9999999991</v>
      </c>
      <c r="G24" s="35">
        <f t="shared" si="5"/>
        <v>0</v>
      </c>
      <c r="H24" s="35">
        <f t="shared" si="6"/>
        <v>-5985667.4416048368</v>
      </c>
      <c r="I24" s="35">
        <f t="shared" si="7"/>
        <v>-7860977.3787470181</v>
      </c>
    </row>
    <row r="25" spans="1:9" ht="14.25" thickTop="1" thickBot="1" x14ac:dyDescent="0.25">
      <c r="A25" s="73">
        <f t="shared" si="8"/>
        <v>88</v>
      </c>
      <c r="B25" s="75">
        <f t="shared" si="0"/>
        <v>-1875309.9371421805</v>
      </c>
      <c r="C25" s="75">
        <f t="shared" si="1"/>
        <v>1874332.558395162</v>
      </c>
      <c r="D25" s="30">
        <f t="shared" si="2"/>
        <v>-977.37874701851979</v>
      </c>
      <c r="E25" s="77">
        <f t="shared" si="3"/>
        <v>9360000</v>
      </c>
      <c r="F25" s="77">
        <f t="shared" si="4"/>
        <v>-9360000</v>
      </c>
      <c r="G25" s="35">
        <f t="shared" si="5"/>
        <v>0</v>
      </c>
      <c r="H25" s="35">
        <f t="shared" si="6"/>
        <v>-7485667.4416048378</v>
      </c>
      <c r="I25" s="35">
        <f t="shared" si="7"/>
        <v>-9360977.3787470181</v>
      </c>
    </row>
    <row r="26" spans="1:9" ht="14.25" thickTop="1" thickBot="1" x14ac:dyDescent="0.25">
      <c r="A26" s="73">
        <f t="shared" si="8"/>
        <v>89.5</v>
      </c>
      <c r="B26" s="75">
        <f t="shared" si="0"/>
        <v>-375309.9371421804</v>
      </c>
      <c r="C26" s="75">
        <f t="shared" si="1"/>
        <v>1874332.558395162</v>
      </c>
      <c r="D26" s="30">
        <f t="shared" si="2"/>
        <v>1499022.6212529815</v>
      </c>
      <c r="E26" s="77">
        <f t="shared" si="3"/>
        <v>10860000</v>
      </c>
      <c r="F26" s="77">
        <f t="shared" si="4"/>
        <v>-10860000</v>
      </c>
      <c r="G26" s="35">
        <f t="shared" si="5"/>
        <v>0</v>
      </c>
      <c r="H26" s="35">
        <f t="shared" si="6"/>
        <v>-8985667.4416048378</v>
      </c>
      <c r="I26" s="35">
        <f t="shared" si="7"/>
        <v>-9360977.3787470181</v>
      </c>
    </row>
    <row r="27" spans="1:9" ht="14.25" thickTop="1" thickBot="1" x14ac:dyDescent="0.25">
      <c r="A27" s="73">
        <f t="shared" si="8"/>
        <v>91</v>
      </c>
      <c r="B27" s="75">
        <f t="shared" si="0"/>
        <v>1124690.0628578195</v>
      </c>
      <c r="C27" s="75">
        <f t="shared" si="1"/>
        <v>1874332.558395162</v>
      </c>
      <c r="D27" s="30">
        <f t="shared" si="2"/>
        <v>2999022.6212529815</v>
      </c>
      <c r="E27" s="77">
        <f t="shared" si="3"/>
        <v>12360000</v>
      </c>
      <c r="F27" s="77">
        <f t="shared" si="4"/>
        <v>-12360000</v>
      </c>
      <c r="G27" s="35">
        <f t="shared" si="5"/>
        <v>0</v>
      </c>
      <c r="H27" s="35">
        <f t="shared" si="6"/>
        <v>-10485667.441604838</v>
      </c>
      <c r="I27" s="35">
        <f t="shared" si="7"/>
        <v>-9360977.3787470181</v>
      </c>
    </row>
    <row r="28" spans="1:9" ht="14.25" thickTop="1" thickBot="1" x14ac:dyDescent="0.25">
      <c r="A28" s="73">
        <f t="shared" si="8"/>
        <v>92.5</v>
      </c>
      <c r="B28" s="75">
        <f t="shared" si="0"/>
        <v>2624690.0628578197</v>
      </c>
      <c r="C28" s="75">
        <f t="shared" si="1"/>
        <v>1874332.558395162</v>
      </c>
      <c r="D28" s="30">
        <f t="shared" si="2"/>
        <v>4499022.6212529819</v>
      </c>
      <c r="E28" s="77">
        <f t="shared" si="3"/>
        <v>13860000</v>
      </c>
      <c r="F28" s="77">
        <f t="shared" si="4"/>
        <v>-13860000</v>
      </c>
      <c r="G28" s="35">
        <f t="shared" si="5"/>
        <v>0</v>
      </c>
      <c r="H28" s="35">
        <f t="shared" si="6"/>
        <v>-11985667.441604838</v>
      </c>
      <c r="I28" s="35">
        <f t="shared" si="7"/>
        <v>-9360977.3787470181</v>
      </c>
    </row>
    <row r="29" spans="1:9" ht="14.25" thickTop="1" thickBot="1" x14ac:dyDescent="0.25">
      <c r="A29" s="73">
        <f t="shared" si="8"/>
        <v>94</v>
      </c>
      <c r="B29" s="75">
        <f t="shared" si="0"/>
        <v>4124690.0628578197</v>
      </c>
      <c r="C29" s="75">
        <f t="shared" si="1"/>
        <v>1874332.558395162</v>
      </c>
      <c r="D29" s="30">
        <f t="shared" si="2"/>
        <v>5999022.6212529819</v>
      </c>
      <c r="E29" s="77">
        <f t="shared" si="3"/>
        <v>15360000</v>
      </c>
      <c r="F29" s="77">
        <f t="shared" si="4"/>
        <v>-15360000</v>
      </c>
      <c r="G29" s="35">
        <f t="shared" si="5"/>
        <v>0</v>
      </c>
      <c r="H29" s="35">
        <f t="shared" si="6"/>
        <v>-13485667.441604838</v>
      </c>
      <c r="I29" s="35">
        <f t="shared" si="7"/>
        <v>-9360977.3787470181</v>
      </c>
    </row>
    <row r="30" spans="1:9" ht="14.25" thickTop="1" thickBot="1" x14ac:dyDescent="0.25">
      <c r="A30" s="73">
        <f t="shared" si="8"/>
        <v>95.5</v>
      </c>
      <c r="B30" s="75">
        <f t="shared" si="0"/>
        <v>5624690.0628578197</v>
      </c>
      <c r="C30" s="75">
        <f t="shared" si="1"/>
        <v>1874332.558395162</v>
      </c>
      <c r="D30" s="30">
        <f t="shared" si="2"/>
        <v>7499022.6212529819</v>
      </c>
      <c r="E30" s="77">
        <f t="shared" si="3"/>
        <v>16860000</v>
      </c>
      <c r="F30" s="77">
        <f t="shared" si="4"/>
        <v>-16860000</v>
      </c>
      <c r="G30" s="35">
        <f t="shared" si="5"/>
        <v>0</v>
      </c>
      <c r="H30" s="35">
        <f t="shared" si="6"/>
        <v>-14985667.441604838</v>
      </c>
      <c r="I30" s="35">
        <f t="shared" si="7"/>
        <v>-9360977.3787470181</v>
      </c>
    </row>
    <row r="31" spans="1:9" ht="14.25" thickTop="1" thickBot="1" x14ac:dyDescent="0.25">
      <c r="A31" s="73">
        <f t="shared" si="8"/>
        <v>97</v>
      </c>
      <c r="B31" s="75">
        <f t="shared" si="0"/>
        <v>7124690.0628578197</v>
      </c>
      <c r="C31" s="75">
        <f t="shared" si="1"/>
        <v>1874332.558395162</v>
      </c>
      <c r="D31" s="30">
        <f t="shared" si="2"/>
        <v>8999022.6212529819</v>
      </c>
      <c r="E31" s="77">
        <f t="shared" si="3"/>
        <v>18360000</v>
      </c>
      <c r="F31" s="77">
        <f t="shared" si="4"/>
        <v>-18360000</v>
      </c>
      <c r="G31" s="35">
        <f t="shared" si="5"/>
        <v>0</v>
      </c>
      <c r="H31" s="35">
        <f t="shared" si="6"/>
        <v>-16485667.441604838</v>
      </c>
      <c r="I31" s="35">
        <f t="shared" si="7"/>
        <v>-9360977.3787470181</v>
      </c>
    </row>
    <row r="32" spans="1:9" ht="14.25" thickTop="1" thickBot="1" x14ac:dyDescent="0.25">
      <c r="A32" s="73">
        <f t="shared" si="8"/>
        <v>98.5</v>
      </c>
      <c r="B32" s="75">
        <f t="shared" si="0"/>
        <v>8624690.0628578197</v>
      </c>
      <c r="C32" s="75">
        <f t="shared" si="1"/>
        <v>1874332.558395162</v>
      </c>
      <c r="D32" s="30">
        <f t="shared" si="2"/>
        <v>10499022.621252982</v>
      </c>
      <c r="E32" s="77">
        <f t="shared" si="3"/>
        <v>19860000</v>
      </c>
      <c r="F32" s="77">
        <f t="shared" si="4"/>
        <v>-19860000</v>
      </c>
      <c r="G32" s="35">
        <f t="shared" si="5"/>
        <v>0</v>
      </c>
      <c r="H32" s="35">
        <f t="shared" si="6"/>
        <v>-17985667.441604838</v>
      </c>
      <c r="I32" s="35">
        <f t="shared" si="7"/>
        <v>-9360977.3787470181</v>
      </c>
    </row>
    <row r="33" spans="1:28" ht="14.25" thickTop="1" thickBot="1" x14ac:dyDescent="0.25">
      <c r="A33" s="73">
        <f t="shared" si="8"/>
        <v>100</v>
      </c>
      <c r="B33" s="75">
        <f t="shared" si="0"/>
        <v>10124690.06285782</v>
      </c>
      <c r="C33" s="75">
        <f t="shared" si="1"/>
        <v>1874332.558395162</v>
      </c>
      <c r="D33" s="30">
        <f t="shared" si="2"/>
        <v>11999022.621252982</v>
      </c>
      <c r="E33" s="77">
        <f t="shared" si="3"/>
        <v>21360000</v>
      </c>
      <c r="F33" s="77">
        <f t="shared" si="4"/>
        <v>-21360000</v>
      </c>
      <c r="G33" s="35">
        <f t="shared" si="5"/>
        <v>0</v>
      </c>
      <c r="H33" s="35">
        <f t="shared" si="6"/>
        <v>-19485667.441604838</v>
      </c>
      <c r="I33" s="35">
        <f t="shared" si="7"/>
        <v>-9360977.3787470181</v>
      </c>
    </row>
    <row r="34" spans="1:28" ht="14.25" thickTop="1" thickBot="1" x14ac:dyDescent="0.25">
      <c r="C34" s="103"/>
      <c r="I34" s="91"/>
    </row>
    <row r="35" spans="1:28" ht="19.5" thickTop="1" thickBot="1" x14ac:dyDescent="0.3">
      <c r="B35" s="106" t="s">
        <v>144</v>
      </c>
      <c r="C35" s="107" t="s">
        <v>148</v>
      </c>
      <c r="D35" s="106" t="s">
        <v>119</v>
      </c>
      <c r="E35" s="108" t="s">
        <v>149</v>
      </c>
      <c r="N35" s="13"/>
    </row>
    <row r="36" spans="1:28" ht="19.5" thickTop="1" thickBot="1" x14ac:dyDescent="0.3">
      <c r="B36" s="109" t="s">
        <v>142</v>
      </c>
      <c r="C36" s="110">
        <v>74.38</v>
      </c>
      <c r="D36" s="109" t="s">
        <v>142</v>
      </c>
      <c r="E36" s="110">
        <v>74.38</v>
      </c>
    </row>
    <row r="37" spans="1:28" ht="19.5" thickTop="1" thickBot="1" x14ac:dyDescent="0.3">
      <c r="B37" s="111" t="s">
        <v>35</v>
      </c>
      <c r="C37" s="110">
        <v>88</v>
      </c>
      <c r="D37" s="111" t="s">
        <v>35</v>
      </c>
      <c r="E37" s="110">
        <v>63.312249549260194</v>
      </c>
      <c r="G37" s="104"/>
      <c r="N37" s="13"/>
    </row>
    <row r="38" spans="1:28" ht="19.5" thickTop="1" thickBot="1" x14ac:dyDescent="0.3">
      <c r="B38" s="111" t="s">
        <v>143</v>
      </c>
      <c r="C38" s="110">
        <f>180/360</f>
        <v>0.5</v>
      </c>
      <c r="D38" s="111" t="s">
        <v>143</v>
      </c>
      <c r="E38" s="110">
        <f>180/360</f>
        <v>0.5</v>
      </c>
      <c r="N38" s="13"/>
    </row>
    <row r="39" spans="1:28" ht="19.5" thickTop="1" thickBot="1" x14ac:dyDescent="0.3">
      <c r="B39" s="111" t="s">
        <v>59</v>
      </c>
      <c r="C39" s="110">
        <v>0.27</v>
      </c>
      <c r="D39" s="111" t="s">
        <v>59</v>
      </c>
      <c r="E39" s="110">
        <v>0.32</v>
      </c>
      <c r="F39" s="72"/>
      <c r="N39" s="13"/>
    </row>
    <row r="40" spans="1:28" ht="19.5" thickTop="1" thickBot="1" x14ac:dyDescent="0.3">
      <c r="B40" s="112" t="s">
        <v>121</v>
      </c>
      <c r="C40" s="110">
        <v>3.5499999999999997E-2</v>
      </c>
      <c r="D40" s="112" t="s">
        <v>121</v>
      </c>
      <c r="E40" s="110">
        <v>3.5499999999999997E-2</v>
      </c>
    </row>
    <row r="41" spans="1:28" ht="19.5" thickTop="1" thickBot="1" x14ac:dyDescent="0.3">
      <c r="B41" s="112" t="s">
        <v>122</v>
      </c>
      <c r="C41" s="110">
        <v>0</v>
      </c>
      <c r="D41" s="112" t="s">
        <v>122</v>
      </c>
      <c r="E41" s="110">
        <v>0</v>
      </c>
      <c r="I41">
        <f>74.38*1.2</f>
        <v>89.255999999999986</v>
      </c>
    </row>
    <row r="42" spans="1:28" ht="19.5" thickTop="1" thickBot="1" x14ac:dyDescent="0.3">
      <c r="B42" s="112" t="s">
        <v>10</v>
      </c>
      <c r="C42" s="110">
        <f>(LN(C36/C37)+(C40-C41+C39^2/2)*C38)/(C39*SQRT(C38))</f>
        <v>-0.69230848179880433</v>
      </c>
      <c r="D42" s="112" t="s">
        <v>10</v>
      </c>
      <c r="E42" s="110">
        <f>(LN(E36/E37)+(E40-E41+E39^2/2)*E38)/(E39*SQRT(E38))</f>
        <v>0.90358639830964382</v>
      </c>
      <c r="F42" s="121"/>
      <c r="P42" t="s">
        <v>68</v>
      </c>
      <c r="Q42" t="s">
        <v>69</v>
      </c>
      <c r="R42" t="s">
        <v>70</v>
      </c>
      <c r="S42" t="s">
        <v>71</v>
      </c>
      <c r="T42" s="50" t="s">
        <v>72</v>
      </c>
      <c r="U42" t="s">
        <v>73</v>
      </c>
      <c r="V42" t="s">
        <v>74</v>
      </c>
      <c r="W42" t="s">
        <v>75</v>
      </c>
      <c r="X42" t="s">
        <v>76</v>
      </c>
      <c r="Y42" t="s">
        <v>77</v>
      </c>
      <c r="Z42" t="s">
        <v>78</v>
      </c>
      <c r="AA42" t="s">
        <v>79</v>
      </c>
      <c r="AB42" t="s">
        <v>80</v>
      </c>
    </row>
    <row r="43" spans="1:28" ht="19.5" thickTop="1" thickBot="1" x14ac:dyDescent="0.3">
      <c r="B43" s="115" t="s">
        <v>11</v>
      </c>
      <c r="C43" s="117">
        <f>C42-C39*SQRT(C38)</f>
        <v>-0.88322731271917221</v>
      </c>
      <c r="D43" s="115" t="s">
        <v>11</v>
      </c>
      <c r="E43" s="117">
        <f>E42-E39*SQRT(E38)</f>
        <v>0.67731222832994864</v>
      </c>
      <c r="G43" s="104"/>
      <c r="P43" t="s">
        <v>81</v>
      </c>
      <c r="Q43">
        <v>77.03</v>
      </c>
      <c r="R43">
        <v>0</v>
      </c>
      <c r="S43">
        <v>0</v>
      </c>
      <c r="T43" s="50">
        <v>50.88</v>
      </c>
      <c r="U43">
        <v>42.69</v>
      </c>
      <c r="V43">
        <v>0</v>
      </c>
      <c r="W43">
        <v>79.81</v>
      </c>
      <c r="X43">
        <v>70.430000000000007</v>
      </c>
      <c r="Y43">
        <v>63.84</v>
      </c>
      <c r="Z43">
        <v>52.79</v>
      </c>
      <c r="AA43">
        <v>41.25</v>
      </c>
      <c r="AB43">
        <v>38.75</v>
      </c>
    </row>
    <row r="44" spans="1:28" ht="20.25" thickTop="1" thickBot="1" x14ac:dyDescent="0.35">
      <c r="B44" s="116" t="s">
        <v>150</v>
      </c>
      <c r="C44" s="120">
        <f>C36*EXP(-C41*C38)*NORMDIST(C42,0,1,TRUE)-C37*EXP(-C40*C38)*NORMDIST(C43,0,1,TRUE)</f>
        <v>1.8753099371421804</v>
      </c>
      <c r="D44" s="119" t="s">
        <v>126</v>
      </c>
      <c r="E44" s="118">
        <f>E37*EXP(-E40*E38)*NORMDIST(-E43,0,1,TRUE)-E36*EXP(-E41*E38)*NORMDIST(-E42,0,1,TRUE)</f>
        <v>1.874332558395162</v>
      </c>
      <c r="P44" t="s">
        <v>82</v>
      </c>
      <c r="Q44">
        <v>90.23</v>
      </c>
      <c r="R44">
        <v>75.489999999999995</v>
      </c>
      <c r="S44">
        <v>71.61</v>
      </c>
      <c r="T44" s="50">
        <v>56.29</v>
      </c>
      <c r="U44">
        <v>48.75</v>
      </c>
      <c r="V44">
        <v>41.96</v>
      </c>
      <c r="W44">
        <v>85.62</v>
      </c>
      <c r="X44">
        <v>77.180000000000007</v>
      </c>
      <c r="Y44">
        <v>69.239999999999995</v>
      </c>
      <c r="Z44">
        <v>59.31</v>
      </c>
      <c r="AA44">
        <v>45.19</v>
      </c>
      <c r="AB44">
        <v>41.69</v>
      </c>
    </row>
    <row r="45" spans="1:28" ht="19.5" thickTop="1" thickBot="1" x14ac:dyDescent="0.3">
      <c r="B45" s="112" t="s">
        <v>15</v>
      </c>
      <c r="C45" s="113">
        <v>1000000</v>
      </c>
      <c r="D45" s="112" t="s">
        <v>15</v>
      </c>
      <c r="E45" s="114">
        <v>1000000</v>
      </c>
      <c r="P45" t="s">
        <v>83</v>
      </c>
      <c r="Q45">
        <v>89.44</v>
      </c>
      <c r="R45">
        <v>80.62</v>
      </c>
      <c r="S45">
        <v>74.52</v>
      </c>
      <c r="T45" s="51">
        <v>60.15</v>
      </c>
      <c r="U45" s="6">
        <v>50.27</v>
      </c>
      <c r="V45" s="6">
        <v>54.56</v>
      </c>
      <c r="W45" s="6">
        <v>91.94</v>
      </c>
      <c r="X45" s="6">
        <v>85.7</v>
      </c>
      <c r="Y45" s="6">
        <v>78.72</v>
      </c>
      <c r="Z45" s="51">
        <v>64.150000000000006</v>
      </c>
      <c r="AA45">
        <v>53.54</v>
      </c>
      <c r="AB45">
        <v>45.26</v>
      </c>
    </row>
    <row r="46" spans="1:28" ht="19.5" thickTop="1" thickBot="1" x14ac:dyDescent="0.3">
      <c r="B46" s="115" t="s">
        <v>38</v>
      </c>
      <c r="C46" s="124">
        <f>C44*C45</f>
        <v>1875309.9371421805</v>
      </c>
      <c r="D46" s="115" t="s">
        <v>145</v>
      </c>
      <c r="E46" s="125">
        <f>E44*E45</f>
        <v>1874332.558395162</v>
      </c>
      <c r="P46" t="s">
        <v>84</v>
      </c>
      <c r="Q46">
        <v>110.69</v>
      </c>
      <c r="R46">
        <v>88</v>
      </c>
      <c r="S46">
        <v>78.75</v>
      </c>
      <c r="T46" s="50">
        <v>62.4</v>
      </c>
      <c r="U46">
        <v>53.29</v>
      </c>
      <c r="V46">
        <v>52.78</v>
      </c>
      <c r="W46">
        <v>91.15</v>
      </c>
      <c r="X46">
        <v>78.650000000000006</v>
      </c>
      <c r="Y46">
        <v>79.08</v>
      </c>
      <c r="Z46">
        <v>65.67</v>
      </c>
      <c r="AA46">
        <v>56.72</v>
      </c>
      <c r="AB46">
        <v>38.979999999999997</v>
      </c>
    </row>
    <row r="47" spans="1:28" ht="19.5" thickTop="1" thickBot="1" x14ac:dyDescent="0.3">
      <c r="B47" s="122" t="s">
        <v>146</v>
      </c>
      <c r="C47" s="123" t="s">
        <v>147</v>
      </c>
      <c r="D47" s="126" t="s">
        <v>39</v>
      </c>
      <c r="E47" s="105">
        <f>-E46+C46</f>
        <v>977.37874701851979</v>
      </c>
      <c r="P47" t="s">
        <v>85</v>
      </c>
      <c r="Q47">
        <v>99.58</v>
      </c>
      <c r="R47">
        <v>81.760000000000005</v>
      </c>
      <c r="S47">
        <v>78.63</v>
      </c>
      <c r="T47" s="50">
        <v>61.44</v>
      </c>
      <c r="U47">
        <v>52.88</v>
      </c>
      <c r="V47">
        <v>51.92</v>
      </c>
      <c r="W47">
        <v>93.21</v>
      </c>
      <c r="X47">
        <v>83.56</v>
      </c>
      <c r="Y47">
        <v>78.03</v>
      </c>
      <c r="Z47">
        <v>63.76</v>
      </c>
      <c r="AA47">
        <v>56.43</v>
      </c>
      <c r="AB47">
        <v>54.7</v>
      </c>
    </row>
    <row r="48" spans="1:28" ht="13.5" thickTop="1" x14ac:dyDescent="0.2">
      <c r="N48" s="5"/>
      <c r="P48" t="s">
        <v>86</v>
      </c>
      <c r="Q48">
        <v>97.78</v>
      </c>
      <c r="R48">
        <v>85.71</v>
      </c>
      <c r="S48">
        <v>77.84</v>
      </c>
      <c r="T48" s="50">
        <v>64.37</v>
      </c>
      <c r="U48">
        <v>56.64</v>
      </c>
      <c r="V48">
        <v>50.78</v>
      </c>
      <c r="W48">
        <v>95.43</v>
      </c>
      <c r="X48">
        <v>89.65</v>
      </c>
      <c r="Y48">
        <v>82.2</v>
      </c>
      <c r="Z48">
        <v>66.260000000000005</v>
      </c>
      <c r="AA48">
        <v>56.66</v>
      </c>
      <c r="AB48">
        <v>51.46</v>
      </c>
    </row>
    <row r="49" spans="2:28" x14ac:dyDescent="0.2">
      <c r="P49" t="s">
        <v>87</v>
      </c>
      <c r="Q49">
        <v>104.17</v>
      </c>
      <c r="R49">
        <v>85.86</v>
      </c>
      <c r="S49">
        <v>78.209999999999994</v>
      </c>
      <c r="T49" s="50">
        <v>64.040000000000006</v>
      </c>
      <c r="U49">
        <v>56.61</v>
      </c>
      <c r="V49">
        <v>49.4</v>
      </c>
      <c r="W49">
        <v>91.32</v>
      </c>
      <c r="X49">
        <v>88.22</v>
      </c>
      <c r="Y49">
        <v>81.75</v>
      </c>
      <c r="Z49">
        <v>67.62</v>
      </c>
      <c r="AA49">
        <v>62.85</v>
      </c>
      <c r="AB49">
        <v>48.24</v>
      </c>
    </row>
    <row r="50" spans="2:28" ht="13.5" thickBot="1" x14ac:dyDescent="0.25">
      <c r="P50" t="s">
        <v>88</v>
      </c>
      <c r="Q50">
        <v>90.82</v>
      </c>
      <c r="R50">
        <v>81.069999999999993</v>
      </c>
      <c r="S50">
        <v>71.75</v>
      </c>
      <c r="T50" s="50">
        <v>60.87</v>
      </c>
      <c r="U50">
        <v>55.94</v>
      </c>
      <c r="V50">
        <v>49.87</v>
      </c>
      <c r="W50">
        <v>95.48</v>
      </c>
      <c r="X50">
        <v>85.7</v>
      </c>
      <c r="Y50">
        <v>77.790000000000006</v>
      </c>
      <c r="Z50">
        <v>62.81</v>
      </c>
      <c r="AA50">
        <v>55.88</v>
      </c>
      <c r="AB50">
        <v>67.150000000000006</v>
      </c>
    </row>
    <row r="51" spans="2:28" ht="14.25" thickTop="1" thickBot="1" x14ac:dyDescent="0.25">
      <c r="B51" s="92" t="s">
        <v>25</v>
      </c>
      <c r="C51" s="93">
        <f>EXP(-C41*C38)*NORMDIST(C42,0,1,TRUE)</f>
        <v>0.2443718123479442</v>
      </c>
      <c r="D51" s="100" t="s">
        <v>26</v>
      </c>
      <c r="E51" s="101">
        <f>EXP(-E41*E38)*(NORMDIST(E42,0,1,TRUE)-1)</f>
        <v>-0.1831073781464656</v>
      </c>
      <c r="F51" s="96"/>
      <c r="G51" s="97"/>
    </row>
    <row r="52" spans="2:28" ht="14.25" thickTop="1" thickBot="1" x14ac:dyDescent="0.25">
      <c r="B52" s="92" t="s">
        <v>27</v>
      </c>
      <c r="C52" s="94">
        <f>(NORMDIST(C42,0,1,TRUE)*EXP(-C41*C38))/(C36*C39*SQRT(C38))</f>
        <v>1.7208624943192398E-2</v>
      </c>
      <c r="D52" s="100" t="s">
        <v>30</v>
      </c>
      <c r="E52" s="101">
        <f>G52</f>
        <v>0</v>
      </c>
      <c r="F52" s="96"/>
      <c r="G52" s="98"/>
    </row>
    <row r="53" spans="2:28" ht="14.25" thickTop="1" thickBot="1" x14ac:dyDescent="0.25">
      <c r="B53" s="92" t="s">
        <v>28</v>
      </c>
      <c r="C53" s="94">
        <f>C36*EXP(-C41*C38)*NORMDIST(C42,0,1,TRUE)*SQRT(C38)</f>
        <v>12.852638304457749</v>
      </c>
      <c r="D53" s="100" t="s">
        <v>31</v>
      </c>
      <c r="E53" s="101">
        <f>G53</f>
        <v>0</v>
      </c>
      <c r="F53" s="96"/>
      <c r="G53" s="98"/>
    </row>
    <row r="54" spans="2:28" ht="14.25" thickTop="1" thickBot="1" x14ac:dyDescent="0.25">
      <c r="B54" s="92" t="s">
        <v>29</v>
      </c>
      <c r="C54" s="95">
        <f>(-C36*EXP(-C41*C38)*NORMDIST(C42,0,1,TRUE)*C39/(2*SQRT(C38))-(-C41)*C36*EXP(-C41*C38)*NORMDIST(C42,0,1,TRUE)-C40*C37*EXP(-C40*C38)*NORMDIST(C43,0,1,TRUE))/365</f>
        <v>-1.1092877167730596E-2</v>
      </c>
      <c r="D54" s="100" t="s">
        <v>32</v>
      </c>
      <c r="E54" s="102">
        <f>(-E36*EXP(-E41*E38)*NORMDIST(E42,0,1,TRUE)*E39/(2*SQRT(E38))+(-E41)*E36*EXP(-E41*E38)*NORMDIST(-E42,0,1,TRUE)+E40*E37*EXP(-E40*E38)*NORMDIST(-E43,0,1,TRUE))/365</f>
        <v>-3.6160256540289058E-2</v>
      </c>
      <c r="F54" s="96"/>
      <c r="G54" s="99"/>
    </row>
    <row r="55" spans="2:28" ht="13.5" thickTop="1" x14ac:dyDescent="0.2"/>
    <row r="61" spans="2:28" x14ac:dyDescent="0.2">
      <c r="X61" t="s">
        <v>115</v>
      </c>
      <c r="Y61" t="s">
        <v>116</v>
      </c>
      <c r="Z61" t="s">
        <v>118</v>
      </c>
      <c r="AA61" t="s">
        <v>117</v>
      </c>
    </row>
    <row r="62" spans="2:28" x14ac:dyDescent="0.2">
      <c r="X62">
        <v>33.46</v>
      </c>
      <c r="Y62" s="6">
        <v>32.47</v>
      </c>
      <c r="Z62">
        <v>32.409999999999997</v>
      </c>
      <c r="AA62">
        <v>31.41</v>
      </c>
    </row>
    <row r="63" spans="2:28" x14ac:dyDescent="0.2">
      <c r="X63">
        <v>33.06</v>
      </c>
      <c r="Y63">
        <v>32.1</v>
      </c>
      <c r="Z63">
        <v>32.090000000000003</v>
      </c>
      <c r="AA63">
        <v>31.2</v>
      </c>
    </row>
    <row r="64" spans="2:28" x14ac:dyDescent="0.2">
      <c r="X64">
        <v>33.729999999999997</v>
      </c>
      <c r="Y64">
        <v>32.96</v>
      </c>
      <c r="Z64">
        <v>32.92</v>
      </c>
      <c r="AA64">
        <v>32.18</v>
      </c>
    </row>
    <row r="65" spans="15:27" x14ac:dyDescent="0.2">
      <c r="X65">
        <v>34.35</v>
      </c>
      <c r="Y65">
        <v>33.81</v>
      </c>
      <c r="Z65">
        <v>33.49</v>
      </c>
      <c r="AA65">
        <v>32.71</v>
      </c>
    </row>
    <row r="66" spans="15:27" x14ac:dyDescent="0.2">
      <c r="X66">
        <v>33.69</v>
      </c>
      <c r="Y66">
        <v>33.340000000000003</v>
      </c>
      <c r="Z66">
        <v>32.979999999999997</v>
      </c>
      <c r="AA66">
        <v>32.340000000000003</v>
      </c>
    </row>
    <row r="67" spans="15:27" x14ac:dyDescent="0.2">
      <c r="X67">
        <v>33.44</v>
      </c>
      <c r="Y67">
        <v>33.01</v>
      </c>
      <c r="Z67">
        <v>33.130000000000003</v>
      </c>
      <c r="AA67">
        <v>31.99</v>
      </c>
    </row>
    <row r="71" spans="15:27" x14ac:dyDescent="0.2">
      <c r="P71" t="s">
        <v>101</v>
      </c>
      <c r="Q71" t="s">
        <v>102</v>
      </c>
      <c r="R71" t="s">
        <v>103</v>
      </c>
      <c r="S71" t="s">
        <v>104</v>
      </c>
      <c r="T71" t="s">
        <v>105</v>
      </c>
      <c r="U71" t="s">
        <v>106</v>
      </c>
    </row>
    <row r="72" spans="15:27" x14ac:dyDescent="0.2">
      <c r="O72" t="s">
        <v>94</v>
      </c>
      <c r="P72">
        <v>31.1</v>
      </c>
      <c r="Q72">
        <v>30.66</v>
      </c>
      <c r="R72">
        <v>30.7</v>
      </c>
      <c r="S72">
        <v>29.47</v>
      </c>
      <c r="T72">
        <v>29.02</v>
      </c>
      <c r="U72">
        <v>27.95</v>
      </c>
    </row>
    <row r="73" spans="15:27" x14ac:dyDescent="0.2">
      <c r="O73" t="s">
        <v>95</v>
      </c>
      <c r="P73">
        <v>29.95</v>
      </c>
      <c r="Q73">
        <v>30.1</v>
      </c>
      <c r="R73">
        <v>30.16</v>
      </c>
      <c r="S73">
        <v>29.02</v>
      </c>
      <c r="T73">
        <v>28.6</v>
      </c>
      <c r="U73">
        <v>27.62</v>
      </c>
    </row>
    <row r="74" spans="15:27" x14ac:dyDescent="0.2">
      <c r="O74" t="s">
        <v>96</v>
      </c>
      <c r="P74">
        <v>31.78</v>
      </c>
      <c r="Q74">
        <v>31.16</v>
      </c>
      <c r="R74">
        <v>30.89</v>
      </c>
      <c r="S74">
        <v>29.66</v>
      </c>
      <c r="T74">
        <v>29.39</v>
      </c>
      <c r="U74">
        <v>28.3</v>
      </c>
    </row>
    <row r="75" spans="15:27" x14ac:dyDescent="0.2">
      <c r="O75" t="s">
        <v>97</v>
      </c>
      <c r="P75">
        <v>32.19</v>
      </c>
      <c r="Q75">
        <v>31.76</v>
      </c>
      <c r="R75">
        <v>31.81</v>
      </c>
      <c r="S75">
        <v>30.63</v>
      </c>
      <c r="T75">
        <v>30.36</v>
      </c>
      <c r="U75">
        <v>29.05</v>
      </c>
    </row>
    <row r="76" spans="15:27" x14ac:dyDescent="0.2">
      <c r="O76" t="s">
        <v>98</v>
      </c>
      <c r="P76">
        <v>31.91</v>
      </c>
      <c r="Q76">
        <v>31.32</v>
      </c>
      <c r="R76">
        <v>31.31</v>
      </c>
      <c r="S76">
        <v>30.29</v>
      </c>
      <c r="T76">
        <v>29.8</v>
      </c>
      <c r="U76">
        <v>28.67</v>
      </c>
    </row>
    <row r="77" spans="15:27" x14ac:dyDescent="0.2">
      <c r="O77" t="s">
        <v>99</v>
      </c>
      <c r="P77">
        <v>31.09</v>
      </c>
      <c r="Q77">
        <v>31.04</v>
      </c>
      <c r="R77">
        <v>30.94</v>
      </c>
      <c r="S77">
        <v>30.06</v>
      </c>
      <c r="T77">
        <v>29.7</v>
      </c>
      <c r="U77">
        <v>28.52</v>
      </c>
    </row>
    <row r="78" spans="15:27" x14ac:dyDescent="0.2">
      <c r="O78" t="s">
        <v>100</v>
      </c>
      <c r="P78">
        <v>30.28</v>
      </c>
      <c r="Q78">
        <v>30.4</v>
      </c>
      <c r="R78">
        <v>30.61</v>
      </c>
      <c r="S78">
        <v>29.83</v>
      </c>
      <c r="T78">
        <v>29.35</v>
      </c>
      <c r="U78">
        <v>28.35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93792-D57F-4139-AADF-8EF6AB2C41DB}">
  <dimension ref="A1:X74"/>
  <sheetViews>
    <sheetView topLeftCell="G1" zoomScale="151" workbookViewId="0">
      <selection activeCell="J25" sqref="J25"/>
    </sheetView>
  </sheetViews>
  <sheetFormatPr defaultRowHeight="12.75" x14ac:dyDescent="0.2"/>
  <cols>
    <col min="1" max="1" width="14.42578125" bestFit="1" customWidth="1"/>
    <col min="2" max="2" width="13.85546875" customWidth="1"/>
    <col min="3" max="3" width="25.42578125" customWidth="1"/>
    <col min="4" max="4" width="22.42578125" customWidth="1"/>
    <col min="5" max="5" width="11" bestFit="1" customWidth="1"/>
    <col min="6" max="8" width="24.42578125" customWidth="1"/>
    <col min="9" max="9" width="13.7109375" bestFit="1" customWidth="1"/>
    <col min="10" max="11" width="17.85546875" bestFit="1" customWidth="1"/>
    <col min="14" max="14" width="9.5703125" bestFit="1" customWidth="1"/>
    <col min="21" max="21" width="27.85546875" customWidth="1"/>
    <col min="22" max="22" width="25" customWidth="1"/>
    <col min="23" max="23" width="23.42578125" customWidth="1"/>
    <col min="24" max="24" width="33.5703125" customWidth="1"/>
  </cols>
  <sheetData>
    <row r="1" spans="1:24" ht="24.75" thickTop="1" thickBot="1" x14ac:dyDescent="0.4">
      <c r="A1" s="1" t="s">
        <v>2</v>
      </c>
      <c r="B1" s="12" t="s">
        <v>23</v>
      </c>
      <c r="D1" s="14" t="s">
        <v>24</v>
      </c>
      <c r="F1" s="20" t="s">
        <v>60</v>
      </c>
      <c r="G1" s="20"/>
      <c r="H1" s="20"/>
      <c r="U1" s="37" t="s">
        <v>45</v>
      </c>
      <c r="V1" s="38"/>
      <c r="W1" s="39" t="s">
        <v>49</v>
      </c>
      <c r="X1" s="39"/>
    </row>
    <row r="2" spans="1:24" ht="24.75" thickTop="1" thickBot="1" x14ac:dyDescent="0.4">
      <c r="A2">
        <f>C55</f>
        <v>1.62</v>
      </c>
      <c r="B2" s="12">
        <f>J24</f>
        <v>1.4</v>
      </c>
      <c r="D2" s="4">
        <f>C63</f>
        <v>2.101027392691579E-2</v>
      </c>
      <c r="F2" s="11">
        <f>J33</f>
        <v>1.2170482494054669E-3</v>
      </c>
      <c r="G2" s="11"/>
      <c r="H2" s="11"/>
      <c r="U2" s="37" t="s">
        <v>41</v>
      </c>
      <c r="V2" s="44">
        <v>1000</v>
      </c>
      <c r="W2" s="40" t="s">
        <v>41</v>
      </c>
      <c r="X2" s="42">
        <v>1000000</v>
      </c>
    </row>
    <row r="3" spans="1:24" ht="24.75" thickTop="1" thickBot="1" x14ac:dyDescent="0.4">
      <c r="A3" t="s">
        <v>1</v>
      </c>
      <c r="B3" s="21" t="s">
        <v>54</v>
      </c>
      <c r="C3" t="s">
        <v>23</v>
      </c>
      <c r="D3" s="4" t="s">
        <v>55</v>
      </c>
      <c r="F3" s="11" t="s">
        <v>56</v>
      </c>
      <c r="G3" s="11" t="s">
        <v>64</v>
      </c>
      <c r="H3" s="11" t="s">
        <v>65</v>
      </c>
      <c r="U3" s="37"/>
      <c r="V3" s="44"/>
      <c r="W3" s="40"/>
      <c r="X3" s="42"/>
    </row>
    <row r="4" spans="1:24" ht="24.75" thickTop="1" thickBot="1" x14ac:dyDescent="0.4">
      <c r="A4" s="32">
        <f>1.3</f>
        <v>1.3</v>
      </c>
      <c r="B4" s="46">
        <f t="shared" ref="B4:B27" si="0">(MAX(A4-$A$2,0)-$D$2)*$J$4</f>
        <v>-21.01027392691579</v>
      </c>
      <c r="C4" s="46">
        <f t="shared" ref="C4:C27" si="1">(MIN(A4-$B$2,0)+$F$2)*$K$4</f>
        <v>-98.782951750594407</v>
      </c>
      <c r="D4" s="31">
        <f>B4+C4</f>
        <v>-119.79322567751019</v>
      </c>
      <c r="F4" s="31">
        <f>$V$2*(1.55-A4)</f>
        <v>250</v>
      </c>
      <c r="G4" s="31">
        <f>D4+F4</f>
        <v>130.20677432248982</v>
      </c>
      <c r="H4" s="31">
        <v>0</v>
      </c>
      <c r="J4">
        <v>1000</v>
      </c>
      <c r="K4">
        <v>1000</v>
      </c>
      <c r="U4" s="37" t="s">
        <v>48</v>
      </c>
      <c r="V4" s="45">
        <v>1.55</v>
      </c>
      <c r="W4" s="41" t="s">
        <v>48</v>
      </c>
      <c r="X4" s="41">
        <v>1.55</v>
      </c>
    </row>
    <row r="5" spans="1:24" ht="24.75" thickTop="1" thickBot="1" x14ac:dyDescent="0.4">
      <c r="A5" s="32">
        <f>A4+0.02</f>
        <v>1.32</v>
      </c>
      <c r="B5" s="46">
        <f t="shared" si="0"/>
        <v>-21.01027392691579</v>
      </c>
      <c r="C5" s="46">
        <f t="shared" si="1"/>
        <v>-78.782951750594378</v>
      </c>
      <c r="D5" s="31">
        <f t="shared" ref="D5:D33" si="2">B5+C5</f>
        <v>-99.793225677510165</v>
      </c>
      <c r="F5" s="31">
        <f t="shared" ref="F5:F33" si="3">$V$2*(1.55-A5)</f>
        <v>229.99999999999997</v>
      </c>
      <c r="G5" s="31">
        <f t="shared" ref="G5:G33" si="4">D5+F5</f>
        <v>130.20677432248982</v>
      </c>
      <c r="H5" s="31">
        <v>0</v>
      </c>
      <c r="U5" s="37" t="s">
        <v>46</v>
      </c>
      <c r="V5" s="45" t="s">
        <v>43</v>
      </c>
      <c r="W5" s="41" t="s">
        <v>46</v>
      </c>
      <c r="X5" s="43" t="s">
        <v>50</v>
      </c>
    </row>
    <row r="6" spans="1:24" ht="24.75" thickTop="1" thickBot="1" x14ac:dyDescent="0.4">
      <c r="A6" s="32">
        <f t="shared" ref="A6:A33" si="5">A5+0.02</f>
        <v>1.34</v>
      </c>
      <c r="B6" s="46">
        <f t="shared" si="0"/>
        <v>-21.01027392691579</v>
      </c>
      <c r="C6" s="46">
        <f t="shared" si="1"/>
        <v>-58.782951750594364</v>
      </c>
      <c r="D6" s="31">
        <f t="shared" si="2"/>
        <v>-79.793225677510151</v>
      </c>
      <c r="F6" s="31">
        <f t="shared" si="3"/>
        <v>209.99999999999997</v>
      </c>
      <c r="G6" s="31">
        <f t="shared" si="4"/>
        <v>130.20677432248982</v>
      </c>
      <c r="H6" s="31">
        <v>0</v>
      </c>
      <c r="U6" s="37" t="s">
        <v>44</v>
      </c>
      <c r="V6" s="45">
        <v>1.67</v>
      </c>
      <c r="W6" s="41" t="s">
        <v>44</v>
      </c>
      <c r="X6" s="41">
        <v>1.51</v>
      </c>
    </row>
    <row r="7" spans="1:24" ht="24.75" thickTop="1" thickBot="1" x14ac:dyDescent="0.4">
      <c r="A7" s="32">
        <f t="shared" si="5"/>
        <v>1.36</v>
      </c>
      <c r="B7" s="46">
        <f t="shared" si="0"/>
        <v>-21.01027392691579</v>
      </c>
      <c r="C7" s="46">
        <f t="shared" si="1"/>
        <v>-38.78295175059435</v>
      </c>
      <c r="D7" s="31">
        <f t="shared" si="2"/>
        <v>-59.793225677510137</v>
      </c>
      <c r="F7" s="31">
        <f t="shared" si="3"/>
        <v>189.99999999999994</v>
      </c>
      <c r="G7" s="31">
        <f t="shared" si="4"/>
        <v>130.20677432248982</v>
      </c>
      <c r="H7" s="31">
        <v>0</v>
      </c>
      <c r="U7" s="37" t="s">
        <v>38</v>
      </c>
      <c r="V7" s="45">
        <v>1.6E-2</v>
      </c>
      <c r="W7" s="41" t="s">
        <v>42</v>
      </c>
      <c r="X7" s="41">
        <v>1.6E-2</v>
      </c>
    </row>
    <row r="8" spans="1:24" ht="24.75" thickTop="1" thickBot="1" x14ac:dyDescent="0.4">
      <c r="A8" s="32">
        <f t="shared" si="5"/>
        <v>1.3800000000000001</v>
      </c>
      <c r="B8" s="46">
        <f t="shared" si="0"/>
        <v>-21.01027392691579</v>
      </c>
      <c r="C8" s="46">
        <f t="shared" si="1"/>
        <v>-18.782951750594329</v>
      </c>
      <c r="D8" s="31">
        <f t="shared" si="2"/>
        <v>-39.793225677510122</v>
      </c>
      <c r="F8" s="31">
        <f t="shared" si="3"/>
        <v>169.99999999999994</v>
      </c>
      <c r="G8" s="31">
        <f t="shared" si="4"/>
        <v>130.20677432248982</v>
      </c>
      <c r="H8" s="31">
        <v>0</v>
      </c>
      <c r="U8" s="37" t="s">
        <v>19</v>
      </c>
      <c r="V8" s="45">
        <v>0.25</v>
      </c>
      <c r="W8" s="41" t="s">
        <v>19</v>
      </c>
      <c r="X8" s="41">
        <v>0.75</v>
      </c>
    </row>
    <row r="9" spans="1:24" ht="24.75" thickTop="1" thickBot="1" x14ac:dyDescent="0.4">
      <c r="A9" s="32">
        <f t="shared" si="5"/>
        <v>1.4000000000000001</v>
      </c>
      <c r="B9" s="46">
        <f t="shared" si="0"/>
        <v>-21.01027392691579</v>
      </c>
      <c r="C9" s="46">
        <f t="shared" si="1"/>
        <v>1.2170482494054669</v>
      </c>
      <c r="D9" s="31">
        <f t="shared" si="2"/>
        <v>-19.793225677510325</v>
      </c>
      <c r="F9" s="31">
        <f t="shared" si="3"/>
        <v>149.99999999999991</v>
      </c>
      <c r="G9" s="31">
        <f t="shared" si="4"/>
        <v>130.20677432248959</v>
      </c>
      <c r="H9" s="31">
        <v>0</v>
      </c>
      <c r="U9" s="37" t="s">
        <v>52</v>
      </c>
      <c r="V9" s="45">
        <f>16000</f>
        <v>16000</v>
      </c>
      <c r="W9" s="41" t="s">
        <v>53</v>
      </c>
      <c r="X9" s="41">
        <v>16000</v>
      </c>
    </row>
    <row r="10" spans="1:24" ht="24.75" thickTop="1" thickBot="1" x14ac:dyDescent="0.4">
      <c r="A10" s="32">
        <f t="shared" si="5"/>
        <v>1.4200000000000002</v>
      </c>
      <c r="B10" s="46">
        <f t="shared" si="0"/>
        <v>-21.01027392691579</v>
      </c>
      <c r="C10" s="46">
        <f t="shared" si="1"/>
        <v>1.2170482494054669</v>
      </c>
      <c r="D10" s="31">
        <f t="shared" si="2"/>
        <v>-19.793225677510325</v>
      </c>
      <c r="F10" s="31">
        <f t="shared" si="3"/>
        <v>129.99999999999989</v>
      </c>
      <c r="G10" s="31">
        <f t="shared" si="4"/>
        <v>110.20677432248957</v>
      </c>
      <c r="H10" s="31">
        <v>0</v>
      </c>
      <c r="U10" s="37" t="s">
        <v>47</v>
      </c>
      <c r="V10" s="45" t="s">
        <v>51</v>
      </c>
      <c r="W10" s="41" t="s">
        <v>47</v>
      </c>
      <c r="X10" s="41">
        <v>0</v>
      </c>
    </row>
    <row r="11" spans="1:24" ht="13.5" thickTop="1" x14ac:dyDescent="0.2">
      <c r="A11" s="32">
        <f t="shared" si="5"/>
        <v>1.4400000000000002</v>
      </c>
      <c r="B11" s="46">
        <f t="shared" si="0"/>
        <v>-21.01027392691579</v>
      </c>
      <c r="C11" s="46">
        <f t="shared" si="1"/>
        <v>1.2170482494054669</v>
      </c>
      <c r="D11" s="31">
        <f t="shared" si="2"/>
        <v>-19.793225677510325</v>
      </c>
      <c r="F11" s="31">
        <f t="shared" si="3"/>
        <v>109.99999999999987</v>
      </c>
      <c r="G11" s="31">
        <f t="shared" si="4"/>
        <v>90.206774322489551</v>
      </c>
      <c r="H11" s="31">
        <v>0</v>
      </c>
    </row>
    <row r="12" spans="1:24" x14ac:dyDescent="0.2">
      <c r="A12" s="32">
        <f t="shared" si="5"/>
        <v>1.4600000000000002</v>
      </c>
      <c r="B12" s="46">
        <f t="shared" si="0"/>
        <v>-21.01027392691579</v>
      </c>
      <c r="C12" s="46">
        <f t="shared" si="1"/>
        <v>1.2170482494054669</v>
      </c>
      <c r="D12" s="31">
        <f t="shared" si="2"/>
        <v>-19.793225677510325</v>
      </c>
      <c r="F12" s="31">
        <f t="shared" si="3"/>
        <v>89.999999999999858</v>
      </c>
      <c r="G12" s="31">
        <f t="shared" si="4"/>
        <v>70.206774322489537</v>
      </c>
      <c r="H12" s="31">
        <v>0</v>
      </c>
    </row>
    <row r="13" spans="1:24" ht="11.25" customHeight="1" x14ac:dyDescent="0.2">
      <c r="A13" s="32">
        <f t="shared" si="5"/>
        <v>1.4800000000000002</v>
      </c>
      <c r="B13" s="46">
        <f t="shared" si="0"/>
        <v>-21.01027392691579</v>
      </c>
      <c r="C13" s="46">
        <f t="shared" si="1"/>
        <v>1.2170482494054669</v>
      </c>
      <c r="D13" s="31">
        <f t="shared" si="2"/>
        <v>-19.793225677510325</v>
      </c>
      <c r="F13" s="31">
        <f t="shared" si="3"/>
        <v>69.999999999999844</v>
      </c>
      <c r="G13" s="31">
        <f t="shared" si="4"/>
        <v>50.206774322489522</v>
      </c>
      <c r="H13" s="31">
        <v>0</v>
      </c>
    </row>
    <row r="14" spans="1:24" x14ac:dyDescent="0.2">
      <c r="A14" s="32">
        <f t="shared" si="5"/>
        <v>1.5000000000000002</v>
      </c>
      <c r="B14" s="47">
        <f t="shared" si="0"/>
        <v>-21.01027392691579</v>
      </c>
      <c r="C14" s="47">
        <f t="shared" si="1"/>
        <v>1.2170482494054669</v>
      </c>
      <c r="D14" s="33">
        <f t="shared" si="2"/>
        <v>-19.793225677510325</v>
      </c>
      <c r="F14" s="31">
        <f t="shared" si="3"/>
        <v>49.999999999999822</v>
      </c>
      <c r="G14" s="31">
        <f t="shared" si="4"/>
        <v>30.206774322489498</v>
      </c>
      <c r="H14" s="31">
        <v>0</v>
      </c>
    </row>
    <row r="15" spans="1:24" x14ac:dyDescent="0.2">
      <c r="A15" s="32">
        <f t="shared" si="5"/>
        <v>1.5200000000000002</v>
      </c>
      <c r="B15" s="47">
        <f t="shared" si="0"/>
        <v>-21.01027392691579</v>
      </c>
      <c r="C15" s="47">
        <f t="shared" si="1"/>
        <v>1.2170482494054669</v>
      </c>
      <c r="D15" s="33">
        <f t="shared" si="2"/>
        <v>-19.793225677510325</v>
      </c>
      <c r="F15" s="31">
        <f t="shared" si="3"/>
        <v>29.999999999999805</v>
      </c>
      <c r="G15" s="31">
        <f t="shared" si="4"/>
        <v>10.20677432248948</v>
      </c>
      <c r="H15" s="31">
        <v>0</v>
      </c>
    </row>
    <row r="16" spans="1:24" x14ac:dyDescent="0.2">
      <c r="A16" s="32">
        <f t="shared" si="5"/>
        <v>1.5400000000000003</v>
      </c>
      <c r="B16" s="48">
        <f t="shared" si="0"/>
        <v>-21.01027392691579</v>
      </c>
      <c r="C16" s="48">
        <f t="shared" si="1"/>
        <v>1.2170482494054669</v>
      </c>
      <c r="D16" s="34">
        <f t="shared" si="2"/>
        <v>-19.793225677510325</v>
      </c>
      <c r="F16" s="31">
        <f t="shared" si="3"/>
        <v>9.9999999999997868</v>
      </c>
      <c r="G16" s="31">
        <f t="shared" si="4"/>
        <v>-9.793225677510538</v>
      </c>
      <c r="H16" s="31">
        <v>0</v>
      </c>
    </row>
    <row r="17" spans="1:15" x14ac:dyDescent="0.2">
      <c r="A17" s="32">
        <f t="shared" si="5"/>
        <v>1.5600000000000003</v>
      </c>
      <c r="B17" s="48">
        <f t="shared" si="0"/>
        <v>-21.01027392691579</v>
      </c>
      <c r="C17" s="48">
        <f t="shared" si="1"/>
        <v>1.2170482494054669</v>
      </c>
      <c r="D17" s="34">
        <f t="shared" si="2"/>
        <v>-19.793225677510325</v>
      </c>
      <c r="F17" s="31">
        <f t="shared" si="3"/>
        <v>-10.000000000000231</v>
      </c>
      <c r="G17" s="31">
        <f t="shared" si="4"/>
        <v>-29.793225677510556</v>
      </c>
      <c r="H17" s="31">
        <v>0</v>
      </c>
    </row>
    <row r="18" spans="1:15" x14ac:dyDescent="0.2">
      <c r="A18" s="32">
        <f t="shared" si="5"/>
        <v>1.5800000000000003</v>
      </c>
      <c r="B18" s="48">
        <f t="shared" si="0"/>
        <v>-21.01027392691579</v>
      </c>
      <c r="C18" s="48">
        <f t="shared" si="1"/>
        <v>1.2170482494054669</v>
      </c>
      <c r="D18" s="34">
        <f t="shared" si="2"/>
        <v>-19.793225677510325</v>
      </c>
      <c r="F18" s="31">
        <f t="shared" si="3"/>
        <v>-30.000000000000249</v>
      </c>
      <c r="G18" s="31">
        <f t="shared" si="4"/>
        <v>-49.793225677510577</v>
      </c>
      <c r="H18" s="31">
        <v>0</v>
      </c>
    </row>
    <row r="19" spans="1:15" x14ac:dyDescent="0.2">
      <c r="A19" s="32">
        <f t="shared" si="5"/>
        <v>1.6000000000000003</v>
      </c>
      <c r="B19" s="48">
        <f t="shared" si="0"/>
        <v>-21.01027392691579</v>
      </c>
      <c r="C19" s="48">
        <f t="shared" si="1"/>
        <v>1.2170482494054669</v>
      </c>
      <c r="D19" s="34">
        <f t="shared" si="2"/>
        <v>-19.793225677510325</v>
      </c>
      <c r="F19" s="31">
        <f t="shared" si="3"/>
        <v>-50.00000000000027</v>
      </c>
      <c r="G19" s="31">
        <f t="shared" si="4"/>
        <v>-69.793225677510591</v>
      </c>
      <c r="H19" s="31">
        <v>0</v>
      </c>
    </row>
    <row r="20" spans="1:15" x14ac:dyDescent="0.2">
      <c r="A20" s="32">
        <f t="shared" si="5"/>
        <v>1.6200000000000003</v>
      </c>
      <c r="B20" s="48">
        <f t="shared" si="0"/>
        <v>-21.010273926915566</v>
      </c>
      <c r="C20" s="48">
        <f t="shared" si="1"/>
        <v>1.2170482494054669</v>
      </c>
      <c r="D20" s="34">
        <f t="shared" si="2"/>
        <v>-19.793225677510101</v>
      </c>
      <c r="F20" s="31">
        <f t="shared" si="3"/>
        <v>-70.000000000000284</v>
      </c>
      <c r="G20" s="31">
        <f t="shared" si="4"/>
        <v>-89.793225677510378</v>
      </c>
      <c r="H20" s="31">
        <v>0</v>
      </c>
    </row>
    <row r="21" spans="1:15" x14ac:dyDescent="0.2">
      <c r="A21" s="32">
        <f t="shared" si="5"/>
        <v>1.6400000000000003</v>
      </c>
      <c r="B21" s="48">
        <f t="shared" si="0"/>
        <v>-1.0102739269155503</v>
      </c>
      <c r="C21" s="48">
        <f t="shared" si="1"/>
        <v>1.2170482494054669</v>
      </c>
      <c r="D21" s="34">
        <f t="shared" si="2"/>
        <v>0.20677432248991656</v>
      </c>
      <c r="F21" s="31">
        <f t="shared" si="3"/>
        <v>-90.000000000000298</v>
      </c>
      <c r="G21" s="31">
        <f t="shared" si="4"/>
        <v>-89.793225677510378</v>
      </c>
      <c r="H21" s="31">
        <v>0</v>
      </c>
      <c r="I21" s="49" t="s">
        <v>57</v>
      </c>
      <c r="M21" s="13" t="s">
        <v>33</v>
      </c>
      <c r="N21" s="13"/>
      <c r="O21" s="13"/>
    </row>
    <row r="22" spans="1:15" x14ac:dyDescent="0.2">
      <c r="A22" s="32">
        <f t="shared" si="5"/>
        <v>1.6600000000000004</v>
      </c>
      <c r="B22" s="48">
        <f t="shared" si="0"/>
        <v>18.989726073084469</v>
      </c>
      <c r="C22" s="48">
        <f t="shared" si="1"/>
        <v>1.2170482494054669</v>
      </c>
      <c r="D22" s="34">
        <f t="shared" si="2"/>
        <v>20.206774322489935</v>
      </c>
      <c r="F22" s="31">
        <f t="shared" si="3"/>
        <v>-110.00000000000031</v>
      </c>
      <c r="G22" s="31">
        <f t="shared" si="4"/>
        <v>-89.793225677510378</v>
      </c>
      <c r="H22" s="31">
        <v>0</v>
      </c>
      <c r="I22" s="22" t="s">
        <v>1</v>
      </c>
      <c r="J22">
        <v>1.55</v>
      </c>
    </row>
    <row r="23" spans="1:15" x14ac:dyDescent="0.2">
      <c r="A23" s="32">
        <f t="shared" si="5"/>
        <v>1.6800000000000004</v>
      </c>
      <c r="B23" s="48">
        <f t="shared" si="0"/>
        <v>38.989726073084483</v>
      </c>
      <c r="C23" s="48">
        <f t="shared" si="1"/>
        <v>1.2170482494054669</v>
      </c>
      <c r="D23" s="34">
        <f t="shared" si="2"/>
        <v>40.206774322489949</v>
      </c>
      <c r="F23" s="31">
        <f t="shared" si="3"/>
        <v>-130.00000000000034</v>
      </c>
      <c r="G23" s="31">
        <f t="shared" si="4"/>
        <v>-89.793225677510392</v>
      </c>
      <c r="H23" s="31">
        <v>0</v>
      </c>
      <c r="M23" s="13" t="s">
        <v>19</v>
      </c>
      <c r="N23" s="5">
        <f>L40*$J$4+C71*$K$4</f>
        <v>313.91185387654212</v>
      </c>
      <c r="O23" t="s">
        <v>34</v>
      </c>
    </row>
    <row r="24" spans="1:15" x14ac:dyDescent="0.2">
      <c r="A24" s="32">
        <f t="shared" si="5"/>
        <v>1.7000000000000004</v>
      </c>
      <c r="B24" s="7">
        <f t="shared" si="0"/>
        <v>58.989726073084505</v>
      </c>
      <c r="C24" s="7">
        <f t="shared" si="1"/>
        <v>1.2170482494054669</v>
      </c>
      <c r="D24" s="31">
        <f t="shared" si="2"/>
        <v>60.20677432248997</v>
      </c>
      <c r="F24" s="31">
        <f t="shared" si="3"/>
        <v>-150.00000000000034</v>
      </c>
      <c r="G24" s="31">
        <f t="shared" si="4"/>
        <v>-89.793225677510378</v>
      </c>
      <c r="H24" s="31">
        <v>0</v>
      </c>
      <c r="I24" s="49" t="s">
        <v>58</v>
      </c>
      <c r="J24" s="12">
        <v>1.4</v>
      </c>
      <c r="M24" s="13" t="s">
        <v>20</v>
      </c>
      <c r="N24" s="5">
        <f>L41*$J$4+C72*$K$4</f>
        <v>13216.404684831214</v>
      </c>
    </row>
    <row r="25" spans="1:15" x14ac:dyDescent="0.2">
      <c r="A25" s="32">
        <f t="shared" si="5"/>
        <v>1.7200000000000004</v>
      </c>
      <c r="B25" s="7">
        <f t="shared" si="0"/>
        <v>78.989726073084526</v>
      </c>
      <c r="C25" s="7">
        <f t="shared" si="1"/>
        <v>1.2170482494054669</v>
      </c>
      <c r="D25" s="31">
        <f t="shared" si="2"/>
        <v>80.206774322489991</v>
      </c>
      <c r="F25" s="31">
        <f t="shared" si="3"/>
        <v>-170.00000000000037</v>
      </c>
      <c r="G25" s="31">
        <f t="shared" si="4"/>
        <v>-89.793225677510378</v>
      </c>
      <c r="H25" s="31">
        <v>0</v>
      </c>
      <c r="I25" s="49" t="s">
        <v>36</v>
      </c>
      <c r="J25">
        <f>60/365</f>
        <v>0.16438356164383561</v>
      </c>
      <c r="M25" s="13" t="s">
        <v>22</v>
      </c>
      <c r="N25" s="5">
        <f>L42*$J$4+C73*$K$4</f>
        <v>824.11001526781376</v>
      </c>
    </row>
    <row r="26" spans="1:15" x14ac:dyDescent="0.2">
      <c r="A26" s="32">
        <f t="shared" si="5"/>
        <v>1.7400000000000004</v>
      </c>
      <c r="B26" s="7">
        <f t="shared" si="0"/>
        <v>98.98972607308454</v>
      </c>
      <c r="C26" s="7">
        <f t="shared" si="1"/>
        <v>1.2170482494054669</v>
      </c>
      <c r="D26" s="31">
        <f t="shared" si="2"/>
        <v>100.20677432249001</v>
      </c>
      <c r="F26" s="31">
        <f t="shared" si="3"/>
        <v>-190.0000000000004</v>
      </c>
      <c r="G26" s="31">
        <f t="shared" si="4"/>
        <v>-89.793225677510392</v>
      </c>
      <c r="H26" s="31">
        <v>0</v>
      </c>
      <c r="I26" s="49" t="s">
        <v>59</v>
      </c>
      <c r="J26" s="2">
        <v>0.16089999999999999</v>
      </c>
      <c r="M26" s="13" t="s">
        <v>21</v>
      </c>
      <c r="N26" s="5">
        <f>L43*$J$4+C74*$K$4</f>
        <v>-1.2240736134705656</v>
      </c>
    </row>
    <row r="27" spans="1:15" x14ac:dyDescent="0.2">
      <c r="A27" s="32">
        <f t="shared" si="5"/>
        <v>1.7600000000000005</v>
      </c>
      <c r="B27" s="7">
        <f t="shared" si="0"/>
        <v>118.98972607308455</v>
      </c>
      <c r="C27" s="7">
        <f t="shared" si="1"/>
        <v>1.2170482494054669</v>
      </c>
      <c r="D27" s="31">
        <f t="shared" si="2"/>
        <v>120.20677432249002</v>
      </c>
      <c r="F27" s="31">
        <f t="shared" si="3"/>
        <v>-210.0000000000004</v>
      </c>
      <c r="G27" s="31">
        <f t="shared" si="4"/>
        <v>-89.793225677510378</v>
      </c>
      <c r="H27" s="31">
        <v>0</v>
      </c>
      <c r="I27" t="s">
        <v>8</v>
      </c>
      <c r="J27" s="2">
        <v>0.1275</v>
      </c>
    </row>
    <row r="28" spans="1:15" x14ac:dyDescent="0.2">
      <c r="A28" s="32">
        <f t="shared" si="5"/>
        <v>1.7800000000000005</v>
      </c>
      <c r="B28" s="7">
        <f t="shared" ref="B28:B33" si="6">(MAX(A28-$A$2,0)-$D$2)*$J$4</f>
        <v>138.98972607308457</v>
      </c>
      <c r="C28" s="7">
        <f t="shared" ref="C28:C33" si="7">(MIN(A28-$B$2,0)+$F$2)*$K$4</f>
        <v>1.2170482494054669</v>
      </c>
      <c r="D28" s="31">
        <f t="shared" si="2"/>
        <v>140.20677432249005</v>
      </c>
      <c r="F28" s="31">
        <f t="shared" si="3"/>
        <v>-230.00000000000043</v>
      </c>
      <c r="G28" s="31">
        <f t="shared" si="4"/>
        <v>-89.793225677510378</v>
      </c>
      <c r="H28" s="31">
        <v>0</v>
      </c>
      <c r="I28" t="s">
        <v>9</v>
      </c>
      <c r="J28" s="2">
        <v>1.55E-2</v>
      </c>
    </row>
    <row r="29" spans="1:15" x14ac:dyDescent="0.2">
      <c r="A29" s="32">
        <f t="shared" si="5"/>
        <v>1.8000000000000005</v>
      </c>
      <c r="B29" s="7">
        <f t="shared" si="6"/>
        <v>158.9897260730846</v>
      </c>
      <c r="C29" s="7">
        <f t="shared" si="7"/>
        <v>1.2170482494054669</v>
      </c>
      <c r="D29" s="31">
        <f t="shared" si="2"/>
        <v>160.20677432249008</v>
      </c>
      <c r="F29" s="31">
        <f t="shared" si="3"/>
        <v>-250.00000000000045</v>
      </c>
      <c r="G29" s="31">
        <f t="shared" si="4"/>
        <v>-89.793225677510378</v>
      </c>
      <c r="H29" s="31">
        <v>0</v>
      </c>
      <c r="I29" t="s">
        <v>10</v>
      </c>
      <c r="J29" s="3">
        <f>(LN(J22/J24)+(J27-J28+J26^2/2)*J25)/(J26*SQRT(J25))</f>
        <v>1.875070335793501</v>
      </c>
    </row>
    <row r="30" spans="1:15" x14ac:dyDescent="0.2">
      <c r="A30" s="32">
        <f t="shared" si="5"/>
        <v>1.8200000000000005</v>
      </c>
      <c r="B30" s="7">
        <f t="shared" si="6"/>
        <v>178.9897260730846</v>
      </c>
      <c r="C30" s="7">
        <f t="shared" si="7"/>
        <v>1.2170482494054669</v>
      </c>
      <c r="D30" s="31">
        <f t="shared" si="2"/>
        <v>180.20677432249008</v>
      </c>
      <c r="F30" s="31">
        <f t="shared" si="3"/>
        <v>-270.00000000000045</v>
      </c>
      <c r="G30" s="31">
        <f t="shared" si="4"/>
        <v>-89.793225677510378</v>
      </c>
      <c r="H30" s="31">
        <v>0</v>
      </c>
      <c r="I30" t="s">
        <v>11</v>
      </c>
      <c r="J30" s="3">
        <f>J29-J26*SQRT(J25)</f>
        <v>1.8098346492828146</v>
      </c>
    </row>
    <row r="31" spans="1:15" x14ac:dyDescent="0.2">
      <c r="A31" s="32">
        <f t="shared" si="5"/>
        <v>1.8400000000000005</v>
      </c>
      <c r="B31" s="7">
        <f t="shared" si="6"/>
        <v>198.98972607308463</v>
      </c>
      <c r="C31" s="7">
        <f t="shared" si="7"/>
        <v>1.2170482494054669</v>
      </c>
      <c r="D31" s="31">
        <f t="shared" si="2"/>
        <v>200.20677432249011</v>
      </c>
      <c r="F31" s="31">
        <f t="shared" si="3"/>
        <v>-290.00000000000045</v>
      </c>
      <c r="G31" s="31">
        <f t="shared" si="4"/>
        <v>-89.79322567751035</v>
      </c>
      <c r="H31" s="31">
        <v>0</v>
      </c>
    </row>
    <row r="32" spans="1:15" x14ac:dyDescent="0.2">
      <c r="A32" s="32">
        <f t="shared" si="5"/>
        <v>1.8600000000000005</v>
      </c>
      <c r="B32" s="7">
        <f t="shared" si="6"/>
        <v>218.98972607308465</v>
      </c>
      <c r="C32" s="7">
        <f t="shared" si="7"/>
        <v>1.2170482494054669</v>
      </c>
      <c r="D32" s="31">
        <f t="shared" si="2"/>
        <v>220.20677432249013</v>
      </c>
      <c r="F32" s="31">
        <f t="shared" si="3"/>
        <v>-310.00000000000051</v>
      </c>
      <c r="G32" s="31">
        <f t="shared" si="4"/>
        <v>-89.793225677510378</v>
      </c>
      <c r="H32" s="31">
        <v>0</v>
      </c>
      <c r="I32" s="8" t="s">
        <v>12</v>
      </c>
      <c r="J32" s="9">
        <f>J22*EXP(-J28*J25)*NORMDIST(J29,0,1,TRUE)-J24*EXP(-J27*J25)*NORMDIST(J30,0,1,TRUE)</f>
        <v>0.17630987004939347</v>
      </c>
      <c r="K32" s="8" t="s">
        <v>13</v>
      </c>
    </row>
    <row r="33" spans="1:13" x14ac:dyDescent="0.2">
      <c r="A33" s="32">
        <f t="shared" si="5"/>
        <v>1.8800000000000006</v>
      </c>
      <c r="B33" s="7">
        <f t="shared" si="6"/>
        <v>238.98972607308465</v>
      </c>
      <c r="C33" s="7">
        <f t="shared" si="7"/>
        <v>1.2170482494054669</v>
      </c>
      <c r="D33" s="31">
        <f t="shared" si="2"/>
        <v>240.20677432249013</v>
      </c>
      <c r="F33" s="31">
        <f t="shared" si="3"/>
        <v>-330.00000000000051</v>
      </c>
      <c r="G33" s="31">
        <f t="shared" si="4"/>
        <v>-89.793225677510378</v>
      </c>
      <c r="H33" s="31">
        <v>0</v>
      </c>
      <c r="I33" s="8" t="s">
        <v>14</v>
      </c>
      <c r="J33" s="9">
        <f>J24*EXP(-J27*J25)*NORMDIST(-J30,0,1,TRUE)-J22*EXP(-J28*J25)*NORMDIST(-J29,0,1,TRUE)</f>
        <v>1.2170482494054669E-3</v>
      </c>
      <c r="K33" s="8" t="s">
        <v>13</v>
      </c>
    </row>
    <row r="34" spans="1:13" x14ac:dyDescent="0.2">
      <c r="I34" t="s">
        <v>15</v>
      </c>
      <c r="J34">
        <v>1000000</v>
      </c>
      <c r="K34" t="s">
        <v>16</v>
      </c>
    </row>
    <row r="37" spans="1:13" x14ac:dyDescent="0.2">
      <c r="M37" s="5"/>
    </row>
    <row r="40" spans="1:13" x14ac:dyDescent="0.2">
      <c r="F40" s="19"/>
      <c r="G40" s="19"/>
      <c r="H40" s="19"/>
      <c r="I40" s="10" t="s">
        <v>25</v>
      </c>
      <c r="J40" s="16">
        <f>EXP(-J28*J25)*NORMDIST(J29,0,1,TRUE)</f>
        <v>0.96714111147498605</v>
      </c>
      <c r="K40" s="13" t="s">
        <v>26</v>
      </c>
      <c r="L40" s="19">
        <f>EXP(-J28*J25)*(NORMDIST(J29,0,1,TRUE)-1)</f>
        <v>-3.0314186576787503E-2</v>
      </c>
      <c r="M40" s="5"/>
    </row>
    <row r="41" spans="1:13" x14ac:dyDescent="0.2">
      <c r="F41" s="19"/>
      <c r="G41" s="19"/>
      <c r="H41" s="19"/>
      <c r="I41" s="10" t="s">
        <v>27</v>
      </c>
      <c r="J41" s="17">
        <f>(NORMDIST(J29,0,1,TRUE)*EXP(-J28*J25))/(J22*J26*SQRT(J25))</f>
        <v>9.5647342854436666</v>
      </c>
      <c r="K41" s="13" t="s">
        <v>30</v>
      </c>
      <c r="L41" s="19">
        <f>J41</f>
        <v>9.5647342854436666</v>
      </c>
    </row>
    <row r="42" spans="1:13" x14ac:dyDescent="0.2">
      <c r="F42" s="19"/>
      <c r="G42" s="19"/>
      <c r="H42" s="19"/>
      <c r="I42" s="10" t="s">
        <v>28</v>
      </c>
      <c r="J42" s="17">
        <f>J22*EXP(-J28*J25)*NORMDIST(J29,0,1,TRUE)*SQRT(J25)</f>
        <v>0.60778606126573909</v>
      </c>
      <c r="K42" s="13" t="s">
        <v>31</v>
      </c>
      <c r="L42" s="19">
        <f>J42</f>
        <v>0.60778606126573909</v>
      </c>
    </row>
    <row r="43" spans="1:13" x14ac:dyDescent="0.2">
      <c r="F43" s="15"/>
      <c r="G43" s="15"/>
      <c r="H43" s="15"/>
      <c r="I43" s="10" t="s">
        <v>29</v>
      </c>
      <c r="J43" s="18">
        <f>(-J22*EXP(-J28*J25)*NORMDIST(J29,0,1,TRUE)*J26/(2*SQRT(J25))-(-J28)*J22*EXP(-J28*J25)*NORMDIST(J29,0,1,TRUE)-J27*J24*EXP(-J27*J25)*NORMDIST(J30,0,1,TRUE))/365</f>
        <v>-1.2133403269757111E-3</v>
      </c>
      <c r="K43" s="13" t="s">
        <v>32</v>
      </c>
      <c r="L43" s="15">
        <f>(-J22*EXP(-J28*J25)*NORMDIST(J29,0,1,TRUE)*J26/(2*SQRT(J25))+(-J28)*J22*EXP(-J28*J25)*NORMDIST(-J29,0,1,TRUE)+J27*J24*EXP(-J27*J25)*NORMDIST(-J30,0,1,TRUE))/365</f>
        <v>-8.0009675173656192E-4</v>
      </c>
    </row>
    <row r="52" spans="2:5" x14ac:dyDescent="0.2">
      <c r="B52" s="6" t="s">
        <v>3</v>
      </c>
    </row>
    <row r="53" spans="2:5" x14ac:dyDescent="0.2">
      <c r="B53" t="s">
        <v>4</v>
      </c>
      <c r="C53">
        <v>1.55</v>
      </c>
    </row>
    <row r="55" spans="2:5" x14ac:dyDescent="0.2">
      <c r="B55" s="6" t="s">
        <v>5</v>
      </c>
      <c r="C55">
        <v>1.62</v>
      </c>
    </row>
    <row r="56" spans="2:5" x14ac:dyDescent="0.2">
      <c r="B56" s="6" t="s">
        <v>6</v>
      </c>
      <c r="C56">
        <f>60/365</f>
        <v>0.16438356164383561</v>
      </c>
    </row>
    <row r="57" spans="2:5" x14ac:dyDescent="0.2">
      <c r="B57" s="6" t="s">
        <v>7</v>
      </c>
      <c r="C57" s="2">
        <v>0.15</v>
      </c>
    </row>
    <row r="58" spans="2:5" x14ac:dyDescent="0.2">
      <c r="B58" t="s">
        <v>8</v>
      </c>
      <c r="C58" s="2">
        <v>0.1255</v>
      </c>
    </row>
    <row r="59" spans="2:5" x14ac:dyDescent="0.2">
      <c r="B59" t="s">
        <v>9</v>
      </c>
      <c r="C59" s="2">
        <v>1.55E-2</v>
      </c>
    </row>
    <row r="60" spans="2:5" x14ac:dyDescent="0.2">
      <c r="B60" t="s">
        <v>10</v>
      </c>
      <c r="C60" s="3">
        <f>(LN(C53/C55)+(C58-C59+C57^2/2)*C56)/(C57*SQRT(C56))</f>
        <v>-0.39857219089126855</v>
      </c>
    </row>
    <row r="61" spans="2:5" x14ac:dyDescent="0.2">
      <c r="B61" t="s">
        <v>11</v>
      </c>
      <c r="C61" s="3">
        <f>C60-C57*SQRT(C56)</f>
        <v>-0.45938855494722231</v>
      </c>
    </row>
    <row r="63" spans="2:5" x14ac:dyDescent="0.2">
      <c r="B63" s="8" t="s">
        <v>12</v>
      </c>
      <c r="C63" s="9">
        <f>C53*EXP(-C59*C56)*NORMDIST(C60,0,1,TRUE)-C55*EXP(-C58*C56)*NORMDIST(C61,0,1,TRUE)</f>
        <v>2.101027392691579E-2</v>
      </c>
      <c r="D63" s="8" t="s">
        <v>13</v>
      </c>
    </row>
    <row r="64" spans="2:5" x14ac:dyDescent="0.2">
      <c r="B64" s="8" t="s">
        <v>14</v>
      </c>
      <c r="C64" s="9">
        <f>C55*EXP(-C58*C56)*NORMDIST(-C61,0,1,TRUE)-C53*EXP(-C59*C56)*NORMDIST(-C60,0,1,TRUE)</f>
        <v>6.1876119608029745E-2</v>
      </c>
      <c r="D64" s="8" t="s">
        <v>13</v>
      </c>
      <c r="E64" s="19">
        <f>EXP(-C59*C56)*(NORMDIST(C60,0,1,TRUE)-1)</f>
        <v>-0.65322925759844397</v>
      </c>
    </row>
    <row r="65" spans="2:5" x14ac:dyDescent="0.2">
      <c r="B65" t="s">
        <v>15</v>
      </c>
      <c r="C65">
        <v>1000000</v>
      </c>
      <c r="D65" t="s">
        <v>16</v>
      </c>
      <c r="E65" s="19">
        <f>C72</f>
        <v>3.6516703993875463</v>
      </c>
    </row>
    <row r="66" spans="2:5" x14ac:dyDescent="0.2">
      <c r="E66" s="19">
        <f>C73</f>
        <v>0.2163239540020746</v>
      </c>
    </row>
    <row r="67" spans="2:5" x14ac:dyDescent="0.2">
      <c r="E67" s="15">
        <f>(-C53*EXP(-C59*C56)*NORMDIST(C60,0,1,TRUE)*C57/(2*SQRT(C56))+(-C59)*C53*EXP(-C59*C56)*NORMDIST(-C60,0,1,TRUE)+C58*C55*EXP(-C58*C56)*NORMDIST(-C61,0,1,TRUE))/365</f>
        <v>5.6008869638070922E-5</v>
      </c>
    </row>
    <row r="71" spans="2:5" x14ac:dyDescent="0.2">
      <c r="B71" s="10" t="s">
        <v>25</v>
      </c>
      <c r="C71" s="16">
        <f>EXP(-C59*C56)*NORMDIST(C60,0,1,TRUE)</f>
        <v>0.34422604045332961</v>
      </c>
      <c r="D71" s="13" t="s">
        <v>26</v>
      </c>
    </row>
    <row r="72" spans="2:5" x14ac:dyDescent="0.2">
      <c r="B72" s="10" t="s">
        <v>27</v>
      </c>
      <c r="C72" s="17">
        <f>(NORMDIST(C60,0,1,TRUE)*EXP(-C59*C56))/(C53*C57*SQRT(C56))</f>
        <v>3.6516703993875463</v>
      </c>
      <c r="D72" s="13" t="s">
        <v>30</v>
      </c>
    </row>
    <row r="73" spans="2:5" x14ac:dyDescent="0.2">
      <c r="B73" s="10" t="s">
        <v>28</v>
      </c>
      <c r="C73" s="17">
        <f>C53*EXP(-C59*C56)*NORMDIST(C60,0,1,TRUE)*SQRT(C56)</f>
        <v>0.2163239540020746</v>
      </c>
      <c r="D73" s="13" t="s">
        <v>31</v>
      </c>
    </row>
    <row r="74" spans="2:5" x14ac:dyDescent="0.2">
      <c r="B74" s="10" t="s">
        <v>29</v>
      </c>
      <c r="C74" s="18">
        <f>(-C53*EXP(-C59*C56)*NORMDIST(C60,0,1,TRUE)*C57/(2*SQRT(C56))-(-C59)*C53*EXP(-C59*C56)*NORMDIST(C60,0,1,TRUE)-C58*C55*EXP(-C58*C56)*NORMDIST(C61,0,1,TRUE))/365</f>
        <v>-4.2397686173400361E-4</v>
      </c>
      <c r="D74" s="13" t="s">
        <v>32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B008-5DEF-445E-B6DC-93919EA14DAB}">
  <dimension ref="A10:A31"/>
  <sheetViews>
    <sheetView topLeftCell="A98" zoomScale="147" workbookViewId="0"/>
  </sheetViews>
  <sheetFormatPr defaultRowHeight="12.75" x14ac:dyDescent="0.2"/>
  <cols>
    <col min="2" max="2" width="9.5703125" bestFit="1" customWidth="1"/>
  </cols>
  <sheetData>
    <row r="10" ht="11.25" customHeight="1" x14ac:dyDescent="0.2"/>
    <row r="28" spans="1:1" x14ac:dyDescent="0.2">
      <c r="A28" s="5"/>
    </row>
    <row r="31" spans="1:1" x14ac:dyDescent="0.2">
      <c r="A31" s="5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D222-5FB6-4F80-83E8-C38CEA63E157}">
  <dimension ref="A1:W74"/>
  <sheetViews>
    <sheetView topLeftCell="C19" zoomScale="147" workbookViewId="0">
      <selection activeCell="T15" sqref="T15:W24"/>
    </sheetView>
  </sheetViews>
  <sheetFormatPr defaultRowHeight="12.75" x14ac:dyDescent="0.2"/>
  <cols>
    <col min="1" max="1" width="14.42578125" bestFit="1" customWidth="1"/>
    <col min="2" max="2" width="14.85546875" bestFit="1" customWidth="1"/>
    <col min="3" max="3" width="18.7109375" customWidth="1"/>
    <col min="4" max="4" width="22.42578125" customWidth="1"/>
    <col min="5" max="5" width="11" bestFit="1" customWidth="1"/>
    <col min="6" max="7" width="24.42578125" customWidth="1"/>
    <col min="8" max="8" width="13.7109375" bestFit="1" customWidth="1"/>
    <col min="9" max="10" width="17.85546875" bestFit="1" customWidth="1"/>
    <col min="13" max="13" width="9.5703125" bestFit="1" customWidth="1"/>
    <col min="20" max="20" width="27.85546875" customWidth="1"/>
    <col min="21" max="21" width="25" customWidth="1"/>
    <col min="22" max="22" width="23.42578125" customWidth="1"/>
    <col min="23" max="23" width="33.5703125" customWidth="1"/>
  </cols>
  <sheetData>
    <row r="1" spans="1:23" ht="24.75" thickTop="1" thickBot="1" x14ac:dyDescent="0.4">
      <c r="A1" s="1" t="s">
        <v>2</v>
      </c>
      <c r="B1" s="12" t="s">
        <v>23</v>
      </c>
      <c r="D1" s="14" t="s">
        <v>24</v>
      </c>
      <c r="F1" s="20" t="s">
        <v>60</v>
      </c>
      <c r="G1" s="20"/>
      <c r="T1" s="37" t="s">
        <v>45</v>
      </c>
      <c r="U1" s="38"/>
      <c r="V1" s="39" t="s">
        <v>49</v>
      </c>
      <c r="W1" s="39"/>
    </row>
    <row r="2" spans="1:23" ht="24.75" thickTop="1" thickBot="1" x14ac:dyDescent="0.4">
      <c r="A2">
        <f>C55</f>
        <v>1.67</v>
      </c>
      <c r="B2" s="12">
        <f>I24</f>
        <v>1.5166999999999999</v>
      </c>
      <c r="D2" s="4">
        <f>C63</f>
        <v>1.6630379704227427E-2</v>
      </c>
      <c r="F2" s="11">
        <f>I33</f>
        <v>1.6262711616080561E-2</v>
      </c>
      <c r="G2" s="11"/>
      <c r="T2" s="37" t="s">
        <v>41</v>
      </c>
      <c r="U2" s="44">
        <v>1000</v>
      </c>
      <c r="V2" s="40" t="s">
        <v>41</v>
      </c>
      <c r="W2" s="42">
        <v>1000000</v>
      </c>
    </row>
    <row r="3" spans="1:23" ht="24.75" thickTop="1" thickBot="1" x14ac:dyDescent="0.4">
      <c r="A3" t="s">
        <v>1</v>
      </c>
      <c r="B3" s="21" t="s">
        <v>0</v>
      </c>
      <c r="C3" s="22" t="s">
        <v>61</v>
      </c>
      <c r="D3" s="4" t="s">
        <v>55</v>
      </c>
      <c r="F3" s="11" t="s">
        <v>56</v>
      </c>
      <c r="G3" s="11" t="s">
        <v>62</v>
      </c>
      <c r="H3" s="22" t="s">
        <v>63</v>
      </c>
      <c r="T3" s="37"/>
      <c r="U3" s="44"/>
      <c r="V3" s="40"/>
      <c r="W3" s="42"/>
    </row>
    <row r="4" spans="1:23" ht="24.75" thickTop="1" thickBot="1" x14ac:dyDescent="0.4">
      <c r="A4" s="32">
        <f>1.3</f>
        <v>1.3</v>
      </c>
      <c r="B4" s="46">
        <f>-(MAX(A4-$A$2,0)-$D$2)*$I$4</f>
        <v>16.630379704227426</v>
      </c>
      <c r="C4" s="46">
        <f>-(MIN(A4-$B$2,0)+$F$2)*$J$4</f>
        <v>200.43728838391934</v>
      </c>
      <c r="D4" s="31">
        <f>B4+C4</f>
        <v>217.06766808814677</v>
      </c>
      <c r="F4" s="31">
        <f>$U$2*(A4-1.55)</f>
        <v>-250</v>
      </c>
      <c r="G4" s="31">
        <f>D4+F4</f>
        <v>-32.932331911853225</v>
      </c>
      <c r="H4" s="22">
        <v>0</v>
      </c>
      <c r="I4">
        <v>1000</v>
      </c>
      <c r="J4">
        <v>1000</v>
      </c>
      <c r="T4" s="37" t="s">
        <v>48</v>
      </c>
      <c r="U4" s="45">
        <v>1.55</v>
      </c>
      <c r="V4" s="41" t="s">
        <v>48</v>
      </c>
      <c r="W4" s="41">
        <v>1.55</v>
      </c>
    </row>
    <row r="5" spans="1:23" ht="24.75" thickTop="1" thickBot="1" x14ac:dyDescent="0.4">
      <c r="A5" s="32">
        <f>A4+0.02</f>
        <v>1.32</v>
      </c>
      <c r="B5" s="46">
        <f t="shared" ref="B5:B33" si="0">-(MAX(A5-$A$2,0)-$D$2)*$I$4</f>
        <v>16.630379704227426</v>
      </c>
      <c r="C5" s="46">
        <f t="shared" ref="C5:C33" si="1">-(MIN(A5-$B$2,0)+$F$2)*$J$4</f>
        <v>180.43728838391931</v>
      </c>
      <c r="D5" s="31">
        <f t="shared" ref="D5:D33" si="2">B5+C5</f>
        <v>197.06766808814675</v>
      </c>
      <c r="F5" s="31">
        <f t="shared" ref="F5:F33" si="3">$U$2*(A5-1.55)</f>
        <v>-229.99999999999997</v>
      </c>
      <c r="G5" s="31">
        <f t="shared" ref="G5:G33" si="4">D5+F5</f>
        <v>-32.932331911853225</v>
      </c>
      <c r="H5" s="22">
        <v>0</v>
      </c>
      <c r="T5" s="37" t="s">
        <v>46</v>
      </c>
      <c r="U5" s="45" t="s">
        <v>43</v>
      </c>
      <c r="V5" s="41" t="s">
        <v>46</v>
      </c>
      <c r="W5" s="43" t="s">
        <v>50</v>
      </c>
    </row>
    <row r="6" spans="1:23" ht="24.75" thickTop="1" thickBot="1" x14ac:dyDescent="0.4">
      <c r="A6" s="32">
        <f t="shared" ref="A6:A33" si="5">A5+0.02</f>
        <v>1.34</v>
      </c>
      <c r="B6" s="46">
        <f t="shared" si="0"/>
        <v>16.630379704227426</v>
      </c>
      <c r="C6" s="46">
        <f t="shared" si="1"/>
        <v>160.43728838391931</v>
      </c>
      <c r="D6" s="31">
        <f t="shared" si="2"/>
        <v>177.06766808814675</v>
      </c>
      <c r="F6" s="31">
        <f t="shared" si="3"/>
        <v>-209.99999999999997</v>
      </c>
      <c r="G6" s="31">
        <f t="shared" si="4"/>
        <v>-32.932331911853225</v>
      </c>
      <c r="H6" s="22">
        <v>0</v>
      </c>
      <c r="T6" s="37" t="s">
        <v>44</v>
      </c>
      <c r="U6" s="45">
        <v>1.67</v>
      </c>
      <c r="V6" s="41" t="s">
        <v>44</v>
      </c>
      <c r="W6" s="41">
        <v>1.51</v>
      </c>
    </row>
    <row r="7" spans="1:23" ht="24.75" thickTop="1" thickBot="1" x14ac:dyDescent="0.4">
      <c r="A7" s="32">
        <f t="shared" si="5"/>
        <v>1.36</v>
      </c>
      <c r="B7" s="46">
        <f t="shared" si="0"/>
        <v>16.630379704227426</v>
      </c>
      <c r="C7" s="46">
        <f t="shared" si="1"/>
        <v>140.43728838391928</v>
      </c>
      <c r="D7" s="31">
        <f t="shared" si="2"/>
        <v>157.06766808814672</v>
      </c>
      <c r="F7" s="31">
        <f t="shared" si="3"/>
        <v>-189.99999999999994</v>
      </c>
      <c r="G7" s="31">
        <f t="shared" si="4"/>
        <v>-32.932331911853225</v>
      </c>
      <c r="H7" s="22">
        <v>0</v>
      </c>
      <c r="T7" s="37" t="s">
        <v>38</v>
      </c>
      <c r="U7" s="45">
        <v>1.6E-2</v>
      </c>
      <c r="V7" s="41" t="s">
        <v>42</v>
      </c>
      <c r="W7" s="41">
        <v>1.6E-2</v>
      </c>
    </row>
    <row r="8" spans="1:23" ht="24.75" thickTop="1" thickBot="1" x14ac:dyDescent="0.4">
      <c r="A8" s="32">
        <f t="shared" si="5"/>
        <v>1.3800000000000001</v>
      </c>
      <c r="B8" s="46">
        <f t="shared" si="0"/>
        <v>16.630379704227426</v>
      </c>
      <c r="C8" s="46">
        <f t="shared" si="1"/>
        <v>120.43728838391927</v>
      </c>
      <c r="D8" s="31">
        <f t="shared" si="2"/>
        <v>137.06766808814669</v>
      </c>
      <c r="F8" s="31">
        <f t="shared" si="3"/>
        <v>-169.99999999999994</v>
      </c>
      <c r="G8" s="31">
        <f t="shared" si="4"/>
        <v>-32.932331911853254</v>
      </c>
      <c r="H8" s="22">
        <v>0</v>
      </c>
      <c r="T8" s="37" t="s">
        <v>19</v>
      </c>
      <c r="U8" s="45">
        <v>0.25</v>
      </c>
      <c r="V8" s="41" t="s">
        <v>19</v>
      </c>
      <c r="W8" s="41">
        <v>0.75</v>
      </c>
    </row>
    <row r="9" spans="1:23" ht="24.75" thickTop="1" thickBot="1" x14ac:dyDescent="0.4">
      <c r="A9" s="32">
        <f t="shared" si="5"/>
        <v>1.4000000000000001</v>
      </c>
      <c r="B9" s="46">
        <f t="shared" si="0"/>
        <v>16.630379704227426</v>
      </c>
      <c r="C9" s="46">
        <f t="shared" si="1"/>
        <v>100.43728838391924</v>
      </c>
      <c r="D9" s="31">
        <f t="shared" si="2"/>
        <v>117.06766808814666</v>
      </c>
      <c r="F9" s="31">
        <f t="shared" si="3"/>
        <v>-149.99999999999991</v>
      </c>
      <c r="G9" s="31">
        <f t="shared" si="4"/>
        <v>-32.932331911853254</v>
      </c>
      <c r="H9" s="22">
        <v>0</v>
      </c>
      <c r="T9" s="37" t="s">
        <v>52</v>
      </c>
      <c r="U9" s="45">
        <f>16000</f>
        <v>16000</v>
      </c>
      <c r="V9" s="41" t="s">
        <v>53</v>
      </c>
      <c r="W9" s="41">
        <v>16000</v>
      </c>
    </row>
    <row r="10" spans="1:23" ht="24.75" thickTop="1" thickBot="1" x14ac:dyDescent="0.4">
      <c r="A10" s="32">
        <f t="shared" si="5"/>
        <v>1.4200000000000002</v>
      </c>
      <c r="B10" s="46">
        <f t="shared" si="0"/>
        <v>16.630379704227426</v>
      </c>
      <c r="C10" s="46">
        <f t="shared" si="1"/>
        <v>80.437288383919224</v>
      </c>
      <c r="D10" s="31">
        <f t="shared" si="2"/>
        <v>97.067668088146647</v>
      </c>
      <c r="F10" s="31">
        <f t="shared" si="3"/>
        <v>-129.99999999999989</v>
      </c>
      <c r="G10" s="31">
        <f t="shared" si="4"/>
        <v>-32.93233191185324</v>
      </c>
      <c r="H10" s="22">
        <v>0</v>
      </c>
      <c r="T10" s="37" t="s">
        <v>47</v>
      </c>
      <c r="U10" s="45" t="s">
        <v>51</v>
      </c>
      <c r="V10" s="41" t="s">
        <v>47</v>
      </c>
      <c r="W10" s="41">
        <v>0</v>
      </c>
    </row>
    <row r="11" spans="1:23" ht="13.5" thickTop="1" x14ac:dyDescent="0.2">
      <c r="A11" s="32">
        <f t="shared" si="5"/>
        <v>1.4400000000000002</v>
      </c>
      <c r="B11" s="46">
        <f t="shared" si="0"/>
        <v>16.630379704227426</v>
      </c>
      <c r="C11" s="46">
        <f t="shared" si="1"/>
        <v>60.43728838391921</v>
      </c>
      <c r="D11" s="31">
        <f t="shared" si="2"/>
        <v>77.067668088146632</v>
      </c>
      <c r="F11" s="31">
        <f t="shared" si="3"/>
        <v>-109.99999999999987</v>
      </c>
      <c r="G11" s="31">
        <f t="shared" si="4"/>
        <v>-32.93233191185324</v>
      </c>
      <c r="H11" s="22">
        <v>0</v>
      </c>
    </row>
    <row r="12" spans="1:23" x14ac:dyDescent="0.2">
      <c r="A12" s="32">
        <f t="shared" si="5"/>
        <v>1.4600000000000002</v>
      </c>
      <c r="B12" s="46">
        <f t="shared" si="0"/>
        <v>16.630379704227426</v>
      </c>
      <c r="C12" s="46">
        <f t="shared" si="1"/>
        <v>40.437288383919189</v>
      </c>
      <c r="D12" s="31">
        <f t="shared" si="2"/>
        <v>57.067668088146618</v>
      </c>
      <c r="F12" s="31">
        <f t="shared" si="3"/>
        <v>-89.999999999999858</v>
      </c>
      <c r="G12" s="31">
        <f t="shared" si="4"/>
        <v>-32.93233191185324</v>
      </c>
      <c r="H12" s="22">
        <v>0</v>
      </c>
    </row>
    <row r="13" spans="1:23" ht="11.25" customHeight="1" x14ac:dyDescent="0.2">
      <c r="A13" s="32">
        <f t="shared" si="5"/>
        <v>1.4800000000000002</v>
      </c>
      <c r="B13" s="46">
        <f t="shared" si="0"/>
        <v>16.630379704227426</v>
      </c>
      <c r="C13" s="46">
        <f t="shared" si="1"/>
        <v>20.437288383919171</v>
      </c>
      <c r="D13" s="31">
        <f t="shared" si="2"/>
        <v>37.067668088146597</v>
      </c>
      <c r="F13" s="31">
        <f t="shared" si="3"/>
        <v>-69.999999999999844</v>
      </c>
      <c r="G13" s="31">
        <f t="shared" si="4"/>
        <v>-32.932331911853247</v>
      </c>
      <c r="H13" s="22">
        <v>0</v>
      </c>
    </row>
    <row r="14" spans="1:23" ht="13.5" thickBot="1" x14ac:dyDescent="0.25">
      <c r="A14" s="32">
        <f t="shared" si="5"/>
        <v>1.5000000000000002</v>
      </c>
      <c r="B14" s="46">
        <f t="shared" si="0"/>
        <v>16.630379704227426</v>
      </c>
      <c r="C14" s="46">
        <f t="shared" si="1"/>
        <v>0.43728838391915437</v>
      </c>
      <c r="D14" s="33">
        <f t="shared" si="2"/>
        <v>17.067668088146579</v>
      </c>
      <c r="F14" s="31">
        <f t="shared" si="3"/>
        <v>-49.999999999999822</v>
      </c>
      <c r="G14" s="31">
        <f t="shared" si="4"/>
        <v>-32.93233191185324</v>
      </c>
      <c r="H14" s="22">
        <v>0</v>
      </c>
    </row>
    <row r="15" spans="1:23" ht="24.75" thickTop="1" thickBot="1" x14ac:dyDescent="0.4">
      <c r="A15" s="32">
        <f t="shared" si="5"/>
        <v>1.5200000000000002</v>
      </c>
      <c r="B15" s="46">
        <f t="shared" si="0"/>
        <v>16.630379704227426</v>
      </c>
      <c r="C15" s="46">
        <f t="shared" si="1"/>
        <v>-16.262711616080562</v>
      </c>
      <c r="D15" s="33">
        <f t="shared" si="2"/>
        <v>0.36766808814686414</v>
      </c>
      <c r="F15" s="31">
        <f t="shared" si="3"/>
        <v>-29.999999999999805</v>
      </c>
      <c r="G15" s="31">
        <f t="shared" si="4"/>
        <v>-29.63233191185294</v>
      </c>
      <c r="H15" s="22">
        <v>0</v>
      </c>
      <c r="T15" s="37" t="s">
        <v>45</v>
      </c>
      <c r="U15" s="38"/>
      <c r="V15" s="39" t="s">
        <v>49</v>
      </c>
      <c r="W15" s="39"/>
    </row>
    <row r="16" spans="1:23" ht="24.75" thickTop="1" thickBot="1" x14ac:dyDescent="0.4">
      <c r="A16" s="32">
        <f t="shared" si="5"/>
        <v>1.5400000000000003</v>
      </c>
      <c r="B16" s="46">
        <f t="shared" si="0"/>
        <v>16.630379704227426</v>
      </c>
      <c r="C16" s="46">
        <f t="shared" si="1"/>
        <v>-16.262711616080562</v>
      </c>
      <c r="D16" s="34">
        <f t="shared" si="2"/>
        <v>0.36766808814686414</v>
      </c>
      <c r="F16" s="31">
        <f t="shared" si="3"/>
        <v>-9.9999999999997868</v>
      </c>
      <c r="G16" s="31">
        <f t="shared" si="4"/>
        <v>-9.6323319118529227</v>
      </c>
      <c r="H16" s="22">
        <v>0</v>
      </c>
      <c r="T16" s="37" t="s">
        <v>41</v>
      </c>
      <c r="U16" s="44">
        <v>1000</v>
      </c>
      <c r="V16" s="40" t="s">
        <v>41</v>
      </c>
      <c r="W16" s="42">
        <v>1000000</v>
      </c>
    </row>
    <row r="17" spans="1:23" ht="24.75" thickTop="1" thickBot="1" x14ac:dyDescent="0.4">
      <c r="A17" s="32">
        <f t="shared" si="5"/>
        <v>1.5600000000000003</v>
      </c>
      <c r="B17" s="46">
        <f t="shared" si="0"/>
        <v>16.630379704227426</v>
      </c>
      <c r="C17" s="46">
        <f t="shared" si="1"/>
        <v>-16.262711616080562</v>
      </c>
      <c r="D17" s="34">
        <f t="shared" si="2"/>
        <v>0.36766808814686414</v>
      </c>
      <c r="F17" s="31">
        <f t="shared" si="3"/>
        <v>10.000000000000231</v>
      </c>
      <c r="G17" s="31">
        <f t="shared" si="4"/>
        <v>10.367668088147095</v>
      </c>
      <c r="H17" s="22">
        <v>0</v>
      </c>
      <c r="T17" s="37"/>
      <c r="U17" s="44"/>
      <c r="V17" s="40"/>
      <c r="W17" s="42"/>
    </row>
    <row r="18" spans="1:23" ht="24.75" thickTop="1" thickBot="1" x14ac:dyDescent="0.4">
      <c r="A18" s="32">
        <f t="shared" si="5"/>
        <v>1.5800000000000003</v>
      </c>
      <c r="B18" s="46">
        <f t="shared" si="0"/>
        <v>16.630379704227426</v>
      </c>
      <c r="C18" s="46">
        <f t="shared" si="1"/>
        <v>-16.262711616080562</v>
      </c>
      <c r="D18" s="34">
        <f t="shared" si="2"/>
        <v>0.36766808814686414</v>
      </c>
      <c r="F18" s="31">
        <f t="shared" si="3"/>
        <v>30.000000000000249</v>
      </c>
      <c r="G18" s="31">
        <f t="shared" si="4"/>
        <v>30.367668088147113</v>
      </c>
      <c r="H18" s="22">
        <v>0</v>
      </c>
      <c r="T18" s="37" t="s">
        <v>48</v>
      </c>
      <c r="U18" s="45">
        <v>1.55</v>
      </c>
      <c r="V18" s="41" t="s">
        <v>48</v>
      </c>
      <c r="W18" s="41">
        <v>1.55</v>
      </c>
    </row>
    <row r="19" spans="1:23" ht="24.75" thickTop="1" thickBot="1" x14ac:dyDescent="0.4">
      <c r="A19" s="32">
        <f t="shared" si="5"/>
        <v>1.6000000000000003</v>
      </c>
      <c r="B19" s="46">
        <f t="shared" si="0"/>
        <v>16.630379704227426</v>
      </c>
      <c r="C19" s="46">
        <f t="shared" si="1"/>
        <v>-16.262711616080562</v>
      </c>
      <c r="D19" s="34">
        <f t="shared" si="2"/>
        <v>0.36766808814686414</v>
      </c>
      <c r="F19" s="31">
        <f t="shared" si="3"/>
        <v>50.00000000000027</v>
      </c>
      <c r="G19" s="31">
        <f t="shared" si="4"/>
        <v>50.367668088147134</v>
      </c>
      <c r="H19" s="22">
        <v>0</v>
      </c>
      <c r="T19" s="37" t="s">
        <v>46</v>
      </c>
      <c r="U19" s="45" t="s">
        <v>66</v>
      </c>
      <c r="V19" s="41" t="s">
        <v>46</v>
      </c>
      <c r="W19" s="43" t="s">
        <v>67</v>
      </c>
    </row>
    <row r="20" spans="1:23" ht="24.75" thickTop="1" thickBot="1" x14ac:dyDescent="0.4">
      <c r="A20" s="32">
        <f t="shared" si="5"/>
        <v>1.6200000000000003</v>
      </c>
      <c r="B20" s="46">
        <f t="shared" si="0"/>
        <v>16.630379704227426</v>
      </c>
      <c r="C20" s="46">
        <f t="shared" si="1"/>
        <v>-16.262711616080562</v>
      </c>
      <c r="D20" s="34">
        <f t="shared" si="2"/>
        <v>0.36766808814686414</v>
      </c>
      <c r="F20" s="31">
        <f t="shared" si="3"/>
        <v>70.000000000000284</v>
      </c>
      <c r="G20" s="31">
        <f t="shared" si="4"/>
        <v>70.367668088147155</v>
      </c>
      <c r="H20" s="22">
        <v>0</v>
      </c>
      <c r="T20" s="37" t="s">
        <v>44</v>
      </c>
      <c r="U20" s="45">
        <v>1.67</v>
      </c>
      <c r="V20" s="41" t="s">
        <v>44</v>
      </c>
      <c r="W20" s="41">
        <v>1.51</v>
      </c>
    </row>
    <row r="21" spans="1:23" ht="24.75" thickTop="1" thickBot="1" x14ac:dyDescent="0.4">
      <c r="A21" s="32">
        <f t="shared" si="5"/>
        <v>1.6400000000000003</v>
      </c>
      <c r="B21" s="46">
        <f t="shared" si="0"/>
        <v>16.630379704227426</v>
      </c>
      <c r="C21" s="46">
        <f t="shared" si="1"/>
        <v>-16.262711616080562</v>
      </c>
      <c r="D21" s="34">
        <f t="shared" si="2"/>
        <v>0.36766808814686414</v>
      </c>
      <c r="F21" s="31">
        <f t="shared" si="3"/>
        <v>90.000000000000298</v>
      </c>
      <c r="G21" s="31">
        <f t="shared" si="4"/>
        <v>90.367668088147155</v>
      </c>
      <c r="H21" s="22">
        <v>0</v>
      </c>
      <c r="L21" s="13" t="s">
        <v>33</v>
      </c>
      <c r="M21" s="13"/>
      <c r="N21" s="13"/>
      <c r="T21" s="37" t="s">
        <v>38</v>
      </c>
      <c r="U21" s="45">
        <v>1.6E-2</v>
      </c>
      <c r="V21" s="41" t="s">
        <v>42</v>
      </c>
      <c r="W21" s="41">
        <v>1.6E-2</v>
      </c>
    </row>
    <row r="22" spans="1:23" ht="24.75" thickTop="1" thickBot="1" x14ac:dyDescent="0.4">
      <c r="A22" s="32">
        <f t="shared" si="5"/>
        <v>1.6600000000000004</v>
      </c>
      <c r="B22" s="46">
        <f t="shared" si="0"/>
        <v>16.630379704227426</v>
      </c>
      <c r="C22" s="46">
        <f t="shared" si="1"/>
        <v>-16.262711616080562</v>
      </c>
      <c r="D22" s="34">
        <f t="shared" si="2"/>
        <v>0.36766808814686414</v>
      </c>
      <c r="F22" s="31">
        <f t="shared" si="3"/>
        <v>110.00000000000031</v>
      </c>
      <c r="G22" s="31">
        <f t="shared" si="4"/>
        <v>110.36766808814718</v>
      </c>
      <c r="H22" s="22">
        <v>0</v>
      </c>
      <c r="I22">
        <v>1.55</v>
      </c>
      <c r="T22" s="37" t="s">
        <v>19</v>
      </c>
      <c r="U22" s="45">
        <v>0.25</v>
      </c>
      <c r="V22" s="41" t="s">
        <v>19</v>
      </c>
      <c r="W22" s="41">
        <v>0.75</v>
      </c>
    </row>
    <row r="23" spans="1:23" ht="24.75" thickTop="1" thickBot="1" x14ac:dyDescent="0.4">
      <c r="A23" s="32">
        <f t="shared" si="5"/>
        <v>1.6800000000000004</v>
      </c>
      <c r="B23" s="46">
        <f t="shared" si="0"/>
        <v>6.6303797042269741</v>
      </c>
      <c r="C23" s="46">
        <f t="shared" si="1"/>
        <v>-16.262711616080562</v>
      </c>
      <c r="D23" s="34">
        <f t="shared" si="2"/>
        <v>-9.6323319118535871</v>
      </c>
      <c r="F23" s="31">
        <f t="shared" si="3"/>
        <v>130.00000000000034</v>
      </c>
      <c r="G23" s="31">
        <f t="shared" si="4"/>
        <v>120.36766808814676</v>
      </c>
      <c r="H23" s="22">
        <v>0</v>
      </c>
      <c r="L23" s="13" t="s">
        <v>19</v>
      </c>
      <c r="M23" s="5">
        <f>K40*$I$4+C71*$J$4</f>
        <v>-14.293378419794436</v>
      </c>
      <c r="N23" t="s">
        <v>34</v>
      </c>
      <c r="T23" s="37" t="s">
        <v>52</v>
      </c>
      <c r="U23" s="45">
        <f>16000</f>
        <v>16000</v>
      </c>
      <c r="V23" s="41" t="s">
        <v>53</v>
      </c>
      <c r="W23" s="41">
        <v>16000</v>
      </c>
    </row>
    <row r="24" spans="1:23" ht="24.75" thickTop="1" thickBot="1" x14ac:dyDescent="0.4">
      <c r="A24" s="32">
        <f t="shared" si="5"/>
        <v>1.7000000000000004</v>
      </c>
      <c r="B24" s="46">
        <f t="shared" si="0"/>
        <v>-13.369620295773043</v>
      </c>
      <c r="C24" s="46">
        <f t="shared" si="1"/>
        <v>-16.262711616080562</v>
      </c>
      <c r="D24" s="31">
        <f t="shared" si="2"/>
        <v>-29.632331911853605</v>
      </c>
      <c r="F24" s="31">
        <f t="shared" si="3"/>
        <v>150.00000000000034</v>
      </c>
      <c r="G24" s="31">
        <f t="shared" si="4"/>
        <v>120.36766808814673</v>
      </c>
      <c r="H24" s="22">
        <v>0</v>
      </c>
      <c r="I24" s="12">
        <v>1.5166999999999999</v>
      </c>
      <c r="L24" s="13" t="s">
        <v>20</v>
      </c>
      <c r="M24" s="5">
        <f>K41*$I$4+C72*$J$4</f>
        <v>9348.8124346550412</v>
      </c>
      <c r="T24" s="37" t="s">
        <v>47</v>
      </c>
      <c r="U24" s="45" t="s">
        <v>51</v>
      </c>
      <c r="V24" s="41" t="s">
        <v>47</v>
      </c>
      <c r="W24" s="41">
        <v>0</v>
      </c>
    </row>
    <row r="25" spans="1:23" ht="13.5" thickTop="1" x14ac:dyDescent="0.2">
      <c r="A25" s="32">
        <f t="shared" si="5"/>
        <v>1.7200000000000004</v>
      </c>
      <c r="B25" s="46">
        <f t="shared" si="0"/>
        <v>-33.369620295773061</v>
      </c>
      <c r="C25" s="46">
        <f t="shared" si="1"/>
        <v>-16.262711616080562</v>
      </c>
      <c r="D25" s="31">
        <f t="shared" si="2"/>
        <v>-49.632331911853626</v>
      </c>
      <c r="F25" s="31">
        <f t="shared" si="3"/>
        <v>170.00000000000037</v>
      </c>
      <c r="G25" s="31">
        <f t="shared" si="4"/>
        <v>120.36766808814674</v>
      </c>
      <c r="H25" s="22">
        <v>0</v>
      </c>
      <c r="I25">
        <f>60/365</f>
        <v>0.16438356164383561</v>
      </c>
      <c r="L25" s="13" t="s">
        <v>22</v>
      </c>
      <c r="M25" s="5">
        <f>K42*$I$4+C73*$J$4</f>
        <v>617.85411004631737</v>
      </c>
    </row>
    <row r="26" spans="1:23" x14ac:dyDescent="0.2">
      <c r="A26" s="32">
        <f t="shared" si="5"/>
        <v>1.7400000000000004</v>
      </c>
      <c r="B26" s="46">
        <f t="shared" si="0"/>
        <v>-53.369620295773082</v>
      </c>
      <c r="C26" s="46">
        <f t="shared" si="1"/>
        <v>-16.262711616080562</v>
      </c>
      <c r="D26" s="31">
        <f t="shared" si="2"/>
        <v>-69.63233191185364</v>
      </c>
      <c r="F26" s="31">
        <f t="shared" si="3"/>
        <v>190.0000000000004</v>
      </c>
      <c r="G26" s="31">
        <f t="shared" si="4"/>
        <v>120.36766808814676</v>
      </c>
      <c r="H26" s="22">
        <v>0</v>
      </c>
      <c r="I26" s="2">
        <v>0.16089999999999999</v>
      </c>
      <c r="L26" s="13" t="s">
        <v>21</v>
      </c>
      <c r="M26" s="5">
        <f>K43*$I$4+C74*$J$4</f>
        <v>-0.84593773782669701</v>
      </c>
    </row>
    <row r="27" spans="1:23" x14ac:dyDescent="0.2">
      <c r="A27" s="32">
        <f t="shared" si="5"/>
        <v>1.7600000000000005</v>
      </c>
      <c r="B27" s="46">
        <f t="shared" si="0"/>
        <v>-73.369620295773103</v>
      </c>
      <c r="C27" s="46">
        <f t="shared" si="1"/>
        <v>-16.262711616080562</v>
      </c>
      <c r="D27" s="31">
        <f t="shared" si="2"/>
        <v>-89.632331911853669</v>
      </c>
      <c r="F27" s="31">
        <f t="shared" si="3"/>
        <v>210.0000000000004</v>
      </c>
      <c r="G27" s="31">
        <f t="shared" si="4"/>
        <v>120.36766808814673</v>
      </c>
      <c r="H27" s="22">
        <v>0</v>
      </c>
      <c r="I27" s="2">
        <v>0.1275</v>
      </c>
    </row>
    <row r="28" spans="1:23" x14ac:dyDescent="0.2">
      <c r="A28" s="32">
        <f t="shared" si="5"/>
        <v>1.7800000000000005</v>
      </c>
      <c r="B28" s="46">
        <f t="shared" si="0"/>
        <v>-93.369620295773117</v>
      </c>
      <c r="C28" s="46">
        <f t="shared" si="1"/>
        <v>-16.262711616080562</v>
      </c>
      <c r="D28" s="31">
        <f t="shared" si="2"/>
        <v>-109.63233191185368</v>
      </c>
      <c r="F28" s="31">
        <f t="shared" si="3"/>
        <v>230.00000000000043</v>
      </c>
      <c r="G28" s="31">
        <f t="shared" si="4"/>
        <v>120.36766808814674</v>
      </c>
      <c r="H28" s="22">
        <v>0</v>
      </c>
      <c r="I28" s="2">
        <v>1.55E-2</v>
      </c>
    </row>
    <row r="29" spans="1:23" x14ac:dyDescent="0.2">
      <c r="A29" s="32">
        <f t="shared" si="5"/>
        <v>1.8000000000000005</v>
      </c>
      <c r="B29" s="46">
        <f t="shared" si="0"/>
        <v>-113.36962029577313</v>
      </c>
      <c r="C29" s="46">
        <f t="shared" si="1"/>
        <v>-16.262711616080562</v>
      </c>
      <c r="D29" s="31">
        <f t="shared" si="2"/>
        <v>-129.6323319118537</v>
      </c>
      <c r="F29" s="31">
        <f t="shared" si="3"/>
        <v>250.00000000000045</v>
      </c>
      <c r="G29" s="31">
        <f t="shared" si="4"/>
        <v>120.36766808814676</v>
      </c>
      <c r="H29" s="22">
        <v>0</v>
      </c>
      <c r="I29" s="3">
        <f>(LN(I22/I24)+(I27-I28+I26^2/2)*I25)/(I26*SQRT(I25))</f>
        <v>0.64775611965682189</v>
      </c>
    </row>
    <row r="30" spans="1:23" x14ac:dyDescent="0.2">
      <c r="A30" s="32">
        <f t="shared" si="5"/>
        <v>1.8200000000000005</v>
      </c>
      <c r="B30" s="46">
        <f t="shared" si="0"/>
        <v>-133.36962029577316</v>
      </c>
      <c r="C30" s="46">
        <f t="shared" si="1"/>
        <v>-16.262711616080562</v>
      </c>
      <c r="D30" s="31">
        <f t="shared" si="2"/>
        <v>-149.63233191185373</v>
      </c>
      <c r="F30" s="31">
        <f t="shared" si="3"/>
        <v>270.00000000000045</v>
      </c>
      <c r="G30" s="31">
        <f t="shared" si="4"/>
        <v>120.36766808814673</v>
      </c>
      <c r="H30" s="22">
        <v>0</v>
      </c>
      <c r="I30" s="3">
        <f>I29-I26*SQRT(I25)</f>
        <v>0.58252043314613555</v>
      </c>
    </row>
    <row r="31" spans="1:23" x14ac:dyDescent="0.2">
      <c r="A31" s="32">
        <f t="shared" si="5"/>
        <v>1.8400000000000005</v>
      </c>
      <c r="B31" s="46">
        <f t="shared" si="0"/>
        <v>-153.36962029577316</v>
      </c>
      <c r="C31" s="46">
        <f t="shared" si="1"/>
        <v>-16.262711616080562</v>
      </c>
      <c r="D31" s="31">
        <f t="shared" si="2"/>
        <v>-169.63233191185373</v>
      </c>
      <c r="F31" s="31">
        <f t="shared" si="3"/>
        <v>290.00000000000045</v>
      </c>
      <c r="G31" s="31">
        <f t="shared" si="4"/>
        <v>120.36766808814673</v>
      </c>
      <c r="H31" s="22">
        <v>0</v>
      </c>
    </row>
    <row r="32" spans="1:23" x14ac:dyDescent="0.2">
      <c r="A32" s="32">
        <f t="shared" si="5"/>
        <v>1.8600000000000005</v>
      </c>
      <c r="B32" s="46">
        <f t="shared" si="0"/>
        <v>-173.36962029577319</v>
      </c>
      <c r="C32" s="46">
        <f t="shared" si="1"/>
        <v>-16.262711616080562</v>
      </c>
      <c r="D32" s="31">
        <f t="shared" si="2"/>
        <v>-189.63233191185375</v>
      </c>
      <c r="F32" s="31">
        <f t="shared" si="3"/>
        <v>310.00000000000051</v>
      </c>
      <c r="G32" s="31">
        <f t="shared" si="4"/>
        <v>120.36766808814676</v>
      </c>
      <c r="H32" s="22">
        <v>0</v>
      </c>
      <c r="I32" s="9">
        <f>I22*EXP(-I28*I25)*NORMDIST(I29,0,1,TRUE)-I24*EXP(-I27*I25)*NORMDIST(I30,0,1,TRUE)</f>
        <v>7.7075983927471281E-2</v>
      </c>
      <c r="J32" s="8" t="s">
        <v>13</v>
      </c>
    </row>
    <row r="33" spans="1:12" x14ac:dyDescent="0.2">
      <c r="A33" s="32">
        <f t="shared" si="5"/>
        <v>1.8800000000000006</v>
      </c>
      <c r="B33" s="46">
        <f t="shared" si="0"/>
        <v>-193.36962029577322</v>
      </c>
      <c r="C33" s="46">
        <f t="shared" si="1"/>
        <v>-16.262711616080562</v>
      </c>
      <c r="D33" s="31">
        <f t="shared" si="2"/>
        <v>-209.63233191185378</v>
      </c>
      <c r="F33" s="31">
        <f t="shared" si="3"/>
        <v>330.00000000000051</v>
      </c>
      <c r="G33" s="31">
        <f t="shared" si="4"/>
        <v>120.36766808814673</v>
      </c>
      <c r="H33" s="22">
        <v>0</v>
      </c>
      <c r="I33" s="9">
        <f>I24*EXP(-I27*I25)*NORMDIST(-I30,0,1,TRUE)-I22*EXP(-I28*I25)*NORMDIST(-I29,0,1,TRUE)</f>
        <v>1.6262711616080561E-2</v>
      </c>
      <c r="J33" s="8" t="s">
        <v>13</v>
      </c>
    </row>
    <row r="34" spans="1:12" x14ac:dyDescent="0.2">
      <c r="H34" s="22">
        <v>0</v>
      </c>
      <c r="I34">
        <v>1000000</v>
      </c>
      <c r="J34" t="s">
        <v>16</v>
      </c>
    </row>
    <row r="37" spans="1:12" x14ac:dyDescent="0.2">
      <c r="L37" s="5"/>
    </row>
    <row r="40" spans="1:12" x14ac:dyDescent="0.2">
      <c r="F40" s="19"/>
      <c r="G40" s="19"/>
      <c r="H40" s="10" t="s">
        <v>25</v>
      </c>
      <c r="I40" s="16">
        <f>EXP(-I28*I25)*NORMDIST(I29,0,1,TRUE)</f>
        <v>0.73954193478348185</v>
      </c>
      <c r="J40" s="13" t="s">
        <v>26</v>
      </c>
      <c r="K40" s="19">
        <f>EXP(-I28*I25)*(NORMDIST(I29,0,1,TRUE)-1)</f>
        <v>-0.25791336326829167</v>
      </c>
      <c r="L40" s="5"/>
    </row>
    <row r="41" spans="1:12" x14ac:dyDescent="0.2">
      <c r="F41" s="19"/>
      <c r="G41" s="19"/>
      <c r="H41" s="10" t="s">
        <v>27</v>
      </c>
      <c r="I41" s="17">
        <f>(NORMDIST(I29,0,1,TRUE)*EXP(-I28*I25))/(I22*I26*SQRT(I25))</f>
        <v>7.3138469818112588</v>
      </c>
      <c r="J41" s="13" t="s">
        <v>30</v>
      </c>
      <c r="K41" s="19">
        <f>I41</f>
        <v>7.3138469818112588</v>
      </c>
    </row>
    <row r="42" spans="1:12" x14ac:dyDescent="0.2">
      <c r="F42" s="19"/>
      <c r="G42" s="19"/>
      <c r="H42" s="10" t="s">
        <v>28</v>
      </c>
      <c r="I42" s="17">
        <f>I22*EXP(-I28*I25)*NORMDIST(I29,0,1,TRUE)*SQRT(I25)</f>
        <v>0.46475459925117857</v>
      </c>
      <c r="J42" s="13" t="s">
        <v>31</v>
      </c>
      <c r="K42" s="19">
        <f>I42</f>
        <v>0.46475459925117857</v>
      </c>
    </row>
    <row r="43" spans="1:12" x14ac:dyDescent="0.2">
      <c r="F43" s="15"/>
      <c r="G43" s="15"/>
      <c r="H43" s="10" t="s">
        <v>29</v>
      </c>
      <c r="I43" s="18">
        <f>(-I22*EXP(-I28*I25)*NORMDIST(I29,0,1,TRUE)*I26/(2*SQRT(I25))-(-I28)*I22*EXP(-I28*I25)*NORMDIST(I29,0,1,TRUE)-I27*I24*EXP(-I27*I25)*NORMDIST(I30,0,1,TRUE))/365</f>
        <v>-9.4797295692790025E-4</v>
      </c>
      <c r="J43" s="13" t="s">
        <v>32</v>
      </c>
      <c r="K43" s="15">
        <f>(-I22*EXP(-I28*I25)*NORMDIST(I29,0,1,TRUE)*I26/(2*SQRT(I25))+(-I28)*I22*EXP(-I28*I25)*NORMDIST(-I29,0,1,TRUE)+I27*I24*EXP(-I27*I25)*NORMDIST(-I30,0,1,TRUE))/365</f>
        <v>-4.9480981303177518E-4</v>
      </c>
    </row>
    <row r="52" spans="2:5" x14ac:dyDescent="0.2">
      <c r="B52" s="6" t="s">
        <v>3</v>
      </c>
    </row>
    <row r="53" spans="2:5" x14ac:dyDescent="0.2">
      <c r="B53" t="s">
        <v>4</v>
      </c>
      <c r="C53">
        <v>1.55</v>
      </c>
    </row>
    <row r="55" spans="2:5" x14ac:dyDescent="0.2">
      <c r="B55" s="6" t="s">
        <v>5</v>
      </c>
      <c r="C55">
        <v>1.67</v>
      </c>
    </row>
    <row r="56" spans="2:5" x14ac:dyDescent="0.2">
      <c r="B56" s="6" t="s">
        <v>6</v>
      </c>
      <c r="C56">
        <f>60/365</f>
        <v>0.16438356164383561</v>
      </c>
    </row>
    <row r="57" spans="2:5" x14ac:dyDescent="0.2">
      <c r="B57" s="6" t="s">
        <v>7</v>
      </c>
      <c r="C57" s="2">
        <v>0.1905</v>
      </c>
    </row>
    <row r="58" spans="2:5" x14ac:dyDescent="0.2">
      <c r="B58" t="s">
        <v>8</v>
      </c>
      <c r="C58" s="2">
        <v>0.1255</v>
      </c>
    </row>
    <row r="59" spans="2:5" x14ac:dyDescent="0.2">
      <c r="B59" t="s">
        <v>9</v>
      </c>
      <c r="C59" s="2">
        <v>1.55E-2</v>
      </c>
    </row>
    <row r="60" spans="2:5" x14ac:dyDescent="0.2">
      <c r="B60" t="s">
        <v>10</v>
      </c>
      <c r="C60" s="3">
        <f>(LN(C53/C55)+(C58-C59+C57^2/2)*C56)/(C57*SQRT(C56))</f>
        <v>-0.69272361968065232</v>
      </c>
    </row>
    <row r="61" spans="2:5" x14ac:dyDescent="0.2">
      <c r="B61" t="s">
        <v>11</v>
      </c>
      <c r="C61" s="3">
        <f>C60-C57*SQRT(C56)</f>
        <v>-0.76996040203171356</v>
      </c>
    </row>
    <row r="63" spans="2:5" x14ac:dyDescent="0.2">
      <c r="B63" s="8" t="s">
        <v>12</v>
      </c>
      <c r="C63" s="9">
        <f>C53*EXP(-C59*C56)*NORMDIST(C60,0,1,TRUE)-C55*EXP(-C58*C56)*NORMDIST(C61,0,1,TRUE)</f>
        <v>1.6630379704227427E-2</v>
      </c>
      <c r="D63" s="8" t="s">
        <v>13</v>
      </c>
    </row>
    <row r="64" spans="2:5" x14ac:dyDescent="0.2">
      <c r="B64" s="8" t="s">
        <v>14</v>
      </c>
      <c r="C64" s="9">
        <f>C55*EXP(-C58*C56)*NORMDIST(-C61,0,1,TRUE)-C53*EXP(-C59*C56)*NORMDIST(-C60,0,1,TRUE)</f>
        <v>0.10647528580698795</v>
      </c>
      <c r="D64" s="8" t="s">
        <v>13</v>
      </c>
      <c r="E64" s="19">
        <f>EXP(-C59*C56)*(NORMDIST(C60,0,1,TRUE)-1)</f>
        <v>-0.75383531320327635</v>
      </c>
    </row>
    <row r="65" spans="2:5" x14ac:dyDescent="0.2">
      <c r="B65" t="s">
        <v>15</v>
      </c>
      <c r="C65">
        <v>1000000</v>
      </c>
      <c r="D65" t="s">
        <v>16</v>
      </c>
      <c r="E65" s="19">
        <f>C72</f>
        <v>2.0349654528437826</v>
      </c>
    </row>
    <row r="66" spans="2:5" x14ac:dyDescent="0.2">
      <c r="E66" s="19">
        <f>C73</f>
        <v>0.15309951079513881</v>
      </c>
    </row>
    <row r="67" spans="2:5" x14ac:dyDescent="0.2">
      <c r="E67" s="15">
        <f>(-C53*EXP(-C59*C56)*NORMDIST(C60,0,1,TRUE)*C57/(2*SQRT(C56))+(-C59)*C53*EXP(-C59*C56)*NORMDIST(-C60,0,1,TRUE)+C58*C55*EXP(-C58*C56)*NORMDIST(-C61,0,1,TRUE))/365</f>
        <v>1.4569855200980103E-4</v>
      </c>
    </row>
    <row r="71" spans="2:5" x14ac:dyDescent="0.2">
      <c r="B71" s="10" t="s">
        <v>25</v>
      </c>
      <c r="C71" s="16">
        <f>EXP(-C59*C56)*NORMDIST(C60,0,1,TRUE)</f>
        <v>0.24361998484849723</v>
      </c>
      <c r="D71" s="13" t="s">
        <v>26</v>
      </c>
    </row>
    <row r="72" spans="2:5" x14ac:dyDescent="0.2">
      <c r="B72" s="10" t="s">
        <v>27</v>
      </c>
      <c r="C72" s="17">
        <f>(NORMDIST(C60,0,1,TRUE)*EXP(-C59*C56))/(C53*C57*SQRT(C56))</f>
        <v>2.0349654528437826</v>
      </c>
      <c r="D72" s="13" t="s">
        <v>30</v>
      </c>
    </row>
    <row r="73" spans="2:5" x14ac:dyDescent="0.2">
      <c r="B73" s="10" t="s">
        <v>28</v>
      </c>
      <c r="C73" s="17">
        <f>C53*EXP(-C59*C56)*NORMDIST(C60,0,1,TRUE)*SQRT(C56)</f>
        <v>0.15309951079513881</v>
      </c>
      <c r="D73" s="13" t="s">
        <v>31</v>
      </c>
    </row>
    <row r="74" spans="2:5" x14ac:dyDescent="0.2">
      <c r="B74" s="10" t="s">
        <v>29</v>
      </c>
      <c r="C74" s="18">
        <f>(-C53*EXP(-C59*C56)*NORMDIST(C60,0,1,TRUE)*C57/(2*SQRT(C56))-(-C59)*C53*EXP(-C59*C56)*NORMDIST(C60,0,1,TRUE)-C58*C55*EXP(-C58*C56)*NORMDIST(C61,0,1,TRUE))/365</f>
        <v>-3.5112792479492186E-4</v>
      </c>
      <c r="D74" s="13" t="s">
        <v>32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1"/>
  <dimension ref="A1:AE81"/>
  <sheetViews>
    <sheetView topLeftCell="AF10" zoomScale="141" workbookViewId="0">
      <selection activeCell="I6" sqref="I6:I42"/>
    </sheetView>
  </sheetViews>
  <sheetFormatPr defaultRowHeight="12.75" x14ac:dyDescent="0.2"/>
  <cols>
    <col min="1" max="1" width="14.42578125" bestFit="1" customWidth="1"/>
    <col min="2" max="2" width="21.5703125" customWidth="1"/>
    <col min="3" max="3" width="23.28515625" customWidth="1"/>
    <col min="4" max="4" width="20.5703125" bestFit="1" customWidth="1"/>
    <col min="5" max="5" width="21.85546875" customWidth="1"/>
    <col min="6" max="6" width="21" customWidth="1"/>
    <col min="7" max="7" width="24.42578125" customWidth="1"/>
    <col min="8" max="8" width="15.7109375" customWidth="1"/>
    <col min="9" max="9" width="17.85546875" bestFit="1" customWidth="1"/>
    <col min="16" max="16" width="15" customWidth="1"/>
    <col min="17" max="17" width="12.7109375" customWidth="1"/>
    <col min="18" max="18" width="10.5703125" bestFit="1" customWidth="1"/>
    <col min="26" max="26" width="15" customWidth="1"/>
  </cols>
  <sheetData>
    <row r="1" spans="1:31" ht="14.25" thickTop="1" thickBot="1" x14ac:dyDescent="0.25">
      <c r="A1" s="66" t="s">
        <v>2</v>
      </c>
      <c r="B1" s="67" t="s">
        <v>23</v>
      </c>
      <c r="C1" s="22" t="s">
        <v>1</v>
      </c>
      <c r="D1" s="69" t="s">
        <v>38</v>
      </c>
      <c r="E1" s="69" t="s">
        <v>127</v>
      </c>
      <c r="F1" s="24" t="s">
        <v>41</v>
      </c>
      <c r="G1" s="70" t="s">
        <v>42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</row>
    <row r="2" spans="1:31" ht="14.25" thickTop="1" thickBot="1" x14ac:dyDescent="0.25">
      <c r="A2">
        <f>C67</f>
        <v>88</v>
      </c>
      <c r="B2" s="12">
        <f>E67</f>
        <v>63.017515919091181</v>
      </c>
      <c r="C2">
        <v>74.5</v>
      </c>
      <c r="D2" s="71">
        <f>C74</f>
        <v>1.7825182132212589</v>
      </c>
      <c r="E2" s="71">
        <f>AC3</f>
        <v>78.64</v>
      </c>
      <c r="F2" s="30">
        <v>500000</v>
      </c>
      <c r="G2" s="74">
        <f>E74</f>
        <v>1.7819350438367199</v>
      </c>
      <c r="I2" s="62">
        <f>C75</f>
        <v>1000000</v>
      </c>
      <c r="P2" t="s">
        <v>94</v>
      </c>
      <c r="Q2">
        <v>30.21</v>
      </c>
      <c r="R2">
        <v>29.03</v>
      </c>
      <c r="S2">
        <v>28.74</v>
      </c>
      <c r="T2" s="6">
        <v>27.79</v>
      </c>
      <c r="U2">
        <v>27.18</v>
      </c>
      <c r="V2">
        <v>26.43</v>
      </c>
      <c r="W2">
        <v>33.090000000000003</v>
      </c>
      <c r="X2">
        <v>33.130000000000003</v>
      </c>
      <c r="Z2" t="s">
        <v>81</v>
      </c>
      <c r="AA2">
        <v>50.35</v>
      </c>
      <c r="AB2">
        <v>54.02</v>
      </c>
      <c r="AC2">
        <v>57.91</v>
      </c>
      <c r="AD2">
        <v>61.19</v>
      </c>
      <c r="AE2">
        <v>63.91</v>
      </c>
    </row>
    <row r="3" spans="1:31" ht="14.25" thickTop="1" thickBot="1" x14ac:dyDescent="0.25">
      <c r="A3" s="63" t="s">
        <v>124</v>
      </c>
      <c r="B3" s="64" t="s">
        <v>40</v>
      </c>
      <c r="C3" s="65" t="s">
        <v>23</v>
      </c>
      <c r="D3" s="68" t="s">
        <v>125</v>
      </c>
      <c r="E3" s="76" t="s">
        <v>127</v>
      </c>
      <c r="F3" s="72" t="s">
        <v>128</v>
      </c>
      <c r="G3" t="s">
        <v>129</v>
      </c>
      <c r="H3" t="s">
        <v>130</v>
      </c>
      <c r="I3" t="s">
        <v>131</v>
      </c>
      <c r="P3" t="s">
        <v>95</v>
      </c>
      <c r="Q3">
        <v>28.93</v>
      </c>
      <c r="R3">
        <v>28.47</v>
      </c>
      <c r="S3">
        <v>28.33</v>
      </c>
      <c r="T3">
        <v>27.57</v>
      </c>
      <c r="U3">
        <v>26.85</v>
      </c>
      <c r="V3">
        <v>26.3</v>
      </c>
      <c r="W3">
        <v>32.22</v>
      </c>
      <c r="X3">
        <v>32.82</v>
      </c>
      <c r="Z3" t="s">
        <v>94</v>
      </c>
      <c r="AA3">
        <v>76.290000000000006</v>
      </c>
      <c r="AB3">
        <v>77.209999999999994</v>
      </c>
      <c r="AC3">
        <v>78.64</v>
      </c>
      <c r="AD3">
        <v>79.680000000000007</v>
      </c>
      <c r="AE3">
        <v>80.650000000000006</v>
      </c>
    </row>
    <row r="4" spans="1:31" ht="14.25" thickTop="1" thickBot="1" x14ac:dyDescent="0.25">
      <c r="A4" s="63"/>
      <c r="B4" s="64"/>
      <c r="C4" s="65"/>
      <c r="D4" s="68"/>
      <c r="E4" s="76"/>
      <c r="F4" s="72"/>
    </row>
    <row r="5" spans="1:31" ht="14.25" thickTop="1" thickBot="1" x14ac:dyDescent="0.25">
      <c r="A5" s="63">
        <v>58</v>
      </c>
      <c r="B5" s="64"/>
      <c r="C5" s="65"/>
      <c r="D5" s="68"/>
      <c r="E5" s="76"/>
      <c r="F5" s="72"/>
    </row>
    <row r="6" spans="1:31" ht="14.25" thickTop="1" thickBot="1" x14ac:dyDescent="0.25">
      <c r="A6" s="73">
        <v>45</v>
      </c>
      <c r="B6" s="75">
        <f>(MAX((A6-$A$2),0)-$D$2)*$F$2</f>
        <v>-891259.10661062947</v>
      </c>
      <c r="C6" s="75">
        <f>(MIN(A6-$B$2,0)+$G$2)*$F$2</f>
        <v>-8117790.4376272317</v>
      </c>
      <c r="D6" s="30">
        <f>B6+C6</f>
        <v>-9009049.5442378614</v>
      </c>
      <c r="E6" s="77">
        <f>(A6-$E$2)*$F$2</f>
        <v>-16820000</v>
      </c>
      <c r="F6" s="77">
        <f>($E$2-A6)*$I$2</f>
        <v>33640000</v>
      </c>
      <c r="G6" s="35">
        <f>E6+F6</f>
        <v>16820000</v>
      </c>
      <c r="H6" s="35">
        <f>C6+F6</f>
        <v>25522209.562372766</v>
      </c>
      <c r="I6" s="35">
        <f>D6+F6</f>
        <v>24630950.45576214</v>
      </c>
      <c r="P6" t="s">
        <v>96</v>
      </c>
      <c r="Q6">
        <v>30.63</v>
      </c>
      <c r="R6">
        <v>29.46</v>
      </c>
      <c r="S6">
        <v>29.14</v>
      </c>
      <c r="T6">
        <v>28.18</v>
      </c>
      <c r="U6">
        <v>27.56</v>
      </c>
      <c r="V6">
        <v>27.04</v>
      </c>
      <c r="W6">
        <v>34.119999999999997</v>
      </c>
      <c r="X6">
        <v>33.96</v>
      </c>
    </row>
    <row r="7" spans="1:31" ht="14.25" thickTop="1" thickBot="1" x14ac:dyDescent="0.25">
      <c r="A7" s="73">
        <f>A6+1.5</f>
        <v>46.5</v>
      </c>
      <c r="B7" s="75">
        <f t="shared" ref="B7:B35" si="0">(MAX((A7-$A$2),0)-$D$2)*$F$2</f>
        <v>-891259.10661062947</v>
      </c>
      <c r="C7" s="75">
        <f t="shared" ref="C7:C25" si="1">(MIN(A7-$B$2,0)+$G$2)*$F$2</f>
        <v>-7367790.4376272308</v>
      </c>
      <c r="D7" s="30">
        <f t="shared" ref="D7:D20" si="2">B7+C7</f>
        <v>-8259049.5442378605</v>
      </c>
      <c r="E7" s="77">
        <f t="shared" ref="E7:E36" si="3">(A7-$E$2)*$F$2</f>
        <v>-16070000</v>
      </c>
      <c r="F7" s="77">
        <f t="shared" ref="F7:F36" si="4">($E$2-A7)*$I$2</f>
        <v>32140000</v>
      </c>
      <c r="G7" s="35">
        <f t="shared" ref="G7:G25" si="5">E7+F7</f>
        <v>16070000</v>
      </c>
      <c r="H7" s="35">
        <f t="shared" ref="H7:H25" si="6">C7+F7</f>
        <v>24772209.56237277</v>
      </c>
      <c r="I7" s="35">
        <f t="shared" ref="I7:I25" si="7">D7+F7</f>
        <v>23880950.45576214</v>
      </c>
      <c r="P7" t="s">
        <v>97</v>
      </c>
      <c r="Q7">
        <v>31.07</v>
      </c>
      <c r="R7">
        <v>30.29</v>
      </c>
      <c r="S7">
        <v>30.48</v>
      </c>
      <c r="T7">
        <v>29.19</v>
      </c>
      <c r="U7">
        <v>28.43</v>
      </c>
      <c r="V7">
        <v>27.93</v>
      </c>
      <c r="W7">
        <v>34.549999999999997</v>
      </c>
      <c r="X7">
        <v>34.53</v>
      </c>
    </row>
    <row r="8" spans="1:31" ht="14.25" thickTop="1" thickBot="1" x14ac:dyDescent="0.25">
      <c r="A8" s="73">
        <f t="shared" ref="A8:A25" si="8">A7+1.5</f>
        <v>48</v>
      </c>
      <c r="B8" s="75">
        <f t="shared" si="0"/>
        <v>-891259.10661062947</v>
      </c>
      <c r="C8" s="75">
        <f t="shared" si="1"/>
        <v>-6617790.4376272308</v>
      </c>
      <c r="D8" s="30">
        <f t="shared" si="2"/>
        <v>-7509049.5442378605</v>
      </c>
      <c r="E8" s="77">
        <f t="shared" si="3"/>
        <v>-15320000</v>
      </c>
      <c r="F8" s="77">
        <f t="shared" si="4"/>
        <v>30640000</v>
      </c>
      <c r="G8" s="35">
        <f t="shared" si="5"/>
        <v>15320000</v>
      </c>
      <c r="H8" s="35">
        <f t="shared" si="6"/>
        <v>24022209.56237277</v>
      </c>
      <c r="I8" s="35">
        <f t="shared" si="7"/>
        <v>23130950.45576214</v>
      </c>
      <c r="P8" t="s">
        <v>98</v>
      </c>
      <c r="Q8">
        <v>30.69</v>
      </c>
      <c r="R8">
        <v>29.97</v>
      </c>
      <c r="S8">
        <v>30.11</v>
      </c>
      <c r="T8">
        <v>28.89</v>
      </c>
      <c r="U8">
        <v>28.3</v>
      </c>
      <c r="V8">
        <v>27.1</v>
      </c>
      <c r="W8">
        <v>34.229999999999997</v>
      </c>
      <c r="X8">
        <v>33.74</v>
      </c>
    </row>
    <row r="9" spans="1:31" ht="14.25" thickTop="1" thickBot="1" x14ac:dyDescent="0.25">
      <c r="A9" s="73">
        <f t="shared" si="8"/>
        <v>49.5</v>
      </c>
      <c r="B9" s="75">
        <f t="shared" si="0"/>
        <v>-891259.10661062947</v>
      </c>
      <c r="C9" s="75">
        <f t="shared" si="1"/>
        <v>-5867790.4376272308</v>
      </c>
      <c r="D9" s="30">
        <f t="shared" si="2"/>
        <v>-6759049.5442378605</v>
      </c>
      <c r="E9" s="77">
        <f t="shared" si="3"/>
        <v>-14570000</v>
      </c>
      <c r="F9" s="77">
        <f t="shared" si="4"/>
        <v>29140000</v>
      </c>
      <c r="G9" s="35">
        <f t="shared" si="5"/>
        <v>14570000</v>
      </c>
      <c r="H9" s="35">
        <f t="shared" si="6"/>
        <v>23272209.56237277</v>
      </c>
      <c r="I9" s="35">
        <f t="shared" si="7"/>
        <v>22380950.45576214</v>
      </c>
      <c r="P9" t="s">
        <v>99</v>
      </c>
      <c r="Q9">
        <v>29.9</v>
      </c>
      <c r="R9">
        <v>29.57</v>
      </c>
      <c r="S9">
        <v>29.58</v>
      </c>
      <c r="T9">
        <v>28.48</v>
      </c>
      <c r="U9">
        <v>28.15</v>
      </c>
      <c r="V9">
        <v>26.92</v>
      </c>
      <c r="W9">
        <v>33.19</v>
      </c>
      <c r="X9">
        <v>33.44</v>
      </c>
    </row>
    <row r="10" spans="1:31" ht="14.25" thickTop="1" thickBot="1" x14ac:dyDescent="0.25">
      <c r="A10" s="73">
        <f t="shared" si="8"/>
        <v>51</v>
      </c>
      <c r="B10" s="75">
        <f t="shared" si="0"/>
        <v>-891259.10661062947</v>
      </c>
      <c r="C10" s="75">
        <f t="shared" si="1"/>
        <v>-5117790.4376272308</v>
      </c>
      <c r="D10" s="30">
        <f t="shared" si="2"/>
        <v>-6009049.5442378605</v>
      </c>
      <c r="E10" s="77">
        <f t="shared" si="3"/>
        <v>-13820000</v>
      </c>
      <c r="F10" s="77">
        <f t="shared" si="4"/>
        <v>27640000</v>
      </c>
      <c r="G10" s="35">
        <f t="shared" si="5"/>
        <v>13820000</v>
      </c>
      <c r="H10" s="35">
        <f t="shared" si="6"/>
        <v>22522209.56237277</v>
      </c>
      <c r="I10" s="35">
        <f t="shared" si="7"/>
        <v>21630950.45576214</v>
      </c>
    </row>
    <row r="11" spans="1:31" ht="14.25" thickTop="1" thickBot="1" x14ac:dyDescent="0.25">
      <c r="A11" s="73">
        <f t="shared" si="8"/>
        <v>52.5</v>
      </c>
      <c r="B11" s="75">
        <f t="shared" si="0"/>
        <v>-891259.10661062947</v>
      </c>
      <c r="C11" s="75">
        <f t="shared" si="1"/>
        <v>-4367790.4376272308</v>
      </c>
      <c r="D11" s="30">
        <f t="shared" si="2"/>
        <v>-5259049.5442378605</v>
      </c>
      <c r="E11" s="77">
        <f t="shared" si="3"/>
        <v>-13070000</v>
      </c>
      <c r="F11" s="77">
        <f t="shared" si="4"/>
        <v>26140000</v>
      </c>
      <c r="G11" s="35">
        <f t="shared" si="5"/>
        <v>13070000</v>
      </c>
      <c r="H11" s="35">
        <f t="shared" si="6"/>
        <v>21772209.56237277</v>
      </c>
      <c r="I11" s="35">
        <f t="shared" si="7"/>
        <v>20880950.45576214</v>
      </c>
    </row>
    <row r="12" spans="1:31" ht="14.25" thickTop="1" thickBot="1" x14ac:dyDescent="0.25">
      <c r="A12" s="73">
        <f t="shared" si="8"/>
        <v>54</v>
      </c>
      <c r="B12" s="75">
        <f t="shared" si="0"/>
        <v>-891259.10661062947</v>
      </c>
      <c r="C12" s="75">
        <f t="shared" si="1"/>
        <v>-3617790.4376272308</v>
      </c>
      <c r="D12" s="30">
        <f t="shared" si="2"/>
        <v>-4509049.5442378605</v>
      </c>
      <c r="E12" s="77">
        <f t="shared" si="3"/>
        <v>-12320000</v>
      </c>
      <c r="F12" s="77">
        <f t="shared" si="4"/>
        <v>24640000</v>
      </c>
      <c r="G12" s="35">
        <f t="shared" si="5"/>
        <v>12320000</v>
      </c>
      <c r="H12" s="35">
        <f t="shared" si="6"/>
        <v>21022209.56237277</v>
      </c>
      <c r="I12" s="35">
        <f t="shared" si="7"/>
        <v>20130950.45576214</v>
      </c>
    </row>
    <row r="13" spans="1:31" ht="14.25" thickTop="1" thickBot="1" x14ac:dyDescent="0.25">
      <c r="A13" s="73">
        <f t="shared" si="8"/>
        <v>55.5</v>
      </c>
      <c r="B13" s="75">
        <f t="shared" si="0"/>
        <v>-891259.10661062947</v>
      </c>
      <c r="C13" s="75">
        <f t="shared" si="1"/>
        <v>-2867790.4376272308</v>
      </c>
      <c r="D13" s="30">
        <f t="shared" si="2"/>
        <v>-3759049.5442378605</v>
      </c>
      <c r="E13" s="77">
        <f t="shared" si="3"/>
        <v>-11570000</v>
      </c>
      <c r="F13" s="77">
        <f t="shared" si="4"/>
        <v>23140000</v>
      </c>
      <c r="G13" s="35">
        <f t="shared" si="5"/>
        <v>11570000</v>
      </c>
      <c r="H13" s="35">
        <f t="shared" si="6"/>
        <v>20272209.56237277</v>
      </c>
      <c r="I13" s="35">
        <f t="shared" si="7"/>
        <v>19380950.45576214</v>
      </c>
    </row>
    <row r="14" spans="1:31" ht="14.25" thickTop="1" thickBot="1" x14ac:dyDescent="0.25">
      <c r="A14" s="73">
        <f t="shared" si="8"/>
        <v>57</v>
      </c>
      <c r="B14" s="75">
        <f t="shared" si="0"/>
        <v>-891259.10661062947</v>
      </c>
      <c r="C14" s="75">
        <f t="shared" si="1"/>
        <v>-2117790.4376272308</v>
      </c>
      <c r="D14" s="30">
        <f t="shared" si="2"/>
        <v>-3009049.5442378605</v>
      </c>
      <c r="E14" s="77">
        <f t="shared" si="3"/>
        <v>-10820000</v>
      </c>
      <c r="F14" s="77">
        <f t="shared" si="4"/>
        <v>21640000</v>
      </c>
      <c r="G14" s="35">
        <f t="shared" si="5"/>
        <v>10820000</v>
      </c>
      <c r="H14" s="35">
        <f t="shared" si="6"/>
        <v>19522209.56237277</v>
      </c>
      <c r="I14" s="35">
        <f t="shared" si="7"/>
        <v>18630950.45576214</v>
      </c>
    </row>
    <row r="15" spans="1:31" s="84" customFormat="1" ht="14.25" thickTop="1" thickBot="1" x14ac:dyDescent="0.25">
      <c r="A15" s="73">
        <f t="shared" si="8"/>
        <v>58.5</v>
      </c>
      <c r="B15" s="81">
        <f t="shared" si="0"/>
        <v>-891259.10661062947</v>
      </c>
      <c r="C15" s="81">
        <f t="shared" si="1"/>
        <v>-1367790.4376272308</v>
      </c>
      <c r="D15" s="82">
        <f t="shared" si="2"/>
        <v>-2259049.5442378605</v>
      </c>
      <c r="E15" s="77">
        <f t="shared" si="3"/>
        <v>-10070000</v>
      </c>
      <c r="F15" s="77">
        <f t="shared" si="4"/>
        <v>20140000</v>
      </c>
      <c r="G15" s="83">
        <f t="shared" si="5"/>
        <v>10070000</v>
      </c>
      <c r="H15" s="83">
        <f t="shared" si="6"/>
        <v>18772209.56237277</v>
      </c>
      <c r="I15" s="83">
        <f t="shared" si="7"/>
        <v>17880950.45576214</v>
      </c>
    </row>
    <row r="16" spans="1:31" ht="14.25" thickTop="1" thickBot="1" x14ac:dyDescent="0.25">
      <c r="A16" s="73">
        <f t="shared" si="8"/>
        <v>60</v>
      </c>
      <c r="B16" s="75">
        <f t="shared" si="0"/>
        <v>-891259.10661062947</v>
      </c>
      <c r="C16" s="75">
        <f t="shared" si="1"/>
        <v>-617790.43762723077</v>
      </c>
      <c r="D16" s="30">
        <f t="shared" si="2"/>
        <v>-1509049.5442378602</v>
      </c>
      <c r="E16" s="77">
        <f t="shared" si="3"/>
        <v>-9320000</v>
      </c>
      <c r="F16" s="77">
        <f t="shared" si="4"/>
        <v>18640000</v>
      </c>
      <c r="G16" s="35">
        <f t="shared" si="5"/>
        <v>9320000</v>
      </c>
      <c r="H16" s="35">
        <f t="shared" si="6"/>
        <v>18022209.56237277</v>
      </c>
      <c r="I16" s="35">
        <f t="shared" si="7"/>
        <v>17130950.45576214</v>
      </c>
    </row>
    <row r="17" spans="1:9" s="72" customFormat="1" ht="14.25" thickTop="1" thickBot="1" x14ac:dyDescent="0.25">
      <c r="A17" s="73">
        <f t="shared" si="8"/>
        <v>61.5</v>
      </c>
      <c r="B17" s="78">
        <f t="shared" si="0"/>
        <v>-891259.10661062947</v>
      </c>
      <c r="C17" s="78">
        <f t="shared" si="1"/>
        <v>132209.56237276926</v>
      </c>
      <c r="D17" s="79">
        <f t="shared" si="2"/>
        <v>-759049.54423786025</v>
      </c>
      <c r="E17" s="77">
        <f t="shared" si="3"/>
        <v>-8570000</v>
      </c>
      <c r="F17" s="77">
        <f t="shared" si="4"/>
        <v>17140000</v>
      </c>
      <c r="G17" s="80">
        <f t="shared" si="5"/>
        <v>8570000</v>
      </c>
      <c r="H17" s="80">
        <f t="shared" si="6"/>
        <v>17272209.56237277</v>
      </c>
      <c r="I17" s="80">
        <f t="shared" si="7"/>
        <v>16380950.45576214</v>
      </c>
    </row>
    <row r="18" spans="1:9" ht="14.25" thickTop="1" thickBot="1" x14ac:dyDescent="0.25">
      <c r="A18" s="73">
        <f t="shared" si="8"/>
        <v>63</v>
      </c>
      <c r="B18" s="75">
        <f t="shared" si="0"/>
        <v>-891259.10661062947</v>
      </c>
      <c r="C18" s="75">
        <f t="shared" si="1"/>
        <v>882209.56237276923</v>
      </c>
      <c r="D18" s="30">
        <f t="shared" si="2"/>
        <v>-9049.5442378602456</v>
      </c>
      <c r="E18" s="77">
        <f t="shared" si="3"/>
        <v>-7820000</v>
      </c>
      <c r="F18" s="77">
        <f t="shared" si="4"/>
        <v>15640000</v>
      </c>
      <c r="G18" s="35">
        <f t="shared" si="5"/>
        <v>7820000</v>
      </c>
      <c r="H18" s="35">
        <f t="shared" si="6"/>
        <v>16522209.56237277</v>
      </c>
      <c r="I18" s="35">
        <f t="shared" si="7"/>
        <v>15630950.45576214</v>
      </c>
    </row>
    <row r="19" spans="1:9" ht="14.25" thickTop="1" thickBot="1" x14ac:dyDescent="0.25">
      <c r="A19" s="73">
        <f t="shared" si="8"/>
        <v>64.5</v>
      </c>
      <c r="B19" s="75">
        <f t="shared" si="0"/>
        <v>-891259.10661062947</v>
      </c>
      <c r="C19" s="75">
        <f t="shared" si="1"/>
        <v>890967.52191835991</v>
      </c>
      <c r="D19" s="30">
        <f t="shared" si="2"/>
        <v>-291.58469226956367</v>
      </c>
      <c r="E19" s="77">
        <f t="shared" si="3"/>
        <v>-7070000</v>
      </c>
      <c r="F19" s="77">
        <f t="shared" si="4"/>
        <v>14140000</v>
      </c>
      <c r="G19" s="35">
        <f t="shared" si="5"/>
        <v>7070000</v>
      </c>
      <c r="H19" s="35">
        <f t="shared" si="6"/>
        <v>15030967.52191836</v>
      </c>
      <c r="I19" s="35">
        <f t="shared" si="7"/>
        <v>14139708.41530773</v>
      </c>
    </row>
    <row r="20" spans="1:9" ht="14.25" thickTop="1" thickBot="1" x14ac:dyDescent="0.25">
      <c r="A20" s="73">
        <f t="shared" si="8"/>
        <v>66</v>
      </c>
      <c r="B20" s="75">
        <f t="shared" si="0"/>
        <v>-891259.10661062947</v>
      </c>
      <c r="C20" s="75">
        <f t="shared" si="1"/>
        <v>890967.52191835991</v>
      </c>
      <c r="D20" s="30">
        <f t="shared" si="2"/>
        <v>-291.58469226956367</v>
      </c>
      <c r="E20" s="77">
        <f t="shared" si="3"/>
        <v>-6320000</v>
      </c>
      <c r="F20" s="77">
        <f t="shared" si="4"/>
        <v>12640000</v>
      </c>
      <c r="G20" s="35">
        <f t="shared" si="5"/>
        <v>6320000</v>
      </c>
      <c r="H20" s="35">
        <f t="shared" si="6"/>
        <v>13530967.52191836</v>
      </c>
      <c r="I20" s="35">
        <f t="shared" si="7"/>
        <v>12639708.41530773</v>
      </c>
    </row>
    <row r="21" spans="1:9" ht="14.25" thickTop="1" thickBot="1" x14ac:dyDescent="0.25">
      <c r="A21" s="73">
        <f t="shared" si="8"/>
        <v>67.5</v>
      </c>
      <c r="B21" s="75">
        <f t="shared" si="0"/>
        <v>-891259.10661062947</v>
      </c>
      <c r="C21" s="75">
        <f t="shared" si="1"/>
        <v>890967.52191835991</v>
      </c>
      <c r="D21" s="30">
        <f t="shared" ref="D21:D24" si="9">B21+C21</f>
        <v>-291.58469226956367</v>
      </c>
      <c r="E21" s="77">
        <f t="shared" si="3"/>
        <v>-5570000</v>
      </c>
      <c r="F21" s="77">
        <f t="shared" si="4"/>
        <v>11140000</v>
      </c>
      <c r="G21" s="35">
        <f t="shared" si="5"/>
        <v>5570000</v>
      </c>
      <c r="H21" s="35">
        <f t="shared" si="6"/>
        <v>12030967.52191836</v>
      </c>
      <c r="I21" s="35">
        <f t="shared" si="7"/>
        <v>11139708.41530773</v>
      </c>
    </row>
    <row r="22" spans="1:9" ht="14.25" thickTop="1" thickBot="1" x14ac:dyDescent="0.25">
      <c r="A22" s="73">
        <f t="shared" si="8"/>
        <v>69</v>
      </c>
      <c r="B22" s="75">
        <f t="shared" si="0"/>
        <v>-891259.10661062947</v>
      </c>
      <c r="C22" s="75">
        <f t="shared" si="1"/>
        <v>890967.52191835991</v>
      </c>
      <c r="D22" s="30">
        <f t="shared" si="9"/>
        <v>-291.58469226956367</v>
      </c>
      <c r="E22" s="77">
        <f t="shared" si="3"/>
        <v>-4820000</v>
      </c>
      <c r="F22" s="77">
        <f t="shared" si="4"/>
        <v>9640000</v>
      </c>
      <c r="G22" s="35">
        <f t="shared" si="5"/>
        <v>4820000</v>
      </c>
      <c r="H22" s="35">
        <f t="shared" si="6"/>
        <v>10530967.52191836</v>
      </c>
      <c r="I22" s="35">
        <f t="shared" si="7"/>
        <v>9639708.4153077304</v>
      </c>
    </row>
    <row r="23" spans="1:9" ht="14.25" thickTop="1" thickBot="1" x14ac:dyDescent="0.25">
      <c r="A23" s="73">
        <f t="shared" si="8"/>
        <v>70.5</v>
      </c>
      <c r="B23" s="75">
        <f t="shared" si="0"/>
        <v>-891259.10661062947</v>
      </c>
      <c r="C23" s="75">
        <f t="shared" si="1"/>
        <v>890967.52191835991</v>
      </c>
      <c r="D23" s="30">
        <f t="shared" si="9"/>
        <v>-291.58469226956367</v>
      </c>
      <c r="E23" s="77">
        <f t="shared" si="3"/>
        <v>-4070000.0000000005</v>
      </c>
      <c r="F23" s="77">
        <f t="shared" si="4"/>
        <v>8140000.0000000009</v>
      </c>
      <c r="G23" s="35">
        <f t="shared" si="5"/>
        <v>4070000.0000000005</v>
      </c>
      <c r="H23" s="35">
        <f t="shared" si="6"/>
        <v>9030967.5219183601</v>
      </c>
      <c r="I23" s="35">
        <f t="shared" si="7"/>
        <v>8139708.4153077314</v>
      </c>
    </row>
    <row r="24" spans="1:9" ht="14.25" thickTop="1" thickBot="1" x14ac:dyDescent="0.25">
      <c r="A24" s="73">
        <f t="shared" si="8"/>
        <v>72</v>
      </c>
      <c r="B24" s="75">
        <f t="shared" si="0"/>
        <v>-891259.10661062947</v>
      </c>
      <c r="C24" s="75">
        <f t="shared" si="1"/>
        <v>890967.52191835991</v>
      </c>
      <c r="D24" s="30">
        <f t="shared" si="9"/>
        <v>-291.58469226956367</v>
      </c>
      <c r="E24" s="77">
        <f t="shared" si="3"/>
        <v>-3320000.0000000005</v>
      </c>
      <c r="F24" s="77">
        <f t="shared" si="4"/>
        <v>6640000.0000000009</v>
      </c>
      <c r="G24" s="35">
        <f t="shared" si="5"/>
        <v>3320000.0000000005</v>
      </c>
      <c r="H24" s="35">
        <f t="shared" si="6"/>
        <v>7530967.5219183611</v>
      </c>
      <c r="I24" s="35">
        <f t="shared" si="7"/>
        <v>6639708.4153077314</v>
      </c>
    </row>
    <row r="25" spans="1:9" ht="14.25" thickTop="1" thickBot="1" x14ac:dyDescent="0.25">
      <c r="A25" s="73">
        <f t="shared" si="8"/>
        <v>73.5</v>
      </c>
      <c r="B25" s="75">
        <f t="shared" si="0"/>
        <v>-891259.10661062947</v>
      </c>
      <c r="C25" s="75">
        <f t="shared" si="1"/>
        <v>890967.52191835991</v>
      </c>
      <c r="D25" s="30">
        <f t="shared" ref="D25" si="10">B25+C25</f>
        <v>-291.58469226956367</v>
      </c>
      <c r="E25" s="77">
        <f t="shared" si="3"/>
        <v>-2570000.0000000005</v>
      </c>
      <c r="F25" s="77">
        <f t="shared" si="4"/>
        <v>5140000.0000000009</v>
      </c>
      <c r="G25" s="35">
        <f t="shared" si="5"/>
        <v>2570000.0000000005</v>
      </c>
      <c r="H25" s="35">
        <f t="shared" si="6"/>
        <v>6030967.5219183611</v>
      </c>
      <c r="I25" s="35">
        <f t="shared" si="7"/>
        <v>5139708.4153077314</v>
      </c>
    </row>
    <row r="26" spans="1:9" ht="14.25" thickTop="1" thickBot="1" x14ac:dyDescent="0.25">
      <c r="A26" s="73">
        <f t="shared" ref="A26:A28" si="11">A25+1.5</f>
        <v>75</v>
      </c>
      <c r="B26" s="75">
        <f t="shared" si="0"/>
        <v>-891259.10661062947</v>
      </c>
      <c r="C26" s="75">
        <f t="shared" ref="C26:C28" si="12">(MIN(A26-$B$2,0)+$G$2)*$F$2</f>
        <v>890967.52191835991</v>
      </c>
      <c r="D26" s="30">
        <f t="shared" ref="D26:D28" si="13">B26+C26</f>
        <v>-291.58469226956367</v>
      </c>
      <c r="E26" s="77">
        <f t="shared" si="3"/>
        <v>-1820000.0000000002</v>
      </c>
      <c r="F26" s="77">
        <f t="shared" si="4"/>
        <v>3640000.0000000005</v>
      </c>
      <c r="G26" s="35">
        <f t="shared" ref="G26:G28" si="14">E26+F26</f>
        <v>1820000.0000000002</v>
      </c>
      <c r="H26" s="35">
        <f t="shared" ref="H26:H28" si="15">C26+F26</f>
        <v>4530967.5219183601</v>
      </c>
      <c r="I26" s="35">
        <f t="shared" ref="I26:I28" si="16">D26+F26</f>
        <v>3639708.4153077309</v>
      </c>
    </row>
    <row r="27" spans="1:9" ht="14.25" thickTop="1" thickBot="1" x14ac:dyDescent="0.25">
      <c r="A27" s="73">
        <f t="shared" si="11"/>
        <v>76.5</v>
      </c>
      <c r="B27" s="75">
        <f t="shared" si="0"/>
        <v>-891259.10661062947</v>
      </c>
      <c r="C27" s="75">
        <f t="shared" si="12"/>
        <v>890967.52191835991</v>
      </c>
      <c r="D27" s="30">
        <f t="shared" si="13"/>
        <v>-291.58469226956367</v>
      </c>
      <c r="E27" s="77">
        <f t="shared" si="3"/>
        <v>-1070000.0000000002</v>
      </c>
      <c r="F27" s="77">
        <f t="shared" si="4"/>
        <v>2140000.0000000005</v>
      </c>
      <c r="G27" s="35">
        <f t="shared" si="14"/>
        <v>1070000.0000000002</v>
      </c>
      <c r="H27" s="35">
        <f t="shared" si="15"/>
        <v>3030967.5219183601</v>
      </c>
      <c r="I27" s="35">
        <f t="shared" si="16"/>
        <v>2139708.4153077309</v>
      </c>
    </row>
    <row r="28" spans="1:9" ht="14.25" thickTop="1" thickBot="1" x14ac:dyDescent="0.25">
      <c r="A28" s="73">
        <f t="shared" si="11"/>
        <v>78</v>
      </c>
      <c r="B28" s="75">
        <f t="shared" si="0"/>
        <v>-891259.10661062947</v>
      </c>
      <c r="C28" s="75">
        <f t="shared" si="12"/>
        <v>890967.52191835991</v>
      </c>
      <c r="D28" s="30">
        <f t="shared" si="13"/>
        <v>-291.58469226956367</v>
      </c>
      <c r="E28" s="77">
        <f t="shared" si="3"/>
        <v>-320000.00000000029</v>
      </c>
      <c r="F28" s="77">
        <f t="shared" si="4"/>
        <v>640000.00000000058</v>
      </c>
      <c r="G28" s="35">
        <f t="shared" si="14"/>
        <v>320000.00000000029</v>
      </c>
      <c r="H28" s="35">
        <f t="shared" si="15"/>
        <v>1530967.5219183606</v>
      </c>
      <c r="I28" s="35">
        <f t="shared" si="16"/>
        <v>639708.41530773102</v>
      </c>
    </row>
    <row r="29" spans="1:9" ht="14.25" thickTop="1" thickBot="1" x14ac:dyDescent="0.25">
      <c r="A29" s="73">
        <f t="shared" ref="A29:A31" si="17">A28+1.5</f>
        <v>79.5</v>
      </c>
      <c r="B29" s="75">
        <f t="shared" si="0"/>
        <v>-891259.10661062947</v>
      </c>
      <c r="C29" s="75">
        <f t="shared" ref="C29:C31" si="18">(MIN(A29-$B$2,0)+$G$2)*$F$2</f>
        <v>890967.52191835991</v>
      </c>
      <c r="D29" s="30">
        <f t="shared" ref="D29:D31" si="19">B29+C29</f>
        <v>-291.58469226956367</v>
      </c>
      <c r="E29" s="77">
        <f t="shared" si="3"/>
        <v>429999.99999999971</v>
      </c>
      <c r="F29" s="77">
        <f t="shared" si="4"/>
        <v>-859999.99999999942</v>
      </c>
      <c r="G29" s="35">
        <f t="shared" ref="G29:G31" si="20">E29+F29</f>
        <v>-429999.99999999971</v>
      </c>
      <c r="H29" s="35">
        <f t="shared" ref="H29:H31" si="21">C29+F29</f>
        <v>30967.521918360493</v>
      </c>
      <c r="I29" s="35">
        <f t="shared" ref="I29:I31" si="22">D29+F29</f>
        <v>-860291.58469226898</v>
      </c>
    </row>
    <row r="30" spans="1:9" ht="14.25" thickTop="1" thickBot="1" x14ac:dyDescent="0.25">
      <c r="A30" s="73">
        <f t="shared" si="17"/>
        <v>81</v>
      </c>
      <c r="B30" s="75">
        <f t="shared" si="0"/>
        <v>-891259.10661062947</v>
      </c>
      <c r="C30" s="75">
        <f t="shared" si="18"/>
        <v>890967.52191835991</v>
      </c>
      <c r="D30" s="30">
        <f t="shared" si="19"/>
        <v>-291.58469226956367</v>
      </c>
      <c r="E30" s="77">
        <f t="shared" si="3"/>
        <v>1179999.9999999998</v>
      </c>
      <c r="F30" s="77">
        <f t="shared" si="4"/>
        <v>-2359999.9999999995</v>
      </c>
      <c r="G30" s="35">
        <f t="shared" si="20"/>
        <v>-1179999.9999999998</v>
      </c>
      <c r="H30" s="35">
        <f t="shared" si="21"/>
        <v>-1469032.4780816396</v>
      </c>
      <c r="I30" s="35">
        <f t="shared" si="22"/>
        <v>-2360291.5846922691</v>
      </c>
    </row>
    <row r="31" spans="1:9" ht="14.25" thickTop="1" thickBot="1" x14ac:dyDescent="0.25">
      <c r="A31" s="73">
        <f t="shared" si="17"/>
        <v>82.5</v>
      </c>
      <c r="B31" s="75">
        <f t="shared" si="0"/>
        <v>-891259.10661062947</v>
      </c>
      <c r="C31" s="75">
        <f t="shared" si="18"/>
        <v>890967.52191835991</v>
      </c>
      <c r="D31" s="30">
        <f t="shared" si="19"/>
        <v>-291.58469226956367</v>
      </c>
      <c r="E31" s="77">
        <f t="shared" si="3"/>
        <v>1929999.9999999998</v>
      </c>
      <c r="F31" s="77">
        <f t="shared" si="4"/>
        <v>-3859999.9999999995</v>
      </c>
      <c r="G31" s="35">
        <f t="shared" si="20"/>
        <v>-1929999.9999999998</v>
      </c>
      <c r="H31" s="35">
        <f t="shared" si="21"/>
        <v>-2969032.4780816399</v>
      </c>
      <c r="I31" s="35">
        <f t="shared" si="22"/>
        <v>-3860291.5846922691</v>
      </c>
    </row>
    <row r="32" spans="1:9" ht="14.25" thickTop="1" thickBot="1" x14ac:dyDescent="0.25">
      <c r="A32" s="73">
        <f t="shared" ref="A32:A37" si="23">A31+1.5</f>
        <v>84</v>
      </c>
      <c r="B32" s="75">
        <f t="shared" si="0"/>
        <v>-891259.10661062947</v>
      </c>
      <c r="C32" s="75">
        <f t="shared" ref="C32:C35" si="24">(MIN(A32-$B$2,0)+$G$2)*$F$2</f>
        <v>890967.52191835991</v>
      </c>
      <c r="D32" s="30">
        <f t="shared" ref="D32:D35" si="25">B32+C32</f>
        <v>-291.58469226956367</v>
      </c>
      <c r="E32" s="77">
        <f t="shared" si="3"/>
        <v>2679999.9999999995</v>
      </c>
      <c r="F32" s="77">
        <f t="shared" si="4"/>
        <v>-5359999.9999999991</v>
      </c>
      <c r="G32" s="35">
        <f t="shared" ref="G32:G36" si="26">E32+F32</f>
        <v>-2679999.9999999995</v>
      </c>
      <c r="H32" s="35">
        <f t="shared" ref="H32:H36" si="27">C32+F32</f>
        <v>-4469032.4780816389</v>
      </c>
      <c r="I32" s="35">
        <f t="shared" ref="I32:I36" si="28">D32+F32</f>
        <v>-5360291.5846922686</v>
      </c>
    </row>
    <row r="33" spans="1:30" ht="14.25" thickTop="1" thickBot="1" x14ac:dyDescent="0.25">
      <c r="A33" s="73">
        <f t="shared" si="23"/>
        <v>85.5</v>
      </c>
      <c r="B33" s="75">
        <f t="shared" si="0"/>
        <v>-891259.10661062947</v>
      </c>
      <c r="C33" s="75">
        <f t="shared" si="24"/>
        <v>890967.52191835991</v>
      </c>
      <c r="D33" s="30">
        <f t="shared" si="25"/>
        <v>-291.58469226956367</v>
      </c>
      <c r="E33" s="77">
        <f t="shared" si="3"/>
        <v>3429999.9999999995</v>
      </c>
      <c r="F33" s="77">
        <f t="shared" si="4"/>
        <v>-6859999.9999999991</v>
      </c>
      <c r="G33" s="35">
        <f t="shared" si="26"/>
        <v>-3429999.9999999995</v>
      </c>
      <c r="H33" s="35">
        <f t="shared" si="27"/>
        <v>-5969032.4780816389</v>
      </c>
      <c r="I33" s="35">
        <f t="shared" si="28"/>
        <v>-6860291.5846922686</v>
      </c>
    </row>
    <row r="34" spans="1:30" ht="14.25" thickTop="1" thickBot="1" x14ac:dyDescent="0.25">
      <c r="A34" s="73">
        <f t="shared" si="23"/>
        <v>87</v>
      </c>
      <c r="B34" s="75">
        <f t="shared" si="0"/>
        <v>-891259.10661062947</v>
      </c>
      <c r="C34" s="75">
        <f t="shared" si="24"/>
        <v>890967.52191835991</v>
      </c>
      <c r="D34" s="30">
        <f t="shared" si="25"/>
        <v>-291.58469226956367</v>
      </c>
      <c r="E34" s="77">
        <f t="shared" si="3"/>
        <v>4179999.9999999995</v>
      </c>
      <c r="F34" s="77">
        <f t="shared" si="4"/>
        <v>-8359999.9999999991</v>
      </c>
      <c r="G34" s="35">
        <f t="shared" si="26"/>
        <v>-4179999.9999999995</v>
      </c>
      <c r="H34" s="35">
        <f t="shared" si="27"/>
        <v>-7469032.4780816389</v>
      </c>
      <c r="I34" s="35">
        <f t="shared" si="28"/>
        <v>-8360291.5846922686</v>
      </c>
    </row>
    <row r="35" spans="1:30" ht="14.25" thickTop="1" thickBot="1" x14ac:dyDescent="0.25">
      <c r="A35" s="73">
        <f t="shared" si="23"/>
        <v>88.5</v>
      </c>
      <c r="B35" s="75">
        <f t="shared" si="0"/>
        <v>-641259.10661062947</v>
      </c>
      <c r="C35" s="75">
        <f t="shared" si="24"/>
        <v>890967.52191835991</v>
      </c>
      <c r="D35" s="30">
        <f t="shared" si="25"/>
        <v>249708.41530773044</v>
      </c>
      <c r="E35" s="77">
        <f t="shared" si="3"/>
        <v>4930000</v>
      </c>
      <c r="F35" s="77">
        <f t="shared" si="4"/>
        <v>-9860000</v>
      </c>
      <c r="G35" s="35">
        <f t="shared" si="26"/>
        <v>-4930000</v>
      </c>
      <c r="H35" s="35">
        <f t="shared" si="27"/>
        <v>-8969032.4780816399</v>
      </c>
      <c r="I35" s="35">
        <f t="shared" si="28"/>
        <v>-9610291.5846922696</v>
      </c>
    </row>
    <row r="36" spans="1:30" ht="14.25" thickTop="1" thickBot="1" x14ac:dyDescent="0.25">
      <c r="A36" s="73">
        <f t="shared" si="23"/>
        <v>90</v>
      </c>
      <c r="B36" s="75">
        <f t="shared" ref="B36" si="29">(MAX((A36-$A$2),0)-$D$2)*$F$2</f>
        <v>108740.89338937054</v>
      </c>
      <c r="C36" s="75">
        <f t="shared" ref="C36" si="30">(MIN(A36-$B$2,0)+$G$2)*$F$2</f>
        <v>890967.52191835991</v>
      </c>
      <c r="D36" s="30">
        <f t="shared" ref="D36" si="31">B36+C36</f>
        <v>999708.41530773044</v>
      </c>
      <c r="E36" s="77">
        <f t="shared" si="3"/>
        <v>5680000</v>
      </c>
      <c r="F36" s="77">
        <f t="shared" si="4"/>
        <v>-11360000</v>
      </c>
      <c r="G36" s="35">
        <f t="shared" si="26"/>
        <v>-5680000</v>
      </c>
      <c r="H36" s="35">
        <f t="shared" si="27"/>
        <v>-10469032.47808164</v>
      </c>
      <c r="I36" s="35">
        <f t="shared" si="28"/>
        <v>-10360291.58469227</v>
      </c>
    </row>
    <row r="37" spans="1:30" ht="14.25" thickTop="1" thickBot="1" x14ac:dyDescent="0.25">
      <c r="A37" s="73">
        <f t="shared" si="23"/>
        <v>91.5</v>
      </c>
      <c r="B37" s="75">
        <f t="shared" ref="B37:B42" si="32">(MAX((A37-$A$2),0)-$D$2)*$F$2</f>
        <v>858740.89338937053</v>
      </c>
      <c r="C37" s="75">
        <f t="shared" ref="C37:C42" si="33">(MIN(A37-$B$2,0)+$G$2)*$F$2</f>
        <v>890967.52191835991</v>
      </c>
      <c r="D37" s="30">
        <f t="shared" ref="D37:D42" si="34">B37+C37</f>
        <v>1749708.4153077304</v>
      </c>
      <c r="E37" s="77">
        <f t="shared" ref="E37:E42" si="35">(A37-$E$2)*$F$2</f>
        <v>6430000</v>
      </c>
      <c r="F37" s="77">
        <f t="shared" ref="F37:F42" si="36">($E$2-A37)*$I$2</f>
        <v>-12860000</v>
      </c>
      <c r="G37" s="35">
        <f t="shared" ref="G37:G42" si="37">E37+F37</f>
        <v>-6430000</v>
      </c>
      <c r="H37" s="35">
        <f t="shared" ref="H37:H42" si="38">C37+F37</f>
        <v>-11969032.47808164</v>
      </c>
      <c r="I37" s="35">
        <f t="shared" ref="I37:I42" si="39">D37+F37</f>
        <v>-11110291.58469227</v>
      </c>
    </row>
    <row r="38" spans="1:30" ht="14.25" thickTop="1" thickBot="1" x14ac:dyDescent="0.25">
      <c r="A38" s="73">
        <f t="shared" ref="A38" si="40">A37+1.5</f>
        <v>93</v>
      </c>
      <c r="B38" s="75">
        <f t="shared" si="32"/>
        <v>1608740.8933893705</v>
      </c>
      <c r="C38" s="75">
        <f t="shared" si="33"/>
        <v>890967.52191835991</v>
      </c>
      <c r="D38" s="30">
        <f t="shared" si="34"/>
        <v>2499708.4153077304</v>
      </c>
      <c r="E38" s="77">
        <f t="shared" si="35"/>
        <v>7180000</v>
      </c>
      <c r="F38" s="77">
        <f t="shared" si="36"/>
        <v>-14360000</v>
      </c>
      <c r="G38" s="35">
        <f t="shared" si="37"/>
        <v>-7180000</v>
      </c>
      <c r="H38" s="35">
        <f t="shared" si="38"/>
        <v>-13469032.47808164</v>
      </c>
      <c r="I38" s="35">
        <f t="shared" si="39"/>
        <v>-11860291.58469227</v>
      </c>
      <c r="P38" s="13"/>
    </row>
    <row r="39" spans="1:30" ht="14.25" thickTop="1" thickBot="1" x14ac:dyDescent="0.25">
      <c r="A39" s="73">
        <f t="shared" ref="A39:A42" si="41">A38+1.5</f>
        <v>94.5</v>
      </c>
      <c r="B39" s="75">
        <f t="shared" si="32"/>
        <v>2358740.8933893708</v>
      </c>
      <c r="C39" s="75">
        <f t="shared" si="33"/>
        <v>890967.52191835991</v>
      </c>
      <c r="D39" s="30">
        <f t="shared" si="34"/>
        <v>3249708.4153077304</v>
      </c>
      <c r="E39" s="77">
        <f t="shared" si="35"/>
        <v>7930000</v>
      </c>
      <c r="F39" s="77">
        <f t="shared" si="36"/>
        <v>-15860000</v>
      </c>
      <c r="G39" s="35">
        <f t="shared" si="37"/>
        <v>-7930000</v>
      </c>
      <c r="H39" s="35">
        <f t="shared" si="38"/>
        <v>-14969032.47808164</v>
      </c>
      <c r="I39" s="35">
        <f t="shared" si="39"/>
        <v>-12610291.58469227</v>
      </c>
    </row>
    <row r="40" spans="1:30" ht="14.25" thickTop="1" thickBot="1" x14ac:dyDescent="0.25">
      <c r="A40" s="73">
        <f t="shared" si="41"/>
        <v>96</v>
      </c>
      <c r="B40" s="75">
        <f t="shared" si="32"/>
        <v>3108740.8933893708</v>
      </c>
      <c r="C40" s="75">
        <f t="shared" si="33"/>
        <v>890967.52191835991</v>
      </c>
      <c r="D40" s="30">
        <f t="shared" si="34"/>
        <v>3999708.4153077304</v>
      </c>
      <c r="E40" s="77">
        <f t="shared" si="35"/>
        <v>8680000</v>
      </c>
      <c r="F40" s="77">
        <f t="shared" si="36"/>
        <v>-17360000</v>
      </c>
      <c r="G40" s="35">
        <f t="shared" si="37"/>
        <v>-8680000</v>
      </c>
      <c r="H40" s="35">
        <f t="shared" si="38"/>
        <v>-16469032.47808164</v>
      </c>
      <c r="I40" s="35">
        <f t="shared" si="39"/>
        <v>-13360291.58469227</v>
      </c>
      <c r="P40" s="13"/>
    </row>
    <row r="41" spans="1:30" ht="14.25" thickTop="1" thickBot="1" x14ac:dyDescent="0.25">
      <c r="A41" s="73">
        <f t="shared" si="41"/>
        <v>97.5</v>
      </c>
      <c r="B41" s="75">
        <f t="shared" si="32"/>
        <v>3858740.8933893708</v>
      </c>
      <c r="C41" s="75">
        <f t="shared" si="33"/>
        <v>890967.52191835991</v>
      </c>
      <c r="D41" s="30">
        <f t="shared" si="34"/>
        <v>4749708.4153077304</v>
      </c>
      <c r="E41" s="77">
        <f t="shared" si="35"/>
        <v>9430000</v>
      </c>
      <c r="F41" s="77">
        <f t="shared" si="36"/>
        <v>-18860000</v>
      </c>
      <c r="G41" s="35">
        <f t="shared" si="37"/>
        <v>-9430000</v>
      </c>
      <c r="H41" s="35">
        <f t="shared" si="38"/>
        <v>-17969032.47808164</v>
      </c>
      <c r="I41" s="35">
        <f t="shared" si="39"/>
        <v>-14110291.58469227</v>
      </c>
      <c r="P41" s="13"/>
    </row>
    <row r="42" spans="1:30" ht="14.25" thickTop="1" thickBot="1" x14ac:dyDescent="0.25">
      <c r="A42" s="73">
        <f t="shared" si="41"/>
        <v>99</v>
      </c>
      <c r="B42" s="75">
        <f t="shared" si="32"/>
        <v>4608740.8933893703</v>
      </c>
      <c r="C42" s="75">
        <f t="shared" si="33"/>
        <v>890967.52191835991</v>
      </c>
      <c r="D42" s="30">
        <f t="shared" si="34"/>
        <v>5499708.4153077304</v>
      </c>
      <c r="E42" s="77">
        <f t="shared" si="35"/>
        <v>10180000</v>
      </c>
      <c r="F42" s="77">
        <f t="shared" si="36"/>
        <v>-20360000</v>
      </c>
      <c r="G42" s="35">
        <f t="shared" si="37"/>
        <v>-10180000</v>
      </c>
      <c r="H42" s="35">
        <f t="shared" si="38"/>
        <v>-19469032.47808164</v>
      </c>
      <c r="I42" s="35">
        <f t="shared" si="39"/>
        <v>-14860291.58469227</v>
      </c>
      <c r="P42" s="13"/>
    </row>
    <row r="43" spans="1:30" ht="13.5" thickTop="1" x14ac:dyDescent="0.2"/>
    <row r="45" spans="1:30" ht="13.5" thickBot="1" x14ac:dyDescent="0.25">
      <c r="F45" s="121"/>
      <c r="R45" t="s">
        <v>68</v>
      </c>
      <c r="S45" t="s">
        <v>69</v>
      </c>
      <c r="T45" t="s">
        <v>70</v>
      </c>
      <c r="U45" t="s">
        <v>71</v>
      </c>
      <c r="V45" s="50" t="s">
        <v>72</v>
      </c>
      <c r="W45" t="s">
        <v>73</v>
      </c>
      <c r="X45" t="s">
        <v>74</v>
      </c>
      <c r="Y45" t="s">
        <v>75</v>
      </c>
      <c r="Z45" t="s">
        <v>76</v>
      </c>
      <c r="AA45" t="s">
        <v>77</v>
      </c>
      <c r="AB45" t="s">
        <v>78</v>
      </c>
      <c r="AC45" t="s">
        <v>79</v>
      </c>
      <c r="AD45" t="s">
        <v>80</v>
      </c>
    </row>
    <row r="46" spans="1:30" ht="14.25" thickTop="1" thickBot="1" x14ac:dyDescent="0.25">
      <c r="G46" s="104"/>
      <c r="R46" t="s">
        <v>81</v>
      </c>
      <c r="S46">
        <v>77.03</v>
      </c>
      <c r="T46">
        <v>0</v>
      </c>
      <c r="U46">
        <v>0</v>
      </c>
      <c r="V46" s="50">
        <v>50.88</v>
      </c>
      <c r="W46">
        <v>42.69</v>
      </c>
      <c r="X46">
        <v>0</v>
      </c>
      <c r="Y46">
        <v>79.81</v>
      </c>
      <c r="Z46">
        <v>70.430000000000007</v>
      </c>
      <c r="AA46">
        <v>63.84</v>
      </c>
      <c r="AB46">
        <v>52.79</v>
      </c>
      <c r="AC46">
        <v>41.25</v>
      </c>
      <c r="AD46">
        <v>38.75</v>
      </c>
    </row>
    <row r="47" spans="1:30" ht="13.5" thickTop="1" x14ac:dyDescent="0.2">
      <c r="R47" t="s">
        <v>82</v>
      </c>
      <c r="S47">
        <v>90.23</v>
      </c>
      <c r="T47">
        <v>75.489999999999995</v>
      </c>
      <c r="U47">
        <v>71.61</v>
      </c>
      <c r="V47" s="50">
        <v>56.29</v>
      </c>
      <c r="W47">
        <v>48.75</v>
      </c>
      <c r="X47">
        <v>41.96</v>
      </c>
      <c r="Y47">
        <v>85.62</v>
      </c>
      <c r="Z47">
        <v>77.180000000000007</v>
      </c>
      <c r="AA47">
        <v>69.239999999999995</v>
      </c>
      <c r="AB47">
        <v>59.31</v>
      </c>
      <c r="AC47">
        <v>45.19</v>
      </c>
      <c r="AD47">
        <v>41.69</v>
      </c>
    </row>
    <row r="48" spans="1:30" x14ac:dyDescent="0.2">
      <c r="R48" t="s">
        <v>83</v>
      </c>
      <c r="S48">
        <v>89.44</v>
      </c>
      <c r="T48">
        <v>80.62</v>
      </c>
      <c r="U48">
        <v>74.52</v>
      </c>
      <c r="V48" s="51">
        <v>60.15</v>
      </c>
      <c r="W48" s="6">
        <v>50.27</v>
      </c>
      <c r="X48" s="6">
        <v>54.56</v>
      </c>
      <c r="Y48" s="6">
        <v>91.94</v>
      </c>
      <c r="Z48" s="6">
        <v>85.7</v>
      </c>
      <c r="AA48" s="6">
        <v>78.72</v>
      </c>
      <c r="AB48" s="51">
        <v>64.150000000000006</v>
      </c>
      <c r="AC48">
        <v>53.54</v>
      </c>
      <c r="AD48">
        <v>45.26</v>
      </c>
    </row>
    <row r="49" spans="2:30" x14ac:dyDescent="0.2">
      <c r="R49" t="s">
        <v>84</v>
      </c>
      <c r="S49">
        <v>110.69</v>
      </c>
      <c r="T49">
        <v>88</v>
      </c>
      <c r="U49">
        <v>78.75</v>
      </c>
      <c r="V49" s="50">
        <v>62.4</v>
      </c>
      <c r="W49">
        <v>53.29</v>
      </c>
      <c r="X49">
        <v>52.78</v>
      </c>
      <c r="Y49">
        <v>91.15</v>
      </c>
      <c r="Z49">
        <v>78.650000000000006</v>
      </c>
      <c r="AA49">
        <v>79.08</v>
      </c>
      <c r="AB49">
        <v>65.67</v>
      </c>
      <c r="AC49">
        <v>56.72</v>
      </c>
      <c r="AD49">
        <v>38.979999999999997</v>
      </c>
    </row>
    <row r="50" spans="2:30" x14ac:dyDescent="0.2">
      <c r="R50" t="s">
        <v>85</v>
      </c>
      <c r="S50">
        <v>99.58</v>
      </c>
      <c r="T50">
        <v>81.760000000000005</v>
      </c>
      <c r="U50">
        <v>78.63</v>
      </c>
      <c r="V50" s="50">
        <v>61.44</v>
      </c>
      <c r="W50">
        <v>52.88</v>
      </c>
      <c r="X50">
        <v>51.92</v>
      </c>
      <c r="Y50">
        <v>93.21</v>
      </c>
      <c r="Z50">
        <v>83.56</v>
      </c>
      <c r="AA50">
        <v>78.03</v>
      </c>
      <c r="AB50">
        <v>63.76</v>
      </c>
      <c r="AC50">
        <v>56.43</v>
      </c>
      <c r="AD50">
        <v>54.7</v>
      </c>
    </row>
    <row r="51" spans="2:30" x14ac:dyDescent="0.2">
      <c r="P51" s="5"/>
      <c r="R51" t="s">
        <v>86</v>
      </c>
      <c r="S51">
        <v>97.78</v>
      </c>
      <c r="T51">
        <v>85.71</v>
      </c>
      <c r="U51">
        <v>77.84</v>
      </c>
      <c r="V51" s="50">
        <v>64.37</v>
      </c>
      <c r="W51">
        <v>56.64</v>
      </c>
      <c r="X51">
        <v>50.78</v>
      </c>
      <c r="Y51">
        <v>95.43</v>
      </c>
      <c r="Z51">
        <v>89.65</v>
      </c>
      <c r="AA51">
        <v>82.2</v>
      </c>
      <c r="AB51">
        <v>66.260000000000005</v>
      </c>
      <c r="AC51">
        <v>56.66</v>
      </c>
      <c r="AD51">
        <v>51.46</v>
      </c>
    </row>
    <row r="52" spans="2:30" x14ac:dyDescent="0.2">
      <c r="R52" t="s">
        <v>87</v>
      </c>
      <c r="S52">
        <v>104.17</v>
      </c>
      <c r="T52">
        <v>85.86</v>
      </c>
      <c r="U52">
        <v>78.209999999999994</v>
      </c>
      <c r="V52" s="50">
        <v>64.040000000000006</v>
      </c>
      <c r="W52">
        <v>56.61</v>
      </c>
      <c r="X52">
        <v>49.4</v>
      </c>
      <c r="Y52">
        <v>91.32</v>
      </c>
      <c r="Z52">
        <v>88.22</v>
      </c>
      <c r="AA52">
        <v>81.75</v>
      </c>
      <c r="AB52">
        <v>67.62</v>
      </c>
      <c r="AC52">
        <v>62.85</v>
      </c>
      <c r="AD52">
        <v>48.24</v>
      </c>
    </row>
    <row r="53" spans="2:30" ht="13.5" thickBot="1" x14ac:dyDescent="0.25">
      <c r="R53" t="s">
        <v>88</v>
      </c>
      <c r="S53">
        <v>90.82</v>
      </c>
      <c r="T53">
        <v>81.069999999999993</v>
      </c>
      <c r="U53">
        <v>71.75</v>
      </c>
      <c r="V53" s="50">
        <v>60.87</v>
      </c>
      <c r="W53">
        <v>55.94</v>
      </c>
      <c r="X53">
        <v>49.87</v>
      </c>
      <c r="Y53">
        <v>95.48</v>
      </c>
      <c r="Z53">
        <v>85.7</v>
      </c>
      <c r="AA53">
        <v>77.790000000000006</v>
      </c>
      <c r="AB53">
        <v>62.81</v>
      </c>
      <c r="AC53">
        <v>55.88</v>
      </c>
      <c r="AD53">
        <v>67.150000000000006</v>
      </c>
    </row>
    <row r="54" spans="2:30" ht="14.25" thickTop="1" thickBot="1" x14ac:dyDescent="0.25">
      <c r="B54" s="92" t="s">
        <v>25</v>
      </c>
      <c r="C54" s="93">
        <f>EXP(-C71*C68)*NORMDIST(C72,0,1,TRUE)</f>
        <v>0.24218862923324186</v>
      </c>
      <c r="D54" s="100" t="s">
        <v>26</v>
      </c>
      <c r="E54" s="101">
        <f>EXP(-E71*E68)*(NORMDIST(E72,0,1,TRUE)-1)</f>
        <v>-0.17584089049923479</v>
      </c>
      <c r="F54" s="96"/>
      <c r="G54" s="97"/>
    </row>
    <row r="55" spans="2:30" ht="14.25" thickTop="1" thickBot="1" x14ac:dyDescent="0.25">
      <c r="B55" s="92" t="s">
        <v>27</v>
      </c>
      <c r="C55" s="94">
        <f>(NORMDIST(C72,0,1,TRUE)*EXP(-C71*C68))/(C66*C69*SQRT(C68))</f>
        <v>1.7804685555344497E-2</v>
      </c>
      <c r="D55" s="100" t="s">
        <v>30</v>
      </c>
      <c r="E55" s="101">
        <f>G55</f>
        <v>0</v>
      </c>
      <c r="F55" s="96"/>
      <c r="G55" s="98"/>
    </row>
    <row r="56" spans="2:30" ht="14.25" thickTop="1" thickBot="1" x14ac:dyDescent="0.25">
      <c r="B56" s="92" t="s">
        <v>28</v>
      </c>
      <c r="C56" s="94">
        <f>C66*EXP(-C71*C68)*NORMDIST(C72,0,1,TRUE)*SQRT(C68)</f>
        <v>12.670677646482678</v>
      </c>
      <c r="D56" s="100" t="s">
        <v>31</v>
      </c>
      <c r="E56" s="101">
        <f>G56</f>
        <v>0</v>
      </c>
      <c r="F56" s="96"/>
      <c r="G56" s="98"/>
    </row>
    <row r="57" spans="2:30" ht="14.25" thickTop="1" thickBot="1" x14ac:dyDescent="0.25">
      <c r="B57" s="92" t="s">
        <v>29</v>
      </c>
      <c r="C57" s="95">
        <f>(-C66*EXP(-C71*C68)*NORMDIST(C72,0,1,TRUE)*C69/(2*SQRT(C68))-(-C71)*C66*EXP(-C71*C68)*NORMDIST(C72,0,1,TRUE)-C70*C67*EXP(-C70*C68)*NORMDIST(C73,0,1,TRUE))/365</f>
        <v>-1.1155768418710969E-2</v>
      </c>
      <c r="D57" s="100" t="s">
        <v>32</v>
      </c>
      <c r="E57" s="102">
        <f>(-E66*EXP(-E71*E68)*NORMDIST(E72,0,1,TRUE)*E69/(2*SQRT(E68))+(-E71)*E66*EXP(-E71*E68)*NORMDIST(-E72,0,1,TRUE)+E70*E67*EXP(-E70*E68)*NORMDIST(-E73,0,1,TRUE))/365</f>
        <v>-3.6616128860523227E-2</v>
      </c>
      <c r="F57" s="96"/>
      <c r="G57" s="99"/>
    </row>
    <row r="58" spans="2:30" ht="13.5" thickTop="1" x14ac:dyDescent="0.2"/>
    <row r="64" spans="2:30" ht="13.5" thickBot="1" x14ac:dyDescent="0.25">
      <c r="Z64" t="s">
        <v>115</v>
      </c>
      <c r="AA64" t="s">
        <v>116</v>
      </c>
      <c r="AB64" t="s">
        <v>118</v>
      </c>
      <c r="AC64" t="s">
        <v>117</v>
      </c>
    </row>
    <row r="65" spans="2:29" ht="19.5" thickTop="1" thickBot="1" x14ac:dyDescent="0.3">
      <c r="B65" s="106" t="s">
        <v>144</v>
      </c>
      <c r="C65" s="107" t="s">
        <v>148</v>
      </c>
      <c r="D65" s="106" t="s">
        <v>119</v>
      </c>
      <c r="E65" s="108" t="s">
        <v>149</v>
      </c>
      <c r="Z65">
        <v>33.46</v>
      </c>
      <c r="AA65" s="6">
        <v>32.47</v>
      </c>
      <c r="AB65">
        <v>32.409999999999997</v>
      </c>
      <c r="AC65">
        <v>31.41</v>
      </c>
    </row>
    <row r="66" spans="2:29" ht="19.5" thickTop="1" thickBot="1" x14ac:dyDescent="0.3">
      <c r="B66" s="109" t="s">
        <v>142</v>
      </c>
      <c r="C66" s="110">
        <v>74.5</v>
      </c>
      <c r="D66" s="109" t="s">
        <v>142</v>
      </c>
      <c r="E66" s="110">
        <v>74.5</v>
      </c>
      <c r="Z66">
        <v>33.06</v>
      </c>
      <c r="AA66">
        <v>32.1</v>
      </c>
      <c r="AB66">
        <v>32.090000000000003</v>
      </c>
      <c r="AC66">
        <v>31.2</v>
      </c>
    </row>
    <row r="67" spans="2:29" ht="19.5" thickTop="1" thickBot="1" x14ac:dyDescent="0.3">
      <c r="B67" s="111" t="s">
        <v>35</v>
      </c>
      <c r="C67" s="110">
        <v>88</v>
      </c>
      <c r="D67" s="111" t="s">
        <v>35</v>
      </c>
      <c r="E67" s="110">
        <v>63.017515919091181</v>
      </c>
      <c r="Z67">
        <v>33.729999999999997</v>
      </c>
      <c r="AA67">
        <v>32.96</v>
      </c>
      <c r="AB67">
        <v>32.92</v>
      </c>
      <c r="AC67">
        <v>32.18</v>
      </c>
    </row>
    <row r="68" spans="2:29" ht="19.5" thickTop="1" thickBot="1" x14ac:dyDescent="0.3">
      <c r="B68" s="111" t="s">
        <v>143</v>
      </c>
      <c r="C68" s="110">
        <f>180/365</f>
        <v>0.49315068493150682</v>
      </c>
      <c r="D68" s="111" t="s">
        <v>143</v>
      </c>
      <c r="E68" s="110">
        <f>180/360</f>
        <v>0.5</v>
      </c>
      <c r="Z68">
        <v>34.35</v>
      </c>
      <c r="AA68">
        <v>33.81</v>
      </c>
      <c r="AB68">
        <v>33.49</v>
      </c>
      <c r="AC68">
        <v>32.71</v>
      </c>
    </row>
    <row r="69" spans="2:29" ht="19.5" thickTop="1" thickBot="1" x14ac:dyDescent="0.3">
      <c r="B69" s="111" t="s">
        <v>59</v>
      </c>
      <c r="C69" s="110">
        <v>0.26</v>
      </c>
      <c r="D69" s="111" t="s">
        <v>59</v>
      </c>
      <c r="E69" s="110">
        <v>0.32</v>
      </c>
      <c r="Z69">
        <v>33.69</v>
      </c>
      <c r="AA69">
        <v>33.340000000000003</v>
      </c>
      <c r="AB69">
        <v>32.979999999999997</v>
      </c>
      <c r="AC69">
        <v>32.340000000000003</v>
      </c>
    </row>
    <row r="70" spans="2:29" ht="19.5" thickTop="1" thickBot="1" x14ac:dyDescent="0.3">
      <c r="B70" s="112" t="s">
        <v>121</v>
      </c>
      <c r="C70" s="110">
        <v>4.4999999999999998E-2</v>
      </c>
      <c r="D70" s="112" t="s">
        <v>121</v>
      </c>
      <c r="E70" s="110">
        <v>3.5499999999999997E-2</v>
      </c>
      <c r="Z70">
        <v>33.44</v>
      </c>
      <c r="AA70">
        <v>33.01</v>
      </c>
      <c r="AB70">
        <v>33.130000000000003</v>
      </c>
      <c r="AC70">
        <v>31.99</v>
      </c>
    </row>
    <row r="71" spans="2:29" ht="19.5" thickTop="1" thickBot="1" x14ac:dyDescent="0.3">
      <c r="B71" s="112" t="s">
        <v>122</v>
      </c>
      <c r="C71" s="110">
        <v>0</v>
      </c>
      <c r="D71" s="112" t="s">
        <v>122</v>
      </c>
      <c r="E71" s="110">
        <v>0</v>
      </c>
    </row>
    <row r="72" spans="2:29" ht="19.5" thickTop="1" thickBot="1" x14ac:dyDescent="0.3">
      <c r="B72" s="112" t="s">
        <v>10</v>
      </c>
      <c r="C72" s="110">
        <f>(LN(C66/C67)+(C70-C71+C69^2/2)*C68)/(C69*SQRT(C68))</f>
        <v>-0.69927968780673677</v>
      </c>
      <c r="D72" s="112" t="s">
        <v>10</v>
      </c>
      <c r="E72" s="110">
        <f>(LN(E66/E67)+(E70-E71+E69^2/2)*E68)/(E69*SQRT(E68))</f>
        <v>0.93133214097938388</v>
      </c>
    </row>
    <row r="73" spans="2:29" ht="19.5" thickTop="1" thickBot="1" x14ac:dyDescent="0.3">
      <c r="B73" s="115" t="s">
        <v>11</v>
      </c>
      <c r="C73" s="117">
        <f>C72-C69*SQRT(C68)</f>
        <v>-0.88186387743270045</v>
      </c>
      <c r="D73" s="115" t="s">
        <v>11</v>
      </c>
      <c r="E73" s="117">
        <f>E72-E69*SQRT(E68)</f>
        <v>0.7050579709996887</v>
      </c>
    </row>
    <row r="74" spans="2:29" ht="20.25" thickTop="1" thickBot="1" x14ac:dyDescent="0.35">
      <c r="B74" s="116" t="s">
        <v>150</v>
      </c>
      <c r="C74" s="120">
        <f>C66*EXP(-C71*C68)*NORMDIST(C72,0,1,TRUE)-C67*EXP(-C70*C68)*NORMDIST(C73,0,1,TRUE)</f>
        <v>1.7825182132212589</v>
      </c>
      <c r="D74" s="119" t="s">
        <v>126</v>
      </c>
      <c r="E74" s="118">
        <f>E67*EXP(-E70*E68)*NORMDIST(-E73,0,1,TRUE)-E66*EXP(-E71*E68)*NORMDIST(-E72,0,1,TRUE)</f>
        <v>1.7819350438367199</v>
      </c>
      <c r="R74" t="s">
        <v>101</v>
      </c>
      <c r="S74" t="s">
        <v>102</v>
      </c>
      <c r="T74" t="s">
        <v>103</v>
      </c>
      <c r="U74" t="s">
        <v>104</v>
      </c>
      <c r="V74" t="s">
        <v>105</v>
      </c>
      <c r="W74" t="s">
        <v>106</v>
      </c>
    </row>
    <row r="75" spans="2:29" ht="19.5" thickTop="1" thickBot="1" x14ac:dyDescent="0.3">
      <c r="B75" s="112" t="s">
        <v>15</v>
      </c>
      <c r="C75" s="113">
        <v>1000000</v>
      </c>
      <c r="D75" s="112" t="s">
        <v>15</v>
      </c>
      <c r="E75" s="114">
        <v>1000000</v>
      </c>
      <c r="Q75" t="s">
        <v>94</v>
      </c>
      <c r="R75">
        <v>31.1</v>
      </c>
      <c r="S75">
        <v>30.66</v>
      </c>
      <c r="T75">
        <v>30.7</v>
      </c>
      <c r="U75">
        <v>29.47</v>
      </c>
      <c r="V75">
        <v>29.02</v>
      </c>
      <c r="W75">
        <v>27.95</v>
      </c>
    </row>
    <row r="76" spans="2:29" ht="19.5" thickTop="1" thickBot="1" x14ac:dyDescent="0.3">
      <c r="B76" s="115" t="s">
        <v>38</v>
      </c>
      <c r="C76" s="124">
        <f>C74*C75</f>
        <v>1782518.2132212589</v>
      </c>
      <c r="D76" s="115" t="s">
        <v>145</v>
      </c>
      <c r="E76" s="125">
        <f>E74*E75</f>
        <v>1781935.0438367198</v>
      </c>
      <c r="Q76" t="s">
        <v>95</v>
      </c>
      <c r="R76">
        <v>29.95</v>
      </c>
      <c r="S76">
        <v>30.1</v>
      </c>
      <c r="T76">
        <v>30.16</v>
      </c>
      <c r="U76">
        <v>29.02</v>
      </c>
      <c r="V76">
        <v>28.6</v>
      </c>
      <c r="W76">
        <v>27.62</v>
      </c>
    </row>
    <row r="77" spans="2:29" ht="19.5" thickTop="1" thickBot="1" x14ac:dyDescent="0.3">
      <c r="B77" s="122" t="s">
        <v>146</v>
      </c>
      <c r="C77" s="123" t="s">
        <v>147</v>
      </c>
      <c r="D77" s="126" t="s">
        <v>39</v>
      </c>
      <c r="E77" s="105">
        <f>-E76+C76</f>
        <v>583.16938453912735</v>
      </c>
      <c r="Q77" t="s">
        <v>96</v>
      </c>
      <c r="R77">
        <v>31.78</v>
      </c>
      <c r="S77">
        <v>31.16</v>
      </c>
      <c r="T77">
        <v>30.89</v>
      </c>
      <c r="U77">
        <v>29.66</v>
      </c>
      <c r="V77">
        <v>29.39</v>
      </c>
      <c r="W77">
        <v>28.3</v>
      </c>
    </row>
    <row r="78" spans="2:29" ht="13.5" thickTop="1" x14ac:dyDescent="0.2">
      <c r="Q78" t="s">
        <v>97</v>
      </c>
      <c r="R78">
        <v>32.19</v>
      </c>
      <c r="S78">
        <v>31.76</v>
      </c>
      <c r="T78">
        <v>31.81</v>
      </c>
      <c r="U78">
        <v>30.63</v>
      </c>
      <c r="V78">
        <v>30.36</v>
      </c>
      <c r="W78">
        <v>29.05</v>
      </c>
    </row>
    <row r="79" spans="2:29" x14ac:dyDescent="0.2">
      <c r="Q79" t="s">
        <v>98</v>
      </c>
      <c r="R79">
        <v>31.91</v>
      </c>
      <c r="S79">
        <v>31.32</v>
      </c>
      <c r="T79">
        <v>31.31</v>
      </c>
      <c r="U79">
        <v>30.29</v>
      </c>
      <c r="V79">
        <v>29.8</v>
      </c>
      <c r="W79">
        <v>28.67</v>
      </c>
    </row>
    <row r="80" spans="2:29" x14ac:dyDescent="0.2">
      <c r="Q80" t="s">
        <v>99</v>
      </c>
      <c r="R80">
        <v>31.09</v>
      </c>
      <c r="S80">
        <v>31.04</v>
      </c>
      <c r="T80">
        <v>30.94</v>
      </c>
      <c r="U80">
        <v>30.06</v>
      </c>
      <c r="V80">
        <v>29.7</v>
      </c>
      <c r="W80">
        <v>28.52</v>
      </c>
    </row>
    <row r="81" spans="17:23" x14ac:dyDescent="0.2">
      <c r="Q81" t="s">
        <v>100</v>
      </c>
      <c r="R81">
        <v>30.28</v>
      </c>
      <c r="S81">
        <v>30.4</v>
      </c>
      <c r="T81">
        <v>30.61</v>
      </c>
      <c r="U81">
        <v>29.83</v>
      </c>
      <c r="V81">
        <v>29.35</v>
      </c>
      <c r="W81">
        <v>28.35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brent_zcc_strikes</vt:lpstr>
      <vt:lpstr>Sheet1</vt:lpstr>
      <vt:lpstr>brent_zcc_75%</vt:lpstr>
      <vt:lpstr>partial_hedge_picttures</vt:lpstr>
      <vt:lpstr>brent_zcc_50%</vt:lpstr>
      <vt:lpstr>zcc_fx_155</vt:lpstr>
      <vt:lpstr>zero cost pictures</vt:lpstr>
      <vt:lpstr>zero_cost_pictures</vt:lpstr>
      <vt:lpstr>brent_zcc</vt:lpstr>
      <vt:lpstr>case1</vt:lpstr>
      <vt:lpstr>zcc_forward_50_25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buraks</dc:creator>
  <cp:lastModifiedBy>burak saltoglu</cp:lastModifiedBy>
  <dcterms:created xsi:type="dcterms:W3CDTF">2009-01-01T13:13:10Z</dcterms:created>
  <dcterms:modified xsi:type="dcterms:W3CDTF">2023-08-01T14:23:29Z</dcterms:modified>
</cp:coreProperties>
</file>