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kaikazuhiro/Documents/GitHub/excel_io/33330B検討/"/>
    </mc:Choice>
  </mc:AlternateContent>
  <xr:revisionPtr revIDLastSave="0" documentId="13_ncr:1_{B49EAFF3-68C4-254E-AC6A-B5E7BC10F0B6}" xr6:coauthVersionLast="47" xr6:coauthVersionMax="47" xr10:uidLastSave="{00000000-0000-0000-0000-000000000000}"/>
  <bookViews>
    <workbookView xWindow="13240" yWindow="560" windowWidth="12160" windowHeight="14060" activeTab="2" xr2:uid="{0714F30A-78F2-C34F-8078-D79F488F0AD1}"/>
  </bookViews>
  <sheets>
    <sheet name="Sheet1" sheetId="1" r:id="rId1"/>
    <sheet name="Sheet2" sheetId="2" r:id="rId2"/>
    <sheet name="Sheet3" sheetId="3" r:id="rId3"/>
  </sheets>
  <definedNames>
    <definedName name="rl1k" localSheetId="1">Sheet2!$D$4</definedName>
    <definedName name="rl50k" localSheetId="1">Sheet2!$D$5</definedName>
    <definedName name="solver_adj" localSheetId="2" hidden="1">Sheet3!$H$1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Sheet3!$E$4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  <definedName name="v1k" localSheetId="1">Sheet2!$D$2</definedName>
    <definedName name="v50k" localSheetId="1">Sheet2!$D$3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E2" i="3" s="1"/>
  <c r="C3" i="3"/>
  <c r="D3" i="3" s="1"/>
  <c r="E3" i="3" s="1"/>
  <c r="C4" i="3"/>
  <c r="C1" i="3"/>
  <c r="C80" i="1"/>
  <c r="N11" i="3"/>
  <c r="N12" i="3"/>
  <c r="N13" i="3"/>
  <c r="N14" i="3"/>
  <c r="N15" i="3"/>
  <c r="N16" i="3"/>
  <c r="N17" i="3"/>
  <c r="N18" i="3"/>
  <c r="N10" i="3"/>
  <c r="D11" i="2"/>
  <c r="D6" i="2"/>
  <c r="D7" i="2" s="1"/>
  <c r="D10" i="2" s="1"/>
  <c r="D12" i="2" s="1"/>
  <c r="E80" i="1"/>
  <c r="E79" i="1"/>
  <c r="C78" i="1"/>
  <c r="K10" i="1"/>
  <c r="S5" i="1"/>
  <c r="S6" i="1"/>
  <c r="S7" i="1"/>
  <c r="S8" i="1"/>
  <c r="S4" i="1"/>
  <c r="V63" i="1"/>
  <c r="Q7" i="1"/>
  <c r="Q8" i="1"/>
  <c r="V67" i="1"/>
  <c r="Q5" i="1" s="1"/>
  <c r="V69" i="1"/>
  <c r="V66" i="1"/>
  <c r="Q4" i="1" s="1"/>
  <c r="V68" i="1"/>
  <c r="Q6" i="1" s="1"/>
  <c r="V70" i="1"/>
  <c r="L12" i="1"/>
  <c r="J12" i="1"/>
  <c r="K4" i="1" s="1"/>
  <c r="L4" i="1" s="1"/>
  <c r="K64" i="1"/>
  <c r="K68" i="1"/>
  <c r="K67" i="1"/>
  <c r="K66" i="1"/>
  <c r="K65" i="1"/>
  <c r="J64" i="1"/>
  <c r="J68" i="1"/>
  <c r="J66" i="1"/>
  <c r="J65" i="1"/>
  <c r="L62" i="1"/>
  <c r="L63" i="1"/>
  <c r="L67" i="1"/>
  <c r="L66" i="1"/>
  <c r="L65" i="1"/>
  <c r="L64" i="1"/>
  <c r="J44" i="1"/>
  <c r="J43" i="1"/>
  <c r="J41" i="1"/>
  <c r="J40" i="1"/>
  <c r="K39" i="1" l="1"/>
  <c r="N56" i="1"/>
  <c r="U56" i="1" s="1"/>
  <c r="K29" i="1"/>
  <c r="L29" i="1" s="1"/>
  <c r="K31" i="1"/>
  <c r="L31" i="1" s="1"/>
  <c r="M58" i="1"/>
  <c r="M59" i="1"/>
  <c r="K38" i="1"/>
  <c r="M39" i="1" s="1"/>
  <c r="P8" i="1" s="1"/>
  <c r="R8" i="1" s="1"/>
  <c r="O8" i="1" s="1"/>
  <c r="K37" i="1"/>
  <c r="M37" i="1" s="1"/>
  <c r="N59" i="1"/>
  <c r="N58" i="1"/>
  <c r="N60" i="1"/>
  <c r="P55" i="1"/>
  <c r="M55" i="1"/>
  <c r="K34" i="1"/>
  <c r="L34" i="1" s="1"/>
  <c r="N55" i="1"/>
  <c r="M60" i="1"/>
  <c r="K30" i="1"/>
  <c r="K3" i="1"/>
  <c r="L3" i="1" s="1"/>
  <c r="K8" i="1"/>
  <c r="L8" i="1" s="1"/>
  <c r="K7" i="1"/>
  <c r="L7" i="1" s="1"/>
  <c r="K6" i="1"/>
  <c r="L6" i="1" s="1"/>
  <c r="K5" i="1"/>
  <c r="L5" i="1" s="1"/>
  <c r="K28" i="1"/>
  <c r="L28" i="1" s="1"/>
  <c r="K36" i="1"/>
  <c r="L36" i="1" s="1"/>
  <c r="M56" i="1"/>
  <c r="K35" i="1"/>
  <c r="L35" i="1" s="1"/>
  <c r="M57" i="1"/>
  <c r="K33" i="1"/>
  <c r="L33" i="1" s="1"/>
  <c r="N57" i="1"/>
  <c r="K32" i="1"/>
  <c r="L32" i="1" s="1"/>
  <c r="M54" i="1"/>
  <c r="N54" i="1"/>
  <c r="P54" i="1"/>
  <c r="P60" i="1"/>
  <c r="P59" i="1"/>
  <c r="P58" i="1"/>
  <c r="P57" i="1"/>
  <c r="P56" i="1"/>
  <c r="M33" i="1" l="1"/>
  <c r="P7" i="1" s="1"/>
  <c r="R7" i="1" s="1"/>
  <c r="O7" i="1" s="1"/>
  <c r="M28" i="1"/>
  <c r="M31" i="1"/>
  <c r="P5" i="1" s="1"/>
  <c r="R5" i="1" s="1"/>
  <c r="O5" i="1" s="1"/>
  <c r="R56" i="1"/>
  <c r="T57" i="1"/>
  <c r="Q57" i="1"/>
  <c r="U60" i="1"/>
  <c r="R60" i="1"/>
  <c r="V60" i="1"/>
  <c r="S60" i="1"/>
  <c r="Q56" i="1"/>
  <c r="T56" i="1"/>
  <c r="L30" i="1"/>
  <c r="M30" i="1"/>
  <c r="P4" i="1" s="1"/>
  <c r="R4" i="1" s="1"/>
  <c r="O4" i="1" s="1"/>
  <c r="U55" i="1"/>
  <c r="R55" i="1"/>
  <c r="M29" i="1"/>
  <c r="M38" i="1"/>
  <c r="S57" i="1"/>
  <c r="V57" i="1"/>
  <c r="R57" i="1"/>
  <c r="U57" i="1"/>
  <c r="T55" i="1"/>
  <c r="Q55" i="1"/>
  <c r="M35" i="1"/>
  <c r="T59" i="1"/>
  <c r="Q59" i="1"/>
  <c r="V59" i="1"/>
  <c r="S59" i="1"/>
  <c r="R58" i="1"/>
  <c r="U58" i="1"/>
  <c r="V64" i="1" s="1"/>
  <c r="S54" i="1"/>
  <c r="V54" i="1"/>
  <c r="U59" i="1"/>
  <c r="R59" i="1"/>
  <c r="R54" i="1"/>
  <c r="U54" i="1"/>
  <c r="Q60" i="1"/>
  <c r="T60" i="1"/>
  <c r="M32" i="1"/>
  <c r="P6" i="1" s="1"/>
  <c r="R6" i="1" s="1"/>
  <c r="O6" i="1" s="1"/>
  <c r="T54" i="1"/>
  <c r="Q54" i="1"/>
  <c r="V56" i="1"/>
  <c r="S56" i="1"/>
  <c r="M34" i="1"/>
  <c r="S58" i="1"/>
  <c r="V58" i="1"/>
  <c r="V65" i="1" s="1"/>
  <c r="S55" i="1"/>
  <c r="V55" i="1"/>
  <c r="M36" i="1"/>
  <c r="Q58" i="1"/>
  <c r="T58" i="1"/>
  <c r="D1" i="3"/>
  <c r="E1" i="3" s="1"/>
  <c r="E4" i="3" s="1"/>
</calcChain>
</file>

<file path=xl/sharedStrings.xml><?xml version="1.0" encoding="utf-8"?>
<sst xmlns="http://schemas.openxmlformats.org/spreadsheetml/2006/main" count="101" uniqueCount="64">
  <si>
    <t>Pin(dBm)</t>
    <phoneticPr fontId="1"/>
  </si>
  <si>
    <t>Vout(mV)</t>
    <phoneticPr fontId="1"/>
  </si>
  <si>
    <t>RL=1kΩ</t>
    <phoneticPr fontId="1"/>
  </si>
  <si>
    <t>T(deg)</t>
    <phoneticPr fontId="1"/>
  </si>
  <si>
    <t>Sens(dB)</t>
    <phoneticPr fontId="1"/>
  </si>
  <si>
    <t>Pin=-20dBm</t>
    <phoneticPr fontId="1"/>
  </si>
  <si>
    <t>-25deg</t>
    <phoneticPr fontId="1"/>
  </si>
  <si>
    <t>25deg</t>
    <phoneticPr fontId="1"/>
  </si>
  <si>
    <t>100deg</t>
    <phoneticPr fontId="1"/>
  </si>
  <si>
    <t>RL=0.5kΩ</t>
    <phoneticPr fontId="1"/>
  </si>
  <si>
    <t>6次</t>
    <rPh sb="1" eb="2">
      <t xml:space="preserve">ジ </t>
    </rPh>
    <phoneticPr fontId="1"/>
  </si>
  <si>
    <t>5次</t>
    <rPh sb="1" eb="2">
      <t xml:space="preserve">ジ </t>
    </rPh>
    <phoneticPr fontId="1"/>
  </si>
  <si>
    <t>4次</t>
    <rPh sb="1" eb="2">
      <t xml:space="preserve">ジ </t>
    </rPh>
    <phoneticPr fontId="1"/>
  </si>
  <si>
    <t>3次</t>
    <rPh sb="1" eb="2">
      <t xml:space="preserve">ジ </t>
    </rPh>
    <phoneticPr fontId="1"/>
  </si>
  <si>
    <t>2次</t>
    <rPh sb="1" eb="2">
      <t xml:space="preserve">ジ </t>
    </rPh>
    <phoneticPr fontId="1"/>
  </si>
  <si>
    <t>1次</t>
    <rPh sb="1" eb="2">
      <t xml:space="preserve">ジ </t>
    </rPh>
    <phoneticPr fontId="1"/>
  </si>
  <si>
    <t>0次</t>
    <rPh sb="1" eb="2">
      <t xml:space="preserve">ジ </t>
    </rPh>
    <phoneticPr fontId="1"/>
  </si>
  <si>
    <t>多項式近似式</t>
    <rPh sb="0" eb="6">
      <t>タコウシキ</t>
    </rPh>
    <phoneticPr fontId="1"/>
  </si>
  <si>
    <t>多項式/読取値</t>
    <rPh sb="0" eb="3">
      <t>タコウシキ</t>
    </rPh>
    <rPh sb="4" eb="6">
      <t>ヨミトリ</t>
    </rPh>
    <rPh sb="6" eb="7">
      <t>ch</t>
    </rPh>
    <phoneticPr fontId="1"/>
  </si>
  <si>
    <t>多項式近似(dB)</t>
    <rPh sb="0" eb="5">
      <t>タコウシキ</t>
    </rPh>
    <phoneticPr fontId="1"/>
  </si>
  <si>
    <t>多項式近似(mV)</t>
    <rPh sb="0" eb="5">
      <t>タコウシキ</t>
    </rPh>
    <phoneticPr fontId="1"/>
  </si>
  <si>
    <t>-25deg(dB)</t>
    <phoneticPr fontId="1"/>
  </si>
  <si>
    <t>25deg(dB)</t>
    <phoneticPr fontId="1"/>
  </si>
  <si>
    <t>100deg(dB)</t>
    <phoneticPr fontId="1"/>
  </si>
  <si>
    <t>読取値</t>
    <rPh sb="0" eb="2">
      <t>ヨミトリ</t>
    </rPh>
    <rPh sb="2" eb="3">
      <t xml:space="preserve">チ </t>
    </rPh>
    <phoneticPr fontId="1"/>
  </si>
  <si>
    <t>Ta=25deg</t>
    <phoneticPr fontId="1"/>
  </si>
  <si>
    <t>基準</t>
    <rPh sb="0" eb="2">
      <t>キジュn</t>
    </rPh>
    <phoneticPr fontId="1"/>
  </si>
  <si>
    <t>温度</t>
    <rPh sb="0" eb="2">
      <t>オンド</t>
    </rPh>
    <phoneticPr fontId="1"/>
  </si>
  <si>
    <t>比率</t>
    <rPh sb="0" eb="2">
      <t>ヒリテゥ</t>
    </rPh>
    <phoneticPr fontId="1"/>
  </si>
  <si>
    <t>25deg基準</t>
    <rPh sb="5" eb="7">
      <t>キジュn</t>
    </rPh>
    <phoneticPr fontId="1"/>
  </si>
  <si>
    <t>任意の数値</t>
    <rPh sb="0" eb="2">
      <t>ニンイ</t>
    </rPh>
    <rPh sb="3" eb="5">
      <t>スウ</t>
    </rPh>
    <phoneticPr fontId="1"/>
  </si>
  <si>
    <t>-20dBm</t>
    <phoneticPr fontId="1"/>
  </si>
  <si>
    <t>Pin＝-20dBmでは、+60度の出力は20度の0.976倍</t>
    <rPh sb="16" eb="17">
      <t xml:space="preserve">ド </t>
    </rPh>
    <rPh sb="18" eb="20">
      <t>シュテゥ</t>
    </rPh>
    <rPh sb="23" eb="24">
      <t xml:space="preserve">ド </t>
    </rPh>
    <phoneticPr fontId="1"/>
  </si>
  <si>
    <t>Pin＝-20dBmでは、-20度の出力は20度の0.572倍</t>
    <rPh sb="16" eb="17">
      <t xml:space="preserve">ド </t>
    </rPh>
    <rPh sb="18" eb="20">
      <t>シュテゥ</t>
    </rPh>
    <rPh sb="23" eb="24">
      <t xml:space="preserve">ド </t>
    </rPh>
    <phoneticPr fontId="1"/>
  </si>
  <si>
    <t>温度特性</t>
    <rPh sb="0" eb="2">
      <t>オンド</t>
    </rPh>
    <rPh sb="2" eb="4">
      <t>トクセイ</t>
    </rPh>
    <phoneticPr fontId="1"/>
  </si>
  <si>
    <t>入力mW</t>
    <rPh sb="0" eb="2">
      <t>ニュウリョク</t>
    </rPh>
    <phoneticPr fontId="1"/>
  </si>
  <si>
    <t>→0dBm</t>
    <phoneticPr fontId="1"/>
  </si>
  <si>
    <t>変動</t>
    <rPh sb="0" eb="2">
      <t>ヘンドウ</t>
    </rPh>
    <phoneticPr fontId="1"/>
  </si>
  <si>
    <t>温度(度)</t>
    <rPh sb="0" eb="2">
      <t>オンド</t>
    </rPh>
    <rPh sb="3" eb="4">
      <t xml:space="preserve">ド </t>
    </rPh>
    <phoneticPr fontId="1"/>
  </si>
  <si>
    <t>多項式近似</t>
    <rPh sb="0" eb="3">
      <t>タコウシキ</t>
    </rPh>
    <rPh sb="3" eb="5">
      <t>キn</t>
    </rPh>
    <phoneticPr fontId="1"/>
  </si>
  <si>
    <t>ー</t>
    <phoneticPr fontId="1"/>
  </si>
  <si>
    <t>任意の値</t>
    <rPh sb="0" eb="2">
      <t>ニンイ</t>
    </rPh>
    <rPh sb="3" eb="4">
      <t>アタイ</t>
    </rPh>
    <phoneticPr fontId="1"/>
  </si>
  <si>
    <t>Pin＝0dBm</t>
    <phoneticPr fontId="1"/>
  </si>
  <si>
    <t>B</t>
    <phoneticPr fontId="1"/>
  </si>
  <si>
    <t>R</t>
    <phoneticPr fontId="1"/>
  </si>
  <si>
    <t>RT</t>
    <phoneticPr fontId="1"/>
  </si>
  <si>
    <t>T</t>
    <phoneticPr fontId="1"/>
  </si>
  <si>
    <t>v1k</t>
    <phoneticPr fontId="1"/>
  </si>
  <si>
    <t>v50k</t>
    <phoneticPr fontId="1"/>
  </si>
  <si>
    <t>r1k</t>
    <phoneticPr fontId="1"/>
  </si>
  <si>
    <t>r50k</t>
    <phoneticPr fontId="1"/>
  </si>
  <si>
    <t>ro</t>
    <phoneticPr fontId="1"/>
  </si>
  <si>
    <t>vo</t>
    <phoneticPr fontId="1"/>
  </si>
  <si>
    <t>ron20deg</t>
    <phoneticPr fontId="1"/>
  </si>
  <si>
    <t>vron20deg</t>
    <phoneticPr fontId="1"/>
  </si>
  <si>
    <t>vrln20deg</t>
    <phoneticPr fontId="1"/>
  </si>
  <si>
    <t>irln20deg</t>
    <phoneticPr fontId="1"/>
  </si>
  <si>
    <t>RL=1k</t>
    <phoneticPr fontId="1"/>
  </si>
  <si>
    <t>V</t>
    <phoneticPr fontId="1"/>
  </si>
  <si>
    <t>Ω</t>
    <phoneticPr fontId="1"/>
  </si>
  <si>
    <t>A</t>
    <phoneticPr fontId="1"/>
  </si>
  <si>
    <t>温度(℃)</t>
    <rPh sb="0" eb="2">
      <t>オンド</t>
    </rPh>
    <phoneticPr fontId="1"/>
  </si>
  <si>
    <t>抵抗値(Ω)</t>
    <rPh sb="0" eb="2">
      <t>テイコウ</t>
    </rPh>
    <rPh sb="2" eb="3">
      <t>ch</t>
    </rPh>
    <phoneticPr fontId="1"/>
  </si>
  <si>
    <t>近似値(Ω)</t>
    <rPh sb="0" eb="3">
      <t>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</si>
</sst>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90609089336611E-2"/>
          <c:y val="0.14100502512562815"/>
          <c:w val="0.89843527438726323"/>
          <c:h val="0.79829726058112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Vout(mV)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Sheet1!$I$3:$I$8</c:f>
              <c:numCache>
                <c:formatCode>General</c:formatCode>
                <c:ptCount val="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0.22</c:v>
                </c:pt>
                <c:pt idx="1">
                  <c:v>2.2000000000000002</c:v>
                </c:pt>
                <c:pt idx="2">
                  <c:v>18</c:v>
                </c:pt>
                <c:pt idx="3">
                  <c:v>110</c:v>
                </c:pt>
                <c:pt idx="4">
                  <c:v>450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C-DA4D-9E86-C934E959F00B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多項式近似(mV)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Sheet1!$I$3:$I$8</c:f>
              <c:numCache>
                <c:formatCode>General</c:formatCode>
                <c:ptCount val="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0.22130000000015571</c:v>
                </c:pt>
                <c:pt idx="1">
                  <c:v>2.231200000000058</c:v>
                </c:pt>
                <c:pt idx="2">
                  <c:v>17.999100000000027</c:v>
                </c:pt>
                <c:pt idx="3">
                  <c:v>110</c:v>
                </c:pt>
                <c:pt idx="4">
                  <c:v>450.04089999999997</c:v>
                </c:pt>
                <c:pt idx="5">
                  <c:v>1500.5688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93-3C4E-AFC4-80ACD45F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75359"/>
        <c:axId val="1024742655"/>
      </c:scatterChart>
      <c:valAx>
        <c:axId val="1146075359"/>
        <c:scaling>
          <c:orientation val="minMax"/>
          <c:max val="2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742655"/>
        <c:crossesAt val="0.01"/>
        <c:crossBetween val="midCat"/>
      </c:valAx>
      <c:valAx>
        <c:axId val="1024742655"/>
        <c:scaling>
          <c:logBase val="10"/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075359"/>
        <c:crossesAt val="-3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2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Sens(dB)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7954779033915723E-3"/>
                  <c:y val="0.3998092859082270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Sheet1!$I$28:$I$36</c:f>
              <c:numCache>
                <c:formatCode>General</c:formatCode>
                <c:ptCount val="9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Sheet1!$J$28:$J$36</c:f>
              <c:numCache>
                <c:formatCode>General</c:formatCode>
                <c:ptCount val="9"/>
                <c:pt idx="0">
                  <c:v>-14.8</c:v>
                </c:pt>
                <c:pt idx="1">
                  <c:v>-9.4</c:v>
                </c:pt>
                <c:pt idx="2">
                  <c:v>-4.7</c:v>
                </c:pt>
                <c:pt idx="3">
                  <c:v>-1.5</c:v>
                </c:pt>
                <c:pt idx="4">
                  <c:v>0</c:v>
                </c:pt>
                <c:pt idx="5">
                  <c:v>0.5</c:v>
                </c:pt>
                <c:pt idx="6">
                  <c:v>-0.1</c:v>
                </c:pt>
                <c:pt idx="7">
                  <c:v>-1.5</c:v>
                </c:pt>
                <c:pt idx="8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1-094F-A7CC-E8AC67D6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09664"/>
        <c:axId val="1384157792"/>
      </c:scatterChart>
      <c:valAx>
        <c:axId val="1385109664"/>
        <c:scaling>
          <c:orientation val="minMax"/>
          <c:max val="10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157792"/>
        <c:crossesAt val="-16"/>
        <c:crossBetween val="midCat"/>
      </c:valAx>
      <c:valAx>
        <c:axId val="13841577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109664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Sheet1!$J$53</c:f>
              <c:strCache>
                <c:ptCount val="1"/>
                <c:pt idx="0">
                  <c:v>-25deg(dB)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Sheet1!$I$54:$I$60</c:f>
              <c:numCache>
                <c:formatCode>General</c:formatCode>
                <c:ptCount val="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Sheet1!$J$54:$J$60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-0.2</c:v>
                </c:pt>
                <c:pt idx="4">
                  <c:v>-1.2</c:v>
                </c:pt>
                <c:pt idx="5">
                  <c:v>-2.7</c:v>
                </c:pt>
                <c:pt idx="6">
                  <c:v>-4.4000000000000004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9-A449-A944-730075F4F5B3}"/>
            </c:ext>
          </c:extLst>
        </c:ser>
        <c:ser>
          <c:idx val="1"/>
          <c:order val="1"/>
          <c:tx>
            <c:strRef>
              <c:f>Sheet1!$K$53</c:f>
              <c:strCache>
                <c:ptCount val="1"/>
                <c:pt idx="0">
                  <c:v>25deg(dB)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Sheet1!$I$54:$I$60</c:f>
              <c:numCache>
                <c:formatCode>General</c:formatCode>
                <c:ptCount val="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Sheet1!$K$54:$K$60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-0.7</c:v>
                </c:pt>
                <c:pt idx="4">
                  <c:v>-1.9</c:v>
                </c:pt>
                <c:pt idx="5">
                  <c:v>-3.6</c:v>
                </c:pt>
                <c:pt idx="6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9-A449-A944-730075F4F5B3}"/>
            </c:ext>
          </c:extLst>
        </c:ser>
        <c:ser>
          <c:idx val="2"/>
          <c:order val="2"/>
          <c:tx>
            <c:strRef>
              <c:f>Sheet1!$L$53</c:f>
              <c:strCache>
                <c:ptCount val="1"/>
                <c:pt idx="0">
                  <c:v>100deg(dB)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Sheet1!$I$54:$I$60</c:f>
              <c:numCache>
                <c:formatCode>General</c:formatCode>
                <c:ptCount val="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Sheet1!$L$54:$L$60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3.5</c:v>
                </c:pt>
                <c:pt idx="4">
                  <c:v>3.5</c:v>
                </c:pt>
                <c:pt idx="5">
                  <c:v>2.2000000000000002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E9-A449-A944-730075F4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22719"/>
        <c:axId val="1865901903"/>
      </c:scatterChart>
      <c:valAx>
        <c:axId val="1030622719"/>
        <c:scaling>
          <c:orientation val="minMax"/>
          <c:max val="1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901903"/>
        <c:crossesAt val="-10"/>
        <c:crossBetween val="midCat"/>
      </c:valAx>
      <c:valAx>
        <c:axId val="1865901903"/>
        <c:scaling>
          <c:orientation val="minMax"/>
          <c:max val="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22719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Sheet1!$V$62</c:f>
              <c:strCache>
                <c:ptCount val="1"/>
                <c:pt idx="0">
                  <c:v>比率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6601585161246055E-2"/>
                  <c:y val="-0.10214394973158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Sheet1!$U$63:$U$65</c:f>
              <c:numCache>
                <c:formatCode>General</c:formatCode>
                <c:ptCount val="3"/>
                <c:pt idx="0">
                  <c:v>-25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Sheet1!$V$63:$V$65</c:f>
              <c:numCache>
                <c:formatCode>General</c:formatCode>
                <c:ptCount val="3"/>
                <c:pt idx="0">
                  <c:v>1.0838021295068094</c:v>
                </c:pt>
                <c:pt idx="1">
                  <c:v>1</c:v>
                </c:pt>
                <c:pt idx="2">
                  <c:v>1.8600088045413543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E-6841-89B0-8E2CA819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25056"/>
        <c:axId val="1936826768"/>
      </c:scatterChart>
      <c:valAx>
        <c:axId val="1936825056"/>
        <c:scaling>
          <c:orientation val="minMax"/>
          <c:max val="10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826768"/>
        <c:crosses val="autoZero"/>
        <c:crossBetween val="midCat"/>
        <c:majorUnit val="10"/>
      </c:valAx>
      <c:valAx>
        <c:axId val="1936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825056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入力mW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6623584099905369E-2"/>
                  <c:y val="0.46316555505586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Sheet1!$N$4:$N$8</c:f>
              <c:numCache>
                <c:formatCode>General</c:formatCode>
                <c:ptCount val="5"/>
                <c:pt idx="0">
                  <c:v>-20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Sheet1!$O$4:$O$8</c:f>
              <c:numCache>
                <c:formatCode>General</c:formatCode>
                <c:ptCount val="5"/>
                <c:pt idx="0">
                  <c:v>66.232223495972292</c:v>
                </c:pt>
                <c:pt idx="1">
                  <c:v>88.546518162497264</c:v>
                </c:pt>
                <c:pt idx="2">
                  <c:v>108.34559999999999</c:v>
                </c:pt>
                <c:pt idx="3">
                  <c:v>123.92175648075532</c:v>
                </c:pt>
                <c:pt idx="4">
                  <c:v>134.78099150471863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D84E-972D-4A00D270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43392"/>
        <c:axId val="1937045104"/>
      </c:scatterChart>
      <c:valAx>
        <c:axId val="19370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045104"/>
        <c:crosses val="autoZero"/>
        <c:crossBetween val="midCat"/>
      </c:valAx>
      <c:valAx>
        <c:axId val="1937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0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Sheet3!$M$9</c:f>
              <c:strCache>
                <c:ptCount val="1"/>
                <c:pt idx="0">
                  <c:v>抵抗値(Ω)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Sheet3!$L$10:$L$18</c:f>
              <c:numCache>
                <c:formatCode>General</c:formatCode>
                <c:ptCount val="9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Sheet3!$M$10:$M$18</c:f>
              <c:numCache>
                <c:formatCode>General</c:formatCode>
                <c:ptCount val="9"/>
                <c:pt idx="0">
                  <c:v>365</c:v>
                </c:pt>
                <c:pt idx="4">
                  <c:v>315</c:v>
                </c:pt>
                <c:pt idx="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3D-8043-8B3C-49C6B9E9397C}"/>
            </c:ext>
          </c:extLst>
        </c:ser>
        <c:ser>
          <c:idx val="2"/>
          <c:order val="1"/>
          <c:tx>
            <c:strRef>
              <c:f>Sheet3!$N$9</c:f>
              <c:strCache>
                <c:ptCount val="1"/>
                <c:pt idx="0">
                  <c:v>近似値(Ω)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Sheet3!$L$10:$L$18</c:f>
              <c:numCache>
                <c:formatCode>General</c:formatCode>
                <c:ptCount val="9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Sheet3!$N$10:$N$18</c:f>
              <c:numCache>
                <c:formatCode>General</c:formatCode>
                <c:ptCount val="9"/>
                <c:pt idx="0">
                  <c:v>364.97369261542508</c:v>
                </c:pt>
                <c:pt idx="1">
                  <c:v>346.31942289925212</c:v>
                </c:pt>
                <c:pt idx="2">
                  <c:v>332.5</c:v>
                </c:pt>
                <c:pt idx="3">
                  <c:v>322.26231971692783</c:v>
                </c:pt>
                <c:pt idx="4">
                  <c:v>314.67805962571401</c:v>
                </c:pt>
                <c:pt idx="5">
                  <c:v>309.05950155975364</c:v>
                </c:pt>
                <c:pt idx="6">
                  <c:v>304.89717137053196</c:v>
                </c:pt>
                <c:pt idx="7">
                  <c:v>301.81364132586299</c:v>
                </c:pt>
                <c:pt idx="8">
                  <c:v>299.52930608475265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3D-8043-8B3C-49C6B9E9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47679"/>
        <c:axId val="1866427743"/>
      </c:scatterChart>
      <c:valAx>
        <c:axId val="1866347679"/>
        <c:scaling>
          <c:orientation val="minMax"/>
          <c:max val="6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427743"/>
        <c:crossesAt val="100"/>
        <c:crossBetween val="midCat"/>
      </c:valAx>
      <c:valAx>
        <c:axId val="1866427743"/>
        <c:scaling>
          <c:logBase val="10"/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47679"/>
        <c:crossesAt val="-2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288925</xdr:colOff>
      <xdr:row>24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0E8FC4-87DB-07FF-63BE-1C777CE7A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59600" cy="6172200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2</xdr:row>
      <xdr:rowOff>0</xdr:rowOff>
    </xdr:from>
    <xdr:to>
      <xdr:col>6</xdr:col>
      <xdr:colOff>609600</xdr:colOff>
      <xdr:row>20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2D75E7-0603-3292-EDE5-D70819A9D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238125</xdr:colOff>
      <xdr:row>50</xdr:row>
      <xdr:rowOff>25400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9EB0C83-061E-6653-8933-40AD44B4B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50000"/>
          <a:ext cx="6908800" cy="6400800"/>
        </a:xfrm>
        <a:prstGeom prst="rect">
          <a:avLst/>
        </a:prstGeom>
      </xdr:spPr>
    </xdr:pic>
    <xdr:clientData/>
  </xdr:twoCellAnchor>
  <xdr:twoCellAnchor>
    <xdr:from>
      <xdr:col>0</xdr:col>
      <xdr:colOff>654050</xdr:colOff>
      <xdr:row>27</xdr:row>
      <xdr:rowOff>196850</xdr:rowOff>
    </xdr:from>
    <xdr:to>
      <xdr:col>7</xdr:col>
      <xdr:colOff>165100</xdr:colOff>
      <xdr:row>45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FB8C802-5AB7-E1D7-D697-6E2C32DE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7</xdr:col>
      <xdr:colOff>136525</xdr:colOff>
      <xdr:row>72</xdr:row>
      <xdr:rowOff>127000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8D922BF-5F6F-EB4E-D0F7-0644E04CF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54000"/>
          <a:ext cx="6807200" cy="5308600"/>
        </a:xfrm>
        <a:prstGeom prst="rect">
          <a:avLst/>
        </a:prstGeom>
      </xdr:spPr>
    </xdr:pic>
    <xdr:clientData/>
  </xdr:twoCellAnchor>
  <xdr:twoCellAnchor>
    <xdr:from>
      <xdr:col>0</xdr:col>
      <xdr:colOff>615950</xdr:colOff>
      <xdr:row>50</xdr:row>
      <xdr:rowOff>165100</xdr:rowOff>
    </xdr:from>
    <xdr:to>
      <xdr:col>7</xdr:col>
      <xdr:colOff>88900</xdr:colOff>
      <xdr:row>69</xdr:row>
      <xdr:rowOff>254000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DC278-5E08-2255-F492-600419CF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214086</xdr:colOff>
      <xdr:row>60</xdr:row>
      <xdr:rowOff>250372</xdr:rowOff>
    </xdr:from>
    <xdr:to>
      <xdr:col>18</xdr:col>
      <xdr:colOff>833046</xdr:colOff>
      <xdr:row>72</xdr:row>
      <xdr:rowOff>235857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ABCA1B-1A21-6131-2894-40B80D3A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</xdr:colOff>
      <xdr:row>9</xdr:row>
      <xdr:rowOff>6349</xdr:rowOff>
    </xdr:from>
    <xdr:to>
      <xdr:col>17</xdr:col>
      <xdr:colOff>571500</xdr:colOff>
      <xdr:row>23</xdr:row>
      <xdr:rowOff>72570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25978A9-0F8C-6463-3777-9D1FAAD87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8</xdr:col>
      <xdr:colOff>190500</xdr:colOff>
      <xdr:row>28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082CD8A-EC2C-C633-4EDD-7F61A259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858000" cy="5308600"/>
        </a:xfrm>
        <a:prstGeom prst="rect">
          <a:avLst/>
        </a:prstGeom>
      </xdr:spPr>
    </xdr:pic>
    <xdr:clientData/>
  </xdr:twoCellAnchor>
  <xdr:twoCellAnchor>
    <xdr:from>
      <xdr:col>2</xdr:col>
      <xdr:colOff>939800</xdr:colOff>
      <xdr:row>13</xdr:row>
      <xdr:rowOff>139700</xdr:rowOff>
    </xdr:from>
    <xdr:to>
      <xdr:col>6</xdr:col>
      <xdr:colOff>546100</xdr:colOff>
      <xdr:row>25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BA8EDE-A502-C914-8669-3359C2BDA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9413-F268-9346-B6C8-52FEA097E503}">
  <dimension ref="B1:V80"/>
  <sheetViews>
    <sheetView topLeftCell="A59" zoomScale="80" zoomScaleNormal="80" workbookViewId="0">
      <selection activeCell="D83" sqref="D83"/>
    </sheetView>
  </sheetViews>
  <sheetFormatPr baseColWidth="10" defaultRowHeight="20"/>
  <cols>
    <col min="3" max="3" width="10.7109375" customWidth="1"/>
    <col min="8" max="8" width="6.5703125" customWidth="1"/>
    <col min="9" max="9" width="9.28515625" style="1" bestFit="1" customWidth="1"/>
    <col min="10" max="10" width="12.7109375" style="1" bestFit="1" customWidth="1"/>
    <col min="11" max="11" width="13.85546875" style="1" bestFit="1" customWidth="1"/>
    <col min="12" max="12" width="13.5703125" style="1" customWidth="1"/>
    <col min="13" max="13" width="11" style="1" bestFit="1" customWidth="1"/>
    <col min="14" max="14" width="10.42578125" style="1" bestFit="1" customWidth="1"/>
    <col min="15" max="15" width="10.42578125" style="1" customWidth="1"/>
    <col min="16" max="16" width="11.7109375" style="1" customWidth="1"/>
    <col min="17" max="20" width="12.7109375" style="1" bestFit="1" customWidth="1"/>
    <col min="21" max="21" width="6.7109375" style="1" bestFit="1" customWidth="1"/>
    <col min="22" max="22" width="12.7109375" style="1" bestFit="1" customWidth="1"/>
  </cols>
  <sheetData>
    <row r="1" spans="9:20">
      <c r="I1" s="1" t="s">
        <v>2</v>
      </c>
      <c r="J1" s="1" t="s">
        <v>25</v>
      </c>
    </row>
    <row r="2" spans="9:20">
      <c r="I2" s="1" t="s">
        <v>0</v>
      </c>
      <c r="J2" s="1" t="s">
        <v>1</v>
      </c>
      <c r="K2" s="1" t="s">
        <v>20</v>
      </c>
      <c r="L2" s="1" t="s">
        <v>18</v>
      </c>
      <c r="N2" s="14"/>
      <c r="O2" s="14">
        <v>110</v>
      </c>
      <c r="P2" s="14" t="s">
        <v>34</v>
      </c>
      <c r="Q2" s="14" t="s">
        <v>37</v>
      </c>
      <c r="R2" s="14"/>
      <c r="S2" s="14" t="s">
        <v>39</v>
      </c>
    </row>
    <row r="3" spans="9:20">
      <c r="I3" s="1">
        <v>-30</v>
      </c>
      <c r="J3" s="1">
        <v>0.22</v>
      </c>
      <c r="K3" s="1">
        <f t="shared" ref="K3:K8" si="0">J$12*I3^5+J$13*I3^4+J$14*I3^3+J$15*I3^2+J$16*I3+J$17</f>
        <v>0.22130000000015571</v>
      </c>
      <c r="L3" s="1">
        <f>K3/J3</f>
        <v>1.0059090909097987</v>
      </c>
      <c r="N3" s="14" t="s">
        <v>38</v>
      </c>
      <c r="O3" s="14" t="s">
        <v>35</v>
      </c>
      <c r="P3" s="15" t="s">
        <v>31</v>
      </c>
      <c r="Q3" s="14" t="s">
        <v>36</v>
      </c>
      <c r="R3" s="14"/>
      <c r="S3" s="14" t="s">
        <v>35</v>
      </c>
    </row>
    <row r="4" spans="9:20">
      <c r="I4" s="1">
        <v>-20</v>
      </c>
      <c r="J4" s="1">
        <v>2.2000000000000002</v>
      </c>
      <c r="K4" s="1">
        <f t="shared" si="0"/>
        <v>2.231200000000058</v>
      </c>
      <c r="L4" s="1">
        <f t="shared" ref="L4:L8" si="1">K4/J4</f>
        <v>1.0141818181818445</v>
      </c>
      <c r="N4" s="16">
        <v>-20</v>
      </c>
      <c r="O4" s="14">
        <f>R4*$O$2</f>
        <v>66.232223495972292</v>
      </c>
      <c r="P4" s="14">
        <f>M30</f>
        <v>0.57247957964807283</v>
      </c>
      <c r="Q4" s="14">
        <f>V66</f>
        <v>1.05176</v>
      </c>
      <c r="R4" s="14">
        <f>P4*Q4</f>
        <v>0.60211112269065714</v>
      </c>
      <c r="S4" s="14">
        <f>$T$10*N4^2+$T$11*N4+$T$12</f>
        <v>66.012</v>
      </c>
    </row>
    <row r="5" spans="9:20">
      <c r="I5" s="1">
        <v>-10</v>
      </c>
      <c r="J5" s="1">
        <v>18</v>
      </c>
      <c r="K5" s="1">
        <f t="shared" si="0"/>
        <v>17.999100000000027</v>
      </c>
      <c r="L5" s="1">
        <f t="shared" si="1"/>
        <v>0.99995000000000145</v>
      </c>
      <c r="N5" s="14">
        <v>0</v>
      </c>
      <c r="O5" s="14">
        <f>R5*$O$2</f>
        <v>88.546518162497264</v>
      </c>
      <c r="P5" s="14">
        <f>M31</f>
        <v>0.82459367643084747</v>
      </c>
      <c r="Q5" s="14">
        <f>V67</f>
        <v>0.97619999999999996</v>
      </c>
      <c r="R5" s="14">
        <f t="shared" ref="R5:R8" si="2">P5*Q5</f>
        <v>0.80496834693179331</v>
      </c>
      <c r="S5" s="14">
        <f t="shared" ref="S5:S8" si="3">$T$10*N5^2+$T$11*N5+$T$12</f>
        <v>89.055999999999997</v>
      </c>
    </row>
    <row r="6" spans="9:20">
      <c r="I6" s="1">
        <v>0</v>
      </c>
      <c r="J6" s="1">
        <v>110</v>
      </c>
      <c r="K6" s="1">
        <f t="shared" si="0"/>
        <v>110</v>
      </c>
      <c r="L6" s="1">
        <f t="shared" si="1"/>
        <v>1</v>
      </c>
      <c r="N6" s="16">
        <v>20</v>
      </c>
      <c r="O6" s="14">
        <f>R6*$O$2</f>
        <v>108.34559999999999</v>
      </c>
      <c r="P6" s="14">
        <f>M32</f>
        <v>1</v>
      </c>
      <c r="Q6" s="14">
        <f>V68</f>
        <v>0.98495999999999995</v>
      </c>
      <c r="R6" s="14">
        <f t="shared" si="2"/>
        <v>0.98495999999999995</v>
      </c>
      <c r="S6" s="14">
        <f t="shared" si="3"/>
        <v>108.25999999999999</v>
      </c>
    </row>
    <row r="7" spans="9:20">
      <c r="I7" s="1">
        <v>10</v>
      </c>
      <c r="J7" s="1">
        <v>450</v>
      </c>
      <c r="K7" s="1">
        <f t="shared" si="0"/>
        <v>450.04089999999997</v>
      </c>
      <c r="L7" s="1">
        <f t="shared" si="1"/>
        <v>1.0000908888888889</v>
      </c>
      <c r="N7" s="14">
        <v>40</v>
      </c>
      <c r="O7" s="14">
        <f>R7*$O$2</f>
        <v>123.92175648075532</v>
      </c>
      <c r="P7" s="14">
        <f>M33</f>
        <v>1.0450089259696498</v>
      </c>
      <c r="Q7" s="14">
        <f>V69</f>
        <v>1.0780399999999999</v>
      </c>
      <c r="R7" s="14">
        <f t="shared" si="2"/>
        <v>1.1265614225523211</v>
      </c>
      <c r="S7" s="14">
        <f t="shared" si="3"/>
        <v>123.624</v>
      </c>
    </row>
    <row r="8" spans="9:20">
      <c r="I8" s="1">
        <v>20</v>
      </c>
      <c r="J8" s="1">
        <v>1500</v>
      </c>
      <c r="K8" s="1">
        <f t="shared" si="0"/>
        <v>1500.5688</v>
      </c>
      <c r="L8" s="1">
        <f t="shared" si="1"/>
        <v>1.0003792</v>
      </c>
      <c r="N8" s="16">
        <v>60</v>
      </c>
      <c r="O8" s="14">
        <f>R8*$O$2</f>
        <v>134.78099150471863</v>
      </c>
      <c r="P8" s="14">
        <f>M39</f>
        <v>0.97597793678072042</v>
      </c>
      <c r="Q8" s="14">
        <f>V70</f>
        <v>1.2554399999999999</v>
      </c>
      <c r="R8" s="14">
        <f t="shared" si="2"/>
        <v>1.2252817409519876</v>
      </c>
      <c r="S8" s="14">
        <f t="shared" si="3"/>
        <v>135.148</v>
      </c>
    </row>
    <row r="10" spans="9:20">
      <c r="I10" s="1">
        <v>5</v>
      </c>
      <c r="J10" s="1" t="s">
        <v>40</v>
      </c>
      <c r="K10" s="1">
        <f>J$12*I10^5+J$13*I10^4+J$14*I10^3+J$15*I10^2+J$16*I10+J$17</f>
        <v>229.04909062499999</v>
      </c>
      <c r="L10" s="1" t="s">
        <v>41</v>
      </c>
      <c r="S10" s="1" t="s">
        <v>14</v>
      </c>
      <c r="T10" s="1">
        <v>-4.7999999999999996E-3</v>
      </c>
    </row>
    <row r="11" spans="9:20">
      <c r="S11" s="1" t="s">
        <v>15</v>
      </c>
      <c r="T11" s="1">
        <v>1.0562</v>
      </c>
    </row>
    <row r="12" spans="9:20">
      <c r="I12" s="1" t="s">
        <v>11</v>
      </c>
      <c r="J12" s="1">
        <f>0.000015109</f>
        <v>1.5109000000000001E-5</v>
      </c>
      <c r="L12" s="1">
        <f>0.000015109</f>
        <v>1.5109000000000001E-5</v>
      </c>
      <c r="S12" s="1" t="s">
        <v>16</v>
      </c>
      <c r="T12" s="1">
        <v>89.055999999999997</v>
      </c>
    </row>
    <row r="13" spans="9:20">
      <c r="I13" s="1" t="s">
        <v>12</v>
      </c>
      <c r="J13" s="1">
        <v>1.2110000000000001E-3</v>
      </c>
      <c r="L13" s="1">
        <v>1.2110000000000001E-3</v>
      </c>
    </row>
    <row r="14" spans="9:20">
      <c r="I14" s="1" t="s">
        <v>13</v>
      </c>
      <c r="J14" s="1">
        <v>4.53E-2</v>
      </c>
    </row>
    <row r="15" spans="9:20">
      <c r="I15" s="1" t="s">
        <v>14</v>
      </c>
      <c r="J15" s="1">
        <v>1.1191</v>
      </c>
    </row>
    <row r="16" spans="9:20">
      <c r="I16" s="1" t="s">
        <v>15</v>
      </c>
      <c r="J16" s="1">
        <v>16.920999999999999</v>
      </c>
    </row>
    <row r="17" spans="9:13">
      <c r="I17" s="1" t="s">
        <v>16</v>
      </c>
      <c r="J17" s="1">
        <v>110</v>
      </c>
    </row>
    <row r="25" spans="9:13">
      <c r="I25" s="1" t="s">
        <v>5</v>
      </c>
    </row>
    <row r="26" spans="9:13">
      <c r="I26" s="1" t="s">
        <v>2</v>
      </c>
    </row>
    <row r="27" spans="9:13">
      <c r="I27" s="1" t="s">
        <v>3</v>
      </c>
      <c r="J27" s="1" t="s">
        <v>4</v>
      </c>
      <c r="K27" s="1" t="s">
        <v>19</v>
      </c>
      <c r="L27" s="1" t="s">
        <v>18</v>
      </c>
      <c r="M27" s="1" t="s">
        <v>29</v>
      </c>
    </row>
    <row r="28" spans="9:13">
      <c r="I28" s="1">
        <v>-60</v>
      </c>
      <c r="J28" s="1">
        <v>-14.8</v>
      </c>
      <c r="K28" s="1">
        <f t="shared" ref="K28:K39" si="4">$J$40*I28^5+$J$41*I28^4+$J$42*I28^3+$J$43*I28^2+$J$44*I28+$J$45</f>
        <v>-14.620799999999999</v>
      </c>
      <c r="L28" s="1">
        <f>10^((K28-J28)/20)</f>
        <v>1.0208454560364395</v>
      </c>
      <c r="M28" s="1">
        <f t="shared" ref="M28:M39" si="5">10^((K28-K$38)/20)</f>
        <v>0.18311334663424672</v>
      </c>
    </row>
    <row r="29" spans="9:13" ht="21" thickBot="1">
      <c r="I29" s="1">
        <v>-40</v>
      </c>
      <c r="J29" s="1">
        <v>-9.4</v>
      </c>
      <c r="K29" s="1">
        <f t="shared" si="4"/>
        <v>-9.2783999999999995</v>
      </c>
      <c r="L29" s="1">
        <f t="shared" ref="L29:L36" si="6">10^((K29-J29)/20)</f>
        <v>1.0140981723192244</v>
      </c>
      <c r="M29" s="1">
        <f t="shared" si="5"/>
        <v>0.33871934433135503</v>
      </c>
    </row>
    <row r="30" spans="9:13">
      <c r="I30" s="1">
        <v>-20</v>
      </c>
      <c r="J30" s="1">
        <v>-4.7</v>
      </c>
      <c r="K30" s="1">
        <f t="shared" si="4"/>
        <v>-4.72</v>
      </c>
      <c r="L30" s="1">
        <f t="shared" si="6"/>
        <v>0.99770006382255338</v>
      </c>
      <c r="M30" s="11">
        <f t="shared" si="5"/>
        <v>0.57247957964807283</v>
      </c>
    </row>
    <row r="31" spans="9:13">
      <c r="I31" s="1">
        <v>0</v>
      </c>
      <c r="J31" s="1">
        <v>-1.5</v>
      </c>
      <c r="K31" s="1">
        <f t="shared" si="4"/>
        <v>-1.5504</v>
      </c>
      <c r="L31" s="1">
        <f t="shared" si="6"/>
        <v>0.99421428763873665</v>
      </c>
      <c r="M31" s="12">
        <f t="shared" si="5"/>
        <v>0.82459367643084747</v>
      </c>
    </row>
    <row r="32" spans="9:13">
      <c r="I32" s="1">
        <v>20</v>
      </c>
      <c r="J32" s="1">
        <v>0</v>
      </c>
      <c r="K32" s="1">
        <f t="shared" si="4"/>
        <v>0.1247999999999998</v>
      </c>
      <c r="L32" s="1">
        <f t="shared" si="6"/>
        <v>1.0144718487222415</v>
      </c>
      <c r="M32" s="12">
        <f t="shared" si="5"/>
        <v>1</v>
      </c>
    </row>
    <row r="33" spans="9:15">
      <c r="I33" s="1">
        <v>40</v>
      </c>
      <c r="J33" s="1">
        <v>0.5</v>
      </c>
      <c r="K33" s="1">
        <f t="shared" si="4"/>
        <v>0.50719999999999987</v>
      </c>
      <c r="L33" s="1">
        <f t="shared" si="6"/>
        <v>1.0008292742914251</v>
      </c>
      <c r="M33" s="12">
        <f t="shared" si="5"/>
        <v>1.0450089259696498</v>
      </c>
    </row>
    <row r="34" spans="9:15" ht="21" thickBot="1">
      <c r="I34" s="1">
        <v>60</v>
      </c>
      <c r="J34" s="1">
        <v>-0.1</v>
      </c>
      <c r="K34" s="1">
        <f t="shared" si="4"/>
        <v>-8.6400000000000476E-2</v>
      </c>
      <c r="L34" s="1">
        <f t="shared" si="6"/>
        <v>1.0015669843020976</v>
      </c>
      <c r="M34" s="13">
        <f t="shared" si="5"/>
        <v>0.97597793678072042</v>
      </c>
    </row>
    <row r="35" spans="9:15">
      <c r="I35" s="1">
        <v>80</v>
      </c>
      <c r="J35" s="1">
        <v>-1.5</v>
      </c>
      <c r="K35" s="1">
        <f t="shared" si="4"/>
        <v>-1.4160000000000006</v>
      </c>
      <c r="L35" s="1">
        <f t="shared" si="6"/>
        <v>1.009717771242342</v>
      </c>
      <c r="M35" s="1">
        <f t="shared" si="5"/>
        <v>0.83745214638157051</v>
      </c>
    </row>
    <row r="36" spans="9:15">
      <c r="I36" s="1">
        <v>100</v>
      </c>
      <c r="J36" s="1">
        <v>-3.4</v>
      </c>
      <c r="K36" s="1">
        <f t="shared" si="4"/>
        <v>-3.5104000000000006</v>
      </c>
      <c r="L36" s="1">
        <f t="shared" si="6"/>
        <v>0.98737016462341587</v>
      </c>
      <c r="M36" s="1">
        <f t="shared" si="5"/>
        <v>0.65802137294658525</v>
      </c>
    </row>
    <row r="37" spans="9:15">
      <c r="I37" s="4">
        <v>-20</v>
      </c>
      <c r="K37" s="4">
        <f t="shared" si="4"/>
        <v>-4.72</v>
      </c>
      <c r="M37" s="7">
        <f t="shared" si="5"/>
        <v>0.57247957964807283</v>
      </c>
      <c r="N37" s="9" t="s">
        <v>33</v>
      </c>
      <c r="O37" s="9"/>
    </row>
    <row r="38" spans="9:15">
      <c r="I38" s="4">
        <v>20</v>
      </c>
      <c r="J38" s="1" t="s">
        <v>26</v>
      </c>
      <c r="K38" s="4">
        <f t="shared" si="4"/>
        <v>0.1247999999999998</v>
      </c>
      <c r="M38" s="7">
        <f t="shared" si="5"/>
        <v>1</v>
      </c>
    </row>
    <row r="39" spans="9:15">
      <c r="I39" s="4">
        <v>60</v>
      </c>
      <c r="K39" s="4">
        <f t="shared" si="4"/>
        <v>-8.6400000000000476E-2</v>
      </c>
      <c r="M39" s="7">
        <f t="shared" si="5"/>
        <v>0.97597793678072042</v>
      </c>
      <c r="N39" s="9" t="s">
        <v>32</v>
      </c>
      <c r="O39" s="9"/>
    </row>
    <row r="40" spans="9:15">
      <c r="I40" s="1" t="s">
        <v>11</v>
      </c>
      <c r="J40" s="1">
        <f>-0.0000000005</f>
        <v>-5.0000000000000003E-10</v>
      </c>
    </row>
    <row r="41" spans="9:15">
      <c r="I41" s="1" t="s">
        <v>12</v>
      </c>
      <c r="J41" s="1">
        <f>0.00000008</f>
        <v>8.0000000000000002E-8</v>
      </c>
    </row>
    <row r="42" spans="9:15">
      <c r="I42" s="1" t="s">
        <v>13</v>
      </c>
      <c r="J42" s="2">
        <v>1.9999999999999999E-6</v>
      </c>
    </row>
    <row r="43" spans="9:15">
      <c r="I43" s="1" t="s">
        <v>14</v>
      </c>
      <c r="J43" s="1">
        <f>-0.0019</f>
        <v>-1.9E-3</v>
      </c>
    </row>
    <row r="44" spans="9:15">
      <c r="I44" s="1" t="s">
        <v>15</v>
      </c>
      <c r="J44" s="1">
        <f>0.1204</f>
        <v>0.12039999999999999</v>
      </c>
    </row>
    <row r="45" spans="9:15">
      <c r="I45" s="1" t="s">
        <v>16</v>
      </c>
      <c r="J45" s="1">
        <v>-1.5504</v>
      </c>
    </row>
    <row r="52" spans="9:22">
      <c r="I52" s="1" t="s">
        <v>9</v>
      </c>
      <c r="J52" s="18" t="s">
        <v>24</v>
      </c>
      <c r="K52" s="18"/>
      <c r="L52" s="18"/>
      <c r="M52" s="18" t="s">
        <v>17</v>
      </c>
      <c r="N52" s="18"/>
      <c r="O52" s="18"/>
      <c r="P52" s="18"/>
      <c r="Q52" s="18" t="s">
        <v>18</v>
      </c>
      <c r="R52" s="18"/>
      <c r="S52" s="18"/>
      <c r="U52" s="1" t="s">
        <v>26</v>
      </c>
    </row>
    <row r="53" spans="9:22">
      <c r="I53" s="1" t="s">
        <v>0</v>
      </c>
      <c r="J53" s="3" t="s">
        <v>21</v>
      </c>
      <c r="K53" s="4" t="s">
        <v>22</v>
      </c>
      <c r="L53" s="5" t="s">
        <v>23</v>
      </c>
      <c r="M53" s="3" t="s">
        <v>21</v>
      </c>
      <c r="N53" s="4" t="s">
        <v>22</v>
      </c>
      <c r="O53" s="4"/>
      <c r="P53" s="5" t="s">
        <v>23</v>
      </c>
      <c r="Q53" s="3" t="s">
        <v>6</v>
      </c>
      <c r="R53" s="4" t="s">
        <v>7</v>
      </c>
      <c r="S53" s="5" t="s">
        <v>8</v>
      </c>
      <c r="T53" s="3" t="s">
        <v>6</v>
      </c>
      <c r="U53" s="4" t="s">
        <v>7</v>
      </c>
      <c r="V53" s="5" t="s">
        <v>8</v>
      </c>
    </row>
    <row r="54" spans="9:22">
      <c r="I54" s="1">
        <v>-20</v>
      </c>
      <c r="J54" s="1">
        <v>0</v>
      </c>
      <c r="K54" s="1">
        <v>0</v>
      </c>
      <c r="L54" s="1">
        <v>0</v>
      </c>
      <c r="M54" s="1">
        <f t="shared" ref="M54:N60" si="7">J$62*$I54^6+J$63*$I54^5+J$64*$I54^4+J$65*$I54^3+J$66*$I54^2+J$67*$I54+J$68</f>
        <v>-1.9300000000000317E-2</v>
      </c>
      <c r="N54" s="1">
        <f t="shared" si="7"/>
        <v>-2.6300000000000212E-2</v>
      </c>
      <c r="P54" s="1">
        <f>L$62*$I54^6+L$63*$I54^5+L$64*$I54^4+L$65*$I54^3+L$66*$I54^2+L$67*$I54+L$68</f>
        <v>-1.7999999999999794E-2</v>
      </c>
      <c r="Q54" s="1">
        <f>10^((M54-J54)/20)</f>
        <v>0.99778047218788235</v>
      </c>
      <c r="R54" s="1">
        <f>10^((N54-K54)/20)</f>
        <v>0.99697668006687445</v>
      </c>
      <c r="S54" s="1">
        <f t="shared" ref="S54:S60" si="8">10^((P54-L54)/20)</f>
        <v>0.99792981920252766</v>
      </c>
      <c r="T54" s="1">
        <f>10^((M54-$N54)/20)</f>
        <v>1.0008062296110616</v>
      </c>
      <c r="U54" s="1">
        <f>10^((N54-$N54)/20)</f>
        <v>1</v>
      </c>
      <c r="V54" s="1">
        <f t="shared" ref="V54" si="9">10^((P54-$N54)/20)</f>
        <v>1.0009560295187536</v>
      </c>
    </row>
    <row r="55" spans="9:22">
      <c r="I55" s="1">
        <v>-15</v>
      </c>
      <c r="J55" s="1">
        <v>0.1</v>
      </c>
      <c r="K55" s="1">
        <v>0</v>
      </c>
      <c r="L55" s="1">
        <v>0.8</v>
      </c>
      <c r="M55" s="1">
        <f t="shared" si="7"/>
        <v>0.10582499999999984</v>
      </c>
      <c r="N55" s="1">
        <f t="shared" si="7"/>
        <v>4.2074999999999863E-2</v>
      </c>
      <c r="P55" s="1">
        <f t="shared" ref="P55:P60" si="10">L$62*$I55^6+L$63*$I55^5+L$64*$I55^4+L$65*$I55^3+L$66*$I55^2+L$67*$I55+L$68</f>
        <v>0.82015625000000059</v>
      </c>
      <c r="Q55" s="1">
        <f t="shared" ref="Q55:Q60" si="11">10^((M55-J55)/20)</f>
        <v>1.000670852829507</v>
      </c>
      <c r="R55" s="1">
        <f t="shared" ref="R55:R60" si="12">10^((N55-K55)/20)</f>
        <v>1.0048558148316948</v>
      </c>
      <c r="S55" s="1">
        <f t="shared" si="8"/>
        <v>1.0023232686549173</v>
      </c>
      <c r="T55" s="1">
        <f t="shared" ref="T55:T60" si="13">10^((M55-$N55)/20)</f>
        <v>1.0073664900556951</v>
      </c>
      <c r="U55" s="1">
        <f t="shared" ref="U55:U60" si="14">10^((N55-$N55)/20)</f>
        <v>1</v>
      </c>
      <c r="V55" s="1">
        <f t="shared" ref="V55:V60" si="15">10^((P55-$N55)/20)</f>
        <v>1.0937147333432733</v>
      </c>
    </row>
    <row r="56" spans="9:22">
      <c r="I56" s="1">
        <v>-10</v>
      </c>
      <c r="J56" s="1">
        <v>0.2</v>
      </c>
      <c r="K56" s="1">
        <v>0</v>
      </c>
      <c r="L56" s="1">
        <v>2.1</v>
      </c>
      <c r="M56" s="1">
        <f t="shared" si="7"/>
        <v>0.18469999999999986</v>
      </c>
      <c r="N56" s="1">
        <f t="shared" si="7"/>
        <v>-5.8300000000000018E-2</v>
      </c>
      <c r="P56" s="1">
        <f t="shared" si="10"/>
        <v>2.109</v>
      </c>
      <c r="Q56" s="1">
        <f t="shared" si="11"/>
        <v>0.99824007289500172</v>
      </c>
      <c r="R56" s="1">
        <f t="shared" si="12"/>
        <v>0.99331043985117284</v>
      </c>
      <c r="S56" s="1">
        <f t="shared" si="8"/>
        <v>1.0010367002944891</v>
      </c>
      <c r="T56" s="1">
        <f t="shared" si="13"/>
        <v>1.0283714237014705</v>
      </c>
      <c r="U56" s="1">
        <f t="shared" si="14"/>
        <v>1</v>
      </c>
      <c r="V56" s="1">
        <f t="shared" si="15"/>
        <v>1.28340876214569</v>
      </c>
    </row>
    <row r="57" spans="9:22" ht="21" thickBot="1">
      <c r="I57" s="1">
        <v>-5</v>
      </c>
      <c r="J57" s="1">
        <v>-0.2</v>
      </c>
      <c r="K57" s="1">
        <v>-0.7</v>
      </c>
      <c r="L57" s="1">
        <v>3.5</v>
      </c>
      <c r="M57" s="1">
        <f t="shared" si="7"/>
        <v>-0.1951750000000001</v>
      </c>
      <c r="N57" s="1">
        <f t="shared" si="7"/>
        <v>-0.66492499999999999</v>
      </c>
      <c r="P57" s="1">
        <f t="shared" si="10"/>
        <v>3.5016562499999999</v>
      </c>
      <c r="Q57" s="1">
        <f t="shared" si="11"/>
        <v>1.0005556529716351</v>
      </c>
      <c r="R57" s="1">
        <f t="shared" si="12"/>
        <v>1.0040463229552508</v>
      </c>
      <c r="S57" s="1">
        <f t="shared" si="8"/>
        <v>1.0001907010091395</v>
      </c>
      <c r="T57" s="1">
        <f t="shared" si="13"/>
        <v>1.0555711209995988</v>
      </c>
      <c r="U57" s="1">
        <f t="shared" si="14"/>
        <v>1</v>
      </c>
      <c r="V57" s="1">
        <f t="shared" si="15"/>
        <v>1.6155822107954927</v>
      </c>
    </row>
    <row r="58" spans="9:22" ht="21" thickBot="1">
      <c r="I58" s="1">
        <v>0</v>
      </c>
      <c r="J58" s="6">
        <v>-1.2</v>
      </c>
      <c r="K58" s="6">
        <v>-1.9</v>
      </c>
      <c r="L58" s="6">
        <v>3.5</v>
      </c>
      <c r="M58" s="6">
        <f t="shared" si="7"/>
        <v>-1.1913</v>
      </c>
      <c r="N58" s="6">
        <f t="shared" si="7"/>
        <v>-1.8903000000000001</v>
      </c>
      <c r="O58" s="6"/>
      <c r="P58" s="6">
        <f t="shared" si="10"/>
        <v>3.5</v>
      </c>
      <c r="Q58" s="6">
        <f t="shared" si="11"/>
        <v>1.0010021263088096</v>
      </c>
      <c r="R58" s="6">
        <f t="shared" si="12"/>
        <v>1.001117377571783</v>
      </c>
      <c r="S58" s="6">
        <f t="shared" si="8"/>
        <v>1</v>
      </c>
      <c r="T58" s="8">
        <f t="shared" si="13"/>
        <v>1.0838021295068094</v>
      </c>
      <c r="U58" s="8">
        <f t="shared" si="14"/>
        <v>1</v>
      </c>
      <c r="V58" s="8">
        <f t="shared" si="15"/>
        <v>1.8600088045413543</v>
      </c>
    </row>
    <row r="59" spans="9:22">
      <c r="I59" s="1">
        <v>5</v>
      </c>
      <c r="J59" s="1">
        <v>-2.7</v>
      </c>
      <c r="K59" s="1">
        <v>-3.6</v>
      </c>
      <c r="L59" s="1">
        <v>2.2000000000000002</v>
      </c>
      <c r="M59" s="1">
        <f t="shared" si="7"/>
        <v>-2.706175</v>
      </c>
      <c r="N59" s="1">
        <f t="shared" si="7"/>
        <v>-3.6219250000000001</v>
      </c>
      <c r="P59" s="1">
        <f t="shared" si="10"/>
        <v>2.1959062500000002</v>
      </c>
      <c r="Q59" s="1">
        <f t="shared" si="11"/>
        <v>0.99928932949852478</v>
      </c>
      <c r="R59" s="1">
        <f t="shared" si="12"/>
        <v>0.99747897422824749</v>
      </c>
      <c r="S59" s="1">
        <f t="shared" si="8"/>
        <v>0.99952880066307093</v>
      </c>
      <c r="T59" s="1">
        <f t="shared" si="13"/>
        <v>1.1111878907500548</v>
      </c>
      <c r="U59" s="1">
        <f t="shared" si="14"/>
        <v>1</v>
      </c>
      <c r="V59" s="1">
        <f t="shared" si="15"/>
        <v>1.9538515443730675</v>
      </c>
    </row>
    <row r="60" spans="9:22">
      <c r="I60" s="1">
        <v>10</v>
      </c>
      <c r="J60" s="1">
        <v>-4.4000000000000004</v>
      </c>
      <c r="K60" s="1">
        <v>-5.5</v>
      </c>
      <c r="L60" s="1">
        <v>0.5</v>
      </c>
      <c r="M60" s="1">
        <f t="shared" si="7"/>
        <v>-4.3872999999999998</v>
      </c>
      <c r="N60" s="1">
        <f t="shared" si="7"/>
        <v>-5.5223000000000004</v>
      </c>
      <c r="P60" s="1">
        <f t="shared" si="10"/>
        <v>0.43500000000000005</v>
      </c>
      <c r="Q60" s="1">
        <f t="shared" si="11"/>
        <v>1.0014632109841497</v>
      </c>
      <c r="R60" s="1">
        <f t="shared" si="12"/>
        <v>0.99743591052879699</v>
      </c>
      <c r="S60" s="1">
        <f t="shared" si="8"/>
        <v>0.99254452938094162</v>
      </c>
      <c r="T60" s="1">
        <f t="shared" si="13"/>
        <v>1.1395935959056473</v>
      </c>
      <c r="U60" s="1">
        <f t="shared" si="14"/>
        <v>1</v>
      </c>
      <c r="V60" s="1">
        <f t="shared" si="15"/>
        <v>1.985477637708472</v>
      </c>
    </row>
    <row r="62" spans="9:22">
      <c r="I62" s="1" t="s">
        <v>10</v>
      </c>
      <c r="J62" s="1">
        <v>0</v>
      </c>
      <c r="K62" s="1">
        <v>0</v>
      </c>
      <c r="L62" s="1">
        <f>-0.000000318</f>
        <v>-3.1800000000000002E-7</v>
      </c>
      <c r="P62" s="10"/>
      <c r="T62" s="1" t="s">
        <v>42</v>
      </c>
      <c r="U62" s="1" t="s">
        <v>27</v>
      </c>
      <c r="V62" s="1" t="s">
        <v>28</v>
      </c>
    </row>
    <row r="63" spans="9:22">
      <c r="I63" s="1" t="s">
        <v>11</v>
      </c>
      <c r="J63" s="1">
        <v>0</v>
      </c>
      <c r="K63" s="1">
        <v>0</v>
      </c>
      <c r="L63" s="1">
        <f>-0.000007</f>
        <v>-6.9999999999999999E-6</v>
      </c>
      <c r="U63" s="1">
        <v>-25</v>
      </c>
      <c r="V63" s="1">
        <f>T58</f>
        <v>1.0838021295068094</v>
      </c>
    </row>
    <row r="64" spans="9:22">
      <c r="I64" s="1" t="s">
        <v>12</v>
      </c>
      <c r="J64" s="1">
        <f>0.000017</f>
        <v>1.7E-5</v>
      </c>
      <c r="K64" s="1">
        <f>0.000015</f>
        <v>1.5E-5</v>
      </c>
      <c r="L64" s="1">
        <f>0.00009</f>
        <v>9.0000000000000006E-5</v>
      </c>
      <c r="U64" s="1">
        <v>25</v>
      </c>
      <c r="V64" s="1">
        <f>U58</f>
        <v>1</v>
      </c>
    </row>
    <row r="65" spans="2:22" ht="21" thickBot="1">
      <c r="I65" s="1" t="s">
        <v>13</v>
      </c>
      <c r="J65" s="1">
        <f>0.0003</f>
        <v>2.9999999999999997E-4</v>
      </c>
      <c r="K65" s="1">
        <f>0.0003</f>
        <v>2.9999999999999997E-4</v>
      </c>
      <c r="L65" s="1">
        <f>0.0015</f>
        <v>1.5E-3</v>
      </c>
      <c r="U65" s="1">
        <v>100</v>
      </c>
      <c r="V65" s="1">
        <f>V58</f>
        <v>1.8600088045413543</v>
      </c>
    </row>
    <row r="66" spans="2:22" ht="21" thickBot="1">
      <c r="I66" s="1" t="s">
        <v>14</v>
      </c>
      <c r="J66" s="1">
        <f>-0.0108</f>
        <v>-1.0800000000000001E-2</v>
      </c>
      <c r="K66" s="1">
        <f>-0.0105</f>
        <v>-1.0500000000000001E-2</v>
      </c>
      <c r="L66" s="1">
        <f>-0.0281</f>
        <v>-2.81E-2</v>
      </c>
      <c r="T66" s="1" t="s">
        <v>30</v>
      </c>
      <c r="U66" s="1">
        <v>-20</v>
      </c>
      <c r="V66" s="8">
        <f>V$71*U66^2+V$72*U66+V$73</f>
        <v>1.05176</v>
      </c>
    </row>
    <row r="67" spans="2:22" ht="21" thickBot="1">
      <c r="I67" s="1" t="s">
        <v>15</v>
      </c>
      <c r="J67" s="1">
        <v>-0.2586</v>
      </c>
      <c r="K67" s="1">
        <f>-0.3032</f>
        <v>-0.30320000000000003</v>
      </c>
      <c r="L67" s="1">
        <f>-0.1637</f>
        <v>-0.16370000000000001</v>
      </c>
      <c r="U67" s="1">
        <v>0</v>
      </c>
      <c r="V67" s="8">
        <f>V$71*U67^2+V$72*U67+V$73</f>
        <v>0.97619999999999996</v>
      </c>
    </row>
    <row r="68" spans="2:22" ht="21" thickBot="1">
      <c r="I68" s="1" t="s">
        <v>16</v>
      </c>
      <c r="J68" s="1">
        <f>-1.1913</f>
        <v>-1.1913</v>
      </c>
      <c r="K68" s="1">
        <f>-1.8903</f>
        <v>-1.8903000000000001</v>
      </c>
      <c r="L68" s="1">
        <v>3.5</v>
      </c>
      <c r="T68"/>
      <c r="U68" s="1">
        <v>20</v>
      </c>
      <c r="V68" s="8">
        <f>V$71*U68^2+V$72*U68+V$73</f>
        <v>0.98495999999999995</v>
      </c>
    </row>
    <row r="69" spans="2:22" ht="21" thickBot="1">
      <c r="U69" s="1">
        <v>40</v>
      </c>
      <c r="V69" s="8">
        <f>V$71*U69^2+V$72*U69+V$73</f>
        <v>1.0780399999999999</v>
      </c>
    </row>
    <row r="70" spans="2:22" ht="21" thickBot="1">
      <c r="T70"/>
      <c r="U70" s="1">
        <v>60</v>
      </c>
      <c r="V70" s="8">
        <f>V$71*U70^2+V$72*U70+V$73</f>
        <v>1.2554399999999999</v>
      </c>
    </row>
    <row r="71" spans="2:22">
      <c r="U71" s="1" t="s">
        <v>14</v>
      </c>
      <c r="V71" s="1">
        <v>1.054E-4</v>
      </c>
    </row>
    <row r="72" spans="2:22">
      <c r="U72" s="1" t="s">
        <v>15</v>
      </c>
      <c r="V72" s="1">
        <v>-1.67E-3</v>
      </c>
    </row>
    <row r="73" spans="2:22">
      <c r="U73" s="1" t="s">
        <v>16</v>
      </c>
      <c r="V73" s="1">
        <v>0.97619999999999996</v>
      </c>
    </row>
    <row r="75" spans="2:22">
      <c r="B75" t="s">
        <v>43</v>
      </c>
      <c r="C75">
        <v>5000</v>
      </c>
    </row>
    <row r="76" spans="2:22">
      <c r="B76" t="s">
        <v>44</v>
      </c>
      <c r="C76">
        <v>1000</v>
      </c>
    </row>
    <row r="77" spans="2:22">
      <c r="B77" t="s">
        <v>46</v>
      </c>
      <c r="C77">
        <v>60</v>
      </c>
    </row>
    <row r="78" spans="2:22">
      <c r="B78" t="s">
        <v>45</v>
      </c>
      <c r="C78">
        <f>C76*EXP(C75*(1/(273+C77)-1/(273+25)))</f>
        <v>171.4423063805088</v>
      </c>
    </row>
    <row r="79" spans="2:22">
      <c r="C79">
        <v>60</v>
      </c>
      <c r="E79">
        <f>135/66*1000</f>
        <v>2045.4545454545455</v>
      </c>
    </row>
    <row r="80" spans="2:22">
      <c r="C80">
        <f>(66/135-135/66)*1000/80*(C79+20) +135/66*1000</f>
        <v>488.88888888888914</v>
      </c>
      <c r="E80">
        <f>66/135*1000</f>
        <v>488.88888888888886</v>
      </c>
    </row>
  </sheetData>
  <mergeCells count="3">
    <mergeCell ref="M52:P52"/>
    <mergeCell ref="J52:L52"/>
    <mergeCell ref="Q52:S5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572-7B18-2545-BC7E-2414A566CF78}">
  <dimension ref="B2:E12"/>
  <sheetViews>
    <sheetView workbookViewId="0">
      <selection activeCell="E3" sqref="E3"/>
    </sheetView>
  </sheetViews>
  <sheetFormatPr baseColWidth="10" defaultRowHeight="20"/>
  <cols>
    <col min="2" max="2" width="10.140625" bestFit="1" customWidth="1"/>
    <col min="3" max="3" width="3.42578125" style="1" bestFit="1" customWidth="1"/>
  </cols>
  <sheetData>
    <row r="2" spans="2:5">
      <c r="B2" t="s">
        <v>47</v>
      </c>
      <c r="C2" s="1" t="s">
        <v>58</v>
      </c>
      <c r="D2">
        <v>0.11</v>
      </c>
    </row>
    <row r="3" spans="2:5">
      <c r="B3" t="s">
        <v>48</v>
      </c>
      <c r="C3" s="1" t="s">
        <v>58</v>
      </c>
      <c r="D3">
        <v>0.22</v>
      </c>
    </row>
    <row r="4" spans="2:5">
      <c r="B4" t="s">
        <v>49</v>
      </c>
      <c r="C4" s="1" t="s">
        <v>59</v>
      </c>
      <c r="D4">
        <v>1000</v>
      </c>
    </row>
    <row r="5" spans="2:5">
      <c r="B5" t="s">
        <v>50</v>
      </c>
      <c r="C5" s="1" t="s">
        <v>59</v>
      </c>
      <c r="D5">
        <v>50000</v>
      </c>
    </row>
    <row r="6" spans="2:5">
      <c r="B6" t="s">
        <v>51</v>
      </c>
      <c r="C6" s="1" t="s">
        <v>59</v>
      </c>
      <c r="D6">
        <f>(v50k-v1k)/(v1k/rl1k-v50k/rl50k)</f>
        <v>1041.6666666666665</v>
      </c>
    </row>
    <row r="7" spans="2:5">
      <c r="B7" t="s">
        <v>52</v>
      </c>
      <c r="C7" s="1" t="s">
        <v>59</v>
      </c>
      <c r="D7">
        <f>v1k/rl1k*D6+v1k</f>
        <v>0.2245833333333333</v>
      </c>
    </row>
    <row r="9" spans="2:5">
      <c r="B9" t="s">
        <v>55</v>
      </c>
      <c r="C9" s="1" t="s">
        <v>58</v>
      </c>
      <c r="D9">
        <v>5.5E-2</v>
      </c>
    </row>
    <row r="10" spans="2:5">
      <c r="B10" t="s">
        <v>54</v>
      </c>
      <c r="C10" s="1" t="s">
        <v>58</v>
      </c>
      <c r="D10">
        <f>D7-D9</f>
        <v>0.16958333333333331</v>
      </c>
    </row>
    <row r="11" spans="2:5">
      <c r="B11" t="s">
        <v>56</v>
      </c>
      <c r="C11" s="1" t="s">
        <v>60</v>
      </c>
      <c r="D11">
        <f>D9/1000</f>
        <v>5.5000000000000002E-5</v>
      </c>
      <c r="E11" t="s">
        <v>57</v>
      </c>
    </row>
    <row r="12" spans="2:5">
      <c r="B12" t="s">
        <v>53</v>
      </c>
      <c r="C12" s="1" t="s">
        <v>59</v>
      </c>
      <c r="D12">
        <f>D10/D11</f>
        <v>3083.3333333333326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FE81-9A84-7E46-A63D-CEB0BD56AD36}">
  <dimension ref="A1:O23"/>
  <sheetViews>
    <sheetView tabSelected="1" topLeftCell="B1" workbookViewId="0">
      <selection activeCell="J5" sqref="J5"/>
    </sheetView>
  </sheetViews>
  <sheetFormatPr baseColWidth="10" defaultRowHeight="20"/>
  <cols>
    <col min="12" max="12" width="8.140625" bestFit="1" customWidth="1"/>
    <col min="13" max="13" width="9.85546875" bestFit="1" customWidth="1"/>
  </cols>
  <sheetData>
    <row r="1" spans="1:14">
      <c r="A1">
        <v>-20</v>
      </c>
      <c r="B1">
        <v>365</v>
      </c>
      <c r="C1">
        <f>F$1*EXP(G$1*A1)+H$1</f>
        <v>365.01549469733334</v>
      </c>
      <c r="D1">
        <f>B1-C1</f>
        <v>-1.5494697333338081E-2</v>
      </c>
      <c r="E1">
        <f>D1^2</f>
        <v>2.4008564545175424E-4</v>
      </c>
      <c r="F1">
        <v>39.265000000000001</v>
      </c>
      <c r="G1">
        <v>-0.03</v>
      </c>
      <c r="H1">
        <v>293.47000000000003</v>
      </c>
    </row>
    <row r="2" spans="1:14">
      <c r="A2">
        <v>20</v>
      </c>
      <c r="B2">
        <v>315</v>
      </c>
      <c r="C2">
        <f t="shared" ref="C2:C4" si="0">F$1*EXP(G$1*A2)+H$1</f>
        <v>315.01908889123195</v>
      </c>
      <c r="D2">
        <f t="shared" ref="D2:D3" si="1">B2-C2</f>
        <v>-1.9088891231945126E-2</v>
      </c>
      <c r="E2">
        <f t="shared" ref="E2:E3" si="2">D2^2</f>
        <v>3.6438576846503152E-4</v>
      </c>
    </row>
    <row r="3" spans="1:14">
      <c r="A3">
        <v>60</v>
      </c>
      <c r="B3">
        <v>300</v>
      </c>
      <c r="C3">
        <f t="shared" si="0"/>
        <v>299.96046084602062</v>
      </c>
      <c r="D3">
        <f t="shared" si="1"/>
        <v>3.9539153979376351E-2</v>
      </c>
      <c r="E3">
        <f t="shared" si="2"/>
        <v>1.5633446974048328E-3</v>
      </c>
    </row>
    <row r="4" spans="1:14">
      <c r="C4">
        <f t="shared" si="0"/>
        <v>332.73500000000001</v>
      </c>
      <c r="E4">
        <f>SUM(E1:E3)</f>
        <v>2.1678161113216185E-3</v>
      </c>
    </row>
    <row r="5" spans="1:14">
      <c r="F5">
        <v>39.264803304397454</v>
      </c>
      <c r="G5">
        <v>-0.03</v>
      </c>
      <c r="H5">
        <v>293.47181814324318</v>
      </c>
    </row>
    <row r="9" spans="1:14">
      <c r="B9" s="17"/>
      <c r="L9" t="s">
        <v>61</v>
      </c>
      <c r="M9" t="s">
        <v>62</v>
      </c>
      <c r="N9" t="s">
        <v>63</v>
      </c>
    </row>
    <row r="10" spans="1:14">
      <c r="L10">
        <v>-20</v>
      </c>
      <c r="M10">
        <v>365</v>
      </c>
      <c r="N10">
        <f t="shared" ref="N10:N18" si="3">$N$21*EXP($N$22*L10)+$N$23</f>
        <v>364.97369261542508</v>
      </c>
    </row>
    <row r="11" spans="1:14">
      <c r="L11">
        <v>-10</v>
      </c>
      <c r="N11">
        <f t="shared" si="3"/>
        <v>346.31942289925212</v>
      </c>
    </row>
    <row r="12" spans="1:14">
      <c r="L12">
        <v>0</v>
      </c>
      <c r="N12">
        <f t="shared" si="3"/>
        <v>332.5</v>
      </c>
    </row>
    <row r="13" spans="1:14">
      <c r="L13">
        <v>10</v>
      </c>
      <c r="N13">
        <f t="shared" si="3"/>
        <v>322.26231971692783</v>
      </c>
    </row>
    <row r="14" spans="1:14">
      <c r="L14">
        <v>20</v>
      </c>
      <c r="M14">
        <v>315</v>
      </c>
      <c r="N14">
        <f t="shared" si="3"/>
        <v>314.67805962571401</v>
      </c>
    </row>
    <row r="15" spans="1:14">
      <c r="L15">
        <v>30</v>
      </c>
      <c r="N15">
        <f t="shared" si="3"/>
        <v>309.05950155975364</v>
      </c>
    </row>
    <row r="16" spans="1:14">
      <c r="L16">
        <v>40</v>
      </c>
      <c r="N16">
        <f t="shared" si="3"/>
        <v>304.89717137053196</v>
      </c>
    </row>
    <row r="17" spans="12:15">
      <c r="L17">
        <v>50</v>
      </c>
      <c r="N17">
        <f t="shared" si="3"/>
        <v>301.81364132586299</v>
      </c>
    </row>
    <row r="18" spans="12:15">
      <c r="L18">
        <v>60</v>
      </c>
      <c r="M18">
        <v>300</v>
      </c>
      <c r="N18">
        <f t="shared" si="3"/>
        <v>299.52930608475265</v>
      </c>
    </row>
    <row r="21" spans="12:15">
      <c r="N21">
        <v>39.5</v>
      </c>
      <c r="O21">
        <v>2952.36</v>
      </c>
    </row>
    <row r="22" spans="12:15">
      <c r="N22">
        <v>-0.03</v>
      </c>
      <c r="O22">
        <v>-5.2999999999999999E-2</v>
      </c>
    </row>
    <row r="23" spans="12:15">
      <c r="N23">
        <v>293</v>
      </c>
      <c r="O23">
        <v>477.27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Sheet2!rl1k</vt:lpstr>
      <vt:lpstr>Sheet2!rl50k</vt:lpstr>
      <vt:lpstr>Sheet2!v1k</vt:lpstr>
      <vt:lpstr>Sheet2!v50k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一裕 向井</dc:creator>
  <cp:lastModifiedBy>一裕 向井</cp:lastModifiedBy>
  <dcterms:created xsi:type="dcterms:W3CDTF">2025-03-08T23:45:05Z</dcterms:created>
  <dcterms:modified xsi:type="dcterms:W3CDTF">2025-03-14T10:54:10Z</dcterms:modified>
</cp:coreProperties>
</file>