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opher M-CTR Bu\Documents\_Reporting\FY21\08 May\Fuel Stats\"/>
    </mc:Choice>
  </mc:AlternateContent>
  <bookViews>
    <workbookView xWindow="336" yWindow="168" windowWidth="17040" windowHeight="8172" tabRatio="432" activeTab="1"/>
  </bookViews>
  <sheets>
    <sheet name="Summary" sheetId="3" r:id="rId1"/>
    <sheet name="Projected Actual Monthly Stats" sheetId="1" r:id="rId2"/>
    <sheet name="Data" sheetId="2" state="hidden" r:id="rId3"/>
  </sheets>
  <definedNames>
    <definedName name="_2._APPENDIX" localSheetId="1">'Projected Actual Monthly Stats'!#REF!</definedName>
  </definedNames>
  <calcPr calcId="162913"/>
</workbook>
</file>

<file path=xl/calcChain.xml><?xml version="1.0" encoding="utf-8"?>
<calcChain xmlns="http://schemas.openxmlformats.org/spreadsheetml/2006/main">
  <c r="G8" i="1" l="1"/>
  <c r="H8" i="1" s="1"/>
  <c r="J8" i="1" s="1"/>
  <c r="K8" i="1" s="1"/>
  <c r="L8" i="1" s="1"/>
  <c r="M8" i="1" s="1"/>
  <c r="N8" i="1" s="1"/>
  <c r="D8" i="1"/>
  <c r="J17" i="1" l="1"/>
  <c r="K17" i="1"/>
  <c r="L17" i="1"/>
  <c r="M17" i="1"/>
  <c r="N17" i="1"/>
  <c r="J18" i="1"/>
  <c r="K18" i="1"/>
  <c r="L18" i="1"/>
  <c r="M18" i="1"/>
  <c r="N18" i="1"/>
  <c r="N23" i="1"/>
  <c r="M23" i="1"/>
  <c r="L23" i="1"/>
  <c r="K23" i="1"/>
  <c r="J23" i="1"/>
  <c r="I23" i="1"/>
  <c r="H23" i="1"/>
  <c r="G23" i="1"/>
  <c r="F23" i="1"/>
  <c r="E23" i="1"/>
  <c r="D23" i="1"/>
  <c r="C23" i="1"/>
  <c r="O22" i="1"/>
  <c r="P22" i="1" s="1"/>
  <c r="P21" i="1"/>
  <c r="O21" i="1"/>
  <c r="O23" i="1" s="1"/>
  <c r="C6" i="1" l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R8" i="1"/>
  <c r="S8" i="1"/>
  <c r="T8" i="1"/>
  <c r="U8" i="1"/>
  <c r="V8" i="1"/>
  <c r="W8" i="1"/>
  <c r="X8" i="1"/>
  <c r="Y8" i="1"/>
  <c r="Z8" i="1"/>
  <c r="AA8" i="1"/>
  <c r="AB8" i="1"/>
  <c r="Q8" i="1"/>
  <c r="R7" i="1"/>
  <c r="S7" i="1"/>
  <c r="T7" i="1"/>
  <c r="U7" i="1"/>
  <c r="V7" i="1"/>
  <c r="W7" i="1"/>
  <c r="X7" i="1"/>
  <c r="Y7" i="1"/>
  <c r="Z7" i="1"/>
  <c r="AA7" i="1"/>
  <c r="AB7" i="1"/>
  <c r="Q7" i="1"/>
  <c r="Q3" i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C3" i="1"/>
  <c r="D3" i="1" s="1"/>
  <c r="E3" i="1" s="1"/>
  <c r="O18" i="1"/>
  <c r="P18" i="1" s="1"/>
  <c r="O17" i="1"/>
  <c r="P17" i="1" s="1"/>
  <c r="M19" i="1"/>
  <c r="K19" i="1"/>
  <c r="J19" i="1"/>
  <c r="I19" i="1"/>
  <c r="H19" i="1"/>
  <c r="G19" i="1"/>
  <c r="F19" i="1"/>
  <c r="E19" i="1"/>
  <c r="D19" i="1"/>
  <c r="C19" i="1"/>
  <c r="D12" i="3" l="1"/>
  <c r="F3" i="1"/>
  <c r="G3" i="1" s="1"/>
  <c r="H3" i="1" s="1"/>
  <c r="D4" i="3"/>
  <c r="D5" i="3"/>
  <c r="N19" i="1"/>
  <c r="L19" i="1"/>
  <c r="O19" i="1"/>
  <c r="I3" i="1" l="1"/>
  <c r="J3" i="1" s="1"/>
  <c r="K3" i="1" s="1"/>
  <c r="D13" i="3"/>
  <c r="N27" i="1"/>
  <c r="M27" i="1"/>
  <c r="L27" i="1"/>
  <c r="K27" i="1"/>
  <c r="J27" i="1"/>
  <c r="I27" i="1"/>
  <c r="H27" i="1"/>
  <c r="G27" i="1"/>
  <c r="F27" i="1"/>
  <c r="E27" i="1"/>
  <c r="D27" i="1"/>
  <c r="C27" i="1"/>
  <c r="O26" i="1"/>
  <c r="P26" i="1" s="1"/>
  <c r="O25" i="1"/>
  <c r="L3" i="1" l="1"/>
  <c r="M3" i="1" s="1"/>
  <c r="N3" i="1" s="1"/>
  <c r="D15" i="3" s="1"/>
  <c r="D14" i="3"/>
  <c r="O27" i="1"/>
  <c r="P25" i="1"/>
  <c r="N31" i="1" l="1"/>
  <c r="M31" i="1"/>
  <c r="L31" i="1"/>
  <c r="K31" i="1"/>
  <c r="J31" i="1"/>
  <c r="I31" i="1"/>
  <c r="H31" i="1"/>
  <c r="G31" i="1"/>
  <c r="F31" i="1"/>
  <c r="E31" i="1"/>
  <c r="D31" i="1"/>
  <c r="C31" i="1"/>
  <c r="O30" i="1"/>
  <c r="O29" i="1"/>
  <c r="O31" i="1" l="1"/>
  <c r="P30" i="1"/>
  <c r="P29" i="1"/>
  <c r="N9" i="1"/>
  <c r="M9" i="1"/>
  <c r="L9" i="1"/>
  <c r="K9" i="1"/>
  <c r="J9" i="1"/>
  <c r="I9" i="1"/>
  <c r="H9" i="1"/>
  <c r="G9" i="1"/>
  <c r="F9" i="1"/>
  <c r="E9" i="1"/>
  <c r="D9" i="1"/>
  <c r="C9" i="1"/>
  <c r="Q4" i="1" l="1"/>
  <c r="Q5" i="1" s="1"/>
  <c r="C15" i="1"/>
  <c r="N35" i="1"/>
  <c r="M35" i="1"/>
  <c r="L35" i="1"/>
  <c r="K35" i="1"/>
  <c r="J35" i="1"/>
  <c r="I35" i="1"/>
  <c r="H35" i="1"/>
  <c r="G35" i="1"/>
  <c r="F35" i="1"/>
  <c r="E35" i="1"/>
  <c r="D35" i="1"/>
  <c r="C35" i="1"/>
  <c r="O34" i="1"/>
  <c r="P34" i="1" s="1"/>
  <c r="O33" i="1"/>
  <c r="F4" i="1" l="1"/>
  <c r="S4" i="1"/>
  <c r="S5" i="1" s="1"/>
  <c r="AC8" i="1"/>
  <c r="O35" i="1"/>
  <c r="P33" i="1"/>
  <c r="R4" i="1" l="1"/>
  <c r="R5" i="1" s="1"/>
  <c r="U4" i="1"/>
  <c r="U5" i="1" s="1"/>
  <c r="T4" i="1"/>
  <c r="T5" i="1" s="1"/>
  <c r="AC7" i="1"/>
  <c r="E4" i="3" s="1"/>
  <c r="D15" i="1"/>
  <c r="E15" i="1"/>
  <c r="F15" i="1"/>
  <c r="G15" i="1"/>
  <c r="H15" i="1"/>
  <c r="I15" i="1"/>
  <c r="J15" i="1"/>
  <c r="K15" i="1"/>
  <c r="L15" i="1"/>
  <c r="M15" i="1"/>
  <c r="N15" i="1"/>
  <c r="D2" i="2"/>
  <c r="AD7" i="1" l="1"/>
  <c r="AD8" i="1"/>
  <c r="E5" i="3"/>
  <c r="V4" i="1" l="1"/>
  <c r="V5" i="1" s="1"/>
  <c r="W4" i="1"/>
  <c r="W5" i="1" s="1"/>
  <c r="X4" i="1" l="1"/>
  <c r="X5" i="1" s="1"/>
  <c r="I47" i="1"/>
  <c r="I43" i="1"/>
  <c r="I39" i="1"/>
  <c r="Y4" i="1" l="1"/>
  <c r="Y5" i="1" s="1"/>
  <c r="C4" i="1"/>
  <c r="C5" i="1" s="1"/>
  <c r="D4" i="1"/>
  <c r="F2" i="2"/>
  <c r="I2" i="2"/>
  <c r="J2" i="2"/>
  <c r="K2" i="2"/>
  <c r="L2" i="2"/>
  <c r="H2" i="2"/>
  <c r="G2" i="2"/>
  <c r="E2" i="2"/>
  <c r="C2" i="2"/>
  <c r="B2" i="2"/>
  <c r="A2" i="2"/>
  <c r="Z4" i="1" l="1"/>
  <c r="Z5" i="1" s="1"/>
  <c r="D5" i="1"/>
  <c r="D7" i="1"/>
  <c r="C7" i="1"/>
  <c r="AA4" i="1" l="1"/>
  <c r="AA5" i="1" s="1"/>
  <c r="E4" i="1"/>
  <c r="E5" i="1" s="1"/>
  <c r="E12" i="3" s="1"/>
  <c r="F7" i="1"/>
  <c r="E7" i="1"/>
  <c r="N43" i="1"/>
  <c r="M43" i="1"/>
  <c r="L43" i="1"/>
  <c r="K43" i="1"/>
  <c r="J43" i="1"/>
  <c r="H43" i="1"/>
  <c r="G43" i="1"/>
  <c r="F43" i="1"/>
  <c r="E43" i="1"/>
  <c r="D43" i="1"/>
  <c r="C43" i="1"/>
  <c r="O42" i="1"/>
  <c r="O41" i="1"/>
  <c r="P41" i="1" s="1"/>
  <c r="AB4" i="1" l="1"/>
  <c r="AB5" i="1" s="1"/>
  <c r="P42" i="1"/>
  <c r="O43" i="1"/>
  <c r="G7" i="1"/>
  <c r="F5" i="1"/>
  <c r="N47" i="1"/>
  <c r="M47" i="1"/>
  <c r="L47" i="1"/>
  <c r="K47" i="1"/>
  <c r="J47" i="1"/>
  <c r="H47" i="1"/>
  <c r="G47" i="1"/>
  <c r="F47" i="1"/>
  <c r="E47" i="1"/>
  <c r="D47" i="1"/>
  <c r="C47" i="1"/>
  <c r="O46" i="1"/>
  <c r="P46" i="1" s="1"/>
  <c r="O45" i="1"/>
  <c r="P45" i="1" s="1"/>
  <c r="O38" i="1"/>
  <c r="O37" i="1"/>
  <c r="P37" i="1" l="1"/>
  <c r="P38" i="1"/>
  <c r="O47" i="1"/>
  <c r="G4" i="1"/>
  <c r="G5" i="1" s="1"/>
  <c r="O39" i="1"/>
  <c r="N39" i="1"/>
  <c r="E39" i="1"/>
  <c r="H4" i="1" l="1"/>
  <c r="H5" i="1" s="1"/>
  <c r="E13" i="3" s="1"/>
  <c r="H7" i="1"/>
  <c r="M39" i="1"/>
  <c r="L39" i="1"/>
  <c r="K39" i="1"/>
  <c r="J39" i="1"/>
  <c r="H39" i="1"/>
  <c r="F39" i="1"/>
  <c r="G39" i="1"/>
  <c r="D39" i="1"/>
  <c r="C39" i="1"/>
  <c r="I4" i="1" l="1"/>
  <c r="I5" i="1" s="1"/>
  <c r="J7" i="1"/>
  <c r="I7" i="1"/>
  <c r="J4" i="1" l="1"/>
  <c r="J5" i="1" s="1"/>
  <c r="L7" i="1" l="1"/>
  <c r="K4" i="1"/>
  <c r="K5" i="1" s="1"/>
  <c r="E14" i="3" s="1"/>
  <c r="K7" i="1"/>
  <c r="L4" i="1" l="1"/>
  <c r="L5" i="1" s="1"/>
  <c r="N4" i="1" l="1"/>
  <c r="N5" i="1" s="1"/>
  <c r="E15" i="3" s="1"/>
  <c r="M4" i="1"/>
  <c r="M5" i="1" s="1"/>
  <c r="M7" i="1"/>
  <c r="N7" i="1" l="1"/>
</calcChain>
</file>

<file path=xl/sharedStrings.xml><?xml version="1.0" encoding="utf-8"?>
<sst xmlns="http://schemas.openxmlformats.org/spreadsheetml/2006/main" count="202" uniqueCount="86">
  <si>
    <t>Reporting Requirement</t>
  </si>
  <si>
    <t>Formula</t>
  </si>
  <si>
    <t>Mar</t>
  </si>
  <si>
    <t>Apr</t>
  </si>
  <si>
    <t>May</t>
  </si>
  <si>
    <t>June</t>
  </si>
  <si>
    <t>July</t>
  </si>
  <si>
    <t>August</t>
  </si>
  <si>
    <t>September</t>
  </si>
  <si>
    <t>Year-to-date Petroleum Consumption (GGE)</t>
  </si>
  <si>
    <t>Estimated Petroleum Consumption for the Remainder of the Year (GGE)</t>
  </si>
  <si>
    <t>(Q1 Actual Petroleum x (4/1)) NOTE for monthly calculation use (12/5) - February example</t>
  </si>
  <si>
    <t>Percent Reduction from 2005 Baseline (%)</t>
  </si>
  <si>
    <t>((Q1 Actual Petroleum x (4/1)) – (2005 Petroleum Baseline))/ (2005 Petroleum Baseline)  NOTE for monthly calculation use (12/5) - February example</t>
  </si>
  <si>
    <t>Year-to-date Alternative Fuel Consumption (GGE)</t>
  </si>
  <si>
    <t>Percent of Fuel that was Alternative (%)</t>
  </si>
  <si>
    <t>((YTD alternative fuel used / (YTD petroleum used + YTD alternative fuel used))</t>
  </si>
  <si>
    <t>2005 Baseline Numbers</t>
  </si>
  <si>
    <t>FY11 Inventory Baseline</t>
  </si>
  <si>
    <t>Alternative Fuels</t>
  </si>
  <si>
    <t>Petroleum Fuels</t>
  </si>
  <si>
    <t>Oct</t>
  </si>
  <si>
    <t>Nov</t>
  </si>
  <si>
    <t>Dec</t>
  </si>
  <si>
    <t>Jan</t>
  </si>
  <si>
    <t>Petro</t>
  </si>
  <si>
    <t>AF</t>
  </si>
  <si>
    <t>October</t>
  </si>
  <si>
    <t>November</t>
  </si>
  <si>
    <t>December</t>
  </si>
  <si>
    <t>January</t>
  </si>
  <si>
    <t>March</t>
  </si>
  <si>
    <t>April</t>
  </si>
  <si>
    <t>February</t>
  </si>
  <si>
    <t>(Q1 Actual AF x (4/1)) NOTE for monthly calculation use (12/5) - February example</t>
  </si>
  <si>
    <t>((Q1 Actual AF x (4/1)) – (2005 AF Baseline))/ (2005 AF Baseline)  NOTE for monthly calculation use (12/5) - February example</t>
  </si>
  <si>
    <t>Number of  Vehicles in the Fleet</t>
  </si>
  <si>
    <t>Aug</t>
  </si>
  <si>
    <t>Sept</t>
  </si>
  <si>
    <t xml:space="preserve">FY14 </t>
  </si>
  <si>
    <t>Petroleum</t>
  </si>
  <si>
    <t>Alternative Fuel</t>
  </si>
  <si>
    <t>FY15 Total</t>
  </si>
  <si>
    <t>FY14 Total</t>
  </si>
  <si>
    <t>Feb</t>
  </si>
  <si>
    <t xml:space="preserve">FY15 
</t>
  </si>
  <si>
    <t>Inventory Baseline % Change</t>
  </si>
  <si>
    <t>Multiplier</t>
  </si>
  <si>
    <t>Alt Fuel Running Actual</t>
  </si>
  <si>
    <t>Petroleum Running Actual</t>
  </si>
  <si>
    <r>
      <t xml:space="preserve">Actual - </t>
    </r>
    <r>
      <rPr>
        <b/>
        <i/>
        <u/>
        <sz val="11"/>
        <color theme="1"/>
        <rFont val="Calibri"/>
        <family val="2"/>
        <scheme val="minor"/>
      </rPr>
      <t>Vehicle # Entry</t>
    </r>
    <r>
      <rPr>
        <b/>
        <u/>
        <sz val="11"/>
        <color theme="1"/>
        <rFont val="Calibri"/>
        <family val="2"/>
        <scheme val="minor"/>
      </rPr>
      <t>:</t>
    </r>
  </si>
  <si>
    <t>Current</t>
  </si>
  <si>
    <t>FY16 Total</t>
  </si>
  <si>
    <t>% Petroleum Decrease</t>
  </si>
  <si>
    <t>% Alt Fuel Increase</t>
  </si>
  <si>
    <t>Jun</t>
  </si>
  <si>
    <t>Jul</t>
  </si>
  <si>
    <t>Sep</t>
  </si>
  <si>
    <t>FY16</t>
  </si>
  <si>
    <t>FY17 Total</t>
  </si>
  <si>
    <t xml:space="preserve"> </t>
  </si>
  <si>
    <t xml:space="preserve">FY17
</t>
  </si>
  <si>
    <t>FY18 Total</t>
  </si>
  <si>
    <t>**** FY17 and FY18 - FUR Report replaces FAST Report ****</t>
  </si>
  <si>
    <t>FY18</t>
  </si>
  <si>
    <t>FY19 Total</t>
  </si>
  <si>
    <t>PROJECTED EOY Alt Fuel, based on FY19 Actuals::</t>
  </si>
  <si>
    <r>
      <t xml:space="preserve">FY20
</t>
    </r>
    <r>
      <rPr>
        <b/>
        <i/>
        <u/>
        <sz val="11"/>
        <color theme="1"/>
        <rFont val="Arial"/>
        <family val="2"/>
      </rPr>
      <t>Fuel Entry</t>
    </r>
  </si>
  <si>
    <t>FY19</t>
  </si>
  <si>
    <t>PROJECTED EOY Petroleum, based on FY20 Actuals:</t>
  </si>
  <si>
    <t>Q1 (Dec)</t>
  </si>
  <si>
    <t>Q2 (Mar)</t>
  </si>
  <si>
    <t>Q3 (Jun)</t>
  </si>
  <si>
    <t>Q4 (Sep)</t>
  </si>
  <si>
    <t>% Reduced from 2005 Baseline</t>
  </si>
  <si>
    <t>Petroleum Running Total GGE</t>
  </si>
  <si>
    <t>Period</t>
  </si>
  <si>
    <t>FY20 Fuel Statistics</t>
  </si>
  <si>
    <t>Current (June)</t>
  </si>
  <si>
    <t>FY20 EOFY ACTUAL</t>
  </si>
  <si>
    <t>FY20 Quarterly Statistics</t>
  </si>
  <si>
    <r>
      <t xml:space="preserve">FY21
</t>
    </r>
    <r>
      <rPr>
        <b/>
        <i/>
        <u/>
        <sz val="11"/>
        <color theme="1"/>
        <rFont val="Arial"/>
        <family val="2"/>
      </rPr>
      <t>Fuel Entry</t>
    </r>
  </si>
  <si>
    <t>Actual</t>
  </si>
  <si>
    <t>Projected</t>
  </si>
  <si>
    <t>FY20 Total</t>
  </si>
  <si>
    <t>FY21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</si>
</sst>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ourier New"/>
      <family val="3"/>
    </font>
    <font>
      <b/>
      <sz val="12"/>
      <color theme="1"/>
      <name val="Arial"/>
      <family val="2"/>
    </font>
    <font>
      <sz val="11"/>
      <color theme="1"/>
      <name val="Symbol"/>
      <family val="1"/>
      <charset val="2"/>
    </font>
    <font>
      <sz val="11"/>
      <color theme="1"/>
      <name val="Wingdings"/>
      <charset val="2"/>
    </font>
    <font>
      <sz val="8"/>
      <color theme="1"/>
      <name val="Times New Roman"/>
      <family val="1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Arial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41" fontId="3" fillId="0" borderId="0" applyFont="0" applyBorder="0" applyAlignment="0" applyProtection="0"/>
    <xf numFmtId="0" fontId="1" fillId="9" borderId="0" applyNumberFormat="0" applyBorder="0" applyAlignment="0" applyProtection="0"/>
    <xf numFmtId="164" fontId="3" fillId="5" borderId="1" applyFont="0">
      <protection locked="0"/>
    </xf>
  </cellStyleXfs>
  <cellXfs count="156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43" fontId="0" fillId="0" borderId="0" xfId="0" applyNumberFormat="1"/>
    <xf numFmtId="3" fontId="0" fillId="0" borderId="0" xfId="0" applyNumberForma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9" fontId="6" fillId="0" borderId="0" xfId="2" applyFont="1"/>
    <xf numFmtId="10" fontId="6" fillId="0" borderId="0" xfId="0" applyNumberFormat="1" applyFont="1"/>
    <xf numFmtId="10" fontId="6" fillId="0" borderId="0" xfId="2" applyNumberFormat="1" applyFont="1" applyAlignment="1">
      <alignment horizontal="left" indent="2"/>
    </xf>
    <xf numFmtId="0" fontId="0" fillId="0" borderId="0" xfId="0" applyBorder="1"/>
    <xf numFmtId="0" fontId="0" fillId="0" borderId="0" xfId="0" applyFill="1"/>
    <xf numFmtId="9" fontId="5" fillId="0" borderId="0" xfId="2" applyFont="1"/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10" fontId="7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6" fillId="2" borderId="0" xfId="0" applyFont="1" applyFill="1" applyBorder="1"/>
    <xf numFmtId="9" fontId="5" fillId="0" borderId="0" xfId="2" applyNumberFormat="1" applyFont="1"/>
    <xf numFmtId="164" fontId="3" fillId="0" borderId="1" xfId="1" applyNumberFormat="1" applyFont="1" applyBorder="1"/>
    <xf numFmtId="0" fontId="5" fillId="2" borderId="1" xfId="0" applyFont="1" applyFill="1" applyBorder="1"/>
    <xf numFmtId="43" fontId="5" fillId="0" borderId="0" xfId="0" applyNumberFormat="1" applyFont="1"/>
    <xf numFmtId="164" fontId="0" fillId="0" borderId="1" xfId="1" applyNumberFormat="1" applyFont="1" applyBorder="1"/>
    <xf numFmtId="164" fontId="14" fillId="0" borderId="1" xfId="1" applyNumberFormat="1" applyFont="1" applyBorder="1"/>
    <xf numFmtId="1" fontId="15" fillId="0" borderId="0" xfId="0" applyNumberFormat="1" applyFont="1"/>
    <xf numFmtId="0" fontId="5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1" xfId="1" applyNumberFormat="1" applyFont="1" applyBorder="1" applyAlignment="1">
      <alignment vertical="center" wrapText="1"/>
    </xf>
    <xf numFmtId="164" fontId="0" fillId="0" borderId="0" xfId="1" applyNumberFormat="1" applyFont="1"/>
    <xf numFmtId="164" fontId="0" fillId="5" borderId="1" xfId="1" applyNumberFormat="1" applyFont="1" applyFill="1" applyBorder="1" applyProtection="1">
      <protection locked="0"/>
    </xf>
    <xf numFmtId="0" fontId="16" fillId="0" borderId="15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10" fontId="6" fillId="0" borderId="0" xfId="2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0" fontId="3" fillId="0" borderId="0" xfId="2" applyNumberFormat="1" applyFont="1" applyAlignment="1">
      <alignment vertical="center"/>
    </xf>
    <xf numFmtId="9" fontId="6" fillId="0" borderId="0" xfId="2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Border="1" applyAlignment="1">
      <alignment vertical="center"/>
    </xf>
    <xf numFmtId="164" fontId="5" fillId="0" borderId="1" xfId="1" applyNumberFormat="1" applyFont="1" applyBorder="1" applyAlignment="1">
      <alignment horizontal="left" vertical="center" wrapText="1"/>
    </xf>
    <xf numFmtId="10" fontId="5" fillId="0" borderId="5" xfId="2" applyNumberFormat="1" applyFont="1" applyBorder="1"/>
    <xf numFmtId="164" fontId="21" fillId="0" borderId="7" xfId="1" applyNumberFormat="1" applyFont="1" applyBorder="1" applyAlignment="1">
      <alignment horizontal="center" vertical="center"/>
    </xf>
    <xf numFmtId="164" fontId="21" fillId="0" borderId="11" xfId="1" applyNumberFormat="1" applyFont="1" applyBorder="1" applyAlignment="1">
      <alignment horizontal="center" vertical="center"/>
    </xf>
    <xf numFmtId="164" fontId="5" fillId="0" borderId="19" xfId="1" applyNumberFormat="1" applyFont="1" applyBorder="1"/>
    <xf numFmtId="164" fontId="0" fillId="0" borderId="15" xfId="1" applyNumberFormat="1" applyFont="1" applyBorder="1"/>
    <xf numFmtId="0" fontId="0" fillId="0" borderId="14" xfId="0" applyFont="1" applyBorder="1" applyAlignment="1">
      <alignment horizontal="left" vertical="center" wrapText="1"/>
    </xf>
    <xf numFmtId="0" fontId="5" fillId="0" borderId="14" xfId="0" applyFont="1" applyBorder="1"/>
    <xf numFmtId="0" fontId="5" fillId="0" borderId="3" xfId="0" applyFont="1" applyBorder="1"/>
    <xf numFmtId="164" fontId="5" fillId="0" borderId="20" xfId="1" applyNumberFormat="1" applyFont="1" applyBorder="1"/>
    <xf numFmtId="0" fontId="5" fillId="0" borderId="15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6" fillId="0" borderId="19" xfId="0" applyFont="1" applyBorder="1" applyAlignment="1">
      <alignment horizontal="right" wrapText="1"/>
    </xf>
    <xf numFmtId="0" fontId="4" fillId="3" borderId="21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0" fillId="0" borderId="15" xfId="0" applyFont="1" applyBorder="1" applyAlignment="1">
      <alignment vertical="center" wrapText="1"/>
    </xf>
    <xf numFmtId="10" fontId="5" fillId="0" borderId="15" xfId="2" applyNumberFormat="1" applyFont="1" applyBorder="1"/>
    <xf numFmtId="10" fontId="5" fillId="0" borderId="19" xfId="2" applyNumberFormat="1" applyFont="1" applyBorder="1"/>
    <xf numFmtId="9" fontId="22" fillId="0" borderId="0" xfId="2" applyFont="1" applyBorder="1" applyAlignment="1">
      <alignment vertical="center"/>
    </xf>
    <xf numFmtId="0" fontId="6" fillId="0" borderId="0" xfId="0" applyFont="1" applyBorder="1"/>
    <xf numFmtId="9" fontId="22" fillId="0" borderId="22" xfId="2" applyFont="1" applyBorder="1" applyAlignment="1">
      <alignment vertical="center"/>
    </xf>
    <xf numFmtId="9" fontId="22" fillId="0" borderId="17" xfId="2" applyFont="1" applyBorder="1" applyAlignment="1">
      <alignment vertical="center"/>
    </xf>
    <xf numFmtId="2" fontId="3" fillId="0" borderId="0" xfId="2" applyNumberFormat="1" applyFont="1" applyAlignment="1">
      <alignment horizontal="left" vertical="center" wrapText="1"/>
    </xf>
    <xf numFmtId="164" fontId="0" fillId="0" borderId="1" xfId="1" applyNumberFormat="1" applyFont="1" applyBorder="1" applyAlignment="1">
      <alignment horizontal="left" vertical="center"/>
    </xf>
    <xf numFmtId="164" fontId="0" fillId="0" borderId="1" xfId="1" applyNumberFormat="1" applyFont="1" applyBorder="1" applyAlignment="1">
      <alignment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10" fontId="0" fillId="0" borderId="1" xfId="0" applyNumberFormat="1" applyFont="1" applyBorder="1" applyAlignment="1">
      <alignment vertical="center"/>
    </xf>
    <xf numFmtId="10" fontId="0" fillId="0" borderId="20" xfId="0" applyNumberFormat="1" applyFont="1" applyBorder="1" applyAlignment="1">
      <alignment vertical="center"/>
    </xf>
    <xf numFmtId="10" fontId="0" fillId="0" borderId="15" xfId="0" applyNumberFormat="1" applyFont="1" applyBorder="1" applyAlignment="1">
      <alignment horizontal="right" vertical="center"/>
    </xf>
    <xf numFmtId="10" fontId="0" fillId="0" borderId="19" xfId="0" applyNumberFormat="1" applyFont="1" applyBorder="1" applyAlignment="1">
      <alignment horizontal="right" vertical="center"/>
    </xf>
    <xf numFmtId="165" fontId="0" fillId="0" borderId="0" xfId="2" applyNumberFormat="1" applyFont="1"/>
    <xf numFmtId="0" fontId="5" fillId="0" borderId="17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1" xfId="1" applyNumberFormat="1" applyFont="1" applyFill="1" applyBorder="1" applyProtection="1">
      <protection locked="0"/>
    </xf>
    <xf numFmtId="164" fontId="14" fillId="0" borderId="1" xfId="1" applyNumberFormat="1" applyFont="1" applyFill="1" applyBorder="1" applyProtection="1">
      <protection locked="0"/>
    </xf>
    <xf numFmtId="0" fontId="6" fillId="2" borderId="6" xfId="0" applyFont="1" applyFill="1" applyBorder="1" applyAlignment="1">
      <alignment horizontal="left" vertical="center" wrapText="1"/>
    </xf>
    <xf numFmtId="0" fontId="6" fillId="2" borderId="18" xfId="0" applyFont="1" applyFill="1" applyBorder="1" applyAlignment="1">
      <alignment vertical="center"/>
    </xf>
    <xf numFmtId="0" fontId="6" fillId="2" borderId="18" xfId="0" applyFont="1" applyFill="1" applyBorder="1"/>
    <xf numFmtId="0" fontId="5" fillId="2" borderId="18" xfId="0" applyFont="1" applyFill="1" applyBorder="1"/>
    <xf numFmtId="0" fontId="5" fillId="0" borderId="21" xfId="0" applyFont="1" applyBorder="1"/>
    <xf numFmtId="164" fontId="16" fillId="0" borderId="17" xfId="0" applyNumberFormat="1" applyFont="1" applyBorder="1" applyAlignment="1">
      <alignment horizontal="center" vertical="center"/>
    </xf>
    <xf numFmtId="0" fontId="16" fillId="0" borderId="25" xfId="0" applyFont="1" applyBorder="1" applyAlignment="1">
      <alignment horizontal="left" vertical="center" wrapText="1"/>
    </xf>
    <xf numFmtId="164" fontId="16" fillId="0" borderId="8" xfId="0" applyNumberFormat="1" applyFont="1" applyBorder="1" applyAlignment="1">
      <alignment horizontal="center" vertical="center"/>
    </xf>
    <xf numFmtId="164" fontId="22" fillId="0" borderId="17" xfId="0" applyNumberFormat="1" applyFont="1" applyBorder="1" applyAlignment="1">
      <alignment horizontal="left" vertical="center" wrapText="1"/>
    </xf>
    <xf numFmtId="0" fontId="6" fillId="2" borderId="4" xfId="0" applyFont="1" applyFill="1" applyBorder="1"/>
    <xf numFmtId="0" fontId="0" fillId="0" borderId="4" xfId="0" applyBorder="1" applyAlignment="1">
      <alignment horizontal="left" vertical="center"/>
    </xf>
    <xf numFmtId="164" fontId="0" fillId="0" borderId="20" xfId="1" applyNumberFormat="1" applyFont="1" applyBorder="1"/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9" fontId="3" fillId="0" borderId="15" xfId="2" applyFont="1" applyBorder="1"/>
    <xf numFmtId="9" fontId="3" fillId="0" borderId="19" xfId="2" applyFont="1" applyBorder="1"/>
    <xf numFmtId="0" fontId="5" fillId="2" borderId="20" xfId="0" applyFont="1" applyFill="1" applyBorder="1"/>
    <xf numFmtId="0" fontId="0" fillId="0" borderId="0" xfId="0" applyFont="1" applyFill="1" applyBorder="1"/>
    <xf numFmtId="0" fontId="4" fillId="8" borderId="28" xfId="0" applyFont="1" applyFill="1" applyBorder="1"/>
    <xf numFmtId="0" fontId="4" fillId="8" borderId="29" xfId="0" applyFont="1" applyFill="1" applyBorder="1"/>
    <xf numFmtId="0" fontId="4" fillId="8" borderId="30" xfId="0" applyFont="1" applyFill="1" applyBorder="1"/>
    <xf numFmtId="43" fontId="0" fillId="0" borderId="1" xfId="1" applyNumberFormat="1" applyFont="1" applyFill="1" applyBorder="1"/>
    <xf numFmtId="10" fontId="0" fillId="0" borderId="1" xfId="0" applyNumberFormat="1" applyFont="1" applyFill="1" applyBorder="1"/>
    <xf numFmtId="0" fontId="5" fillId="0" borderId="1" xfId="0" applyFont="1" applyFill="1" applyBorder="1"/>
    <xf numFmtId="164" fontId="0" fillId="5" borderId="1" xfId="6" applyFont="1">
      <protection locked="0"/>
    </xf>
    <xf numFmtId="41" fontId="0" fillId="0" borderId="1" xfId="4" applyFont="1" applyBorder="1"/>
    <xf numFmtId="41" fontId="1" fillId="9" borderId="1" xfId="5" applyNumberFormat="1" applyBorder="1" applyProtection="1">
      <protection locked="0"/>
    </xf>
    <xf numFmtId="0" fontId="1" fillId="9" borderId="0" xfId="5"/>
    <xf numFmtId="164" fontId="1" fillId="9" borderId="20" xfId="5" applyNumberFormat="1" applyBorder="1"/>
    <xf numFmtId="3" fontId="1" fillId="9" borderId="18" xfId="5" applyNumberFormat="1" applyBorder="1" applyAlignment="1" applyProtection="1">
      <alignment vertical="center"/>
      <protection locked="0"/>
    </xf>
    <xf numFmtId="164" fontId="0" fillId="5" borderId="1" xfId="6" applyFont="1" applyAlignment="1">
      <alignment horizontal="center" vertical="center"/>
      <protection locked="0"/>
    </xf>
    <xf numFmtId="164" fontId="1" fillId="5" borderId="1" xfId="6" applyFont="1">
      <protection locked="0"/>
    </xf>
    <xf numFmtId="164" fontId="1" fillId="5" borderId="1" xfId="6" applyFont="1" applyAlignment="1">
      <alignment horizontal="center" vertical="center"/>
      <protection locked="0"/>
    </xf>
    <xf numFmtId="164" fontId="1" fillId="5" borderId="1" xfId="6" applyFont="1" applyAlignment="1">
      <alignment vertical="center"/>
      <protection locked="0"/>
    </xf>
    <xf numFmtId="0" fontId="4" fillId="7" borderId="24" xfId="0" applyFont="1" applyFill="1" applyBorder="1" applyAlignment="1">
      <alignment horizontal="center"/>
    </xf>
    <xf numFmtId="0" fontId="4" fillId="7" borderId="31" xfId="0" applyFont="1" applyFill="1" applyBorder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5" fillId="2" borderId="8" xfId="0" applyFont="1" applyFill="1" applyBorder="1" applyAlignment="1">
      <alignment horizontal="left" wrapText="1"/>
    </xf>
    <xf numFmtId="0" fontId="5" fillId="2" borderId="9" xfId="0" applyFont="1" applyFill="1" applyBorder="1" applyAlignment="1">
      <alignment horizontal="left" wrapText="1"/>
    </xf>
    <xf numFmtId="0" fontId="13" fillId="4" borderId="25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13" fillId="4" borderId="27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 wrapText="1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21" fillId="0" borderId="16" xfId="0" applyFont="1" applyFill="1" applyBorder="1" applyAlignment="1">
      <alignment horizontal="right"/>
    </xf>
    <xf numFmtId="0" fontId="21" fillId="0" borderId="23" xfId="0" applyFont="1" applyFill="1" applyBorder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17" fillId="0" borderId="2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</cellXfs>
  <cellStyles count="7">
    <cellStyle name="20% - Accent1" xfId="5" builtinId="30"/>
    <cellStyle name="Actual" xfId="6"/>
    <cellStyle name="Comma" xfId="1" builtinId="3"/>
    <cellStyle name="Comma [0]" xfId="4" builtinId="6" customBuiltin="1"/>
    <cellStyle name="Normal" xfId="0" builtinId="0"/>
    <cellStyle name="Percent" xfId="2" builtinId="5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5"/>
  <sheetViews>
    <sheetView showGridLines="0" topLeftCell="B1" workbookViewId="0">
      <selection activeCell="C9" sqref="C9"/>
    </sheetView>
  </sheetViews>
  <sheetFormatPr defaultRowHeight="14.4" x14ac:dyDescent="0.3"/>
  <cols>
    <col min="3" max="3" width="32.109375" customWidth="1"/>
    <col min="4" max="4" width="26.21875" bestFit="1" customWidth="1"/>
    <col min="5" max="5" width="27" bestFit="1" customWidth="1"/>
    <col min="6" max="6" width="14.44140625" customWidth="1"/>
  </cols>
  <sheetData>
    <row r="2" spans="3:5" x14ac:dyDescent="0.3">
      <c r="C2" s="131" t="s">
        <v>77</v>
      </c>
      <c r="D2" s="131"/>
      <c r="E2" s="131"/>
    </row>
    <row r="3" spans="3:5" s="94" customFormat="1" x14ac:dyDescent="0.3">
      <c r="C3" s="92"/>
      <c r="D3" s="93" t="s">
        <v>78</v>
      </c>
      <c r="E3" s="93" t="s">
        <v>79</v>
      </c>
    </row>
    <row r="4" spans="3:5" x14ac:dyDescent="0.3">
      <c r="C4" s="91" t="s">
        <v>53</v>
      </c>
      <c r="D4" s="90" t="str">
        <f>TEXT(('Projected Actual Monthly Stats'!O17-'Projected Actual Monthly Stats'!$B$13)/'Projected Actual Monthly Stats'!$B$13,"#%")</f>
        <v>-54%</v>
      </c>
      <c r="E4" s="89" t="str">
        <f>TEXT(('Projected Actual Monthly Stats'!AC7-'Projected Actual Monthly Stats'!$B$13)/'Projected Actual Monthly Stats'!$B$13,"#%")</f>
        <v>-54%</v>
      </c>
    </row>
    <row r="5" spans="3:5" x14ac:dyDescent="0.3">
      <c r="C5" s="91" t="s">
        <v>54</v>
      </c>
      <c r="D5" s="90" t="str">
        <f>TEXT(('Projected Actual Monthly Stats'!O18-'Projected Actual Monthly Stats'!$B$12)/'Projected Actual Monthly Stats'!$B$12,"#%")</f>
        <v>79%</v>
      </c>
      <c r="E5" s="89" t="str">
        <f>TEXT(('Projected Actual Monthly Stats'!AC8-'Projected Actual Monthly Stats'!$B$12)/'Projected Actual Monthly Stats'!$B$12,"#%")</f>
        <v>79%</v>
      </c>
    </row>
    <row r="10" spans="3:5" x14ac:dyDescent="0.3">
      <c r="C10" s="132" t="s">
        <v>80</v>
      </c>
      <c r="D10" s="132"/>
      <c r="E10" s="132"/>
    </row>
    <row r="11" spans="3:5" x14ac:dyDescent="0.3">
      <c r="C11" s="115" t="s">
        <v>76</v>
      </c>
      <c r="D11" s="116" t="s">
        <v>75</v>
      </c>
      <c r="E11" s="117" t="s">
        <v>74</v>
      </c>
    </row>
    <row r="12" spans="3:5" x14ac:dyDescent="0.3">
      <c r="C12" s="120" t="s">
        <v>70</v>
      </c>
      <c r="D12" s="118">
        <f>'Projected Actual Monthly Stats'!E3</f>
        <v>300970.63276900031</v>
      </c>
      <c r="E12" s="119">
        <f>'Projected Actual Monthly Stats'!E5</f>
        <v>-0.56820915526224658</v>
      </c>
    </row>
    <row r="13" spans="3:5" x14ac:dyDescent="0.3">
      <c r="C13" s="120" t="s">
        <v>71</v>
      </c>
      <c r="D13" s="118">
        <f>'Projected Actual Monthly Stats'!H3</f>
        <v>634937.36634000042</v>
      </c>
      <c r="E13" s="119">
        <f>'Projected Actual Monthly Stats'!H5</f>
        <v>-0.54454004491206398</v>
      </c>
    </row>
    <row r="14" spans="3:5" x14ac:dyDescent="0.3">
      <c r="C14" s="120" t="s">
        <v>72</v>
      </c>
      <c r="D14" s="118">
        <f>'Projected Actual Monthly Stats'!K3</f>
        <v>937919.11222700018</v>
      </c>
      <c r="E14" s="119">
        <f>'Projected Actual Monthly Stats'!K5</f>
        <v>-0.55146799314136363</v>
      </c>
    </row>
    <row r="15" spans="3:5" x14ac:dyDescent="0.3">
      <c r="C15" s="120" t="s">
        <v>73</v>
      </c>
      <c r="D15" s="118">
        <f>'Projected Actual Monthly Stats'!N3</f>
        <v>1281166.5303520001</v>
      </c>
      <c r="E15" s="119">
        <f>'Projected Actual Monthly Stats'!N5</f>
        <v>-0.54049006932927801</v>
      </c>
    </row>
  </sheetData>
  <mergeCells count="2">
    <mergeCell ref="C2:E2"/>
    <mergeCell ref="C10:E10"/>
  </mergeCells>
  <pageMargins left="0.7" right="0.7" top="0.75" bottom="0.75" header="0.3" footer="0.3"/>
  <pageSetup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tabSelected="1" zoomScale="80" zoomScaleNormal="80" workbookViewId="0">
      <pane ySplit="2" topLeftCell="A7" activePane="bottomLeft" state="frozen"/>
      <selection pane="bottomLeft" activeCell="I12" sqref="I12"/>
    </sheetView>
  </sheetViews>
  <sheetFormatPr defaultRowHeight="14.4" x14ac:dyDescent="0.3"/>
  <cols>
    <col min="1" max="1" width="26" style="37" customWidth="1"/>
    <col min="2" max="2" width="18.109375" style="50" customWidth="1"/>
    <col min="3" max="3" width="14.6640625" customWidth="1"/>
    <col min="4" max="14" width="11.33203125" customWidth="1"/>
    <col min="15" max="15" width="13.33203125" bestFit="1" customWidth="1"/>
    <col min="16" max="16" width="26.77734375" bestFit="1" customWidth="1"/>
    <col min="17" max="17" width="9.6640625" bestFit="1" customWidth="1"/>
    <col min="18" max="18" width="10.33203125" bestFit="1" customWidth="1"/>
    <col min="19" max="19" width="11.109375" bestFit="1" customWidth="1"/>
    <col min="20" max="20" width="10.33203125" bestFit="1" customWidth="1"/>
    <col min="21" max="27" width="9.6640625" bestFit="1" customWidth="1"/>
    <col min="28" max="28" width="12.109375" bestFit="1" customWidth="1"/>
    <col min="29" max="29" width="11.33203125" bestFit="1" customWidth="1"/>
    <col min="30" max="30" width="29" customWidth="1"/>
  </cols>
  <sheetData>
    <row r="1" spans="1:30" ht="21.6" thickBot="1" x14ac:dyDescent="0.45">
      <c r="A1" s="136" t="s">
        <v>40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  <c r="P1" s="139" t="s">
        <v>41</v>
      </c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1"/>
    </row>
    <row r="2" spans="1:30" x14ac:dyDescent="0.3">
      <c r="A2" s="97" t="s">
        <v>0</v>
      </c>
      <c r="B2" s="98" t="s">
        <v>1</v>
      </c>
      <c r="C2" s="100" t="s">
        <v>27</v>
      </c>
      <c r="D2" s="100" t="s">
        <v>28</v>
      </c>
      <c r="E2" s="100" t="s">
        <v>29</v>
      </c>
      <c r="F2" s="24" t="s">
        <v>30</v>
      </c>
      <c r="G2" s="24" t="s">
        <v>33</v>
      </c>
      <c r="H2" s="24" t="s">
        <v>31</v>
      </c>
      <c r="I2" s="24" t="s">
        <v>32</v>
      </c>
      <c r="J2" s="24" t="s">
        <v>4</v>
      </c>
      <c r="K2" s="99" t="s">
        <v>5</v>
      </c>
      <c r="L2" s="99" t="s">
        <v>6</v>
      </c>
      <c r="M2" s="99" t="s">
        <v>37</v>
      </c>
      <c r="N2" s="99" t="s">
        <v>38</v>
      </c>
      <c r="O2" s="21"/>
      <c r="P2" s="106" t="s">
        <v>0</v>
      </c>
      <c r="Q2" s="24" t="s">
        <v>27</v>
      </c>
      <c r="R2" s="24" t="s">
        <v>28</v>
      </c>
      <c r="S2" s="24" t="s">
        <v>29</v>
      </c>
      <c r="T2" s="24" t="s">
        <v>30</v>
      </c>
      <c r="U2" s="24" t="s">
        <v>33</v>
      </c>
      <c r="V2" s="24" t="s">
        <v>31</v>
      </c>
      <c r="W2" s="24" t="s">
        <v>32</v>
      </c>
      <c r="X2" s="24" t="s">
        <v>4</v>
      </c>
      <c r="Y2" s="24" t="s">
        <v>5</v>
      </c>
      <c r="Z2" s="24" t="s">
        <v>6</v>
      </c>
      <c r="AA2" s="100" t="s">
        <v>7</v>
      </c>
      <c r="AB2" s="113" t="s">
        <v>8</v>
      </c>
    </row>
    <row r="3" spans="1:30" ht="30" customHeight="1" x14ac:dyDescent="0.3">
      <c r="A3" s="36" t="s">
        <v>9</v>
      </c>
      <c r="B3" s="44" t="s">
        <v>49</v>
      </c>
      <c r="C3" s="79">
        <f>C17</f>
        <v>106893.32370200034</v>
      </c>
      <c r="D3" s="79">
        <f>C3+D17</f>
        <v>220317.15846100028</v>
      </c>
      <c r="E3" s="79">
        <f t="shared" ref="E3:N3" si="0">D3+E17</f>
        <v>300970.63276900031</v>
      </c>
      <c r="F3" s="79">
        <f t="shared" si="0"/>
        <v>393724.75119100022</v>
      </c>
      <c r="G3" s="79">
        <f t="shared" si="0"/>
        <v>509499.56755000021</v>
      </c>
      <c r="H3" s="79">
        <f t="shared" si="0"/>
        <v>634937.36634000042</v>
      </c>
      <c r="I3" s="79">
        <f t="shared" si="0"/>
        <v>776520.77470400033</v>
      </c>
      <c r="J3" s="79">
        <f t="shared" si="0"/>
        <v>846628.88749800029</v>
      </c>
      <c r="K3" s="79">
        <f t="shared" si="0"/>
        <v>937919.11222700018</v>
      </c>
      <c r="L3" s="79">
        <f t="shared" si="0"/>
        <v>1037934.3633789999</v>
      </c>
      <c r="M3" s="79">
        <f t="shared" si="0"/>
        <v>1150432.9355219998</v>
      </c>
      <c r="N3" s="79">
        <f t="shared" si="0"/>
        <v>1281166.5303520001</v>
      </c>
      <c r="P3" s="107" t="s">
        <v>48</v>
      </c>
      <c r="Q3" s="26">
        <f>C$18</f>
        <v>9198.5781919999972</v>
      </c>
      <c r="R3" s="26">
        <f>Q3+D$18</f>
        <v>16680.926783999996</v>
      </c>
      <c r="S3" s="26">
        <f t="shared" ref="S3:AB3" si="1">R3+E$18</f>
        <v>21664.515903999993</v>
      </c>
      <c r="T3" s="26">
        <f t="shared" si="1"/>
        <v>26980.272167999996</v>
      </c>
      <c r="U3" s="26">
        <f t="shared" si="1"/>
        <v>33032.977559999999</v>
      </c>
      <c r="V3" s="26">
        <f t="shared" si="1"/>
        <v>39382.973171999998</v>
      </c>
      <c r="W3" s="26">
        <f t="shared" si="1"/>
        <v>47493.052447999995</v>
      </c>
      <c r="X3" s="26">
        <f t="shared" si="1"/>
        <v>54014.119587999987</v>
      </c>
      <c r="Y3" s="26">
        <f t="shared" si="1"/>
        <v>63516.608339999977</v>
      </c>
      <c r="Z3" s="26">
        <f t="shared" si="1"/>
        <v>72558.720519999973</v>
      </c>
      <c r="AA3" s="26">
        <f t="shared" si="1"/>
        <v>82625.940403999964</v>
      </c>
      <c r="AB3" s="26">
        <f t="shared" si="1"/>
        <v>92901.602211999969</v>
      </c>
    </row>
    <row r="4" spans="1:30" ht="86.4" x14ac:dyDescent="0.3">
      <c r="A4" s="36" t="s">
        <v>10</v>
      </c>
      <c r="B4" s="44" t="s">
        <v>11</v>
      </c>
      <c r="C4" s="80">
        <f>C3*(12/1)</f>
        <v>1282719.8844240042</v>
      </c>
      <c r="D4" s="80">
        <f>D3*(12/2)</f>
        <v>1321902.9507660016</v>
      </c>
      <c r="E4" s="81">
        <f>E3*(4/1)</f>
        <v>1203882.5310760012</v>
      </c>
      <c r="F4" s="81">
        <f>F3*(12/4)</f>
        <v>1181174.2535730007</v>
      </c>
      <c r="G4" s="81">
        <f>G3*(12/5)</f>
        <v>1222798.9621200005</v>
      </c>
      <c r="H4" s="81">
        <f>H3*(4/2)</f>
        <v>1269874.7326800008</v>
      </c>
      <c r="I4" s="81">
        <f>I3*(12/7)</f>
        <v>1331178.4709211434</v>
      </c>
      <c r="J4" s="81">
        <f>J3*(12/8)</f>
        <v>1269943.3312470005</v>
      </c>
      <c r="K4" s="81">
        <f>K3*(4/3)</f>
        <v>1250558.8163026669</v>
      </c>
      <c r="L4" s="81">
        <f>L3*(12/10)</f>
        <v>1245521.2360547998</v>
      </c>
      <c r="M4" s="81">
        <f>M3*(12/11)</f>
        <v>1255017.7478421815</v>
      </c>
      <c r="N4" s="82">
        <f>N3*(4/4)</f>
        <v>1281166.5303520001</v>
      </c>
      <c r="P4" s="109" t="s">
        <v>34</v>
      </c>
      <c r="Q4" s="26">
        <f>Q3*(12/1)</f>
        <v>110382.93830399997</v>
      </c>
      <c r="R4" s="26">
        <f>R3*(12/2)</f>
        <v>100085.56070399997</v>
      </c>
      <c r="S4" s="26">
        <f>S3*(4/1)</f>
        <v>86658.06361599997</v>
      </c>
      <c r="T4" s="26">
        <f>T3*(12/4)</f>
        <v>80940.816503999988</v>
      </c>
      <c r="U4" s="26">
        <f>U3*(12/5)</f>
        <v>79279.146143999998</v>
      </c>
      <c r="V4" s="23">
        <f>V3*(4/2)</f>
        <v>78765.946343999996</v>
      </c>
      <c r="W4" s="26">
        <f>W3*(12/7)</f>
        <v>81416.661339428552</v>
      </c>
      <c r="X4" s="26">
        <f>X3*(12/8)</f>
        <v>81021.179381999973</v>
      </c>
      <c r="Y4" s="26">
        <f>Y3*(4/3)</f>
        <v>84688.811119999969</v>
      </c>
      <c r="Z4" s="26">
        <f>Z3*(12/10)</f>
        <v>87070.464623999971</v>
      </c>
      <c r="AA4" s="26">
        <f>AA3*(12/11)</f>
        <v>90137.38953163632</v>
      </c>
      <c r="AB4" s="108">
        <f>AB3*(4/4)</f>
        <v>92901.602211999969</v>
      </c>
    </row>
    <row r="5" spans="1:30" ht="130.19999999999999" thickBot="1" x14ac:dyDescent="0.35">
      <c r="A5" s="36" t="s">
        <v>12</v>
      </c>
      <c r="B5" s="44" t="s">
        <v>13</v>
      </c>
      <c r="C5" s="83">
        <f>(C4-$B13)/$B13</f>
        <v>-0.53993293518237084</v>
      </c>
      <c r="D5" s="83">
        <f t="shared" ref="D5:N5" si="2">(D4-$B13)/$B13</f>
        <v>-0.5258793303841478</v>
      </c>
      <c r="E5" s="83">
        <f t="shared" si="2"/>
        <v>-0.56820915526224658</v>
      </c>
      <c r="F5" s="83">
        <f t="shared" si="2"/>
        <v>-0.57635382558717962</v>
      </c>
      <c r="G5" s="83">
        <f t="shared" si="2"/>
        <v>-0.56142448854512794</v>
      </c>
      <c r="H5" s="83">
        <f t="shared" si="2"/>
        <v>-0.54454004491206398</v>
      </c>
      <c r="I5" s="83">
        <f t="shared" si="2"/>
        <v>-0.52255252350740788</v>
      </c>
      <c r="J5" s="83">
        <f t="shared" si="2"/>
        <v>-0.54451544098898341</v>
      </c>
      <c r="K5" s="83">
        <f t="shared" si="2"/>
        <v>-0.55146799314136363</v>
      </c>
      <c r="L5" s="83">
        <f t="shared" si="2"/>
        <v>-0.55327479818630154</v>
      </c>
      <c r="M5" s="83">
        <f t="shared" si="2"/>
        <v>-0.54986872928764363</v>
      </c>
      <c r="N5" s="84">
        <f t="shared" si="2"/>
        <v>-0.54049006932927801</v>
      </c>
      <c r="P5" s="110" t="s">
        <v>35</v>
      </c>
      <c r="Q5" s="111">
        <f t="shared" ref="Q5:AB5" si="3">(Q4-$B$12)/$B$12</f>
        <v>1.1234430160629429</v>
      </c>
      <c r="R5" s="111">
        <f t="shared" si="3"/>
        <v>0.92535176315333811</v>
      </c>
      <c r="S5" s="111">
        <f t="shared" si="3"/>
        <v>0.66704621926398955</v>
      </c>
      <c r="T5" s="111">
        <f t="shared" si="3"/>
        <v>0.55706320343189097</v>
      </c>
      <c r="U5" s="111">
        <f t="shared" si="3"/>
        <v>0.5250975538926187</v>
      </c>
      <c r="V5" s="111">
        <f t="shared" si="3"/>
        <v>0.51522509943635408</v>
      </c>
      <c r="W5" s="111">
        <f t="shared" si="3"/>
        <v>0.56621705825805657</v>
      </c>
      <c r="X5" s="111">
        <f t="shared" si="3"/>
        <v>0.55860914879864521</v>
      </c>
      <c r="Y5" s="111">
        <f t="shared" si="3"/>
        <v>0.62916359425196644</v>
      </c>
      <c r="Z5" s="111">
        <f t="shared" si="3"/>
        <v>0.67497960148510039</v>
      </c>
      <c r="AA5" s="111">
        <f t="shared" si="3"/>
        <v>0.73397821464010005</v>
      </c>
      <c r="AB5" s="112">
        <f t="shared" si="3"/>
        <v>0.78715353504030106</v>
      </c>
    </row>
    <row r="6" spans="1:30" ht="29.4" thickBot="1" x14ac:dyDescent="0.35">
      <c r="A6" s="36" t="s">
        <v>14</v>
      </c>
      <c r="B6" s="44" t="s">
        <v>48</v>
      </c>
      <c r="C6" s="80">
        <f>C18</f>
        <v>9198.5781919999972</v>
      </c>
      <c r="D6" s="80">
        <f>C6+D18</f>
        <v>16680.926783999996</v>
      </c>
      <c r="E6" s="80">
        <f t="shared" ref="E6:N6" si="4">D6+E18</f>
        <v>21664.515903999993</v>
      </c>
      <c r="F6" s="80">
        <f t="shared" si="4"/>
        <v>26980.272167999996</v>
      </c>
      <c r="G6" s="80">
        <f t="shared" si="4"/>
        <v>33032.977559999999</v>
      </c>
      <c r="H6" s="80">
        <f t="shared" si="4"/>
        <v>39382.973171999998</v>
      </c>
      <c r="I6" s="80">
        <f t="shared" si="4"/>
        <v>47493.052447999995</v>
      </c>
      <c r="J6" s="80">
        <f t="shared" si="4"/>
        <v>54014.119587999987</v>
      </c>
      <c r="K6" s="80">
        <f t="shared" si="4"/>
        <v>63516.608339999977</v>
      </c>
      <c r="L6" s="80">
        <f t="shared" si="4"/>
        <v>72558.720519999973</v>
      </c>
      <c r="M6" s="80">
        <f t="shared" si="4"/>
        <v>82625.940403999964</v>
      </c>
      <c r="N6" s="80">
        <f t="shared" si="4"/>
        <v>92901.602211999969</v>
      </c>
      <c r="P6" s="78"/>
      <c r="Q6" s="3"/>
      <c r="R6" s="4"/>
    </row>
    <row r="7" spans="1:30" ht="72.599999999999994" thickBot="1" x14ac:dyDescent="0.35">
      <c r="A7" s="70" t="s">
        <v>15</v>
      </c>
      <c r="B7" s="71" t="s">
        <v>16</v>
      </c>
      <c r="C7" s="85">
        <f>(C6/(C6+C3))</f>
        <v>7.9235313074626973E-2</v>
      </c>
      <c r="D7" s="85">
        <f t="shared" ref="D7:N7" si="5">(D6/(D6+D3))</f>
        <v>7.0384225960120492E-2</v>
      </c>
      <c r="E7" s="85">
        <f t="shared" si="5"/>
        <v>6.7148653806338943E-2</v>
      </c>
      <c r="F7" s="85">
        <f t="shared" si="5"/>
        <v>6.4131091073226662E-2</v>
      </c>
      <c r="G7" s="85">
        <f t="shared" si="5"/>
        <v>6.0886628567697186E-2</v>
      </c>
      <c r="H7" s="85">
        <f t="shared" si="5"/>
        <v>5.8403952638446444E-2</v>
      </c>
      <c r="I7" s="85">
        <f t="shared" si="5"/>
        <v>5.7636232406618672E-2</v>
      </c>
      <c r="J7" s="85">
        <f t="shared" si="5"/>
        <v>5.9972840696072054E-2</v>
      </c>
      <c r="K7" s="85">
        <f t="shared" si="5"/>
        <v>6.3425546977730812E-2</v>
      </c>
      <c r="L7" s="85">
        <f t="shared" si="5"/>
        <v>6.5339191726653964E-2</v>
      </c>
      <c r="M7" s="85">
        <f t="shared" si="5"/>
        <v>6.7008917430605025E-2</v>
      </c>
      <c r="N7" s="86">
        <f t="shared" si="5"/>
        <v>6.7610622799792561E-2</v>
      </c>
      <c r="P7" s="103" t="s">
        <v>69</v>
      </c>
      <c r="Q7" s="104">
        <f>IF(C$17="",C$25,C$17)</f>
        <v>106893.32370200034</v>
      </c>
      <c r="R7" s="104">
        <f t="shared" ref="R7:AB7" si="6">IF(D$17="",D$25,D$17)</f>
        <v>113423.83475899993</v>
      </c>
      <c r="S7" s="104">
        <f t="shared" si="6"/>
        <v>80653.474308000033</v>
      </c>
      <c r="T7" s="104">
        <f t="shared" si="6"/>
        <v>92754.118421999898</v>
      </c>
      <c r="U7" s="104">
        <f t="shared" si="6"/>
        <v>115774.816359</v>
      </c>
      <c r="V7" s="104">
        <f t="shared" si="6"/>
        <v>125437.79879000022</v>
      </c>
      <c r="W7" s="104">
        <f t="shared" si="6"/>
        <v>141583.40836399989</v>
      </c>
      <c r="X7" s="104">
        <f t="shared" si="6"/>
        <v>70108.112793999913</v>
      </c>
      <c r="Y7" s="104">
        <f t="shared" si="6"/>
        <v>91290.224728999936</v>
      </c>
      <c r="Z7" s="104">
        <f t="shared" si="6"/>
        <v>100015.25115199974</v>
      </c>
      <c r="AA7" s="104">
        <f t="shared" si="6"/>
        <v>112498.57214299991</v>
      </c>
      <c r="AB7" s="104">
        <f t="shared" si="6"/>
        <v>130733.59483000028</v>
      </c>
      <c r="AC7" s="102">
        <f>SUM(Q7:AB7)</f>
        <v>1281166.5303520001</v>
      </c>
      <c r="AD7" s="105" t="str">
        <f>"Projected % Petroleum Decrease: "&amp;CHAR(10)&amp;TEXT((AC7-$B$13)/$B$13,"#%")</f>
        <v>Projected % Petroleum Decrease: 
-54%</v>
      </c>
    </row>
    <row r="8" spans="1:30" ht="29.4" thickBot="1" x14ac:dyDescent="0.35">
      <c r="A8" s="68" t="s">
        <v>36</v>
      </c>
      <c r="B8" s="69" t="s">
        <v>50</v>
      </c>
      <c r="C8" s="127">
        <v>4585</v>
      </c>
      <c r="D8" s="129">
        <f>C8</f>
        <v>4585</v>
      </c>
      <c r="E8" s="129">
        <v>4562</v>
      </c>
      <c r="F8" s="129">
        <v>4552</v>
      </c>
      <c r="G8" s="130">
        <f t="shared" ref="G8:N8" si="7">F8</f>
        <v>4552</v>
      </c>
      <c r="H8" s="130">
        <f t="shared" si="7"/>
        <v>4552</v>
      </c>
      <c r="I8" s="130">
        <v>4556</v>
      </c>
      <c r="J8" s="126">
        <f t="shared" si="7"/>
        <v>4556</v>
      </c>
      <c r="K8" s="126">
        <f t="shared" si="7"/>
        <v>4556</v>
      </c>
      <c r="L8" s="126">
        <f t="shared" si="7"/>
        <v>4556</v>
      </c>
      <c r="M8" s="126">
        <f t="shared" si="7"/>
        <v>4556</v>
      </c>
      <c r="N8" s="126">
        <f t="shared" si="7"/>
        <v>4556</v>
      </c>
      <c r="P8" s="103" t="s">
        <v>66</v>
      </c>
      <c r="Q8" s="104">
        <f>IF(C$18="",C$26,C$18)</f>
        <v>9198.5781919999972</v>
      </c>
      <c r="R8" s="104">
        <f t="shared" ref="R8:AB8" si="8">IF(D$18="",D$26,D$18)</f>
        <v>7482.3485920000003</v>
      </c>
      <c r="S8" s="104">
        <f t="shared" si="8"/>
        <v>4983.5891199999987</v>
      </c>
      <c r="T8" s="104">
        <f t="shared" si="8"/>
        <v>5315.7562640000024</v>
      </c>
      <c r="U8" s="104">
        <f t="shared" si="8"/>
        <v>6052.7053920000008</v>
      </c>
      <c r="V8" s="104">
        <f t="shared" si="8"/>
        <v>6349.9956120000015</v>
      </c>
      <c r="W8" s="104">
        <f t="shared" si="8"/>
        <v>8110.0792759999995</v>
      </c>
      <c r="X8" s="104">
        <f t="shared" si="8"/>
        <v>6521.0671399999947</v>
      </c>
      <c r="Y8" s="104">
        <f t="shared" si="8"/>
        <v>9502.488751999992</v>
      </c>
      <c r="Z8" s="104">
        <f t="shared" si="8"/>
        <v>9042.1121799999928</v>
      </c>
      <c r="AA8" s="104">
        <f t="shared" si="8"/>
        <v>10067.219883999993</v>
      </c>
      <c r="AB8" s="104">
        <f t="shared" si="8"/>
        <v>10275.661807999999</v>
      </c>
      <c r="AC8" s="102">
        <f>SUM(Q8:AB8)</f>
        <v>92901.602211999969</v>
      </c>
      <c r="AD8" s="105" t="str">
        <f>"Projected % Alt Fuel Increase: "&amp;CHAR(10)&amp;TEXT((AC8-$B$12)/$B$12,"#%")</f>
        <v>Projected % Alt Fuel Increase: 
79%</v>
      </c>
    </row>
    <row r="9" spans="1:30" s="2" customFormat="1" ht="28.5" customHeight="1" thickBot="1" x14ac:dyDescent="0.35">
      <c r="A9" s="37"/>
      <c r="B9" s="45"/>
      <c r="C9" s="35" t="str">
        <f t="shared" ref="C9:N9" si="9">C8&amp;" (End of " &amp;C32&amp;")"</f>
        <v>4585 (End of Oct)</v>
      </c>
      <c r="D9" s="35" t="str">
        <f t="shared" si="9"/>
        <v>4585 (End of Nov)</v>
      </c>
      <c r="E9" s="35" t="str">
        <f t="shared" si="9"/>
        <v>4562 (End of Dec)</v>
      </c>
      <c r="F9" s="35" t="str">
        <f t="shared" si="9"/>
        <v>4552 (End of Jan)</v>
      </c>
      <c r="G9" s="35" t="str">
        <f t="shared" si="9"/>
        <v>4552 (End of Feb)</v>
      </c>
      <c r="H9" s="35" t="str">
        <f t="shared" si="9"/>
        <v>4552 (End of Mar)</v>
      </c>
      <c r="I9" s="35" t="str">
        <f t="shared" si="9"/>
        <v>4556 (End of Apr)</v>
      </c>
      <c r="J9" s="35" t="str">
        <f t="shared" si="9"/>
        <v>4556 (End of May)</v>
      </c>
      <c r="K9" s="35" t="str">
        <f t="shared" si="9"/>
        <v>4556 (End of Jun)</v>
      </c>
      <c r="L9" s="35" t="str">
        <f t="shared" si="9"/>
        <v>4556 (End of Jul)</v>
      </c>
      <c r="M9" s="35" t="str">
        <f t="shared" si="9"/>
        <v>4556 (End of Aug)</v>
      </c>
      <c r="N9" s="67" t="str">
        <f t="shared" si="9"/>
        <v>4556 (End of Sep)</v>
      </c>
    </row>
    <row r="10" spans="1:30" ht="15" thickBot="1" x14ac:dyDescent="0.35">
      <c r="A10" s="38"/>
      <c r="B10" s="46"/>
      <c r="AD10" s="87"/>
    </row>
    <row r="11" spans="1:30" ht="15" thickBot="1" x14ac:dyDescent="0.35">
      <c r="A11" s="134" t="s">
        <v>17</v>
      </c>
      <c r="B11" s="135"/>
      <c r="P11" s="121" t="s">
        <v>82</v>
      </c>
    </row>
    <row r="12" spans="1:30" x14ac:dyDescent="0.3">
      <c r="A12" s="39" t="s">
        <v>19</v>
      </c>
      <c r="B12" s="55">
        <v>51983</v>
      </c>
      <c r="D12" s="13"/>
      <c r="G12" t="s">
        <v>60</v>
      </c>
      <c r="P12" s="124" t="s">
        <v>83</v>
      </c>
    </row>
    <row r="13" spans="1:30" ht="15" thickBot="1" x14ac:dyDescent="0.35">
      <c r="A13" s="40" t="s">
        <v>20</v>
      </c>
      <c r="B13" s="56">
        <v>2788115</v>
      </c>
      <c r="C13" s="6"/>
      <c r="D13" s="5"/>
      <c r="E13" s="25"/>
      <c r="F13" s="14"/>
      <c r="G13" s="14"/>
      <c r="H13" s="14"/>
      <c r="I13" s="14"/>
      <c r="J13" s="14"/>
      <c r="K13" s="14"/>
      <c r="L13" s="22"/>
      <c r="M13" s="14"/>
      <c r="N13" s="14"/>
    </row>
    <row r="14" spans="1:30" x14ac:dyDescent="0.3">
      <c r="A14" s="146" t="s">
        <v>18</v>
      </c>
      <c r="B14" s="147"/>
      <c r="C14" s="150" t="s">
        <v>46</v>
      </c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2"/>
    </row>
    <row r="15" spans="1:30" ht="15" thickBot="1" x14ac:dyDescent="0.35">
      <c r="A15" s="148">
        <v>4772</v>
      </c>
      <c r="B15" s="149"/>
      <c r="C15" s="54">
        <f>(C8-$A$15)/$A$15</f>
        <v>-3.9186923721709975E-2</v>
      </c>
      <c r="D15" s="72">
        <f t="shared" ref="D15:N15" si="10">(D8-$A$15)/$A$15</f>
        <v>-3.9186923721709975E-2</v>
      </c>
      <c r="E15" s="72">
        <f t="shared" si="10"/>
        <v>-4.4006705783738477E-2</v>
      </c>
      <c r="F15" s="72">
        <f t="shared" si="10"/>
        <v>-4.6102263202011738E-2</v>
      </c>
      <c r="G15" s="72">
        <f t="shared" si="10"/>
        <v>-4.6102263202011738E-2</v>
      </c>
      <c r="H15" s="72">
        <f t="shared" si="10"/>
        <v>-4.6102263202011738E-2</v>
      </c>
      <c r="I15" s="72">
        <f t="shared" si="10"/>
        <v>-4.526404023470243E-2</v>
      </c>
      <c r="J15" s="72">
        <f t="shared" si="10"/>
        <v>-4.526404023470243E-2</v>
      </c>
      <c r="K15" s="72">
        <f t="shared" si="10"/>
        <v>-4.526404023470243E-2</v>
      </c>
      <c r="L15" s="72">
        <f t="shared" si="10"/>
        <v>-4.526404023470243E-2</v>
      </c>
      <c r="M15" s="72">
        <f t="shared" si="10"/>
        <v>-4.526404023470243E-2</v>
      </c>
      <c r="N15" s="73">
        <f t="shared" si="10"/>
        <v>-4.526404023470243E-2</v>
      </c>
      <c r="Q15" t="s">
        <v>60</v>
      </c>
    </row>
    <row r="16" spans="1:30" ht="15" customHeight="1" thickBot="1" x14ac:dyDescent="0.35">
      <c r="A16" s="153" t="s">
        <v>81</v>
      </c>
      <c r="B16" s="59"/>
      <c r="C16" s="60" t="s">
        <v>21</v>
      </c>
      <c r="D16" s="60" t="s">
        <v>22</v>
      </c>
      <c r="E16" s="60" t="s">
        <v>23</v>
      </c>
      <c r="F16" s="60" t="s">
        <v>24</v>
      </c>
      <c r="G16" s="60" t="s">
        <v>44</v>
      </c>
      <c r="H16" s="60" t="s">
        <v>2</v>
      </c>
      <c r="I16" s="60" t="s">
        <v>3</v>
      </c>
      <c r="J16" s="60" t="s">
        <v>4</v>
      </c>
      <c r="K16" s="60" t="s">
        <v>55</v>
      </c>
      <c r="L16" s="60" t="s">
        <v>56</v>
      </c>
      <c r="M16" s="60" t="s">
        <v>37</v>
      </c>
      <c r="N16" s="60" t="s">
        <v>57</v>
      </c>
      <c r="O16" s="61" t="s">
        <v>85</v>
      </c>
      <c r="P16" s="88" t="s">
        <v>51</v>
      </c>
    </row>
    <row r="17" spans="1:19" ht="15" thickBot="1" x14ac:dyDescent="0.35">
      <c r="A17" s="154"/>
      <c r="B17" s="29" t="s">
        <v>25</v>
      </c>
      <c r="C17" s="34">
        <v>106893.32370200034</v>
      </c>
      <c r="D17" s="128">
        <v>113423.83475899993</v>
      </c>
      <c r="E17" s="128">
        <v>80653.474308000033</v>
      </c>
      <c r="F17" s="128">
        <v>92754.118421999898</v>
      </c>
      <c r="G17" s="128">
        <v>115774.816359</v>
      </c>
      <c r="H17" s="128">
        <v>125437.79879000022</v>
      </c>
      <c r="I17" s="128">
        <v>141583.40836399989</v>
      </c>
      <c r="J17" s="123">
        <f t="shared" ref="I17:N17" si="11">J21</f>
        <v>70108.112793999913</v>
      </c>
      <c r="K17" s="123">
        <f t="shared" si="11"/>
        <v>91290.224728999936</v>
      </c>
      <c r="L17" s="123">
        <f t="shared" si="11"/>
        <v>100015.25115199974</v>
      </c>
      <c r="M17" s="123">
        <f t="shared" si="11"/>
        <v>112498.57214299991</v>
      </c>
      <c r="N17" s="123">
        <f t="shared" si="11"/>
        <v>130733.59483000028</v>
      </c>
      <c r="O17" s="125">
        <f>SUM(C17:N17)</f>
        <v>1281166.5303520001</v>
      </c>
      <c r="P17" s="77" t="str">
        <f>"% Petroleum Decrease: "&amp;TEXT((O17-$B$13)/$B$13,"#%")</f>
        <v>% Petroleum Decrease: -54%</v>
      </c>
      <c r="R17" s="13"/>
      <c r="S17" s="114"/>
    </row>
    <row r="18" spans="1:19" ht="15" thickBot="1" x14ac:dyDescent="0.35">
      <c r="A18" s="154"/>
      <c r="B18" s="29" t="s">
        <v>26</v>
      </c>
      <c r="C18" s="34">
        <v>9198.5781919999972</v>
      </c>
      <c r="D18" s="128">
        <v>7482.3485920000003</v>
      </c>
      <c r="E18" s="128">
        <v>4983.5891199999987</v>
      </c>
      <c r="F18" s="128">
        <v>5315.7562640000024</v>
      </c>
      <c r="G18" s="128">
        <v>6052.7053920000008</v>
      </c>
      <c r="H18" s="128">
        <v>6349.9956120000015</v>
      </c>
      <c r="I18" s="128">
        <v>8110.0792759999995</v>
      </c>
      <c r="J18" s="123">
        <f t="shared" ref="I18:N18" si="12">J22</f>
        <v>6521.0671399999947</v>
      </c>
      <c r="K18" s="123">
        <f t="shared" si="12"/>
        <v>9502.488751999992</v>
      </c>
      <c r="L18" s="123">
        <f t="shared" si="12"/>
        <v>9042.1121799999928</v>
      </c>
      <c r="M18" s="123">
        <f t="shared" si="12"/>
        <v>10067.219883999993</v>
      </c>
      <c r="N18" s="123">
        <f t="shared" si="12"/>
        <v>10275.661807999999</v>
      </c>
      <c r="O18" s="125">
        <f>SUM(C18:N18)</f>
        <v>92901.602211999969</v>
      </c>
      <c r="P18" s="77" t="str">
        <f>"% Alt Fuel Increase: "&amp;TEXT((O18-$B$12)/$B$12,"#%")</f>
        <v>% Alt Fuel Increase: 79%</v>
      </c>
      <c r="R18" s="13"/>
    </row>
    <row r="19" spans="1:19" ht="15" thickBot="1" x14ac:dyDescent="0.35">
      <c r="A19" s="155"/>
      <c r="B19" s="63"/>
      <c r="C19" s="58">
        <f t="shared" ref="C19:O19" si="13">SUM(C17:C18)</f>
        <v>116091.90189400034</v>
      </c>
      <c r="D19" s="58">
        <f t="shared" si="13"/>
        <v>120906.18335099993</v>
      </c>
      <c r="E19" s="58">
        <f t="shared" si="13"/>
        <v>85637.063428000038</v>
      </c>
      <c r="F19" s="58">
        <f t="shared" si="13"/>
        <v>98069.874685999894</v>
      </c>
      <c r="G19" s="58">
        <f t="shared" si="13"/>
        <v>121827.52175100001</v>
      </c>
      <c r="H19" s="58">
        <f t="shared" si="13"/>
        <v>131787.79440200023</v>
      </c>
      <c r="I19" s="58">
        <f t="shared" si="13"/>
        <v>149693.48763999989</v>
      </c>
      <c r="J19" s="58">
        <f t="shared" si="13"/>
        <v>76629.179933999912</v>
      </c>
      <c r="K19" s="58">
        <f t="shared" si="13"/>
        <v>100792.71348099993</v>
      </c>
      <c r="L19" s="58">
        <f t="shared" si="13"/>
        <v>109057.36333199973</v>
      </c>
      <c r="M19" s="58">
        <f t="shared" si="13"/>
        <v>122565.7920269999</v>
      </c>
      <c r="N19" s="58">
        <f t="shared" si="13"/>
        <v>141009.25663800028</v>
      </c>
      <c r="O19" s="57">
        <f t="shared" si="13"/>
        <v>1374068.1325640001</v>
      </c>
    </row>
    <row r="20" spans="1:19" ht="15" thickBot="1" x14ac:dyDescent="0.35">
      <c r="A20" s="153" t="s">
        <v>67</v>
      </c>
      <c r="B20" s="59"/>
      <c r="C20" s="60" t="s">
        <v>21</v>
      </c>
      <c r="D20" s="60" t="s">
        <v>22</v>
      </c>
      <c r="E20" s="60" t="s">
        <v>23</v>
      </c>
      <c r="F20" s="60" t="s">
        <v>24</v>
      </c>
      <c r="G20" s="60" t="s">
        <v>44</v>
      </c>
      <c r="H20" s="60" t="s">
        <v>2</v>
      </c>
      <c r="I20" s="60" t="s">
        <v>3</v>
      </c>
      <c r="J20" s="60" t="s">
        <v>4</v>
      </c>
      <c r="K20" s="60" t="s">
        <v>55</v>
      </c>
      <c r="L20" s="60" t="s">
        <v>56</v>
      </c>
      <c r="M20" s="60" t="s">
        <v>37</v>
      </c>
      <c r="N20" s="60" t="s">
        <v>57</v>
      </c>
      <c r="O20" s="61" t="s">
        <v>84</v>
      </c>
      <c r="P20" s="88" t="s">
        <v>51</v>
      </c>
    </row>
    <row r="21" spans="1:19" ht="15" thickBot="1" x14ac:dyDescent="0.35">
      <c r="A21" s="154"/>
      <c r="B21" s="29" t="s">
        <v>25</v>
      </c>
      <c r="C21" s="122">
        <v>171179.15238100002</v>
      </c>
      <c r="D21" s="122">
        <v>139336.11335800006</v>
      </c>
      <c r="E21" s="122">
        <v>127022.54711799991</v>
      </c>
      <c r="F21" s="122">
        <v>152231.30078700051</v>
      </c>
      <c r="G21" s="122">
        <v>161520.1198400002</v>
      </c>
      <c r="H21" s="122">
        <v>127570.94356299999</v>
      </c>
      <c r="I21" s="122">
        <v>57873.661548999982</v>
      </c>
      <c r="J21" s="122">
        <v>70108.112793999913</v>
      </c>
      <c r="K21" s="122">
        <v>91290.224728999936</v>
      </c>
      <c r="L21" s="122">
        <v>100015.25115199974</v>
      </c>
      <c r="M21" s="122">
        <v>112498.57214299991</v>
      </c>
      <c r="N21" s="122">
        <v>130733.59483000028</v>
      </c>
      <c r="O21" s="62">
        <f>SUM(C21:N21)</f>
        <v>1441379.5942440003</v>
      </c>
      <c r="P21" s="77" t="str">
        <f>"% Petroleum Decrease: "&amp;TEXT((O21-$B$13)/$B$13,"#%")</f>
        <v>% Petroleum Decrease: -48%</v>
      </c>
    </row>
    <row r="22" spans="1:19" ht="15" thickBot="1" x14ac:dyDescent="0.35">
      <c r="A22" s="154"/>
      <c r="B22" s="29" t="s">
        <v>26</v>
      </c>
      <c r="C22" s="122">
        <v>16731.038160000007</v>
      </c>
      <c r="D22" s="122">
        <v>12933.339979999999</v>
      </c>
      <c r="E22" s="122">
        <v>10765.475200000003</v>
      </c>
      <c r="F22" s="122">
        <v>11153.024447999991</v>
      </c>
      <c r="G22" s="122">
        <v>11874.734684000015</v>
      </c>
      <c r="H22" s="122">
        <v>9807.848704</v>
      </c>
      <c r="I22" s="122">
        <v>5801.1582480000043</v>
      </c>
      <c r="J22" s="122">
        <v>6521.0671399999947</v>
      </c>
      <c r="K22" s="122">
        <v>9502.488751999992</v>
      </c>
      <c r="L22" s="122">
        <v>9042.1121799999928</v>
      </c>
      <c r="M22" s="122">
        <v>10067.219883999993</v>
      </c>
      <c r="N22" s="122">
        <v>10275.661807999999</v>
      </c>
      <c r="O22" s="62">
        <f>SUM(C22:N22)</f>
        <v>124475.169188</v>
      </c>
      <c r="P22" s="77" t="str">
        <f>"% Alt Fuel Increase: "&amp;TEXT((O22-$B$12)/$B$12,"#%")</f>
        <v>% Alt Fuel Increase: 139%</v>
      </c>
    </row>
    <row r="23" spans="1:19" ht="15" thickBot="1" x14ac:dyDescent="0.35">
      <c r="A23" s="155"/>
      <c r="B23" s="63"/>
      <c r="C23" s="58">
        <f t="shared" ref="C23:O23" si="14">SUM(C21:C22)</f>
        <v>187910.19054100002</v>
      </c>
      <c r="D23" s="58">
        <f t="shared" si="14"/>
        <v>152269.45333800005</v>
      </c>
      <c r="E23" s="58">
        <f t="shared" si="14"/>
        <v>137788.02231799992</v>
      </c>
      <c r="F23" s="58">
        <f t="shared" si="14"/>
        <v>163384.32523500049</v>
      </c>
      <c r="G23" s="58">
        <f t="shared" si="14"/>
        <v>173394.85452400023</v>
      </c>
      <c r="H23" s="58">
        <f t="shared" si="14"/>
        <v>137378.79226699998</v>
      </c>
      <c r="I23" s="58">
        <f t="shared" si="14"/>
        <v>63674.819796999989</v>
      </c>
      <c r="J23" s="58">
        <f t="shared" si="14"/>
        <v>76629.179933999912</v>
      </c>
      <c r="K23" s="58">
        <f t="shared" si="14"/>
        <v>100792.71348099993</v>
      </c>
      <c r="L23" s="58">
        <f t="shared" si="14"/>
        <v>109057.36333199973</v>
      </c>
      <c r="M23" s="58">
        <f t="shared" si="14"/>
        <v>122565.7920269999</v>
      </c>
      <c r="N23" s="58">
        <f t="shared" si="14"/>
        <v>141009.25663800028</v>
      </c>
      <c r="O23" s="57">
        <f t="shared" si="14"/>
        <v>1565854.7634320003</v>
      </c>
    </row>
    <row r="24" spans="1:19" ht="15" customHeight="1" thickBot="1" x14ac:dyDescent="0.35">
      <c r="A24" s="153" t="s">
        <v>68</v>
      </c>
      <c r="B24" s="59"/>
      <c r="C24" s="60" t="s">
        <v>21</v>
      </c>
      <c r="D24" s="60" t="s">
        <v>22</v>
      </c>
      <c r="E24" s="60" t="s">
        <v>23</v>
      </c>
      <c r="F24" s="60" t="s">
        <v>24</v>
      </c>
      <c r="G24" s="60" t="s">
        <v>44</v>
      </c>
      <c r="H24" s="60" t="s">
        <v>2</v>
      </c>
      <c r="I24" s="60" t="s">
        <v>3</v>
      </c>
      <c r="J24" s="60" t="s">
        <v>4</v>
      </c>
      <c r="K24" s="60" t="s">
        <v>55</v>
      </c>
      <c r="L24" s="60" t="s">
        <v>56</v>
      </c>
      <c r="M24" s="60" t="s">
        <v>37</v>
      </c>
      <c r="N24" s="60" t="s">
        <v>57</v>
      </c>
      <c r="O24" s="61" t="s">
        <v>65</v>
      </c>
      <c r="P24" s="88" t="s">
        <v>51</v>
      </c>
    </row>
    <row r="25" spans="1:19" ht="15" customHeight="1" thickBot="1" x14ac:dyDescent="0.35">
      <c r="A25" s="154"/>
      <c r="B25" s="29" t="s">
        <v>25</v>
      </c>
      <c r="C25" s="95">
        <v>179685.1</v>
      </c>
      <c r="D25" s="95">
        <v>151017.0231997025</v>
      </c>
      <c r="E25" s="95">
        <v>114284.02318282686</v>
      </c>
      <c r="F25" s="95">
        <v>117249.6201390232</v>
      </c>
      <c r="G25" s="95">
        <v>138360.42879400009</v>
      </c>
      <c r="H25" s="95">
        <v>166189.94777200004</v>
      </c>
      <c r="I25" s="95">
        <v>170513.72851399952</v>
      </c>
      <c r="J25" s="95">
        <v>169798.85408100038</v>
      </c>
      <c r="K25" s="95">
        <v>166124.70538500004</v>
      </c>
      <c r="L25" s="96">
        <v>175548.54226600009</v>
      </c>
      <c r="M25" s="95">
        <v>198317.48385799991</v>
      </c>
      <c r="N25" s="95">
        <v>163169.442068</v>
      </c>
      <c r="O25" s="62">
        <f>SUM(C25:N25)</f>
        <v>1910258.8992595526</v>
      </c>
      <c r="P25" s="77" t="str">
        <f>"% Petroleum Decrease: "&amp;TEXT((O25-$B$13)/$B$13,"#%")</f>
        <v>% Petroleum Decrease: -31%</v>
      </c>
    </row>
    <row r="26" spans="1:19" ht="15" thickBot="1" x14ac:dyDescent="0.35">
      <c r="A26" s="154"/>
      <c r="B26" s="29" t="s">
        <v>26</v>
      </c>
      <c r="C26" s="95">
        <v>19413.740000000002</v>
      </c>
      <c r="D26" s="95">
        <v>17987.588000000011</v>
      </c>
      <c r="E26" s="95">
        <v>12429.899999999996</v>
      </c>
      <c r="F26" s="95">
        <v>17722.967825688753</v>
      </c>
      <c r="G26" s="95">
        <v>13450.287519999996</v>
      </c>
      <c r="H26" s="95">
        <v>15402.944720000005</v>
      </c>
      <c r="I26" s="95">
        <v>19385.428520000023</v>
      </c>
      <c r="J26" s="95">
        <v>19360.770000000011</v>
      </c>
      <c r="K26" s="95">
        <v>18503.753239999995</v>
      </c>
      <c r="L26" s="96">
        <v>19401.19159999998</v>
      </c>
      <c r="M26" s="95">
        <v>18545.090080000005</v>
      </c>
      <c r="N26" s="95">
        <v>15986.499999999996</v>
      </c>
      <c r="O26" s="62">
        <f>SUM(C26:N26)</f>
        <v>207590.16150568877</v>
      </c>
      <c r="P26" s="77" t="str">
        <f>"% Alt Fuel Increase: "&amp;TEXT((O26-$B$12)/$B$12,"#%")</f>
        <v>% Alt Fuel Increase: 299%</v>
      </c>
    </row>
    <row r="27" spans="1:19" ht="15" thickBot="1" x14ac:dyDescent="0.35">
      <c r="A27" s="155"/>
      <c r="B27" s="63"/>
      <c r="C27" s="58">
        <f t="shared" ref="C27:O27" si="15">SUM(C25:C26)</f>
        <v>199098.84</v>
      </c>
      <c r="D27" s="58">
        <f t="shared" si="15"/>
        <v>169004.61119970251</v>
      </c>
      <c r="E27" s="58">
        <f t="shared" si="15"/>
        <v>126713.92318282685</v>
      </c>
      <c r="F27" s="58">
        <f t="shared" si="15"/>
        <v>134972.58796471194</v>
      </c>
      <c r="G27" s="58">
        <f t="shared" si="15"/>
        <v>151810.71631400008</v>
      </c>
      <c r="H27" s="58">
        <f t="shared" si="15"/>
        <v>181592.89249200004</v>
      </c>
      <c r="I27" s="58">
        <f t="shared" si="15"/>
        <v>189899.15703399954</v>
      </c>
      <c r="J27" s="58">
        <f t="shared" si="15"/>
        <v>189159.62408100039</v>
      </c>
      <c r="K27" s="58">
        <f t="shared" si="15"/>
        <v>184628.45862500003</v>
      </c>
      <c r="L27" s="58">
        <f t="shared" si="15"/>
        <v>194949.73386600008</v>
      </c>
      <c r="M27" s="58">
        <f t="shared" si="15"/>
        <v>216862.5739379999</v>
      </c>
      <c r="N27" s="58">
        <f t="shared" si="15"/>
        <v>179155.942068</v>
      </c>
      <c r="O27" s="57">
        <f t="shared" si="15"/>
        <v>2117849.0607652413</v>
      </c>
      <c r="P27" s="74"/>
    </row>
    <row r="28" spans="1:19" ht="15" customHeight="1" thickBot="1" x14ac:dyDescent="0.35">
      <c r="A28" s="153" t="s">
        <v>64</v>
      </c>
      <c r="B28" s="59"/>
      <c r="C28" s="60" t="s">
        <v>21</v>
      </c>
      <c r="D28" s="60" t="s">
        <v>22</v>
      </c>
      <c r="E28" s="60" t="s">
        <v>23</v>
      </c>
      <c r="F28" s="60" t="s">
        <v>24</v>
      </c>
      <c r="G28" s="60" t="s">
        <v>44</v>
      </c>
      <c r="H28" s="60" t="s">
        <v>2</v>
      </c>
      <c r="I28" s="60" t="s">
        <v>3</v>
      </c>
      <c r="J28" s="60" t="s">
        <v>4</v>
      </c>
      <c r="K28" s="60" t="s">
        <v>55</v>
      </c>
      <c r="L28" s="60" t="s">
        <v>56</v>
      </c>
      <c r="M28" s="60" t="s">
        <v>37</v>
      </c>
      <c r="N28" s="60" t="s">
        <v>57</v>
      </c>
      <c r="O28" s="61" t="s">
        <v>62</v>
      </c>
      <c r="P28" s="88" t="s">
        <v>51</v>
      </c>
      <c r="Q28" s="12"/>
    </row>
    <row r="29" spans="1:19" ht="15" thickBot="1" x14ac:dyDescent="0.35">
      <c r="A29" s="154"/>
      <c r="B29" s="29" t="s">
        <v>25</v>
      </c>
      <c r="C29" s="95">
        <v>175238.0981300585</v>
      </c>
      <c r="D29" s="95">
        <v>157114.61190329673</v>
      </c>
      <c r="E29" s="95">
        <v>126594.0683174076</v>
      </c>
      <c r="F29" s="95">
        <v>160303.63929262658</v>
      </c>
      <c r="G29" s="95">
        <v>151046.44804640798</v>
      </c>
      <c r="H29" s="95">
        <v>170577.48736177525</v>
      </c>
      <c r="I29" s="95">
        <v>172516.55168764072</v>
      </c>
      <c r="J29" s="95">
        <v>187910.0334740752</v>
      </c>
      <c r="K29" s="95">
        <v>174290.47051920334</v>
      </c>
      <c r="L29" s="96">
        <v>175510.82497743209</v>
      </c>
      <c r="M29" s="95">
        <v>201003.39373663528</v>
      </c>
      <c r="N29" s="95">
        <v>150913.17000000001</v>
      </c>
      <c r="O29" s="62">
        <f>SUM(C29:N29)</f>
        <v>2003018.7974465594</v>
      </c>
      <c r="P29" s="77" t="str">
        <f>"% Petroleum Decrease: "&amp;TEXT((O29-$B$13)/$B$13,"#%")</f>
        <v>% Petroleum Decrease: -28%</v>
      </c>
    </row>
    <row r="30" spans="1:19" ht="15" thickBot="1" x14ac:dyDescent="0.35">
      <c r="A30" s="154"/>
      <c r="B30" s="29" t="s">
        <v>26</v>
      </c>
      <c r="C30" s="95">
        <v>20263.196128045391</v>
      </c>
      <c r="D30" s="95">
        <v>18296.398559999991</v>
      </c>
      <c r="E30" s="95">
        <v>14840.28112</v>
      </c>
      <c r="F30" s="95">
        <v>15842.96709600674</v>
      </c>
      <c r="G30" s="95">
        <v>15043.332517573137</v>
      </c>
      <c r="H30" s="95">
        <v>18330.232040000028</v>
      </c>
      <c r="I30" s="95">
        <v>19298.246240000008</v>
      </c>
      <c r="J30" s="95">
        <v>22637.99208000004</v>
      </c>
      <c r="K30" s="95">
        <v>19825.198984356026</v>
      </c>
      <c r="L30" s="96">
        <v>19164.855022822907</v>
      </c>
      <c r="M30" s="95">
        <v>21315.891577921622</v>
      </c>
      <c r="N30" s="95">
        <v>15001.4</v>
      </c>
      <c r="O30" s="62">
        <f>SUM(C30:N30)</f>
        <v>219859.99136672591</v>
      </c>
      <c r="P30" s="77" t="str">
        <f>"% Alt Fuel Increase: "&amp;TEXT((O30-$B$12)/$B$12,"#%")</f>
        <v>% Alt Fuel Increase: 323%</v>
      </c>
    </row>
    <row r="31" spans="1:19" ht="15" thickBot="1" x14ac:dyDescent="0.35">
      <c r="A31" s="155"/>
      <c r="B31" s="63"/>
      <c r="C31" s="58">
        <f t="shared" ref="C31:O31" si="16">SUM(C29:C30)</f>
        <v>195501.29425810388</v>
      </c>
      <c r="D31" s="58">
        <f t="shared" si="16"/>
        <v>175411.01046329673</v>
      </c>
      <c r="E31" s="58">
        <f t="shared" si="16"/>
        <v>141434.3494374076</v>
      </c>
      <c r="F31" s="58">
        <f t="shared" si="16"/>
        <v>176146.60638863331</v>
      </c>
      <c r="G31" s="58">
        <f t="shared" si="16"/>
        <v>166089.78056398113</v>
      </c>
      <c r="H31" s="58">
        <f t="shared" si="16"/>
        <v>188907.71940177528</v>
      </c>
      <c r="I31" s="58">
        <f t="shared" si="16"/>
        <v>191814.79792764073</v>
      </c>
      <c r="J31" s="58">
        <f t="shared" si="16"/>
        <v>210548.02555407526</v>
      </c>
      <c r="K31" s="58">
        <f t="shared" si="16"/>
        <v>194115.66950355936</v>
      </c>
      <c r="L31" s="58">
        <f t="shared" si="16"/>
        <v>194675.680000255</v>
      </c>
      <c r="M31" s="58">
        <f t="shared" si="16"/>
        <v>222319.28531455691</v>
      </c>
      <c r="N31" s="58">
        <f t="shared" si="16"/>
        <v>165914.57</v>
      </c>
      <c r="O31" s="57">
        <f t="shared" si="16"/>
        <v>2222878.7888132855</v>
      </c>
      <c r="P31" s="74"/>
    </row>
    <row r="32" spans="1:19" ht="15" thickBot="1" x14ac:dyDescent="0.35">
      <c r="A32" s="145" t="s">
        <v>61</v>
      </c>
      <c r="B32" s="59"/>
      <c r="C32" s="60" t="s">
        <v>21</v>
      </c>
      <c r="D32" s="60" t="s">
        <v>22</v>
      </c>
      <c r="E32" s="60" t="s">
        <v>23</v>
      </c>
      <c r="F32" s="60" t="s">
        <v>24</v>
      </c>
      <c r="G32" s="60" t="s">
        <v>44</v>
      </c>
      <c r="H32" s="60" t="s">
        <v>2</v>
      </c>
      <c r="I32" s="60" t="s">
        <v>3</v>
      </c>
      <c r="J32" s="60" t="s">
        <v>4</v>
      </c>
      <c r="K32" s="60" t="s">
        <v>55</v>
      </c>
      <c r="L32" s="60" t="s">
        <v>56</v>
      </c>
      <c r="M32" s="60" t="s">
        <v>37</v>
      </c>
      <c r="N32" s="60" t="s">
        <v>57</v>
      </c>
      <c r="O32" s="61" t="s">
        <v>59</v>
      </c>
      <c r="P32" s="101"/>
      <c r="Q32" s="12"/>
    </row>
    <row r="33" spans="1:17" ht="15" thickBot="1" x14ac:dyDescent="0.35">
      <c r="A33" s="143"/>
      <c r="B33" s="29" t="s">
        <v>25</v>
      </c>
      <c r="C33" s="95">
        <v>175458.02591881031</v>
      </c>
      <c r="D33" s="95">
        <v>162839.24906261562</v>
      </c>
      <c r="E33" s="95">
        <v>144271.0648817347</v>
      </c>
      <c r="F33" s="95">
        <v>159644.35424564395</v>
      </c>
      <c r="G33" s="95">
        <v>157736.98033094878</v>
      </c>
      <c r="H33" s="95">
        <v>190788.26981834511</v>
      </c>
      <c r="I33" s="95">
        <v>169277.04377399839</v>
      </c>
      <c r="J33" s="95">
        <v>186643.46550657661</v>
      </c>
      <c r="K33" s="95">
        <v>200109.58847945422</v>
      </c>
      <c r="L33" s="96">
        <v>177448.23215576843</v>
      </c>
      <c r="M33" s="95">
        <v>214527.05994608553</v>
      </c>
      <c r="N33" s="95">
        <v>164670.68649999955</v>
      </c>
      <c r="O33" s="62">
        <f>SUM(C33:N33)</f>
        <v>2103414.0206199815</v>
      </c>
      <c r="P33" s="77" t="str">
        <f>"% Petroleum Decrease: "&amp;TEXT((O33-$B$13)/$B$13,"#%")</f>
        <v>% Petroleum Decrease: -25%</v>
      </c>
    </row>
    <row r="34" spans="1:17" ht="15" thickBot="1" x14ac:dyDescent="0.35">
      <c r="A34" s="143"/>
      <c r="B34" s="29" t="s">
        <v>26</v>
      </c>
      <c r="C34" s="95">
        <v>18171.817455999975</v>
      </c>
      <c r="D34" s="95">
        <v>16978.097575728145</v>
      </c>
      <c r="E34" s="95">
        <v>14986.30115999999</v>
      </c>
      <c r="F34" s="95">
        <v>14711.974263999966</v>
      </c>
      <c r="G34" s="95">
        <v>15053.49351600001</v>
      </c>
      <c r="H34" s="95">
        <v>18873.813935999984</v>
      </c>
      <c r="I34" s="95">
        <v>17252.420984</v>
      </c>
      <c r="J34" s="95">
        <v>20108.489635999977</v>
      </c>
      <c r="K34" s="95">
        <v>19617.622668000029</v>
      </c>
      <c r="L34" s="96">
        <v>19209.377876000006</v>
      </c>
      <c r="M34" s="95">
        <v>23035.377987380511</v>
      </c>
      <c r="N34" s="95">
        <v>18856.437559999966</v>
      </c>
      <c r="O34" s="62">
        <f>SUM(C34:N34)</f>
        <v>216855.22461910857</v>
      </c>
      <c r="P34" s="77" t="str">
        <f>"% Alt Fuel Increase: "&amp;TEXT((O34-$B$12)/$B$12,"#%")</f>
        <v>% Alt Fuel Increase: 317%</v>
      </c>
    </row>
    <row r="35" spans="1:17" ht="15" thickBot="1" x14ac:dyDescent="0.35">
      <c r="A35" s="144"/>
      <c r="B35" s="63"/>
      <c r="C35" s="58">
        <f t="shared" ref="C35:O35" si="17">SUM(C33:C34)</f>
        <v>193629.8433748103</v>
      </c>
      <c r="D35" s="58">
        <f t="shared" si="17"/>
        <v>179817.34663834376</v>
      </c>
      <c r="E35" s="58">
        <f t="shared" si="17"/>
        <v>159257.3660417347</v>
      </c>
      <c r="F35" s="58">
        <f t="shared" si="17"/>
        <v>174356.32850964391</v>
      </c>
      <c r="G35" s="58">
        <f t="shared" si="17"/>
        <v>172790.47384694879</v>
      </c>
      <c r="H35" s="58">
        <f t="shared" si="17"/>
        <v>209662.08375434511</v>
      </c>
      <c r="I35" s="58">
        <f t="shared" si="17"/>
        <v>186529.46475799839</v>
      </c>
      <c r="J35" s="58">
        <f t="shared" si="17"/>
        <v>206751.9551425766</v>
      </c>
      <c r="K35" s="58">
        <f t="shared" si="17"/>
        <v>219727.21114745425</v>
      </c>
      <c r="L35" s="58">
        <f t="shared" si="17"/>
        <v>196657.61003176845</v>
      </c>
      <c r="M35" s="58">
        <f t="shared" si="17"/>
        <v>237562.43793346605</v>
      </c>
      <c r="N35" s="58">
        <f t="shared" si="17"/>
        <v>183527.12405999951</v>
      </c>
      <c r="O35" s="57">
        <f t="shared" si="17"/>
        <v>2320269.2452390902</v>
      </c>
      <c r="P35" s="74"/>
    </row>
    <row r="36" spans="1:17" ht="15" thickBot="1" x14ac:dyDescent="0.35">
      <c r="A36" s="145" t="s">
        <v>58</v>
      </c>
      <c r="B36" s="59"/>
      <c r="C36" s="60" t="s">
        <v>21</v>
      </c>
      <c r="D36" s="60" t="s">
        <v>22</v>
      </c>
      <c r="E36" s="60" t="s">
        <v>23</v>
      </c>
      <c r="F36" s="60" t="s">
        <v>24</v>
      </c>
      <c r="G36" s="60" t="s">
        <v>44</v>
      </c>
      <c r="H36" s="60" t="s">
        <v>2</v>
      </c>
      <c r="I36" s="60" t="s">
        <v>3</v>
      </c>
      <c r="J36" s="60" t="s">
        <v>4</v>
      </c>
      <c r="K36" s="60" t="s">
        <v>55</v>
      </c>
      <c r="L36" s="60" t="s">
        <v>56</v>
      </c>
      <c r="M36" s="60" t="s">
        <v>37</v>
      </c>
      <c r="N36" s="60" t="s">
        <v>57</v>
      </c>
      <c r="O36" s="61" t="s">
        <v>52</v>
      </c>
      <c r="P36" s="101"/>
    </row>
    <row r="37" spans="1:17" ht="15" thickBot="1" x14ac:dyDescent="0.35">
      <c r="A37" s="143"/>
      <c r="B37" s="29" t="s">
        <v>25</v>
      </c>
      <c r="C37" s="95">
        <v>181748</v>
      </c>
      <c r="D37" s="95">
        <v>155151</v>
      </c>
      <c r="E37" s="95">
        <v>147553</v>
      </c>
      <c r="F37" s="95">
        <v>156459.32674814702</v>
      </c>
      <c r="G37" s="95">
        <v>173207.57385910442</v>
      </c>
      <c r="H37" s="95">
        <v>194010.9507205266</v>
      </c>
      <c r="I37" s="95">
        <v>178804.3839174571</v>
      </c>
      <c r="J37" s="95">
        <v>179209.09211886686</v>
      </c>
      <c r="K37" s="95">
        <v>201845.52499999999</v>
      </c>
      <c r="L37" s="96">
        <v>183003</v>
      </c>
      <c r="M37" s="95">
        <v>240258.51038340255</v>
      </c>
      <c r="N37" s="95">
        <v>190163</v>
      </c>
      <c r="O37" s="62">
        <f>SUM(C37:N37)</f>
        <v>2181413.3627475044</v>
      </c>
      <c r="P37" s="77" t="str">
        <f>"% Petroleum Decrease: "&amp;TEXT((O37-$B$13)/$B$13,"#%")</f>
        <v>% Petroleum Decrease: -22%</v>
      </c>
    </row>
    <row r="38" spans="1:17" ht="15" thickBot="1" x14ac:dyDescent="0.35">
      <c r="A38" s="143"/>
      <c r="B38" s="29" t="s">
        <v>26</v>
      </c>
      <c r="C38" s="95">
        <v>18381</v>
      </c>
      <c r="D38" s="95">
        <v>15699</v>
      </c>
      <c r="E38" s="95">
        <v>14559</v>
      </c>
      <c r="F38" s="95">
        <v>12505.6725695364</v>
      </c>
      <c r="G38" s="95">
        <v>15101.552081166465</v>
      </c>
      <c r="H38" s="95">
        <v>18722.745426300378</v>
      </c>
      <c r="I38" s="95">
        <v>18661.5844</v>
      </c>
      <c r="J38" s="95">
        <v>18728.420000000002</v>
      </c>
      <c r="K38" s="95">
        <v>20991.175999999999</v>
      </c>
      <c r="L38" s="96">
        <v>19544</v>
      </c>
      <c r="M38" s="95">
        <v>21911.028399999999</v>
      </c>
      <c r="N38" s="95">
        <v>19391</v>
      </c>
      <c r="O38" s="62">
        <f>SUM(C38:N38)</f>
        <v>214196.17887700326</v>
      </c>
      <c r="P38" s="77" t="str">
        <f>"% Alt Fuel Increase: "&amp;TEXT((O38-$B$12)/$B$12,"#%")</f>
        <v>% Alt Fuel Increase: 312%</v>
      </c>
      <c r="Q38" s="3"/>
    </row>
    <row r="39" spans="1:17" ht="15" thickBot="1" x14ac:dyDescent="0.35">
      <c r="A39" s="144"/>
      <c r="B39" s="63"/>
      <c r="C39" s="58">
        <f t="shared" ref="C39:O39" si="18">SUM(C37:C38)</f>
        <v>200129</v>
      </c>
      <c r="D39" s="58">
        <f t="shared" si="18"/>
        <v>170850</v>
      </c>
      <c r="E39" s="58">
        <f t="shared" si="18"/>
        <v>162112</v>
      </c>
      <c r="F39" s="58">
        <f t="shared" si="18"/>
        <v>168964.99931768343</v>
      </c>
      <c r="G39" s="58">
        <f t="shared" si="18"/>
        <v>188309.1259402709</v>
      </c>
      <c r="H39" s="58">
        <f t="shared" si="18"/>
        <v>212733.69614682699</v>
      </c>
      <c r="I39" s="58">
        <f t="shared" si="18"/>
        <v>197465.9683174571</v>
      </c>
      <c r="J39" s="58">
        <f t="shared" si="18"/>
        <v>197937.51211886687</v>
      </c>
      <c r="K39" s="58">
        <f t="shared" si="18"/>
        <v>222836.701</v>
      </c>
      <c r="L39" s="58">
        <f t="shared" si="18"/>
        <v>202547</v>
      </c>
      <c r="M39" s="58">
        <f t="shared" si="18"/>
        <v>262169.53878340253</v>
      </c>
      <c r="N39" s="58">
        <f t="shared" si="18"/>
        <v>209554</v>
      </c>
      <c r="O39" s="57">
        <f t="shared" si="18"/>
        <v>2395609.5416245079</v>
      </c>
      <c r="P39" s="74"/>
    </row>
    <row r="40" spans="1:17" s="31" customFormat="1" ht="15" thickBot="1" x14ac:dyDescent="0.35">
      <c r="A40" s="145" t="s">
        <v>45</v>
      </c>
      <c r="B40" s="59"/>
      <c r="C40" s="60" t="s">
        <v>21</v>
      </c>
      <c r="D40" s="60" t="s">
        <v>22</v>
      </c>
      <c r="E40" s="60" t="s">
        <v>23</v>
      </c>
      <c r="F40" s="60" t="s">
        <v>24</v>
      </c>
      <c r="G40" s="60" t="s">
        <v>44</v>
      </c>
      <c r="H40" s="60" t="s">
        <v>2</v>
      </c>
      <c r="I40" s="60" t="s">
        <v>3</v>
      </c>
      <c r="J40" s="60" t="s">
        <v>4</v>
      </c>
      <c r="K40" s="60" t="s">
        <v>55</v>
      </c>
      <c r="L40" s="60" t="s">
        <v>56</v>
      </c>
      <c r="M40" s="60" t="s">
        <v>37</v>
      </c>
      <c r="N40" s="60" t="s">
        <v>57</v>
      </c>
      <c r="O40" s="61" t="s">
        <v>42</v>
      </c>
      <c r="P40" s="75"/>
    </row>
    <row r="41" spans="1:17" s="33" customFormat="1" ht="15" thickBot="1" x14ac:dyDescent="0.35">
      <c r="A41" s="143"/>
      <c r="B41" s="29" t="s">
        <v>25</v>
      </c>
      <c r="C41" s="26">
        <v>191861</v>
      </c>
      <c r="D41" s="26">
        <v>153611</v>
      </c>
      <c r="E41" s="26">
        <v>144065</v>
      </c>
      <c r="F41" s="26">
        <v>161790</v>
      </c>
      <c r="G41" s="26">
        <v>165341</v>
      </c>
      <c r="H41" s="26">
        <v>179631</v>
      </c>
      <c r="I41" s="26">
        <v>197106</v>
      </c>
      <c r="J41" s="26">
        <v>173108</v>
      </c>
      <c r="K41" s="26">
        <v>201919</v>
      </c>
      <c r="L41" s="27">
        <v>197561</v>
      </c>
      <c r="M41" s="26">
        <v>198672</v>
      </c>
      <c r="N41" s="26">
        <v>184060</v>
      </c>
      <c r="O41" s="62">
        <f>SUM(C41:N41)</f>
        <v>2148725</v>
      </c>
      <c r="P41" s="77" t="str">
        <f>"% Petroleum Decrease: "&amp;TEXT((O41-$B$13)/$B$13,"#%")</f>
        <v>% Petroleum Decrease: -23%</v>
      </c>
    </row>
    <row r="42" spans="1:17" s="33" customFormat="1" ht="15" thickBot="1" x14ac:dyDescent="0.35">
      <c r="A42" s="143"/>
      <c r="B42" s="29" t="s">
        <v>26</v>
      </c>
      <c r="C42" s="26">
        <v>18417</v>
      </c>
      <c r="D42" s="26">
        <v>15049</v>
      </c>
      <c r="E42" s="26">
        <v>13550</v>
      </c>
      <c r="F42" s="26">
        <v>13116</v>
      </c>
      <c r="G42" s="26">
        <v>12044</v>
      </c>
      <c r="H42" s="26">
        <v>14767</v>
      </c>
      <c r="I42" s="26">
        <v>17174</v>
      </c>
      <c r="J42" s="26">
        <v>16572</v>
      </c>
      <c r="K42" s="26">
        <v>18347</v>
      </c>
      <c r="L42" s="27">
        <v>20794</v>
      </c>
      <c r="M42" s="26">
        <v>19453</v>
      </c>
      <c r="N42" s="26">
        <v>18655</v>
      </c>
      <c r="O42" s="62">
        <f>SUM(C42:N42)</f>
        <v>197938</v>
      </c>
      <c r="P42" s="77" t="str">
        <f>"% Alt Fuel Increase: "&amp;TEXT((O42-$B$12)/$B$12,"#%")</f>
        <v>% Alt Fuel Increase: 281%</v>
      </c>
    </row>
    <row r="43" spans="1:17" ht="15" thickBot="1" x14ac:dyDescent="0.35">
      <c r="A43" s="144"/>
      <c r="B43" s="63"/>
      <c r="C43" s="58">
        <f t="shared" ref="C43:I43" si="19">SUM(C41:C42)</f>
        <v>210278</v>
      </c>
      <c r="D43" s="58">
        <f t="shared" si="19"/>
        <v>168660</v>
      </c>
      <c r="E43" s="58">
        <f t="shared" si="19"/>
        <v>157615</v>
      </c>
      <c r="F43" s="58">
        <f t="shared" si="19"/>
        <v>174906</v>
      </c>
      <c r="G43" s="58">
        <f t="shared" si="19"/>
        <v>177385</v>
      </c>
      <c r="H43" s="58">
        <f t="shared" si="19"/>
        <v>194398</v>
      </c>
      <c r="I43" s="58">
        <f t="shared" si="19"/>
        <v>214280</v>
      </c>
      <c r="J43" s="58">
        <f t="shared" ref="J43:O43" si="20">SUM(J41:J42)</f>
        <v>189680</v>
      </c>
      <c r="K43" s="58">
        <f t="shared" si="20"/>
        <v>220266</v>
      </c>
      <c r="L43" s="58">
        <f t="shared" si="20"/>
        <v>218355</v>
      </c>
      <c r="M43" s="58">
        <f t="shared" si="20"/>
        <v>218125</v>
      </c>
      <c r="N43" s="58">
        <f t="shared" si="20"/>
        <v>202715</v>
      </c>
      <c r="O43" s="57">
        <f t="shared" si="20"/>
        <v>2346663</v>
      </c>
      <c r="P43" s="76"/>
    </row>
    <row r="44" spans="1:17" ht="15" thickBot="1" x14ac:dyDescent="0.35">
      <c r="A44" s="142" t="s">
        <v>39</v>
      </c>
      <c r="B44" s="64"/>
      <c r="C44" s="65" t="s">
        <v>21</v>
      </c>
      <c r="D44" s="65" t="s">
        <v>22</v>
      </c>
      <c r="E44" s="65" t="s">
        <v>23</v>
      </c>
      <c r="F44" s="65" t="s">
        <v>24</v>
      </c>
      <c r="G44" s="65" t="s">
        <v>44</v>
      </c>
      <c r="H44" s="65" t="s">
        <v>2</v>
      </c>
      <c r="I44" s="65" t="s">
        <v>3</v>
      </c>
      <c r="J44" s="65" t="s">
        <v>4</v>
      </c>
      <c r="K44" s="60" t="s">
        <v>55</v>
      </c>
      <c r="L44" s="60" t="s">
        <v>56</v>
      </c>
      <c r="M44" s="60" t="s">
        <v>37</v>
      </c>
      <c r="N44" s="60" t="s">
        <v>57</v>
      </c>
      <c r="O44" s="66" t="s">
        <v>43</v>
      </c>
      <c r="P44" s="30"/>
    </row>
    <row r="45" spans="1:17" ht="14.4" customHeight="1" thickBot="1" x14ac:dyDescent="0.35">
      <c r="A45" s="143"/>
      <c r="B45" s="53" t="s">
        <v>25</v>
      </c>
      <c r="C45" s="32">
        <v>180104</v>
      </c>
      <c r="D45" s="26">
        <v>170692</v>
      </c>
      <c r="E45" s="26">
        <v>152010</v>
      </c>
      <c r="F45" s="26">
        <v>173693</v>
      </c>
      <c r="G45" s="26">
        <v>172691</v>
      </c>
      <c r="H45" s="26">
        <v>188719</v>
      </c>
      <c r="I45" s="26">
        <v>194735</v>
      </c>
      <c r="J45" s="26">
        <v>194221</v>
      </c>
      <c r="K45" s="26">
        <v>203561</v>
      </c>
      <c r="L45" s="26">
        <v>200946</v>
      </c>
      <c r="M45" s="26">
        <v>191421</v>
      </c>
      <c r="N45" s="26">
        <v>189022</v>
      </c>
      <c r="O45" s="62">
        <f>SUM(C45:N45)</f>
        <v>2211815</v>
      </c>
      <c r="P45" s="77" t="str">
        <f>"% Petroleum Decrease: "&amp;TEXT((O45-$B$13)/$B$13,"#%")</f>
        <v>% Petroleum Decrease: -21%</v>
      </c>
    </row>
    <row r="46" spans="1:17" ht="15" thickBot="1" x14ac:dyDescent="0.35">
      <c r="A46" s="143"/>
      <c r="B46" s="53" t="s">
        <v>26</v>
      </c>
      <c r="C46" s="32">
        <v>10976.423199999999</v>
      </c>
      <c r="D46" s="26">
        <v>9775.9155999999984</v>
      </c>
      <c r="E46" s="26">
        <v>8955.4</v>
      </c>
      <c r="F46" s="26">
        <v>8820.5531999999985</v>
      </c>
      <c r="G46" s="26">
        <v>7841.329999999999</v>
      </c>
      <c r="H46" s="26">
        <v>11483.971599999999</v>
      </c>
      <c r="I46" s="26">
        <v>12245.7896</v>
      </c>
      <c r="J46" s="26">
        <v>14106.9324</v>
      </c>
      <c r="K46" s="26">
        <v>16543.357199999999</v>
      </c>
      <c r="L46" s="26">
        <v>17940.167600000001</v>
      </c>
      <c r="M46" s="26">
        <v>18079.077199999996</v>
      </c>
      <c r="N46" s="26">
        <v>18596.164799999999</v>
      </c>
      <c r="O46" s="62">
        <f>SUM(C46:N46)</f>
        <v>155365.08239999998</v>
      </c>
      <c r="P46" s="77" t="str">
        <f>"% Alt Fuel Increase: "&amp;TEXT((O46-$B$12)/$B$12,"#%")</f>
        <v>% Alt Fuel Increase: 199%</v>
      </c>
    </row>
    <row r="47" spans="1:17" ht="15" thickBot="1" x14ac:dyDescent="0.35">
      <c r="A47" s="144"/>
      <c r="B47" s="63"/>
      <c r="C47" s="58">
        <f t="shared" ref="C47" si="21">SUM(C45:C46)</f>
        <v>191080.42319999999</v>
      </c>
      <c r="D47" s="58">
        <f t="shared" ref="D47" si="22">SUM(D45:D46)</f>
        <v>180467.91560000001</v>
      </c>
      <c r="E47" s="58">
        <f t="shared" ref="E47" si="23">SUM(E45:E46)</f>
        <v>160965.4</v>
      </c>
      <c r="F47" s="58">
        <f t="shared" ref="F47" si="24">SUM(F45:F46)</f>
        <v>182513.55319999999</v>
      </c>
      <c r="G47" s="58">
        <f t="shared" ref="G47" si="25">SUM(G45:G46)</f>
        <v>180532.33</v>
      </c>
      <c r="H47" s="58">
        <f t="shared" ref="H47:I47" si="26">SUM(H45:H46)</f>
        <v>200202.97159999999</v>
      </c>
      <c r="I47" s="58">
        <f t="shared" si="26"/>
        <v>206980.78959999999</v>
      </c>
      <c r="J47" s="58">
        <f t="shared" ref="J47" si="27">SUM(J45:J46)</f>
        <v>208327.93239999999</v>
      </c>
      <c r="K47" s="58">
        <f t="shared" ref="K47" si="28">SUM(K45:K46)</f>
        <v>220104.3572</v>
      </c>
      <c r="L47" s="58">
        <f t="shared" ref="L47" si="29">SUM(L45:L46)</f>
        <v>218886.16759999999</v>
      </c>
      <c r="M47" s="58">
        <f t="shared" ref="M47" si="30">SUM(M45:M46)</f>
        <v>209500.0772</v>
      </c>
      <c r="N47" s="58">
        <f t="shared" ref="N47" si="31">SUM(N45:N46)</f>
        <v>207618.1648</v>
      </c>
      <c r="O47" s="57">
        <f t="shared" ref="O47" si="32">SUM(O45:O46)</f>
        <v>2367180.0824000002</v>
      </c>
    </row>
    <row r="48" spans="1:17" x14ac:dyDescent="0.3">
      <c r="A48" s="16"/>
      <c r="B48" s="4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</row>
    <row r="49" spans="1:14" x14ac:dyDescent="0.3">
      <c r="A49" s="133" t="s">
        <v>63</v>
      </c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3"/>
      <c r="N49" s="133"/>
    </row>
    <row r="50" spans="1:14" x14ac:dyDescent="0.3">
      <c r="A50" s="16"/>
      <c r="B50" s="49"/>
      <c r="C50" s="10"/>
      <c r="D50" s="10"/>
      <c r="E50" s="5"/>
      <c r="F50" s="5"/>
      <c r="G50" s="9"/>
      <c r="H50" s="5"/>
      <c r="I50" s="5"/>
      <c r="J50" s="5"/>
    </row>
    <row r="51" spans="1:14" x14ac:dyDescent="0.3">
      <c r="A51" s="16"/>
      <c r="B51" s="49"/>
      <c r="C51" s="5"/>
      <c r="D51" s="5"/>
      <c r="E51" s="5"/>
      <c r="F51" s="5"/>
      <c r="G51" s="5"/>
      <c r="H51" s="5"/>
      <c r="I51" s="5"/>
      <c r="J51" s="5"/>
    </row>
    <row r="52" spans="1:14" x14ac:dyDescent="0.3">
      <c r="A52" s="15"/>
      <c r="B52" s="47"/>
      <c r="C52" s="8"/>
      <c r="D52" s="8"/>
      <c r="E52" s="5"/>
      <c r="F52" s="5"/>
      <c r="G52" s="5"/>
      <c r="H52" s="5"/>
      <c r="I52" s="5"/>
      <c r="J52" s="5"/>
    </row>
    <row r="53" spans="1:14" x14ac:dyDescent="0.3">
      <c r="B53" s="7"/>
      <c r="C53" s="10"/>
      <c r="D53" s="10"/>
      <c r="E53" s="5"/>
      <c r="F53" s="5"/>
      <c r="G53" s="5"/>
      <c r="H53" s="5"/>
      <c r="I53" s="5"/>
      <c r="J53" s="5"/>
      <c r="K53" s="3"/>
      <c r="L53" s="3"/>
    </row>
    <row r="54" spans="1:14" x14ac:dyDescent="0.3">
      <c r="A54" s="16"/>
      <c r="B54" s="47"/>
      <c r="C54" s="11"/>
      <c r="D54" s="10"/>
      <c r="E54" s="5"/>
      <c r="F54" s="5"/>
      <c r="G54" s="5"/>
      <c r="H54" s="5"/>
      <c r="I54" s="5"/>
      <c r="J54" s="5"/>
    </row>
    <row r="55" spans="1:14" x14ac:dyDescent="0.3">
      <c r="A55" s="16"/>
      <c r="B55" s="47"/>
      <c r="C55" s="11"/>
      <c r="D55" s="5"/>
      <c r="E55" s="5"/>
      <c r="F55" s="5"/>
      <c r="G55" s="5"/>
      <c r="H55" s="5"/>
      <c r="I55" s="5"/>
      <c r="J55" s="5"/>
    </row>
    <row r="56" spans="1:14" x14ac:dyDescent="0.3">
      <c r="A56" s="17"/>
      <c r="B56" s="47"/>
      <c r="C56" s="5"/>
      <c r="D56" s="5"/>
      <c r="E56" s="5"/>
      <c r="F56" s="5"/>
      <c r="G56" s="5"/>
      <c r="H56" s="5"/>
      <c r="I56" s="5"/>
      <c r="J56" s="5"/>
    </row>
    <row r="57" spans="1:14" x14ac:dyDescent="0.3">
      <c r="A57" s="18"/>
    </row>
    <row r="58" spans="1:14" x14ac:dyDescent="0.3">
      <c r="A58" s="41"/>
    </row>
    <row r="59" spans="1:14" x14ac:dyDescent="0.3">
      <c r="A59" s="18"/>
    </row>
    <row r="60" spans="1:14" ht="15.6" x14ac:dyDescent="0.3">
      <c r="A60" s="42"/>
    </row>
    <row r="61" spans="1:14" x14ac:dyDescent="0.3">
      <c r="A61" s="15"/>
      <c r="B61" s="51"/>
    </row>
    <row r="62" spans="1:14" x14ac:dyDescent="0.3">
      <c r="A62" s="19"/>
    </row>
    <row r="63" spans="1:14" x14ac:dyDescent="0.3">
      <c r="A63" s="18"/>
    </row>
    <row r="64" spans="1:14" x14ac:dyDescent="0.3">
      <c r="A64" s="19"/>
    </row>
    <row r="65" spans="1:3" x14ac:dyDescent="0.3">
      <c r="A65" s="18"/>
      <c r="B65" s="52"/>
      <c r="C65" s="12"/>
    </row>
    <row r="66" spans="1:3" x14ac:dyDescent="0.3">
      <c r="A66" s="20"/>
      <c r="B66" s="52"/>
      <c r="C66" s="12"/>
    </row>
    <row r="67" spans="1:3" x14ac:dyDescent="0.3">
      <c r="A67" s="20"/>
      <c r="B67" s="52"/>
      <c r="C67" s="12"/>
    </row>
    <row r="68" spans="1:3" x14ac:dyDescent="0.3">
      <c r="A68" s="20"/>
      <c r="B68" s="52"/>
      <c r="C68" s="12"/>
    </row>
    <row r="69" spans="1:3" x14ac:dyDescent="0.3">
      <c r="A69" s="20"/>
      <c r="B69" s="52"/>
      <c r="C69" s="12"/>
    </row>
    <row r="70" spans="1:3" x14ac:dyDescent="0.3">
      <c r="A70" s="43"/>
    </row>
  </sheetData>
  <mergeCells count="15">
    <mergeCell ref="A49:N49"/>
    <mergeCell ref="A11:B11"/>
    <mergeCell ref="A1:N1"/>
    <mergeCell ref="P1:AB1"/>
    <mergeCell ref="A44:A47"/>
    <mergeCell ref="A36:A39"/>
    <mergeCell ref="A40:A43"/>
    <mergeCell ref="A14:B14"/>
    <mergeCell ref="A15:B15"/>
    <mergeCell ref="C14:N14"/>
    <mergeCell ref="A32:A35"/>
    <mergeCell ref="A28:A31"/>
    <mergeCell ref="A24:A27"/>
    <mergeCell ref="A16:A19"/>
    <mergeCell ref="A20:A2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D5" sqref="D5"/>
    </sheetView>
  </sheetViews>
  <sheetFormatPr defaultRowHeight="14.4" x14ac:dyDescent="0.3"/>
  <sheetData>
    <row r="1" spans="1:12" x14ac:dyDescent="0.3">
      <c r="A1" t="s">
        <v>47</v>
      </c>
    </row>
    <row r="2" spans="1:12" x14ac:dyDescent="0.3">
      <c r="A2" t="str">
        <f>"12/1"</f>
        <v>12/1</v>
      </c>
      <c r="B2" t="str">
        <f>"12/2"</f>
        <v>12/2</v>
      </c>
      <c r="C2" t="str">
        <f>"12/3"</f>
        <v>12/3</v>
      </c>
      <c r="D2" s="1" t="str">
        <f>"12/4"</f>
        <v>12/4</v>
      </c>
      <c r="E2" t="str">
        <f>"12/5"</f>
        <v>12/5</v>
      </c>
      <c r="F2" t="str">
        <f>"4/2"</f>
        <v>4/2</v>
      </c>
      <c r="G2" t="str">
        <f>"12/7"</f>
        <v>12/7</v>
      </c>
      <c r="H2" t="str">
        <f>"12/8"</f>
        <v>12/8</v>
      </c>
      <c r="I2" t="str">
        <f>"4/3"</f>
        <v>4/3</v>
      </c>
      <c r="J2" t="str">
        <f>"12/10"</f>
        <v>12/10</v>
      </c>
      <c r="K2" t="str">
        <f>"12/11"</f>
        <v>12/11</v>
      </c>
      <c r="L2" t="str">
        <f>"4/4"</f>
        <v>4/4</v>
      </c>
    </row>
    <row r="3" spans="1:12" s="1" customFormat="1" x14ac:dyDescent="0.3">
      <c r="A3" s="1">
        <v>12</v>
      </c>
      <c r="B3" s="1">
        <v>6</v>
      </c>
      <c r="C3" s="1">
        <v>4</v>
      </c>
      <c r="D3" s="1">
        <v>3</v>
      </c>
      <c r="E3" s="1">
        <v>2.4</v>
      </c>
      <c r="F3" s="1">
        <v>2</v>
      </c>
      <c r="G3" s="1">
        <v>1.7142857142857142</v>
      </c>
      <c r="H3" s="1">
        <v>1.5</v>
      </c>
      <c r="I3" s="1">
        <v>1.3333333333333333</v>
      </c>
      <c r="J3" s="1">
        <v>1.2</v>
      </c>
      <c r="K3" s="1">
        <v>1.0909090909090908</v>
      </c>
      <c r="L3" s="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ource xmlns="016edbb1-8198-416d-8057-130e4c9570c2">GLT</Source>
    <Select_x0020_Final_x0020_Report xmlns="016edbb1-8198-416d-8057-130e4c9570c2">true</Select_x0020_Final_x0020_Report>
    <Archived xmlns="016edbb1-8198-416d-8057-130e4c9570c2">false</Archived>
    <Month xmlns="016edbb1-8198-416d-8057-130e4c9570c2">Q2 - 01 - January</Month>
    <Report xmlns="016edbb1-8198-416d-8057-130e4c9570c2">Monthly Fuel Stats</Report>
    <Source1 xmlns="3cbd6f32-0a10-492b-a4f1-99360511df5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5ED7CE8255A94BA0C49406F1D00D50" ma:contentTypeVersion="8" ma:contentTypeDescription="Create a new document." ma:contentTypeScope="" ma:versionID="2d6b32fe83979cfc826c1453deed2264">
  <xsd:schema xmlns:xsd="http://www.w3.org/2001/XMLSchema" xmlns:xs="http://www.w3.org/2001/XMLSchema" xmlns:p="http://schemas.microsoft.com/office/2006/metadata/properties" xmlns:ns1="016edbb1-8198-416d-8057-130e4c9570c2" xmlns:ns3="3cbd6f32-0a10-492b-a4f1-99360511df54" targetNamespace="http://schemas.microsoft.com/office/2006/metadata/properties" ma:root="true" ma:fieldsID="b18bacdb04bde6e9689ad9374ee1646d" ns1:_="" ns3:_="">
    <xsd:import namespace="016edbb1-8198-416d-8057-130e4c9570c2"/>
    <xsd:import namespace="3cbd6f32-0a10-492b-a4f1-99360511df54"/>
    <xsd:element name="properties">
      <xsd:complexType>
        <xsd:sequence>
          <xsd:element name="documentManagement">
            <xsd:complexType>
              <xsd:all>
                <xsd:element ref="ns1:Month" minOccurs="0"/>
                <xsd:element ref="ns1:Report" minOccurs="0"/>
                <xsd:element ref="ns1:Source" minOccurs="0"/>
                <xsd:element ref="ns1:Archived" minOccurs="0"/>
                <xsd:element ref="ns1:Select_x0020_Final_x0020_Report" minOccurs="0"/>
                <xsd:element ref="ns3:Source1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6edbb1-8198-416d-8057-130e4c9570c2" elementFormDefault="qualified">
    <xsd:import namespace="http://schemas.microsoft.com/office/2006/documentManagement/types"/>
    <xsd:import namespace="http://schemas.microsoft.com/office/infopath/2007/PartnerControls"/>
    <xsd:element name="Month" ma:index="3" nillable="true" ma:displayName="Month" ma:default="Q1 - 10 - October" ma:format="Dropdown" ma:internalName="Month">
      <xsd:simpleType>
        <xsd:restriction base="dms:Choice">
          <xsd:enumeration value="Q1 - 10 - October"/>
          <xsd:enumeration value="Q1 - 11 - November"/>
          <xsd:enumeration value="Q1 - 12 - December"/>
          <xsd:enumeration value="Q2 - 01 - January"/>
          <xsd:enumeration value="Q2 - 02 - February"/>
          <xsd:enumeration value="Q2 - 03 - March"/>
          <xsd:enumeration value="Q3 - 04 - April"/>
          <xsd:enumeration value="Q3 - 05 - May"/>
          <xsd:enumeration value="Q3 - 06 - June"/>
          <xsd:enumeration value="Q4 - 07 - July"/>
          <xsd:enumeration value="Q4 - 08 - August"/>
          <xsd:enumeration value="Q4 - 09 - September"/>
          <xsd:enumeration value="All"/>
        </xsd:restriction>
      </xsd:simpleType>
    </xsd:element>
    <xsd:element name="Report" ma:index="4" nillable="true" ma:displayName="Report" ma:format="Dropdown" ma:internalName="Report">
      <xsd:simpleType>
        <xsd:restriction base="dms:Choice">
          <xsd:enumeration value="Leased and Owned Vehicle Inventory by LOB"/>
          <xsd:enumeration value="Leased and Owned Vehicle Inventory and Baseline Comparison"/>
          <xsd:enumeration value="Org and LOB Fuel Fiscal Year Report"/>
          <xsd:enumeration value="Fuel Type Consumption Trends"/>
          <xsd:enumeration value="Missed Fueling Opportunities"/>
          <xsd:enumeration value="Vehicle to Employee Ratio"/>
          <xsd:enumeration value="GHG Reduction Tracking"/>
          <xsd:enumeration value="ILMS Template"/>
          <xsd:enumeration value="Monthly Fuel Stats"/>
          <xsd:enumeration value="Low Utilization"/>
          <xsd:enumeration value="MVS Mileage"/>
          <xsd:enumeration value="Crash Report"/>
          <xsd:enumeration value="Hierarchy Tree"/>
          <xsd:enumeration value="Email List"/>
        </xsd:restriction>
      </xsd:simpleType>
    </xsd:element>
    <xsd:element name="Source" ma:index="5" nillable="true" ma:displayName="Source" ma:default="GLT" ma:format="Dropdown" ma:internalName="Source">
      <xsd:simpleType>
        <xsd:restriction base="dms:Choice">
          <xsd:enumeration value="Delphi PURE Reports"/>
          <xsd:enumeration value="FleetDash"/>
          <xsd:enumeration value="GLT"/>
          <xsd:enumeration value="Owned Mileage from ESC"/>
          <xsd:enumeration value="GLT/MVS/ESC"/>
          <xsd:enumeration value="Fleet Drive Thru"/>
          <xsd:enumeration value="NDC"/>
          <xsd:enumeration value="FAAMVS"/>
          <xsd:enumeration value="JP Morgan PNet"/>
          <xsd:enumeration value="RCO - FAST"/>
          <xsd:enumeration value="RCO - FUR"/>
          <xsd:enumeration value="RCO - INV"/>
          <xsd:enumeration value="RCO - CRASH"/>
          <xsd:enumeration value="RCO - RECALL"/>
        </xsd:restriction>
      </xsd:simpleType>
    </xsd:element>
    <xsd:element name="Archived" ma:index="6" nillable="true" ma:displayName="Archived" ma:default="0" ma:internalName="Archived">
      <xsd:simpleType>
        <xsd:restriction base="dms:Boolean"/>
      </xsd:simpleType>
    </xsd:element>
    <xsd:element name="Select_x0020_Final_x0020_Report" ma:index="8" nillable="true" ma:displayName="Select Final Report" ma:default="0" ma:internalName="Select_x0020_Final_x0020_Repor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d6f32-0a10-492b-a4f1-99360511df54" elementFormDefault="qualified">
    <xsd:import namespace="http://schemas.microsoft.com/office/2006/documentManagement/types"/>
    <xsd:import namespace="http://schemas.microsoft.com/office/infopath/2007/PartnerControls"/>
    <xsd:element name="Source1" ma:index="15" nillable="true" ma:displayName="Source1" ma:default="GLT" ma:format="Dropdown" ma:internalName="Source1">
      <xsd:simpleType>
        <xsd:restriction base="dms:Choice">
          <xsd:enumeration value="Delphi PURE Reports"/>
          <xsd:enumeration value="FleetDash"/>
          <xsd:enumeration value="GLT"/>
          <xsd:enumeration value="Owned Mileage from ESC"/>
          <xsd:enumeration value="GLT/MVS/ESC"/>
          <xsd:enumeration value="Fleet Drive Thru"/>
          <xsd:enumeration value="NDC"/>
          <xsd:enumeration value="FAAMVS"/>
          <xsd:enumeration value="JP Morgan PNet"/>
          <xsd:enumeration value="RCO - FAST"/>
          <xsd:enumeration value="RCO - FUR"/>
          <xsd:enumeration value="RCO - INV"/>
          <xsd:enumeration value="RCO - CRASH"/>
          <xsd:enumeration value="RCO - RECAL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1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23C57E-7D9F-492E-99C3-1980AC590466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3cbd6f32-0a10-492b-a4f1-99360511df54"/>
    <ds:schemaRef ds:uri="016edbb1-8198-416d-8057-130e4c9570c2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4A3B03B-DA17-4B9C-AA9A-128C65EC6A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4BDEC3-565D-4C8F-ABCC-497BD91629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6edbb1-8198-416d-8057-130e4c9570c2"/>
    <ds:schemaRef ds:uri="3cbd6f32-0a10-492b-a4f1-99360511df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Projected Actual Monthly Stats</vt:lpstr>
      <vt:lpstr>Data</vt:lpstr>
    </vt:vector>
  </TitlesOfParts>
  <Company>FAA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marcus.ctr.gopalan</dc:creator>
  <cp:lastModifiedBy>Christopher M burch</cp:lastModifiedBy>
  <dcterms:created xsi:type="dcterms:W3CDTF">2014-12-04T19:30:04Z</dcterms:created>
  <dcterms:modified xsi:type="dcterms:W3CDTF">2021-06-14T16:58:48Z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0x0101000E5ED7CE8255A94BA0C49406F1D00D50</vt:lpwstr>
  </property>
</Properties>
</file>