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ntory" sheetId="1" r:id="rId3"/>
    <sheet state="visible" name="qiagen_extraction" sheetId="2" r:id="rId4"/>
    <sheet state="visible" name="ali_extraction" sheetId="3" r:id="rId5"/>
    <sheet state="visible" name="picogreen_quantification" sheetId="4" r:id="rId6"/>
    <sheet state="visible" name="gel" sheetId="5" r:id="rId7"/>
    <sheet state="visible" name="digest" sheetId="6" r:id="rId8"/>
    <sheet state="visible" name="plate_clean" sheetId="7" r:id="rId9"/>
    <sheet state="visible" name="ligate" sheetId="8" r:id="rId10"/>
    <sheet state="visible" name="tube_clean" sheetId="9" r:id="rId11"/>
    <sheet state="visible" name="pippin" sheetId="10" r:id="rId12"/>
    <sheet state="visible" name="pcr" sheetId="11" r:id="rId13"/>
    <sheet state="visible" name="qubit" sheetId="12" r:id="rId14"/>
    <sheet state="visible" name="Library creation" sheetId="13" r:id="rId15"/>
    <sheet state="visible" name="Quote" sheetId="14" r:id="rId16"/>
    <sheet state="visible" name="Summary" sheetId="15" r:id="rId17"/>
    <sheet state="visible" name="Big List" sheetId="16" r:id="rId18"/>
    <sheet state="visible" name="Jen's Library Creation" sheetId="17" r:id="rId19"/>
    <sheet state="visible" name="Jennifer's Clean Lab Supplies" sheetId="18" r:id="rId20"/>
    <sheet state="visible" name="Startup" sheetId="19" r:id="rId21"/>
    <sheet state="visible" name="Olafs barcoding" sheetId="20" r:id="rId22"/>
  </sheets>
  <definedNames/>
  <calcPr/>
</workbook>
</file>

<file path=xl/sharedStrings.xml><?xml version="1.0" encoding="utf-8"?>
<sst xmlns="http://schemas.openxmlformats.org/spreadsheetml/2006/main" count="4576" uniqueCount="1620">
  <si>
    <t>nol</t>
  </si>
  <si>
    <t>num_samples</t>
  </si>
  <si>
    <t>currently have:</t>
  </si>
  <si>
    <t>Vendor</t>
  </si>
  <si>
    <t>Cat #</t>
  </si>
  <si>
    <t>proj_samples</t>
  </si>
  <si>
    <t>item</t>
  </si>
  <si>
    <t>Date</t>
  </si>
  <si>
    <t>Qty ordered</t>
  </si>
  <si>
    <t>Consumable</t>
  </si>
  <si>
    <t>Discontinued</t>
  </si>
  <si>
    <t>Qty/Unit</t>
  </si>
  <si>
    <t>cost/sample</t>
  </si>
  <si>
    <t>per_sample</t>
  </si>
  <si>
    <t>per_plate</t>
  </si>
  <si>
    <t>sum_used</t>
  </si>
  <si>
    <t>total_cost</t>
  </si>
  <si>
    <t>EDTA Disodium Ethylenediamine Tetraacetate</t>
  </si>
  <si>
    <t>Price/Unit</t>
  </si>
  <si>
    <t>Dneasy 96 kit (12)</t>
  </si>
  <si>
    <t>cost/qty</t>
  </si>
  <si>
    <t>Notes</t>
  </si>
  <si>
    <t>Purpose</t>
  </si>
  <si>
    <t>0.5mL thin wall PCR tubes bag of 100</t>
  </si>
  <si>
    <t>VWR</t>
  </si>
  <si>
    <t>470020-828</t>
  </si>
  <si>
    <t>Y</t>
  </si>
  <si>
    <t>N</t>
  </si>
  <si>
    <t>Qubit</t>
  </si>
  <si>
    <t>1.7mL micro tubes - 500 pack/5000 case</t>
  </si>
  <si>
    <t>Bioexpress</t>
  </si>
  <si>
    <t>C-3260-1</t>
  </si>
  <si>
    <t>Ordered in the past from Rutgers Supply Center - S-175680137P - 8.67 for 500 pack</t>
  </si>
  <si>
    <t>Tris-base</t>
  </si>
  <si>
    <t>1000µL 1mL 1250µL superslik natural tips pack of 480 refills</t>
  </si>
  <si>
    <t>100µL filter tips, eppendorf</t>
  </si>
  <si>
    <t>89079-488</t>
  </si>
  <si>
    <t>Ampure does not stick to these, they work well, last ordered 5/1/2015</t>
  </si>
  <si>
    <t>1000µL filter tips, eppendorf pack of 960</t>
  </si>
  <si>
    <t>SDS sodium dodecyl sulfate, sodium laureth sulfate</t>
  </si>
  <si>
    <t>Eppendorf</t>
  </si>
  <si>
    <t>Used to order from VWR - 47745-096; eppendorf said they'd get us a better deal</t>
  </si>
  <si>
    <t>100mL Weigh Boats - case of 500</t>
  </si>
  <si>
    <t>DDT dithiothreitol solution 1M</t>
  </si>
  <si>
    <t>89106-766</t>
  </si>
  <si>
    <t>100µL eppendorf tips - natural - 960pack</t>
  </si>
  <si>
    <t>Fisher</t>
  </si>
  <si>
    <t>Sodium Chloride 1kg</t>
  </si>
  <si>
    <t>05-403-49</t>
  </si>
  <si>
    <t>50mL resevoirs - case of 200</t>
  </si>
  <si>
    <t>PEG 8000</t>
  </si>
  <si>
    <t>25% discount off list price - contact Frank DiLeo [DiLeo.F@eppendorf.com]</t>
  </si>
  <si>
    <t>100µL natural tips, eppendorf</t>
  </si>
  <si>
    <t>Sigma Aldrich</t>
  </si>
  <si>
    <t>EP022493022-960EA</t>
  </si>
  <si>
    <t>300µL filter tips, eppendorf pack of 960</t>
  </si>
  <si>
    <t>reloads</t>
  </si>
  <si>
    <t>10mL polypro pipets - case of 200</t>
  </si>
  <si>
    <t>89130-898</t>
  </si>
  <si>
    <t>10µL filter tips, eppendorf</t>
  </si>
  <si>
    <t>Agencourt AMPure XP 60mL</t>
  </si>
  <si>
    <t>10µL natural tips, eppendorf reloads case of 4800</t>
  </si>
  <si>
    <t>89206-222</t>
  </si>
  <si>
    <t>15mL conical tubes case of 500</t>
  </si>
  <si>
    <t>96 well PCR plates - case of 100</t>
  </si>
  <si>
    <t>89039-664</t>
  </si>
  <si>
    <t>1x TE buffer</t>
  </si>
  <si>
    <t>made in house</t>
  </si>
  <si>
    <t>Proteinase-K</t>
  </si>
  <si>
    <t>AMPure clean, Pico quantification</t>
  </si>
  <si>
    <t>200µL natural tips for 100µL pipet, eppendorf</t>
  </si>
  <si>
    <t>Ethanol EtOH 200proof 4 gallons biotech grade (ml)</t>
  </si>
  <si>
    <t>25mL polypro pipets - case of 200</t>
  </si>
  <si>
    <t>50mL conical tubes case of 500</t>
  </si>
  <si>
    <t>ThermoScientific PCR film seal tape AB-0558 pack of 100</t>
  </si>
  <si>
    <t>89206-234</t>
  </si>
  <si>
    <t>89130-900</t>
  </si>
  <si>
    <t>General</t>
  </si>
  <si>
    <t>2mL tubes with o-ring - case of 5000, bags of 500</t>
  </si>
  <si>
    <t>C3369-3</t>
  </si>
  <si>
    <t>300µL natural tips, eppendorf reloads case of 4800</t>
  </si>
  <si>
    <t>89206-238</t>
  </si>
  <si>
    <t>89039-656</t>
  </si>
  <si>
    <t>89094-680</t>
  </si>
  <si>
    <t>Total</t>
  </si>
  <si>
    <t>5µL tips - 960 pack</t>
  </si>
  <si>
    <t>02 707 472</t>
  </si>
  <si>
    <t>Per sample</t>
  </si>
  <si>
    <t>82006-636</t>
  </si>
  <si>
    <t>Agarose RA - amresco</t>
  </si>
  <si>
    <t>N605-500G</t>
  </si>
  <si>
    <t>Agencourt AMPure XP 450mL</t>
  </si>
  <si>
    <t>Beckman Coulter</t>
  </si>
  <si>
    <t>A63882</t>
  </si>
  <si>
    <t>Previously we have purchased 60mL A63881 for $1126</t>
  </si>
  <si>
    <t>A63881</t>
  </si>
  <si>
    <t>cheapest</t>
  </si>
  <si>
    <t>Agilent HS DNA bioanalyzer kit</t>
  </si>
  <si>
    <t>Agilent</t>
  </si>
  <si>
    <t>Autoclave Tape 3/4"</t>
  </si>
  <si>
    <t>15 904</t>
  </si>
  <si>
    <t>Sigma</t>
  </si>
  <si>
    <t>43816-10ML</t>
  </si>
  <si>
    <t>DNAmark™ 100bp Ladder</t>
  </si>
  <si>
    <t>89233-914</t>
  </si>
  <si>
    <t>Qiagen</t>
  </si>
  <si>
    <t>Extraction</t>
  </si>
  <si>
    <t>Dneasy 96 kit (4)</t>
  </si>
  <si>
    <t>dNTP mix</t>
  </si>
  <si>
    <t>NEB</t>
  </si>
  <si>
    <t>EcoRI 100,000U/mL</t>
  </si>
  <si>
    <t>R3101M</t>
  </si>
  <si>
    <t>S311-100</t>
  </si>
  <si>
    <t>NC0753474</t>
  </si>
  <si>
    <t>IB15724</t>
  </si>
  <si>
    <t>AMPure clean, Extraction</t>
  </si>
  <si>
    <t>Expo 2 Dry Erase Set</t>
  </si>
  <si>
    <t>Office Max</t>
  </si>
  <si>
    <t>N280653</t>
  </si>
  <si>
    <t>F primer for Jen</t>
  </si>
  <si>
    <t>IDT</t>
  </si>
  <si>
    <t>Greiner bio-one black plates for quanitfication case of 40</t>
  </si>
  <si>
    <t>TAE Buffer (Tris Acetate), Quality Biological 50X</t>
  </si>
  <si>
    <t>F Primer P1 APCL</t>
  </si>
  <si>
    <t>Gelred</t>
  </si>
  <si>
    <t>89139-138</t>
  </si>
  <si>
    <t>Previously purchased 2 vials in 2014??</t>
  </si>
  <si>
    <t>HP-T9 Preload (get without tray in the future)</t>
  </si>
  <si>
    <t>Biomark</t>
  </si>
  <si>
    <t>BIO9.B.03V1 PL</t>
  </si>
  <si>
    <t>used needles and tray are recyclable with biomark; 286 is a discount for ordering 500 or more, they extended to this year because we have purchased so many in the past</t>
  </si>
  <si>
    <t>Kapa Library Amplification Kit</t>
  </si>
  <si>
    <t>Kapa</t>
  </si>
  <si>
    <t>KK2611</t>
  </si>
  <si>
    <t>Kapa Library Quantification Kit</t>
  </si>
  <si>
    <t>KK4824</t>
  </si>
  <si>
    <t>QPCR</t>
  </si>
  <si>
    <t>Lab Notebooks case of 6</t>
  </si>
  <si>
    <t>01-814-19</t>
  </si>
  <si>
    <t>Quant-IT PicoGreen dsDNA assay kit (2000 assays)</t>
  </si>
  <si>
    <t>lab tabe 1/2 (0.5) inch rainbow</t>
  </si>
  <si>
    <t>89097-920</t>
  </si>
  <si>
    <t>Lab Wipes - case of 280</t>
  </si>
  <si>
    <t>82003-820</t>
  </si>
  <si>
    <t>Lanes of Pippin Cassette 10 pack - 2% Agarose, Dye-free with Internal Standards, 10/pk, Marker L</t>
  </si>
  <si>
    <t>SAGE</t>
  </si>
  <si>
    <t>CDF2010</t>
  </si>
  <si>
    <t>They may have changed cassettes from 5 lanes to 4 lanes</t>
  </si>
  <si>
    <t>Pippin</t>
  </si>
  <si>
    <t>ligation buffer</t>
  </si>
  <si>
    <t>Ligation</t>
  </si>
  <si>
    <t>MgCl2</t>
  </si>
  <si>
    <t>MicroAMP Optical Adhesive film for QPCR</t>
  </si>
  <si>
    <t xml:space="preserve">ABI </t>
  </si>
  <si>
    <t>Andolfatto lab uses for QPCR</t>
  </si>
  <si>
    <t>MluCI 10,000U/mL</t>
  </si>
  <si>
    <t>R0538L</t>
  </si>
  <si>
    <t>2 plates per tube</t>
  </si>
  <si>
    <t xml:space="preserve">Mybaits </t>
  </si>
  <si>
    <t>Arbor Bioscience</t>
  </si>
  <si>
    <t>Nextera DNA CD Indexes (24 indexes, 24 samples) - Illumina Nextera Index Kit (24 Indexes, 96 samples)</t>
  </si>
  <si>
    <t>Illumina</t>
  </si>
  <si>
    <t>replaces FC-121-1011</t>
  </si>
  <si>
    <t>Nitrile Gloves Large - 10 pack + 1 pack</t>
  </si>
  <si>
    <t>19-130-1597D</t>
  </si>
  <si>
    <t>Nitrile Gloves Medium - 1000 pack</t>
  </si>
  <si>
    <t>89038-270</t>
  </si>
  <si>
    <t>previously purchased Fisher  19 130 1597C</t>
  </si>
  <si>
    <t>Nitrile Gloves Small - 1000 pack</t>
  </si>
  <si>
    <t>89038-268</t>
  </si>
  <si>
    <t>previously purchased Fisher  19 130 1597B</t>
  </si>
  <si>
    <t>P1 adapters updated for Jen</t>
  </si>
  <si>
    <t>P1 APCL adapters</t>
  </si>
  <si>
    <t>P2 adapters for Jen</t>
  </si>
  <si>
    <t>P2 APCL adapters</t>
  </si>
  <si>
    <t>Parafilm 4"</t>
  </si>
  <si>
    <t>S37440</t>
  </si>
  <si>
    <t>PCR 8 strip tubes with caps - 250 case</t>
  </si>
  <si>
    <t>AB 0266</t>
  </si>
  <si>
    <t>PCR Water Molecular Grade 500mL</t>
  </si>
  <si>
    <t>95043-414</t>
  </si>
  <si>
    <t>PCR2_RC primer 25nmol</t>
  </si>
  <si>
    <t>wrong sequence - ordered correct on 3/16</t>
  </si>
  <si>
    <t>PCR2_RC_2 primer 25nmol</t>
  </si>
  <si>
    <t>CORRECTED SEQUENCE</t>
  </si>
  <si>
    <t>BP233100</t>
  </si>
  <si>
    <t>Phusion Buffer</t>
  </si>
  <si>
    <t>Phusion High Fidelity PCR kit 200 rxns (100uL)</t>
  </si>
  <si>
    <t>E0553L</t>
  </si>
  <si>
    <t>Pippin Buffer</t>
  </si>
  <si>
    <t>Pippin Loading solution</t>
  </si>
  <si>
    <t>BP1700-50</t>
  </si>
  <si>
    <t>PstI 100,000U/mL</t>
  </si>
  <si>
    <t>R3140M</t>
  </si>
  <si>
    <t>Digest</t>
  </si>
  <si>
    <t>QPCR sealing film plate seal</t>
  </si>
  <si>
    <t>490007-378</t>
  </si>
  <si>
    <t>P7589</t>
  </si>
  <si>
    <t>Qubit buffer</t>
  </si>
  <si>
    <t>Qubit dye - HS</t>
  </si>
  <si>
    <t>Q33230</t>
  </si>
  <si>
    <t>Qubit thin wall tubes (500)</t>
  </si>
  <si>
    <t>Q32856</t>
  </si>
  <si>
    <t>R Primer for APCL</t>
  </si>
  <si>
    <t>R primers for Jen</t>
  </si>
  <si>
    <t>Razor Blades - 100 pack</t>
  </si>
  <si>
    <t>12 640</t>
  </si>
  <si>
    <t>Scalpel blade 11 for 3 handle - 10 pack</t>
  </si>
  <si>
    <t>470174-844</t>
  </si>
  <si>
    <t>BP166-100</t>
  </si>
  <si>
    <t>Sharpie Fine Pt Assorted Colors</t>
  </si>
  <si>
    <t>N230653PP</t>
  </si>
  <si>
    <t>Sharpie Ultra Fine Asst Colors</t>
  </si>
  <si>
    <t>N237675PP</t>
  </si>
  <si>
    <t>BP358-1</t>
  </si>
  <si>
    <t>Sodium Hydroxide 500g</t>
  </si>
  <si>
    <t>S320-500</t>
  </si>
  <si>
    <t>T4 DNA Ligase 100,000 units at 400,000 units/mL - 250µL</t>
  </si>
  <si>
    <t>M0202L</t>
  </si>
  <si>
    <t>A vial is 250uL and each reaction takes 0.8uL so each vial holds 312 reactions</t>
  </si>
  <si>
    <t>10128-398</t>
  </si>
  <si>
    <t>Tethered o-ring skirted microfuge tubes, 0.5ml, non-sterile</t>
  </si>
  <si>
    <t>10026-098</t>
  </si>
  <si>
    <t>Tethered o-ring skirted microfuge tubes, 1.5ml, non-sterile</t>
  </si>
  <si>
    <t>10025-748</t>
  </si>
  <si>
    <t>Tethered o-ring skirted microfuge tubes, 2ml, non-sterile</t>
  </si>
  <si>
    <t>10025-756</t>
  </si>
  <si>
    <t>AB-0558</t>
  </si>
  <si>
    <t>ThermoScientific PCR foil seal tape pack of 100</t>
  </si>
  <si>
    <t>AB0626</t>
  </si>
  <si>
    <t>2 boxes lasts 2 years; previously ordered from VWR, they split easily 60941-076 $50.21</t>
  </si>
  <si>
    <t>Extraction, Digest, Ligation</t>
  </si>
  <si>
    <t>BP152-500</t>
  </si>
  <si>
    <t>Underpads - case of 200</t>
  </si>
  <si>
    <t>56616-031</t>
  </si>
  <si>
    <t>USA Scientific TipOne 200µL pipet tips - 960 tips</t>
  </si>
  <si>
    <t>NC9512601</t>
  </si>
  <si>
    <t>VERSICAP MAT, QPCR CAP STRIPS</t>
  </si>
  <si>
    <t>AB1820</t>
  </si>
  <si>
    <t>for use with QPCR</t>
  </si>
  <si>
    <t>Water, Molecular Biology Grade - 1L</t>
  </si>
  <si>
    <t>BP2819-1</t>
  </si>
  <si>
    <t>for texas</t>
  </si>
  <si>
    <t>White sample boxes 100 place dividers</t>
  </si>
  <si>
    <t>71001-644</t>
  </si>
  <si>
    <t xml:space="preserve">Fisher 100 place box = 03-395-465; </t>
  </si>
  <si>
    <t>µL Cutsmart buffer</t>
  </si>
  <si>
    <t>µL each P1 adapter working</t>
  </si>
  <si>
    <t>in house</t>
  </si>
  <si>
    <t>µL Lambda DNA</t>
  </si>
  <si>
    <t>µL P1.1 - each</t>
  </si>
  <si>
    <t>µL P1.2 - each</t>
  </si>
  <si>
    <t>µL P2 working adapter</t>
  </si>
  <si>
    <t>µL P2.1_bond</t>
  </si>
  <si>
    <t>P2.a_bond</t>
  </si>
  <si>
    <t>µL P2.2_bond</t>
  </si>
  <si>
    <t>P2.b_bond</t>
  </si>
  <si>
    <t>µL R Primer each index</t>
  </si>
  <si>
    <t>0.5mL o-ring tubes bag of 500, conical bottom, tethered cap</t>
  </si>
  <si>
    <t>89004-314</t>
  </si>
  <si>
    <t>1000µL filter tips - 1mL filter tips pack of 560</t>
  </si>
  <si>
    <t>02 707 480</t>
  </si>
  <si>
    <t>Grainger</t>
  </si>
  <si>
    <t>100µL generic tips - natural - 960pack</t>
  </si>
  <si>
    <t>89079-462</t>
  </si>
  <si>
    <t>100µL tip refills (natural) 960 pack</t>
  </si>
  <si>
    <t>89079-476</t>
  </si>
  <si>
    <t>100µL tips - 960 pack</t>
  </si>
  <si>
    <t>02 707 477</t>
  </si>
  <si>
    <t>10µL filter tips refill pack of 960</t>
  </si>
  <si>
    <t>89201-522</t>
  </si>
  <si>
    <t>don't work well with our pipets</t>
  </si>
  <si>
    <t>last ordered 4 boxes on 4/19/2016; 4 boxes is 4 month supply</t>
  </si>
  <si>
    <t>10µL natural tips, eppendorf</t>
  </si>
  <si>
    <t>EP022493010-960EA</t>
  </si>
  <si>
    <t>10µL tip refills (natural) 1248 pack</t>
  </si>
  <si>
    <t>89187-848</t>
  </si>
  <si>
    <t>10µL tip refills (natural) 1344 pack</t>
  </si>
  <si>
    <t>89079-466</t>
  </si>
  <si>
    <t>10µL tip refills for Rainin 1056 pack</t>
  </si>
  <si>
    <t>89079-438</t>
  </si>
  <si>
    <t>10µL tips - 960 pack - sure one filter tips</t>
  </si>
  <si>
    <t>02 707 473</t>
  </si>
  <si>
    <t>10µL tips racked - 960 pack</t>
  </si>
  <si>
    <t>02 707 436</t>
  </si>
  <si>
    <t>10µL XL filter tips refill pack</t>
  </si>
  <si>
    <t>02-707-474</t>
  </si>
  <si>
    <t>1250µL tips - case of 480</t>
  </si>
  <si>
    <t>89079-470</t>
  </si>
  <si>
    <t>89079-472</t>
  </si>
  <si>
    <t>300µL filter tips - 576 pack</t>
  </si>
  <si>
    <t>83007-358</t>
  </si>
  <si>
    <t>300µL tips refills - case of 576</t>
  </si>
  <si>
    <t>89079-440</t>
  </si>
  <si>
    <t>use eppendorf brand tips for eppendorf pipet, these go on crooked and don't eject liquid well</t>
  </si>
  <si>
    <t>A63881 - 75803-122</t>
  </si>
  <si>
    <t xml:space="preserve">A63881 - </t>
  </si>
  <si>
    <t>Aluminum sealing tape for PCR plates foil 100/cs</t>
  </si>
  <si>
    <t>07-200-684</t>
  </si>
  <si>
    <t>Axygen™ 0.5mL Conical Screw Cap Tubes - not tethered: Presterilized - case of 4000</t>
  </si>
  <si>
    <t>14-222-517</t>
  </si>
  <si>
    <t>robot time</t>
  </si>
  <si>
    <t>These were not delivered for 6 months, and then when delivered, were not tethered!!!</t>
  </si>
  <si>
    <t>Basin / Reagent Resevoir 100mL - case of 200</t>
  </si>
  <si>
    <t>89094-656</t>
  </si>
  <si>
    <t>per_pool</t>
  </si>
  <si>
    <t>- would like to return, not steep enough</t>
  </si>
  <si>
    <t>Ethanol 200 Proof Alcohol - 1 Gal</t>
  </si>
  <si>
    <t>Rutgers Supply Center</t>
  </si>
  <si>
    <t>S-175130127P</t>
  </si>
  <si>
    <t>does this need to be -ase free?</t>
  </si>
  <si>
    <t>95043-302</t>
  </si>
  <si>
    <t>should last a year</t>
  </si>
  <si>
    <t>National Brand Lab Notebook</t>
  </si>
  <si>
    <t>Amazon</t>
  </si>
  <si>
    <t>B00007LV4B</t>
  </si>
  <si>
    <t>no table of contents; using 3 ring binder instead</t>
  </si>
  <si>
    <t>PCR film sealant tape - case of 100</t>
  </si>
  <si>
    <t>60941-072</t>
  </si>
  <si>
    <t>order the thermo scientific instead, this one doesn't seal well</t>
  </si>
  <si>
    <t>Promega ladder 100bp 250µL</t>
  </si>
  <si>
    <t>PR-G2101</t>
  </si>
  <si>
    <t>Puregene Tissue Trial Kit</t>
  </si>
  <si>
    <t>Free</t>
  </si>
  <si>
    <t>test kit to assess extraction method</t>
  </si>
  <si>
    <t>T4 DNA Ligase 20,000 units at 400,000 units/mL - 50µL</t>
  </si>
  <si>
    <t>M0202S</t>
  </si>
  <si>
    <t>too small volume for a library</t>
  </si>
  <si>
    <t>02-707-356</t>
  </si>
  <si>
    <t>02-707-358</t>
  </si>
  <si>
    <t>490003-488</t>
  </si>
  <si>
    <t>02-707-360</t>
  </si>
  <si>
    <t>490003-518</t>
  </si>
  <si>
    <t>Thermo TAE 50x buffer</t>
  </si>
  <si>
    <t>B49</t>
  </si>
  <si>
    <t>VELA series Lab Notebook</t>
  </si>
  <si>
    <t>B00A6ZUN0G</t>
  </si>
  <si>
    <t>1000mL Graduated Cylinders PP</t>
  </si>
  <si>
    <t>03 007 44</t>
  </si>
  <si>
    <t>100mL Glass Beakers - 12 pack</t>
  </si>
  <si>
    <t>89000-200</t>
  </si>
  <si>
    <t>100mL Graduated Cylinders PP</t>
  </si>
  <si>
    <t>03 007 41</t>
  </si>
  <si>
    <t>100µL Research Plus Multichannel pipet</t>
  </si>
  <si>
    <t>eppendorf</t>
  </si>
  <si>
    <t>10L carboy autoclavable polypropylene</t>
  </si>
  <si>
    <t>89170-790</t>
  </si>
  <si>
    <t>buy 2 get 1 free - giving free one to another lab - missing 1</t>
  </si>
  <si>
    <t>10mL Graduated Cylinders PP</t>
  </si>
  <si>
    <t>03 007 38</t>
  </si>
  <si>
    <t>10µL Research Plus Multichannel pipet</t>
  </si>
  <si>
    <t>20µL empty tip racks - 10 pack</t>
  </si>
  <si>
    <t>02 707 445</t>
  </si>
  <si>
    <t>250mL Erlenmyer Flasks - 12 pack</t>
  </si>
  <si>
    <t>FB500250</t>
  </si>
  <si>
    <t>250mL Graduated Cylinders PP</t>
  </si>
  <si>
    <t>03 007 42</t>
  </si>
  <si>
    <t>250mL Media Bottles - 10 pack</t>
  </si>
  <si>
    <t>FB800250</t>
  </si>
  <si>
    <t>25mL Graduated Cylinders PP</t>
  </si>
  <si>
    <t>03 007 39</t>
  </si>
  <si>
    <t>26x14cm Gel Rig Sub/Horiz</t>
  </si>
  <si>
    <t>CBSGU-2614T-02</t>
  </si>
  <si>
    <t>300µL empty tip racks - 10 pack</t>
  </si>
  <si>
    <t>02 707 444</t>
  </si>
  <si>
    <t>300µL Research Plus Multichannel pipet</t>
  </si>
  <si>
    <t>500mL Erlenmyer Flasks - 6 pack</t>
  </si>
  <si>
    <t>FB500500</t>
  </si>
  <si>
    <t>500mL Graduated Cylinders PP</t>
  </si>
  <si>
    <t>03 007 43</t>
  </si>
  <si>
    <t>500mL Media Bottles - 10 pack</t>
  </si>
  <si>
    <t>FB800500</t>
  </si>
  <si>
    <t>50mL glass beakers - 12 pack</t>
  </si>
  <si>
    <t>FB10050</t>
  </si>
  <si>
    <t>50mL Graduated Cylinders PP</t>
  </si>
  <si>
    <t>03 007 40</t>
  </si>
  <si>
    <t>5424 Centrifuge</t>
  </si>
  <si>
    <t>600mL glass beakers - 6 pack</t>
  </si>
  <si>
    <t>FB100600</t>
  </si>
  <si>
    <t>7x10cm Gel Rig Mini Horizontal System</t>
  </si>
  <si>
    <t>FB SB 710</t>
  </si>
  <si>
    <t>80 place microfuge tube racks - 5 pack</t>
  </si>
  <si>
    <t>30128-266</t>
  </si>
  <si>
    <t>96-well fast reaction module</t>
  </si>
  <si>
    <t>BioRad</t>
  </si>
  <si>
    <t>APC Smart UPS LCD 1500</t>
  </si>
  <si>
    <t>CDW-G</t>
  </si>
  <si>
    <t>Rm 139</t>
  </si>
  <si>
    <t>APC Surge protector</t>
  </si>
  <si>
    <t>Bottle Brush 250mL</t>
  </si>
  <si>
    <t>22940-250</t>
  </si>
  <si>
    <t>C1000 Touch Thermo Cycler base</t>
  </si>
  <si>
    <t>Configurable Linux Workstation</t>
  </si>
  <si>
    <t>HP</t>
  </si>
  <si>
    <t>LJ452AV-1</t>
  </si>
  <si>
    <t>Dry Erase Board 18x24</t>
  </si>
  <si>
    <t>500001-895</t>
  </si>
  <si>
    <t>eppendorf Easypet 3</t>
  </si>
  <si>
    <t>4430 000.018</t>
  </si>
  <si>
    <t>Faceshield</t>
  </si>
  <si>
    <t>18 999 4542</t>
  </si>
  <si>
    <t>Freezer temperature monitory TCA-3</t>
  </si>
  <si>
    <t>P0625-1630</t>
  </si>
  <si>
    <t>Galaxy Mini Pico Centrifuge</t>
  </si>
  <si>
    <t>93000-196</t>
  </si>
  <si>
    <t>Gel Rig Power supply</t>
  </si>
  <si>
    <t>93000-744</t>
  </si>
  <si>
    <t>Plate reader quantification</t>
  </si>
  <si>
    <t>Ice Bucket</t>
  </si>
  <si>
    <t>414004-245</t>
  </si>
  <si>
    <t>iMac</t>
  </si>
  <si>
    <t>Apple</t>
  </si>
  <si>
    <t>ME086LL/A</t>
  </si>
  <si>
    <t>Incubator</t>
  </si>
  <si>
    <t>Magsafe converter</t>
  </si>
  <si>
    <t>MD504ZM/A</t>
  </si>
  <si>
    <t>Mass Balance Mettler Toledo - 30029122</t>
  </si>
  <si>
    <t>01 912 407</t>
  </si>
  <si>
    <t>Mesh Deep Drawer Organ</t>
  </si>
  <si>
    <t>K3OM96839</t>
  </si>
  <si>
    <t>Metal Lab Tape dispenser</t>
  </si>
  <si>
    <t>15 912</t>
  </si>
  <si>
    <t>PCR film roller</t>
  </si>
  <si>
    <t>60941-118</t>
  </si>
  <si>
    <t>PCR plate racks - case of 20</t>
  </si>
  <si>
    <t>05 541 80</t>
  </si>
  <si>
    <t>Polyethylene Squeeze bottles - case of 6</t>
  </si>
  <si>
    <t>16650-264</t>
  </si>
  <si>
    <t>Scalpel handle ss 3 127mm</t>
  </si>
  <si>
    <t>470146-848</t>
  </si>
  <si>
    <t>Scissors, blunt tip, stainless steel</t>
  </si>
  <si>
    <t>82027-590</t>
  </si>
  <si>
    <t>Extraction, Collection</t>
  </si>
  <si>
    <t>Scoopula SS - 6 pack</t>
  </si>
  <si>
    <t>14 357Q</t>
  </si>
  <si>
    <t>Seagate NAS</t>
  </si>
  <si>
    <t>Silicon sealing mat for VWR 96 well plates MAT SILICN SEALNG 96WL PK5</t>
  </si>
  <si>
    <t>82006-692</t>
  </si>
  <si>
    <t>trying to see if they are long term sealers</t>
  </si>
  <si>
    <t>Six Tube Magnetic separation rack</t>
  </si>
  <si>
    <t>S1506S</t>
  </si>
  <si>
    <t>Spray Bottles - 6 pack</t>
  </si>
  <si>
    <t>02 993 416</t>
  </si>
  <si>
    <t>Stir/Hot Plate</t>
  </si>
  <si>
    <t>11 100 49SH</t>
  </si>
  <si>
    <t>Synology DiskStation 8-Bay NAS</t>
  </si>
  <si>
    <t>DS1812</t>
  </si>
  <si>
    <t>Thermal Gloves Size 9</t>
  </si>
  <si>
    <t>19 048517N</t>
  </si>
  <si>
    <t>Thermoblock 24x1.5mL for thermomixer</t>
  </si>
  <si>
    <t>Thermomixer 5355R</t>
  </si>
  <si>
    <t>022670107D</t>
  </si>
  <si>
    <t>Timers</t>
  </si>
  <si>
    <t>02 261 840</t>
  </si>
  <si>
    <t>tweezers / forceps</t>
  </si>
  <si>
    <t>82027-446</t>
  </si>
  <si>
    <t>Thinner body with square tips</t>
  </si>
  <si>
    <t>Utility Cart</t>
  </si>
  <si>
    <t>470121-816</t>
  </si>
  <si>
    <t>UV Shield</t>
  </si>
  <si>
    <t>UVC-100A</t>
  </si>
  <si>
    <t>Vacufuge</t>
  </si>
  <si>
    <t>MISC-EQUIP</t>
  </si>
  <si>
    <t>Viewsonic LED</t>
  </si>
  <si>
    <t>Vortexer</t>
  </si>
  <si>
    <t>02 215 365</t>
  </si>
  <si>
    <t>VWR CryoPro Freezer</t>
  </si>
  <si>
    <t>97043-346</t>
  </si>
  <si>
    <t>Wire tube rack for 15mL tubes</t>
  </si>
  <si>
    <t>14 791 6D</t>
  </si>
  <si>
    <t>Wire tube rack for 50mL tubes</t>
  </si>
  <si>
    <t>14 791 6B</t>
  </si>
  <si>
    <t>10µL filter tips 960 pack</t>
  </si>
  <si>
    <t>Byron's large gel rig</t>
  </si>
  <si>
    <t>Bio-rad</t>
  </si>
  <si>
    <t>Sub-Cell® Model 192 Cell</t>
  </si>
  <si>
    <t>http://www.bio-rad.com/en-us/product/sub-cell-reg-model-192-cell?pcp_loc=catprod, thinner of the 2 thicknesses of combs</t>
  </si>
  <si>
    <t>Greiner bio-one black plates for quanitfication case of 100</t>
  </si>
  <si>
    <t>Greiner bio-one black plates for quanitfication case of 50</t>
  </si>
  <si>
    <t>63041-414</t>
  </si>
  <si>
    <t>thick body with very sharp tips</t>
  </si>
  <si>
    <t>Process</t>
  </si>
  <si>
    <t>total cost</t>
  </si>
  <si>
    <t>cost per sample</t>
  </si>
  <si>
    <t>notes</t>
  </si>
  <si>
    <t>tube clean</t>
  </si>
  <si>
    <t>Item</t>
  </si>
  <si>
    <t>Cat Number</t>
  </si>
  <si>
    <t>quantity used</t>
  </si>
  <si>
    <t>consumable</t>
  </si>
  <si>
    <t>discontinued</t>
  </si>
  <si>
    <t>used cost</t>
  </si>
  <si>
    <t>purchase qty</t>
  </si>
  <si>
    <t>purchase cost</t>
  </si>
  <si>
    <t>our cost per sample</t>
  </si>
  <si>
    <t>Quantification</t>
  </si>
  <si>
    <t>qty_all_plates</t>
  </si>
  <si>
    <t>cost_all_plates</t>
  </si>
  <si>
    <t>Clean up</t>
  </si>
  <si>
    <t>Ali method is 1.75/sample</t>
  </si>
  <si>
    <t>plate clean</t>
  </si>
  <si>
    <t>Ligate</t>
  </si>
  <si>
    <t>Gel</t>
  </si>
  <si>
    <t>PCR</t>
  </si>
  <si>
    <t>qubit</t>
  </si>
  <si>
    <t>mybaits</t>
  </si>
  <si>
    <t>Sequencing</t>
  </si>
  <si>
    <t>Illumina Nextera Index Kit (24 Indexes, 96 samples)</t>
  </si>
  <si>
    <t>FC-121-1011</t>
  </si>
  <si>
    <t>Tagmentation</t>
  </si>
  <si>
    <t>Comes with the Illumina kit</t>
  </si>
  <si>
    <t>how many plates are you preparing?</t>
  </si>
  <si>
    <t>repeats</t>
  </si>
  <si>
    <t>Order date</t>
  </si>
  <si>
    <t>Catalog number</t>
  </si>
  <si>
    <t>cost per use</t>
  </si>
  <si>
    <t>sold qty</t>
  </si>
  <si>
    <t>sold price</t>
  </si>
  <si>
    <t>Category</t>
  </si>
  <si>
    <t>We have</t>
  </si>
  <si>
    <t>NEED</t>
  </si>
  <si>
    <t>order</t>
  </si>
  <si>
    <t>Peterson cost per sample</t>
  </si>
  <si>
    <t>Qiagen Dneasy 96 kit - 12 pack</t>
  </si>
  <si>
    <t>Mybaits</t>
  </si>
  <si>
    <t>n</t>
  </si>
  <si>
    <t>5000 bait kit (48 reactions)</t>
  </si>
  <si>
    <t>Myco</t>
  </si>
  <si>
    <t>KAPA amplification</t>
  </si>
  <si>
    <t>tips</t>
  </si>
  <si>
    <t>Other supplies</t>
  </si>
  <si>
    <t>Total Cost</t>
  </si>
  <si>
    <t>y</t>
  </si>
  <si>
    <t>Resevoirs</t>
  </si>
  <si>
    <t>Foil sealers</t>
  </si>
  <si>
    <t>300 tips for multichannel - case of 576</t>
  </si>
  <si>
    <t>reagents</t>
  </si>
  <si>
    <t>Black plates</t>
  </si>
  <si>
    <t>mL 1xTE buffer</t>
  </si>
  <si>
    <t>house</t>
  </si>
  <si>
    <t>TE-house</t>
  </si>
  <si>
    <t>Life Technologies</t>
  </si>
  <si>
    <t>lambda</t>
  </si>
  <si>
    <t>µL Pico Dye</t>
  </si>
  <si>
    <t>50mL conical tube case of 500</t>
  </si>
  <si>
    <t>300µL tips for multichannel</t>
  </si>
  <si>
    <t>1.7mL tubes - case of 5000</t>
  </si>
  <si>
    <t>BioExpress</t>
  </si>
  <si>
    <t>100µL filter tips - 960 pack</t>
  </si>
  <si>
    <t>89201-524</t>
  </si>
  <si>
    <t>special</t>
  </si>
  <si>
    <t>mL Ampure (60mL bottle)</t>
  </si>
  <si>
    <t>cutsmart</t>
  </si>
  <si>
    <t>uL Water, Molecular Biology Grade - 1L</t>
  </si>
  <si>
    <t>µL PstI</t>
  </si>
  <si>
    <t>R3140S</t>
  </si>
  <si>
    <t>EcoRI</t>
  </si>
  <si>
    <t>µL MluCI</t>
  </si>
  <si>
    <t>MspI</t>
  </si>
  <si>
    <t>300µL tips (pack of 576)</t>
  </si>
  <si>
    <t>µL each P1 adapter</t>
  </si>
  <si>
    <t>P1</t>
  </si>
  <si>
    <t>nmoles of P2 adapter</t>
  </si>
  <si>
    <t>P2</t>
  </si>
  <si>
    <t>ligbuff</t>
  </si>
  <si>
    <t>Ligase</t>
  </si>
  <si>
    <t>8 tube strip</t>
  </si>
  <si>
    <t>A0266</t>
  </si>
  <si>
    <t>dNTPs</t>
  </si>
  <si>
    <t>DNTP</t>
  </si>
  <si>
    <t>F Primer</t>
  </si>
  <si>
    <t>F-primer</t>
  </si>
  <si>
    <t>R Primer</t>
  </si>
  <si>
    <t>R-primer</t>
  </si>
  <si>
    <t>Phusion polymerase</t>
  </si>
  <si>
    <t>phusion</t>
  </si>
  <si>
    <t>pippin buff</t>
  </si>
  <si>
    <t>Cassette</t>
  </si>
  <si>
    <t>Sage</t>
  </si>
  <si>
    <t>0.5mL tubes</t>
  </si>
  <si>
    <t>thinwall</t>
  </si>
  <si>
    <t>buffer</t>
  </si>
  <si>
    <t>qubit buff</t>
  </si>
  <si>
    <t>dye</t>
  </si>
  <si>
    <t>qubit dye</t>
  </si>
  <si>
    <t>per 2 plates</t>
  </si>
  <si>
    <t>per sample</t>
  </si>
  <si>
    <t>PO#</t>
  </si>
  <si>
    <t xml:space="preserve">100mL resevoirs </t>
  </si>
  <si>
    <t>102096-992</t>
  </si>
  <si>
    <t xml:space="preserve">Lab Wipes </t>
  </si>
  <si>
    <t>Ethanol EtOH 200proof 1L</t>
  </si>
  <si>
    <t>95025-234</t>
  </si>
  <si>
    <t>Polyethylene Squeeze bottle</t>
  </si>
  <si>
    <t>10754-112</t>
  </si>
  <si>
    <t>96 well PCR plates - case of 10</t>
  </si>
  <si>
    <t>How many does she need? They sell 10 packs and 100 packs</t>
  </si>
  <si>
    <t>VWR pierceable plate foil seal film</t>
  </si>
  <si>
    <t>60941-076</t>
  </si>
  <si>
    <t xml:space="preserve">Ordered this brand because it is the brand Kay uses in his lab with his pipets </t>
  </si>
  <si>
    <t>Tips LTS 200 μL Filter 960/10 RT-L200F</t>
  </si>
  <si>
    <t>Rainin</t>
  </si>
  <si>
    <t>Tips LTS 1 mL Filter 768/8 RT-L1000F</t>
  </si>
  <si>
    <t>Dneasy blood &amp; tissue kit</t>
  </si>
  <si>
    <t>x</t>
  </si>
  <si>
    <t>26mL Ampure</t>
  </si>
  <si>
    <t>Sent to Alison</t>
  </si>
  <si>
    <t>Description</t>
  </si>
  <si>
    <t>Brand</t>
  </si>
  <si>
    <t>Model</t>
  </si>
  <si>
    <t>Source</t>
  </si>
  <si>
    <t>#</t>
  </si>
  <si>
    <t>Santiago</t>
  </si>
  <si>
    <t>Bridgett</t>
  </si>
  <si>
    <t>Cost</t>
  </si>
  <si>
    <t>Received</t>
  </si>
  <si>
    <t>Refrigerator, glass front?</t>
  </si>
  <si>
    <t>1 blue rack that can hold 50mL Falcon tubes</t>
  </si>
  <si>
    <t>Expandable bench rack system</t>
  </si>
  <si>
    <t>89096-724</t>
  </si>
  <si>
    <t>Frigidaire</t>
  </si>
  <si>
    <t>Frigidaire 19.53 cu. ft. Refrigerator (FCRS201)</t>
  </si>
  <si>
    <t>Sears</t>
  </si>
  <si>
    <t>100 p1000 filter tips USA Scientific</t>
  </si>
  <si>
    <t>NC9464542</t>
  </si>
  <si>
    <t>500 p50 filter tips USA Scientific</t>
  </si>
  <si>
    <t>NC9512599</t>
  </si>
  <si>
    <t>500 p20 filter tips USA Scientific</t>
  </si>
  <si>
    <t>NC9190176</t>
  </si>
  <si>
    <t>ordered another box in addition to the original 960 (1920 total)</t>
  </si>
  <si>
    <t>another pack of p200 filter tips USA Scientific</t>
  </si>
  <si>
    <t>97055-724</t>
  </si>
  <si>
    <t>ISOTEMP REFRIGERATOR 17 CU FT</t>
  </si>
  <si>
    <t>13 986 151B</t>
  </si>
  <si>
    <t>Thermo Scientific</t>
  </si>
  <si>
    <t>REFRIGERATOR GP 20FT</t>
  </si>
  <si>
    <t>100 qubit HS assays</t>
  </si>
  <si>
    <t>Q32851</t>
  </si>
  <si>
    <t>11 651 121</t>
  </si>
  <si>
    <t>*</t>
  </si>
  <si>
    <t>Frigidaire  19.0 cu. ft. Freezerless Refrigerator, Stainless Steel  ENERGY STAR® FPRH19D7LF. Manual defrost</t>
  </si>
  <si>
    <t>6ul Qubit dye</t>
  </si>
  <si>
    <t>Not commercial grade?</t>
  </si>
  <si>
    <t>Upright freezer</t>
  </si>
  <si>
    <t>Isotemp -20 Freezer 20 cu ft (#13-986-148)</t>
  </si>
  <si>
    <t>ISOTEMP FMS FREEZER 20.6CF  (for flammables)</t>
  </si>
  <si>
    <t xml:space="preserve">8ul of each P1 adapter </t>
  </si>
  <si>
    <t>424ul P2 adapter</t>
  </si>
  <si>
    <t>19ul F primer</t>
  </si>
  <si>
    <t>17ul R primer</t>
  </si>
  <si>
    <t>8 x SIDE RACK 15-2 BX 4 DOOR</t>
  </si>
  <si>
    <t>1X TE buffer (but I guess we make this in house?)</t>
  </si>
  <si>
    <t>-4°, chest, not frost-free (Steve's advice)</t>
  </si>
  <si>
    <t>annealing buffer</t>
  </si>
  <si>
    <t>10x annealing buffer recipe - 50mL  initial final</t>
  </si>
  <si>
    <t>Tris-HCl 1M * 5mL 100mM * 50mL</t>
  </si>
  <si>
    <t>EDTA pH8 0.5M * 1mL 10mM*50mL</t>
  </si>
  <si>
    <t>NaCl 5M * 5mL 500mM*50mL</t>
  </si>
  <si>
    <t>ISOTEMP GP FREEZER 20.6CF</t>
  </si>
  <si>
    <t>13 986 148</t>
  </si>
  <si>
    <t>10X annealing buffer</t>
  </si>
  <si>
    <t>-80 freezer, storage racks, (240V?)</t>
  </si>
  <si>
    <t>Panasonic</t>
  </si>
  <si>
    <t>Panasonic Upright Model MDF-U76VC-PA w/ 24 freezer racks</t>
  </si>
  <si>
    <t>1X annealing buffer</t>
  </si>
  <si>
    <t>freezer, -80 110V U700 upright, Eppendorf</t>
  </si>
  <si>
    <t>50.6ul EcoRI (100000 U/mL)</t>
  </si>
  <si>
    <t>freezer, -80 alarm, Eppendorf</t>
  </si>
  <si>
    <t>Forma 8695 23L with 2 doors and battery backup</t>
  </si>
  <si>
    <t>U9280-RK20/PREM UPR U700 120V,60HZ/EA with racks</t>
  </si>
  <si>
    <t>Fits 480 2" boxes (25CF). 1600 watts (120V, 13 A). 15.9 kWh per day</t>
  </si>
  <si>
    <t>44" wide x 34.3" deep</t>
  </si>
  <si>
    <t>50.6ul PstI (100000 U/mL)</t>
  </si>
  <si>
    <t>U9270-0007/PREM.UPR, HEF,U570,120/60HZ</t>
  </si>
  <si>
    <t>magnets for Ampure cleanups plate</t>
  </si>
  <si>
    <t>12-Tube Magnetic Separation Rack</t>
  </si>
  <si>
    <t>S1509S</t>
  </si>
  <si>
    <t>magnets for Ampure cleanups tubes</t>
  </si>
  <si>
    <t>96-Well Microtiter Plate Magnetic Separation Rack</t>
  </si>
  <si>
    <t>Low energy use. Fits 400 boxes, 40.4" wide x 33.5" deep. 12.2 kwH per day</t>
  </si>
  <si>
    <t>Lauren will add a few racks</t>
  </si>
  <si>
    <t>U9270-0000/U570 PREMIUM FREEZER,20 CU FT</t>
  </si>
  <si>
    <t>S1511S</t>
  </si>
  <si>
    <t>Fits 400 boxes (20CF). 2000 watts (16.5A, 120V). 14.2 kwH per day</t>
  </si>
  <si>
    <t>U9260-0000/U410 PREMIUM FREEZER,14.4 CU FT</t>
  </si>
  <si>
    <t>636ul 10X ligation buffer</t>
  </si>
  <si>
    <t>Fits 240 boxes. 2000 watts (16.5A, 120V). 13 kWh per day</t>
  </si>
  <si>
    <t>P0625-1630/NBS TCA-3, TEMP MONITORING SY</t>
  </si>
  <si>
    <t>170ul ligase</t>
  </si>
  <si>
    <t>temp monitoring system</t>
  </si>
  <si>
    <t>17 CF 115V ULT W/RACKS</t>
  </si>
  <si>
    <t>IU1786ARAK</t>
  </si>
  <si>
    <t>4/21/2015, 7/23/2015</t>
  </si>
  <si>
    <t>Fits 320 2" boxes (17CF).</t>
  </si>
  <si>
    <t>33.3" wide x 38.9" deep</t>
  </si>
  <si>
    <t>23 CF</t>
  </si>
  <si>
    <t>Fits 400 boxes.</t>
  </si>
  <si>
    <t>40.8" wide x 38.9" deep</t>
  </si>
  <si>
    <t>76ul Phusion 5X buffer</t>
  </si>
  <si>
    <t>SmartVue alarm system through Charlene Glascock</t>
  </si>
  <si>
    <t>Phusion High Fidelity PCR kit 200 rxns</t>
  </si>
  <si>
    <t>~$1000</t>
  </si>
  <si>
    <t>Thermal cycler, gradient (2)</t>
  </si>
  <si>
    <t>Mastercycler pro gradient with control panel</t>
  </si>
  <si>
    <t>Mastercyler pro (slave)</t>
  </si>
  <si>
    <t>Mastercycler Nexus eco 110V/50-60Hz US</t>
  </si>
  <si>
    <t>1265ul Cutsmart buffer</t>
  </si>
  <si>
    <t>ADV MC Nexus gradient</t>
  </si>
  <si>
    <t>7.6ul dNTPs</t>
  </si>
  <si>
    <t>Santiago got + $500 credit + 10% credit</t>
  </si>
  <si>
    <t>AB</t>
  </si>
  <si>
    <t>Thermocycler, gradient, Eppendorf</t>
  </si>
  <si>
    <t>thermocycler, Eppendorf</t>
  </si>
  <si>
    <t>Bio-Rad</t>
  </si>
  <si>
    <t>C1000</t>
  </si>
  <si>
    <t>9.5ul MgCl2</t>
  </si>
  <si>
    <t>3.8ul Phusion (1U/50ul)</t>
  </si>
  <si>
    <t>2 2% agarose dye free gel cassettes (5 lanes each) - If you can’t order only a few of these, Malin is okay with me taking the ones in our lab and cleaning thoroughly</t>
  </si>
  <si>
    <t>Pippin Cassette 10 pack</t>
  </si>
  <si>
    <t>+ $810 for 1 year service</t>
  </si>
  <si>
    <t>S1000</t>
  </si>
  <si>
    <t>MASTERC. NEXUS GRADIENT/EA</t>
  </si>
  <si>
    <t>MASTERCYCLER NEXUS ECO/EA</t>
  </si>
  <si>
    <t>MC NXS GRAD + $500 ESHOP</t>
  </si>
  <si>
    <t>MASTERCYCLER NEXUS ECO</t>
  </si>
  <si>
    <t>ARKTIK THERMAL CYCLER BASE</t>
  </si>
  <si>
    <t>ARTIK 96-WELL SINGLE BLOCK</t>
  </si>
  <si>
    <t>electrophoresis dye free buffer</t>
  </si>
  <si>
    <t>marker L</t>
  </si>
  <si>
    <t>Pippin prep tape strips</t>
  </si>
  <si>
    <t>pH2O</t>
  </si>
  <si>
    <t>97062-792</t>
  </si>
  <si>
    <t>20 8-well strip tubes</t>
  </si>
  <si>
    <t>93001-120</t>
  </si>
  <si>
    <t>5 15mL Falcon tubes</t>
  </si>
  <si>
    <t>get from Kay</t>
  </si>
  <si>
    <t>Dry heat block, digital (Thermomixer?)</t>
  </si>
  <si>
    <t>DRY BATH DIGITAL 2 BLK PROMO w/ DRY BLOCK 1.5MLX20 TUBES</t>
  </si>
  <si>
    <t>NC0479452 &amp; 11 718 9Q</t>
  </si>
  <si>
    <t>6 Thin wall 0.5mL tubes</t>
  </si>
  <si>
    <t>10011-830</t>
  </si>
  <si>
    <t>50 O-ring tubes 0.5mL</t>
  </si>
  <si>
    <t>0.5mL o-ring tubes bag of 500</t>
  </si>
  <si>
    <t>Thermomixer</t>
  </si>
  <si>
    <t>Eppendorf Thermomixer w/ heat block</t>
  </si>
  <si>
    <t>5382000023/THERMOMIXER C</t>
  </si>
  <si>
    <t>Demo unit</t>
  </si>
  <si>
    <t>5360000038/SMARTBLOCK 1.5ML TUBES</t>
  </si>
  <si>
    <t>5306000006/SMARTBLOCK PCR 96 INCL LID</t>
  </si>
  <si>
    <t>*?</t>
  </si>
  <si>
    <t>Refrigerated centrifuge with plate rotor</t>
  </si>
  <si>
    <t>Eppendorf 5810R</t>
  </si>
  <si>
    <t>5804R 4X100 RTR 15&amp;50ML ADAP (refrigerated)</t>
  </si>
  <si>
    <t>Centrifuge, gigantic, Eppendorf</t>
  </si>
  <si>
    <t>5804R 4x250 RTR</t>
  </si>
  <si>
    <t>5804R 4x100 RTR</t>
  </si>
  <si>
    <t>5810R</t>
  </si>
  <si>
    <t>for higher g-forces needed in DNA extraction (MSG protocol). special price from VWR/Eppendorf ($250 off)</t>
  </si>
  <si>
    <t>Sorvall</t>
  </si>
  <si>
    <t>SORVST16RTC16/36PKG</t>
  </si>
  <si>
    <t>75 818 382</t>
  </si>
  <si>
    <t>a bit smaller than the 5810, but larger than the 5804</t>
  </si>
  <si>
    <t>PROMO M-20 ROTOR</t>
  </si>
  <si>
    <t>75 773 624</t>
  </si>
  <si>
    <t>swinging plate rotor</t>
  </si>
  <si>
    <t>Microcentrifuge</t>
  </si>
  <si>
    <t>Eppendorf 5424 with rotor</t>
  </si>
  <si>
    <t>05 403 92</t>
  </si>
  <si>
    <t>Centrifuge, Eppendorf</t>
  </si>
  <si>
    <t>Centrifuge, little with refridgeration, Eppendorf</t>
  </si>
  <si>
    <t>5424 w/ 24x rotor</t>
  </si>
  <si>
    <t>ACCUSPIN MICRO 17 W STD RTR</t>
  </si>
  <si>
    <t>13 100 675</t>
  </si>
  <si>
    <t>Personal centrifuge</t>
  </si>
  <si>
    <t>Corning</t>
  </si>
  <si>
    <t>MINI MICROCENTRIFUGE,120V (Corning)</t>
  </si>
  <si>
    <t>NC9033642</t>
  </si>
  <si>
    <t>8 Samples Microcentrifuge, 120 V (Galaxy Ministar)</t>
  </si>
  <si>
    <t>FB MINICENTRIFUGE 110/120</t>
  </si>
  <si>
    <t>12 006 901</t>
  </si>
  <si>
    <t>Pippin Prep</t>
  </si>
  <si>
    <t>Sage Science</t>
  </si>
  <si>
    <t>PIP0001</t>
  </si>
  <si>
    <t>Rosemary O'Brien is rep</t>
  </si>
  <si>
    <t>Precision balance (0.01g readability, 800g+ capacity)</t>
  </si>
  <si>
    <t>Mettler</t>
  </si>
  <si>
    <t>Mettler Excellence Plus Level, XP Series Precision Balances</t>
  </si>
  <si>
    <t>PRECISION BAL 820 G X 0.01 G</t>
  </si>
  <si>
    <t>01 910 226</t>
  </si>
  <si>
    <t>Sartorious</t>
  </si>
  <si>
    <t>Balance (quote 3228-7348-26) toploading Sartorius Model QUINTX612-1S 610g and 0.1 readability</t>
  </si>
  <si>
    <t>14 557 414</t>
  </si>
  <si>
    <t>Mettler-Toledo</t>
  </si>
  <si>
    <t>97035-672</t>
  </si>
  <si>
    <t>ME403E 420G X 0.001G</t>
  </si>
  <si>
    <t>01 912 406</t>
  </si>
  <si>
    <t>Asked for higher capacity and 0.01 readability</t>
  </si>
  <si>
    <t>ME1002E 1200G X 0.01G</t>
  </si>
  <si>
    <t>Dissecting microscope with cold light source</t>
  </si>
  <si>
    <t>Leica</t>
  </si>
  <si>
    <t>Leica S8 APO B-Stand Package, Leica KL 1500 LCD Package with dual gooseneck fiber optic bundle, Micrometer Disc for Leica StereoZoom Microscopes.</t>
  </si>
  <si>
    <t>Wait for now: use Carl's</t>
  </si>
  <si>
    <t>Leica M80 stereomicroscope system for dissection</t>
  </si>
  <si>
    <t>JH Technologies</t>
  </si>
  <si>
    <t>Zeiss</t>
  </si>
  <si>
    <t>STEMI 2000 C KIT W/ KL 200 LED</t>
  </si>
  <si>
    <t>12 070 284</t>
  </si>
  <si>
    <t>8-channel pipettors (10uL) (2)</t>
  </si>
  <si>
    <t>2 sets of 10, 100, 1000 ul (Biohit) (pre- and post-PCR)</t>
  </si>
  <si>
    <t>Eppendorf RESEARCH PLUS 8-CH 0.5-10UL</t>
  </si>
  <si>
    <t>RESEARCH PLUS TRD .5-10UL 8CH</t>
  </si>
  <si>
    <t>bundled with free thermomixer</t>
  </si>
  <si>
    <t>PLUS TI 12-CH 0.5-10UL</t>
  </si>
  <si>
    <t>TI13690050</t>
  </si>
  <si>
    <t>Gilson</t>
  </si>
  <si>
    <t>PIPETMAN L P8X10L</t>
  </si>
  <si>
    <t>FA10013G</t>
  </si>
  <si>
    <t>FISHERBRAND ELITE 8-CH 1-10_L</t>
  </si>
  <si>
    <t>8-channel pipettors (100uL) (2)</t>
  </si>
  <si>
    <t>Eppendorf RESEARCH PLUS 8-CH 10-100UL</t>
  </si>
  <si>
    <t>RESEARCH PLUS TRD 10-100UL 8CH</t>
  </si>
  <si>
    <t>PLUS TI 12-CH 10-100UL</t>
  </si>
  <si>
    <t>TI13690051</t>
  </si>
  <si>
    <t>PIPETMAN L P8X200L</t>
  </si>
  <si>
    <t>FA10011G</t>
  </si>
  <si>
    <t>FISHERBRAND ELITE 8-CH 10-100</t>
  </si>
  <si>
    <t>8-channel pipettors (300uL)</t>
  </si>
  <si>
    <t>RESEARCH PLUS TRD 30-300UL 8CH</t>
  </si>
  <si>
    <t>PLUS TI 8-CH 30-300UL</t>
  </si>
  <si>
    <t>TI13690049</t>
  </si>
  <si>
    <t>PIPETMAN L P8X300L</t>
  </si>
  <si>
    <t>FA10015G</t>
  </si>
  <si>
    <t>FISHERBRAND ELITE 8-CH 30-300_</t>
  </si>
  <si>
    <t>Pipettes 2.5mL (3)</t>
  </si>
  <si>
    <t>2 Pre and 2 post PCR (sets of 6 plus racks, Biohit)</t>
  </si>
  <si>
    <t>Eppendorf RESEARCH PLUS 2 4PK (2.5, 20, 200, 1000)</t>
  </si>
  <si>
    <t>Rainin Pipet-Light XLS STD (P10, P100, P200, P1000)</t>
  </si>
  <si>
    <t>Eppendorf Pipete-Lite (2, 10, 20, 100, 200, 1000) 2.5ul</t>
  </si>
  <si>
    <t>RESEARCH PLUS 4-PACK/EA (2.5, 10, 100, 1000)</t>
  </si>
  <si>
    <t>RESEARCH PLUS TRADE .1-2.5UL</t>
  </si>
  <si>
    <t>PLUS TI 0.1-2.5UL</t>
  </si>
  <si>
    <t>TI13690025</t>
  </si>
  <si>
    <t>PIPETMAN MICRO VOLUME STARTER (P2, P10, P100)</t>
  </si>
  <si>
    <t>F167500G</t>
  </si>
  <si>
    <t>FISHERBRAND ELITE 0.2-2_L</t>
  </si>
  <si>
    <t>Pipettes 10mL (4)</t>
  </si>
  <si>
    <t>Eppendorf Pipete-Lite (2, 10, 20, 100, 200, 1000) 10ul</t>
  </si>
  <si>
    <t>one free with 5424</t>
  </si>
  <si>
    <t>PLUS TI 0.5-10UL</t>
  </si>
  <si>
    <t>TI13690026</t>
  </si>
  <si>
    <t>FISHERBRAND ELITE 1-10_L</t>
  </si>
  <si>
    <t>Pipettes 100mL (4)</t>
  </si>
  <si>
    <t>Eppendorf Pipete-Lite (2, 10, 20, 100, 200, 1000) 100ul</t>
  </si>
  <si>
    <t>PLUS TI 10-100UL</t>
  </si>
  <si>
    <t>TI13690029</t>
  </si>
  <si>
    <t>FISHERBRAND ELITE 10-100_L</t>
  </si>
  <si>
    <t>Pipettes 1000mL (3)</t>
  </si>
  <si>
    <t>PLUS TI 100-1000UL</t>
  </si>
  <si>
    <t>TI13690032</t>
  </si>
  <si>
    <t>FISHERBRAND ELITE 100-1000_L</t>
  </si>
  <si>
    <t>Serological pipette</t>
  </si>
  <si>
    <t>Drummond</t>
  </si>
  <si>
    <t>PipetAid</t>
  </si>
  <si>
    <t>EASYPET 3</t>
  </si>
  <si>
    <t>free with Eppendorf centrifuge?</t>
  </si>
  <si>
    <t>FB PLUS MOTOR PIPET FIL BLUE</t>
  </si>
  <si>
    <t>03 692 164</t>
  </si>
  <si>
    <t>Qubit Fluorometer</t>
  </si>
  <si>
    <t>Quantification of nucleic acids, plus assay kits</t>
  </si>
  <si>
    <t>Invitrogen</t>
  </si>
  <si>
    <t>Quote requested 9/29/2013</t>
  </si>
  <si>
    <t>ThermoScientific</t>
  </si>
  <si>
    <t>???</t>
  </si>
  <si>
    <t>Qubit starter kit</t>
  </si>
  <si>
    <t>Q32871</t>
  </si>
  <si>
    <t>Qubit 2.0 starter kit</t>
  </si>
  <si>
    <t>Nanodrop spectrophotometer</t>
  </si>
  <si>
    <t>Nanodrop</t>
  </si>
  <si>
    <t>Nanodrop Lite with printer</t>
  </si>
  <si>
    <t>ND-NDL-PR-US-CA</t>
  </si>
  <si>
    <t>NANODROP 2000 W. LAPTOP PC</t>
  </si>
  <si>
    <t>13 400 504</t>
  </si>
  <si>
    <t>Implen</t>
  </si>
  <si>
    <t>NanoPhotometer</t>
  </si>
  <si>
    <t>Reviewed well online</t>
  </si>
  <si>
    <t>Biospectrometer Fluoresence + G1 cuvette</t>
  </si>
  <si>
    <t>Bioanalyzer</t>
  </si>
  <si>
    <t>Use the one in Foran</t>
  </si>
  <si>
    <t>pH meter</t>
  </si>
  <si>
    <t>ph Meter kit</t>
  </si>
  <si>
    <t>STAR A111 PH BT KITSTAR A111</t>
  </si>
  <si>
    <t>VWR® sympHony® Analysis Packages, pH Meter General Purpose Pkg Kit includes:B10P Benchtop pH Meter (89231-662); ATC Non-Refillable pH Electrode (89231-600); Probe Stand, with Stirrer (89236-594); pH 4.01, 7.00, and 10.01 Singlet Buffer Solutions (89236-548, 89236-550, 89236-552)</t>
  </si>
  <si>
    <t>89236-560</t>
  </si>
  <si>
    <t>89231-664</t>
  </si>
  <si>
    <t>Fisher Scientific</t>
  </si>
  <si>
    <t>ACCUMET AB150 PH KIT</t>
  </si>
  <si>
    <t>13 636 AB150</t>
  </si>
  <si>
    <t>Ampure Magnet</t>
  </si>
  <si>
    <t>Cleanup and biotin/size selection</t>
  </si>
  <si>
    <t>BeckmanCoulter</t>
  </si>
  <si>
    <t>Magnetic Stand-96</t>
  </si>
  <si>
    <t>AM1002 7</t>
  </si>
  <si>
    <t>?</t>
  </si>
  <si>
    <t>Recommended by Tom McManus. Get free with magMax trial</t>
  </si>
  <si>
    <t>DynaMag-96 Side Magnet</t>
  </si>
  <si>
    <t>12331D</t>
  </si>
  <si>
    <t>Agencourt</t>
  </si>
  <si>
    <t>SPRIPlate 96 Ring Super Magnet Plate</t>
  </si>
  <si>
    <t>A32782</t>
  </si>
  <si>
    <t>Gel box narrow (w/ combs)</t>
  </si>
  <si>
    <t>GEL SYSTEM MINI 7CMX8CM</t>
  </si>
  <si>
    <t>09 528 110</t>
  </si>
  <si>
    <t>MINIGEL SYSTEM 14.4 X 10.2 CM plus  2EA EC300XL POWER SUPPLY</t>
  </si>
  <si>
    <t>09 528 165</t>
  </si>
  <si>
    <t>Owl, mini  gel chamber 12cm x 14cm</t>
  </si>
  <si>
    <t>09-528-110B</t>
  </si>
  <si>
    <t>vertical gel combs</t>
  </si>
  <si>
    <t>03-500-169</t>
  </si>
  <si>
    <t>CBS</t>
  </si>
  <si>
    <t>Mini Horizontal Productivity Electrophoresis system, 7.5cm (w) x 10cm (l).</t>
  </si>
  <si>
    <t>95045-040</t>
  </si>
  <si>
    <t>up to 32 samples</t>
  </si>
  <si>
    <t>MINI HORIZONTAL SYS 7X10CM</t>
  </si>
  <si>
    <t>16-24 samples</t>
  </si>
  <si>
    <t>Gel box wide (w/ combs) for 96 samples</t>
  </si>
  <si>
    <t>Owl horizonal gel chamber (mega size 23x40cm; 200 samples in gel)</t>
  </si>
  <si>
    <t>OW-A31</t>
  </si>
  <si>
    <t>wide combs for 2b-RAD (60ul)</t>
  </si>
  <si>
    <t>MINI-FAST SUB SYSTEM 2 SLOTS 17X14X8CM</t>
  </si>
  <si>
    <t>CBMGU-303</t>
  </si>
  <si>
    <t>up to 40 samples</t>
  </si>
  <si>
    <t>SUB/HORIZ GEL KIT26X14CM US/CE</t>
  </si>
  <si>
    <t>up to 510 samples</t>
  </si>
  <si>
    <t>SUB/HORIZ GEL KIT26X26CM US/CE</t>
  </si>
  <si>
    <t>CBSGU-2626T-02</t>
  </si>
  <si>
    <t>HIGH-THROUGHPUT GEL ELCT 26X40</t>
  </si>
  <si>
    <t>CBSGU-2640T-02</t>
  </si>
  <si>
    <t>FisherBiotech</t>
  </si>
  <si>
    <t>MIDI-HORIZONTAL SYS 13X16CM</t>
  </si>
  <si>
    <t>FB SB 1316</t>
  </si>
  <si>
    <t>32-48 samples</t>
  </si>
  <si>
    <t>HORIZ SUB GEL SYSTEM 20X25CM</t>
  </si>
  <si>
    <t>FB SB 2025</t>
  </si>
  <si>
    <t>Gel box power supply for 2 gel boxes</t>
  </si>
  <si>
    <t>power supply electrophoresis with timer</t>
  </si>
  <si>
    <t>VWR POWER SUPPLY 500MA US 300V</t>
  </si>
  <si>
    <t>500mA and only a tiny bit more expensive</t>
  </si>
  <si>
    <t>POWER SUPPLY 400MA 300V</t>
  </si>
  <si>
    <t>FB300Q</t>
  </si>
  <si>
    <t>UV transilluminator</t>
  </si>
  <si>
    <t>FOTO/UV 26</t>
  </si>
  <si>
    <t>Fotodyne</t>
  </si>
  <si>
    <t>Try the one from Karl</t>
  </si>
  <si>
    <t>TRANSILLUMINATOR ULTRAVIOLET</t>
  </si>
  <si>
    <t>FBTI88AQ</t>
  </si>
  <si>
    <t>UV blocking cover for Bio-Rad Geldoc 2000 (14"x11" (35.5x27.9cm) outer, glass is 10"x10.5" (25.4x26.7cm))</t>
  </si>
  <si>
    <t>UviCover UV Blocking Cover for FOTO/UV 26</t>
  </si>
  <si>
    <t>COVER UV BLOCKING 33x23.5cm</t>
  </si>
  <si>
    <t>89031-346</t>
  </si>
  <si>
    <t>Too narrow</t>
  </si>
  <si>
    <t>HINGED UV-BLOCKING COVER TE</t>
  </si>
  <si>
    <t>11 992 152</t>
  </si>
  <si>
    <t>UV face shield</t>
  </si>
  <si>
    <t>FACE SHIELD PC/PE NALGENE</t>
  </si>
  <si>
    <t>33007-107</t>
  </si>
  <si>
    <t>FB FACESHIELD HEADGEAR COMBOF</t>
  </si>
  <si>
    <t>Gel imaging system</t>
  </si>
  <si>
    <t>UVP</t>
  </si>
  <si>
    <t>UVP BioDoc-It</t>
  </si>
  <si>
    <t>Geldoc</t>
  </si>
  <si>
    <t>Geldoc XR+ imagelab (and computer PC labtop) w/ Xcitablue screen for SYBR Green</t>
  </si>
  <si>
    <t>Biorad</t>
  </si>
  <si>
    <t>IMAGING SYSTEM PHOTODOC-IT 50</t>
  </si>
  <si>
    <t>UVP97027404</t>
  </si>
  <si>
    <t>Darkroom Hood GL-1001</t>
  </si>
  <si>
    <t>NC9941822</t>
  </si>
  <si>
    <t>For homemade geldoc, maybe ~$1000 total (with camera)</t>
  </si>
  <si>
    <t>VWR PHOTO IMAGER UV-20 115V</t>
  </si>
  <si>
    <t>89131-416</t>
  </si>
  <si>
    <t>Canon dSLR camera controlled from a computer, Tiffen Orange 16 or 21 glass filter</t>
  </si>
  <si>
    <t>B&amp;H Photo</t>
  </si>
  <si>
    <t>Vortexers</t>
  </si>
  <si>
    <t>Reagent mixing</t>
  </si>
  <si>
    <t>VORTEX MIXER-STANDARD 120V</t>
  </si>
  <si>
    <t>Fisher vortex genie 2</t>
  </si>
  <si>
    <t>02-215-365</t>
  </si>
  <si>
    <t>58816-121</t>
  </si>
  <si>
    <t>Heated stir plate (up to 500mL)</t>
  </si>
  <si>
    <t>Heated</t>
  </si>
  <si>
    <t>Various</t>
  </si>
  <si>
    <t>STIRRING HOT PLATE CIMAREC</t>
  </si>
  <si>
    <t>#ERROR!:parse</t>
  </si>
  <si>
    <t>97042-634</t>
  </si>
  <si>
    <t>STIR HOTPLATE 7X7 CERM 120VST</t>
  </si>
  <si>
    <t>Graduated cylinders (10 to 1000mL)</t>
  </si>
  <si>
    <t>Set of 3</t>
  </si>
  <si>
    <t>PYREX® Assortment Pack of Single Metric Scale Graduated Cylinders, TD (Corning)</t>
  </si>
  <si>
    <t>10462833</t>
  </si>
  <si>
    <t>65000-000</t>
  </si>
  <si>
    <t>65000-002</t>
  </si>
  <si>
    <t>65000-004</t>
  </si>
  <si>
    <t>65000-006</t>
  </si>
  <si>
    <t>65000-008</t>
  </si>
  <si>
    <t>65000-010</t>
  </si>
  <si>
    <t>65000-012</t>
  </si>
  <si>
    <t>10ml</t>
  </si>
  <si>
    <t>25ml</t>
  </si>
  <si>
    <t>50ml</t>
  </si>
  <si>
    <t>100ml</t>
  </si>
  <si>
    <t>250ml</t>
  </si>
  <si>
    <t>500ml</t>
  </si>
  <si>
    <t>1000ml</t>
  </si>
  <si>
    <t>Erhlenmeyer flasks (5 ea of 250, 500mL)</t>
  </si>
  <si>
    <t>3 ea</t>
  </si>
  <si>
    <t>PYREX® Narrow Mouth Erlenmeyer Flask Assortment Pack with Heavy Duty Rim</t>
  </si>
  <si>
    <t>S63267</t>
  </si>
  <si>
    <t>89000-362</t>
  </si>
  <si>
    <t>89000-366</t>
  </si>
  <si>
    <t>250ml 12pk</t>
  </si>
  <si>
    <t>500ml 6pk</t>
  </si>
  <si>
    <t>Beaker (5 ea of 100, 500mL)</t>
  </si>
  <si>
    <t>PYREX® Assortment Pack of Griffin Low Form Beakers, Graduated</t>
  </si>
  <si>
    <t>NC9273442</t>
  </si>
  <si>
    <t>BEAKER GLASS 50ML 12CS</t>
  </si>
  <si>
    <t>BEAKER GLASS 100ML 12CS</t>
  </si>
  <si>
    <t>BEAKER GLASS 600ML 6CS</t>
  </si>
  <si>
    <t>89000-198</t>
  </si>
  <si>
    <t>89000-208</t>
  </si>
  <si>
    <t>50ml griffin low form 12pk</t>
  </si>
  <si>
    <t>100ml 12pk</t>
  </si>
  <si>
    <t>600ml 6pk</t>
  </si>
  <si>
    <t>Glass storage bottles (5 ea of 250, 500mL)</t>
  </si>
  <si>
    <t>PYREX® 250mL Round Media Storage Bottles, with GL45 Screw Cap</t>
  </si>
  <si>
    <t>064141B</t>
  </si>
  <si>
    <t>$15.70 on Amazon.com</t>
  </si>
  <si>
    <t>89000-236</t>
  </si>
  <si>
    <t>89000-238</t>
  </si>
  <si>
    <t>250ml 10pk</t>
  </si>
  <si>
    <t>500ml 10pk</t>
  </si>
  <si>
    <t>Carboy (10L) with spigot</t>
  </si>
  <si>
    <t>Carboy with spigot 6.5Gal</t>
  </si>
  <si>
    <t>02-963B</t>
  </si>
  <si>
    <t>one for Diane. square, so may fit better</t>
  </si>
  <si>
    <t>CARBOY W/SPIG LDPE 2.5 GAL</t>
  </si>
  <si>
    <t>02 963A</t>
  </si>
  <si>
    <t>Squeeze bottles unlabeled (6)</t>
  </si>
  <si>
    <t>SAFETY WASH BOTTLE ETHANOLSAF</t>
  </si>
  <si>
    <t>S317323</t>
  </si>
  <si>
    <t>FB EASY SQUZE BTL UNIVRSL 6/CS</t>
  </si>
  <si>
    <t>Spray bottles for ethanol (~500mL) x 3</t>
  </si>
  <si>
    <t>23609-182</t>
  </si>
  <si>
    <t>spray bottle 6pk</t>
  </si>
  <si>
    <t>Falcon tube racks 15 mL (5 racks)</t>
  </si>
  <si>
    <t>Falcon tube rack (pack of 5)</t>
  </si>
  <si>
    <t>03-448-17</t>
  </si>
  <si>
    <t>wire rack</t>
  </si>
  <si>
    <t>Falcon tube racks 50 mL (5 racks)</t>
  </si>
  <si>
    <t>FOUR-WY MCRTB RCKS ASSRT 5/PK</t>
  </si>
  <si>
    <t>03 448 17</t>
  </si>
  <si>
    <t>Microcentrifuge tube (1.5mL) racks (20)</t>
  </si>
  <si>
    <t>RACK MICRO TB FLUOR ASST 5/PK  (20 racks?)</t>
  </si>
  <si>
    <t>05 541 25</t>
  </si>
  <si>
    <t>1.5mL microcentrifuge tubes</t>
  </si>
  <si>
    <t>20170-038</t>
  </si>
  <si>
    <t>80-place microtube rack</t>
  </si>
  <si>
    <t>30128-278</t>
  </si>
  <si>
    <t>microtube racks with lids (96 well, pack of 6)</t>
  </si>
  <si>
    <t>470148-892</t>
  </si>
  <si>
    <t>five-pack</t>
  </si>
  <si>
    <t>30128-330</t>
  </si>
  <si>
    <t>wide block for 1.5mL tubes</t>
  </si>
  <si>
    <t>TB RACK MCR 96WELL BL 5RCK/PK</t>
  </si>
  <si>
    <t>05 541 45</t>
  </si>
  <si>
    <t>96-well plate racks (20)</t>
  </si>
  <si>
    <t>TB RACK FLR 96WELL AST 5RCK/PK</t>
  </si>
  <si>
    <t>05 541 38</t>
  </si>
  <si>
    <t>RACK 96WL PRP W/CVR FL-AS 5/PK</t>
  </si>
  <si>
    <t>05 541 55</t>
  </si>
  <si>
    <t>96-place double sided microtube rack (set of 5)</t>
  </si>
  <si>
    <t>89230-706</t>
  </si>
  <si>
    <t>PCR tube storage rack with lids (case of 25)</t>
  </si>
  <si>
    <t>80086-074</t>
  </si>
  <si>
    <t>83009-690</t>
  </si>
  <si>
    <t>5 each</t>
  </si>
  <si>
    <t>96 PCR RK .2ML TB FLUR BLU 5PK, 20pk per case</t>
  </si>
  <si>
    <t>20 racks</t>
  </si>
  <si>
    <t>Lab cart</t>
  </si>
  <si>
    <t>Uline?</t>
  </si>
  <si>
    <t>FISHERBRAND SS PAN CART</t>
  </si>
  <si>
    <t>15 252 400</t>
  </si>
  <si>
    <t>Ice bucket (2)</t>
  </si>
  <si>
    <t>ice buckets with lid 4L green</t>
  </si>
  <si>
    <t>89410-140</t>
  </si>
  <si>
    <t>FISHERBRAND ICE BUCKET BLUE</t>
  </si>
  <si>
    <t>02 591 45</t>
  </si>
  <si>
    <t>Brushes for cleaning (2)</t>
  </si>
  <si>
    <t>BRUSH TEST TUBE 13/8X4IN 12/PK</t>
  </si>
  <si>
    <t>Freezer gloves, large (2 pr)</t>
  </si>
  <si>
    <t>Freezer gloves, large</t>
  </si>
  <si>
    <t>19822730</t>
  </si>
  <si>
    <t>GLV TEMPTEC NEOP 14INSZ9 1PR</t>
  </si>
  <si>
    <t>19 048 517N</t>
  </si>
  <si>
    <t>Tape dispenser</t>
  </si>
  <si>
    <t>15-912</t>
  </si>
  <si>
    <t>89097-896</t>
  </si>
  <si>
    <t>DISPENSR MULTI TAP 500IN METAL</t>
  </si>
  <si>
    <t>Thermometer for freezer</t>
  </si>
  <si>
    <t>Thermometer (general lab)</t>
  </si>
  <si>
    <t>Fine-tip tweezers (4)</t>
  </si>
  <si>
    <t>FORCEP MICRDSCTNG FINE 5IN</t>
  </si>
  <si>
    <t>FINE POINT ITALIAN TWEEZER</t>
  </si>
  <si>
    <t>17 456 056</t>
  </si>
  <si>
    <t>Scissors (4) for fin clips</t>
  </si>
  <si>
    <t>Scalpel (2)</t>
  </si>
  <si>
    <t>SCALPEL HNDL STD SRGN 3IN SS</t>
  </si>
  <si>
    <t>SCALPEL BLDS SURGEON STD 12/PK</t>
  </si>
  <si>
    <t>Scoopula (5)</t>
  </si>
  <si>
    <t>Scoopula 6/pack</t>
  </si>
  <si>
    <t>470125-222</t>
  </si>
  <si>
    <t>back-ordered until March</t>
  </si>
  <si>
    <t>FISHERBRAND SCOOPULA SS 6/PK</t>
  </si>
  <si>
    <t>Lab timers (small, 6)</t>
  </si>
  <si>
    <t>62344-641</t>
  </si>
  <si>
    <t>MULTI-COLORED TRAC TIMER</t>
  </si>
  <si>
    <t>Whiteboard, small for PCR machines</t>
  </si>
  <si>
    <t>Magnetic dry erase board 3' x 2'</t>
  </si>
  <si>
    <t>OfficeMax</t>
  </si>
  <si>
    <t>J4OM0.083</t>
  </si>
  <si>
    <t>DRY-ERASE BOARD 24 X 36DRY-ER</t>
  </si>
  <si>
    <t>Plate roller</t>
  </si>
  <si>
    <t>SUBTOTAL EQUIPMENT</t>
  </si>
  <si>
    <t>Falcon tubes 15ml</t>
  </si>
  <si>
    <t>Nunc 15ml Conical tubes racked</t>
  </si>
  <si>
    <t>12-565-269</t>
  </si>
  <si>
    <t>15mL 500pk</t>
  </si>
  <si>
    <t>Falcon tubes 50 mL</t>
  </si>
  <si>
    <t>50mL 500pk</t>
  </si>
  <si>
    <t>Strip tubes RNase/DNase free</t>
  </si>
  <si>
    <t>Strip PCR tubes and caps 0.2mL (pack of 125)</t>
  </si>
  <si>
    <t>20170-000</t>
  </si>
  <si>
    <t>0.2 ML 8-STRIP PCR TUBES+CAPS (125)</t>
  </si>
  <si>
    <t>AM12230</t>
  </si>
  <si>
    <t>VWR® PCR 12-Well Tube Strips and Caps - Tube Strip with Separate Bubble Cap Strip</t>
  </si>
  <si>
    <t>53509-306</t>
  </si>
  <si>
    <t>only pack of 80</t>
  </si>
  <si>
    <t>82006-606</t>
  </si>
  <si>
    <t>pack of 125</t>
  </si>
  <si>
    <t>8-well tubes 125pk</t>
  </si>
  <si>
    <t>20170-004</t>
  </si>
  <si>
    <t>8-well caps 125pk</t>
  </si>
  <si>
    <t>PCR8STRP TUBE CAP NAT 250CSPC</t>
  </si>
  <si>
    <t>96-well plates, RNase/DNase free (100+)</t>
  </si>
  <si>
    <t>96 well PCR plates semi-skirted</t>
  </si>
  <si>
    <t>89126-691</t>
  </si>
  <si>
    <t>Multiplate™ Low-Profile 96-Well Unskirted PCR Plates</t>
  </si>
  <si>
    <t>MLL-9601</t>
  </si>
  <si>
    <t>$400 free with thermocyclers</t>
  </si>
  <si>
    <t>pack of 100</t>
  </si>
  <si>
    <t>.2ML RKN PT PP N-SKRT NAT 25PK</t>
  </si>
  <si>
    <t>pack of 25</t>
  </si>
  <si>
    <t>Bioexpress?</t>
  </si>
  <si>
    <t>1.5mL microcentrifuge tubes, low-bind, RNAse/DNase free (1000+)</t>
  </si>
  <si>
    <t>GeneMate</t>
  </si>
  <si>
    <t>TUBE MICROFUGE  1.7 ML pk500</t>
  </si>
  <si>
    <t>S-175680137P</t>
  </si>
  <si>
    <t>20170-650</t>
  </si>
  <si>
    <t>pack of 250</t>
  </si>
  <si>
    <t>MICRO CENT TUBE 1.7ML 500/CS</t>
  </si>
  <si>
    <t>Pipette tips (nonsterile)</t>
  </si>
  <si>
    <t>Tips, 10ul Reload (Case)</t>
  </si>
  <si>
    <t>02 707 469</t>
  </si>
  <si>
    <t>Tips, 200ul reload (Case)</t>
  </si>
  <si>
    <t>02 707 417</t>
  </si>
  <si>
    <t>Tips, 1250ul racked (Case)</t>
  </si>
  <si>
    <t>02 707 401</t>
  </si>
  <si>
    <t>89096-718</t>
  </si>
  <si>
    <t>pack of 1248</t>
  </si>
  <si>
    <t>VWR TIP YEL EPP 10-100UL PK960</t>
  </si>
  <si>
    <t>pack of 960</t>
  </si>
  <si>
    <t>pack of 480</t>
  </si>
  <si>
    <t>pack of 576</t>
  </si>
  <si>
    <t>0.1-10UL MICRONANO 2.5UL 960PK</t>
  </si>
  <si>
    <t>02 707 147</t>
  </si>
  <si>
    <t>10UL TIP RACK 960/PK</t>
  </si>
  <si>
    <t>200UL TIP RACK 960/PK</t>
  </si>
  <si>
    <t>02 707 418</t>
  </si>
  <si>
    <t>1250UL TIP RACK 960/PK</t>
  </si>
  <si>
    <t>Pipette tips (sterile, filter tip)</t>
  </si>
  <si>
    <t>Tips, 200ul filter (Case), sterile</t>
  </si>
  <si>
    <t>02 707 430</t>
  </si>
  <si>
    <t>Tips, 10ul filter (Case), sterile</t>
  </si>
  <si>
    <t>02 707 442</t>
  </si>
  <si>
    <t>Tips, 200ul racked (Case), sterile</t>
  </si>
  <si>
    <t>02 707 416</t>
  </si>
  <si>
    <t>Tips, 10ul racked (Case), sterile</t>
  </si>
  <si>
    <t>02 707 441</t>
  </si>
  <si>
    <t>BD/FALCON</t>
  </si>
  <si>
    <t>PIPET STERILE BULK 1 - 1/10</t>
  </si>
  <si>
    <t>S-175680096P</t>
  </si>
  <si>
    <t>unclear what this is</t>
  </si>
  <si>
    <t>VWR TIP AEROSOL .1-10UL PK960</t>
  </si>
  <si>
    <t>46620-328</t>
  </si>
  <si>
    <t>VWR TIP AERO HR 100UL PK960</t>
  </si>
  <si>
    <t>89004-374</t>
  </si>
  <si>
    <t>VWR TIP AEROSL 1000UL ST PK576</t>
  </si>
  <si>
    <t>16466-008</t>
  </si>
  <si>
    <t>VWR TIP AEROL 1-300UL ST PK576</t>
  </si>
  <si>
    <t>5ULNANOTIP RL FILST GRD 960/PK</t>
  </si>
  <si>
    <t>10ULTIP RL FILST GRD 960/PK10U</t>
  </si>
  <si>
    <t>20ULUNIVTIP RL FILST BEV 960PK</t>
  </si>
  <si>
    <t>02 707 476</t>
  </si>
  <si>
    <t>100UL TIP RL FILST BEV 960/PK1</t>
  </si>
  <si>
    <t>1ML XLTIP RL FILST GRAD 560/PK</t>
  </si>
  <si>
    <t>Serological pipettes, sterile, individually-wrapped, filter-tip</t>
  </si>
  <si>
    <t>case of 200</t>
  </si>
  <si>
    <t>PIPET STER 10ML(0.1GRAD)200/CS</t>
  </si>
  <si>
    <t>F Primer P1 APCL working</t>
  </si>
  <si>
    <t>PIPET STER 25ML(0.08GRAD)200/C</t>
  </si>
  <si>
    <t>Kimwipes (case)</t>
  </si>
  <si>
    <t>CLEANING TISH 4 X8 280/PK</t>
  </si>
  <si>
    <t>S47299</t>
  </si>
  <si>
    <t>Kimwipes, Small (case)</t>
  </si>
  <si>
    <t>06-666-A</t>
  </si>
  <si>
    <t>case of 16800</t>
  </si>
  <si>
    <t>FB WIPERS RECYCLED 1 PLY SMALL</t>
  </si>
  <si>
    <t>Gloves</t>
  </si>
  <si>
    <t>HIGH FIVE</t>
  </si>
  <si>
    <t>GLOVES NITRILE POWDER FREE S</t>
  </si>
  <si>
    <t>S-175030011P</t>
  </si>
  <si>
    <t>box of 100?</t>
  </si>
  <si>
    <t>GLOVES NITRILE POWDER FREE M</t>
  </si>
  <si>
    <t>S-175030012P</t>
  </si>
  <si>
    <t>GLOVES NITRILE POWDER FREE L</t>
  </si>
  <si>
    <t>S-175030013P</t>
  </si>
  <si>
    <t>GLOVES NITRILE POWDER FREE XL</t>
  </si>
  <si>
    <t>S-175030014P</t>
  </si>
  <si>
    <t>GLOVES LATEX POWDER FREE S</t>
  </si>
  <si>
    <t>S-175030010P</t>
  </si>
  <si>
    <t>GLOVES LATEX POWDER FREE M</t>
  </si>
  <si>
    <t>S-175030009P</t>
  </si>
  <si>
    <t>GLOVES LATEX POWDER FREE L</t>
  </si>
  <si>
    <t>S-175030008P</t>
  </si>
  <si>
    <t>40101-344</t>
  </si>
  <si>
    <t>F Primer stock</t>
  </si>
  <si>
    <t>40101-346</t>
  </si>
  <si>
    <t>40101-348</t>
  </si>
  <si>
    <t>414004-429</t>
  </si>
  <si>
    <t>414004-430</t>
  </si>
  <si>
    <t>414004-431</t>
  </si>
  <si>
    <t>FB NITRILE GLV PF LF S 100/PK</t>
  </si>
  <si>
    <t>R Primer stock - each</t>
  </si>
  <si>
    <t>case of 1000</t>
  </si>
  <si>
    <t>FB NITRILE GLV PF LF M 100/PK</t>
  </si>
  <si>
    <t>FB NITRILE GLV PF LF L 100/PK</t>
  </si>
  <si>
    <t>latex?</t>
  </si>
  <si>
    <t>Multichannel pipette troughs</t>
  </si>
  <si>
    <t>RESERVOIR 100ML BULK 200/CS</t>
  </si>
  <si>
    <t>Parafilm</t>
  </si>
  <si>
    <t>52858-000</t>
  </si>
  <si>
    <t>PARAFILM M 4IN X 125 FT</t>
  </si>
  <si>
    <t>Razor blades</t>
  </si>
  <si>
    <t>BLADES SINGLE EDGE 100/PK</t>
  </si>
  <si>
    <t>Gel bench pads</t>
  </si>
  <si>
    <t>LINER ABS PP BACK 20 X50 6/CS</t>
  </si>
  <si>
    <t>S98128</t>
  </si>
  <si>
    <t>6 boxes of 20" x 50 ft (a LOT)</t>
  </si>
  <si>
    <t>FSHRBND UNDERPAD 20X100, roll 100ft, 4/case</t>
  </si>
  <si>
    <t>Plate sealers (PCR and freezer)</t>
  </si>
  <si>
    <t>Plate sealers (for PCR; pack of 100)</t>
  </si>
  <si>
    <t>AB0558</t>
  </si>
  <si>
    <t>60941-126</t>
  </si>
  <si>
    <t>PCR ADHESIVE SEALS 100/PK</t>
  </si>
  <si>
    <t>AB 0558</t>
  </si>
  <si>
    <t>Weigh boats (~4x4")</t>
  </si>
  <si>
    <t>case of 500</t>
  </si>
  <si>
    <t>WEIGH DISH PS MEDIUM 500/CS</t>
  </si>
  <si>
    <t>Colored tape</t>
  </si>
  <si>
    <t>Set of colors</t>
  </si>
  <si>
    <t>case of 24 rolls</t>
  </si>
  <si>
    <t>TAPE WHITE 25MMX13M 3/PK</t>
  </si>
  <si>
    <t>TAPE BLUE 25MMX13M 3/PK</t>
  </si>
  <si>
    <t>TAPE RED 25MMX13M 3/PK</t>
  </si>
  <si>
    <t>TAPE ORANGE 25MMX13M 3/PK</t>
  </si>
  <si>
    <t>15 901 10F</t>
  </si>
  <si>
    <t>Autoclave tape</t>
  </si>
  <si>
    <t>89097-924</t>
  </si>
  <si>
    <t>60 yd</t>
  </si>
  <si>
    <t>3/4X60 YARD AUTOCLAVE TAPE</t>
  </si>
  <si>
    <t>Freezer boxes with 9x9 inserts (~30)</t>
  </si>
  <si>
    <t>Cardboard or plastic</t>
  </si>
  <si>
    <t>Freezer Box, Storage (12 boxes), cardboard</t>
  </si>
  <si>
    <t>1167824A</t>
  </si>
  <si>
    <t>Freezer Box, Dividers (pack of 12)</t>
  </si>
  <si>
    <t>13989218</t>
  </si>
  <si>
    <t>Microtue storage box</t>
  </si>
  <si>
    <t>4000-330</t>
  </si>
  <si>
    <t>71001-642</t>
  </si>
  <si>
    <t>81PL CRYO FIBERBOX WT 5X5X2</t>
  </si>
  <si>
    <t>DNA extraction columns</t>
  </si>
  <si>
    <t>DNeasy blood &amp; tissue kit (250 samples)</t>
  </si>
  <si>
    <t>start with these. but what are cheaper methods for fin clips?</t>
  </si>
  <si>
    <t>Qiaquick PCR cleanup</t>
  </si>
  <si>
    <t>Omega Bio-Tek</t>
  </si>
  <si>
    <t>MICROELUTE DNA COLUMNS</t>
  </si>
  <si>
    <t>95043-222</t>
  </si>
  <si>
    <t>This is just the columns? Just one column?</t>
  </si>
  <si>
    <t>KIT TISSUE DNA E.Z.N.A 50PREPS F/ISOL</t>
  </si>
  <si>
    <t>96-well format would be good</t>
  </si>
  <si>
    <t>GeneJet</t>
  </si>
  <si>
    <t>GENEJET GEL EXTR 50PREP</t>
  </si>
  <si>
    <t>FERK0691</t>
  </si>
  <si>
    <t>Gel extraction</t>
  </si>
  <si>
    <t>GFX 96 PCR PURIF KIT 10X96</t>
  </si>
  <si>
    <t>45 001 488</t>
  </si>
  <si>
    <t>bead method</t>
  </si>
  <si>
    <t>what Mollie uses for MSG</t>
  </si>
  <si>
    <t>RNAse free water</t>
  </si>
  <si>
    <t>Water, Sterile (For RNA Work) (DEPC-Treated, DNASE, RNASE free.), 1L</t>
  </si>
  <si>
    <t>BP5611</t>
  </si>
  <si>
    <t>UltraPure Dnase/Rnase-free distilled Water (500mL)</t>
  </si>
  <si>
    <t>10977-015</t>
  </si>
  <si>
    <t>DISTILLED WATER (ULTRAPURE) 500ml</t>
  </si>
  <si>
    <t>10977015</t>
  </si>
  <si>
    <t>G-Biosciences</t>
  </si>
  <si>
    <t>Molecular Grade Water, 0.5L</t>
  </si>
  <si>
    <t>NUCLEASE FREE WATER 100ML</t>
  </si>
  <si>
    <t>200 proof molecular biology grade ethanol (1L)</t>
  </si>
  <si>
    <t>Pharmco</t>
  </si>
  <si>
    <t>Alcohol 200 Proof 1 Pt</t>
  </si>
  <si>
    <t>S-175130008P</t>
  </si>
  <si>
    <t>ETHYL ALCOHOL 200ACS 1L</t>
  </si>
  <si>
    <t>EM-EX0276-4S</t>
  </si>
  <si>
    <t>MOLECULAR BIOLOGY GRADE ETHANO  500mL</t>
  </si>
  <si>
    <t>Denatured ethanol for disinfection (5L)</t>
  </si>
  <si>
    <t>Alcohol 95% 1 Gal</t>
  </si>
  <si>
    <t>S-175130009P</t>
  </si>
  <si>
    <t>BDH</t>
  </si>
  <si>
    <t>BDH ETHANOL D-NAT ACS GRADE POLY BTL 1L  (6pk)</t>
  </si>
  <si>
    <t>BDH1156-1LP</t>
  </si>
  <si>
    <t>Fisher?</t>
  </si>
  <si>
    <t>Ladder</t>
  </si>
  <si>
    <t>Ladder, DNA, 100bp (1 tube each)</t>
  </si>
  <si>
    <t>PRG2101</t>
  </si>
  <si>
    <t>1 KB PLUS DNA LADDER 250ug (~250rxns)</t>
  </si>
  <si>
    <t>S-151000001P</t>
  </si>
  <si>
    <t>New England Biolabs</t>
  </si>
  <si>
    <t>DNA MARKER PCR 100REACTION  (100 x 10ul)</t>
  </si>
  <si>
    <t>97063-054</t>
  </si>
  <si>
    <t>100 BASE-PAIR LADDER 50 UG</t>
  </si>
  <si>
    <t>BP2551 50</t>
  </si>
  <si>
    <t>Loading dye</t>
  </si>
  <si>
    <t>Loading Dye 6x Promega (Blue/Orange) 3 x 1 ml tubes</t>
  </si>
  <si>
    <t>PRG1881</t>
  </si>
  <si>
    <t>Blue Juice loading dye 10x 3mL (run it as 2x)</t>
  </si>
  <si>
    <t>Life Tech</t>
  </si>
  <si>
    <t>10816-015</t>
  </si>
  <si>
    <t>10X BLUEJUICE LOADING BUFFER (3mL, run as 2x)</t>
  </si>
  <si>
    <t>10816015</t>
  </si>
  <si>
    <t>5x3=15</t>
  </si>
  <si>
    <t>DYE AGRS GEL LOADING 6X ULT-PR GRD 5ML</t>
  </si>
  <si>
    <t>97062-664</t>
  </si>
  <si>
    <t>6x5=30</t>
  </si>
  <si>
    <t>6X DNA LOADING DYE 5X1ML</t>
  </si>
  <si>
    <t>FERR0611</t>
  </si>
  <si>
    <t>6x5x1=30</t>
  </si>
  <si>
    <t>Gelred dye for electrophoresis</t>
  </si>
  <si>
    <t>Sybr safe DNA stain</t>
  </si>
  <si>
    <t>S05678</t>
  </si>
  <si>
    <t>Needs blue light transiluminator</t>
  </si>
  <si>
    <t>Biotium</t>
  </si>
  <si>
    <t>Gelred 10000X in H20 0.5mL (500uL)</t>
  </si>
  <si>
    <t>Uses UV transilluminator</t>
  </si>
  <si>
    <t>GEL RED AMPLE 25UL</t>
  </si>
  <si>
    <t>NC0294889</t>
  </si>
  <si>
    <t>GELRED STAIN10000X/WATER 0.5ML</t>
  </si>
  <si>
    <t>NC9594719</t>
  </si>
  <si>
    <t>Agarose</t>
  </si>
  <si>
    <t>Agarose DNA low-melt 25g (CAS# 9012-36-6)</t>
  </si>
  <si>
    <t>BP165-25</t>
  </si>
  <si>
    <t>DNA GRADE AGAROSE 500G</t>
  </si>
  <si>
    <t>75000500</t>
  </si>
  <si>
    <t>Agarose, Ultrapure, 100g</t>
  </si>
  <si>
    <t>16500100</t>
  </si>
  <si>
    <t>Amresco</t>
  </si>
  <si>
    <t>AGAROSE RA  500g</t>
  </si>
  <si>
    <t>MPN605-500G</t>
  </si>
  <si>
    <t>Total per sample:</t>
  </si>
  <si>
    <t>AGAROSE (MOL.BIOL.GRADE) 100G</t>
  </si>
  <si>
    <t>BP1356 100</t>
  </si>
  <si>
    <t>Electrophoresis buffer supplies</t>
  </si>
  <si>
    <t>50X TAE Buffer (dilute down to 1x for gels) 1L</t>
  </si>
  <si>
    <t>FERB49</t>
  </si>
  <si>
    <t>Tris (Tham) 100gms</t>
  </si>
  <si>
    <t>S-175130115P</t>
  </si>
  <si>
    <t>makes 1L of 50x</t>
  </si>
  <si>
    <t>EDTA,Powder 500G</t>
  </si>
  <si>
    <t>S-175130041P</t>
  </si>
  <si>
    <t>Acetic Acid, Glacial 500ML</t>
  </si>
  <si>
    <t>S-175130001P</t>
  </si>
  <si>
    <t>BUFFER TAE 50X ULT-PR GRD 1.6L F/ELP</t>
  </si>
  <si>
    <t>97063-692</t>
  </si>
  <si>
    <t>50X TAE BUFFER 1L</t>
  </si>
  <si>
    <t>10X TBE BUFFER 1L</t>
  </si>
  <si>
    <t>FERB52</t>
  </si>
  <si>
    <t>AmPure XP beads</t>
  </si>
  <si>
    <t>Peterson et al. 2012 report $945 for 60mL kit</t>
  </si>
  <si>
    <t>AMPure</t>
  </si>
  <si>
    <t>AMPure XP</t>
  </si>
  <si>
    <t>Axygen</t>
  </si>
  <si>
    <t>AXY MAG PCR CLN UP KIT -5ML</t>
  </si>
  <si>
    <t>14 223 151</t>
  </si>
  <si>
    <t>Quant-IT HS dsDNA kit</t>
  </si>
  <si>
    <t>part of starter kit</t>
  </si>
  <si>
    <t>Sbf1 and MluCI restriction enzymes</t>
  </si>
  <si>
    <t>Spf1</t>
  </si>
  <si>
    <t>To match Duke Marine Lab? NEB has 50% discount first time.</t>
  </si>
  <si>
    <t>Phusion polymerase kit</t>
  </si>
  <si>
    <t>Peterson et al. 2012 report $176 for 500x20ul rxns</t>
  </si>
  <si>
    <t>Phusion</t>
  </si>
  <si>
    <t>NEB has 50% discount first time.  50x better than Taq</t>
  </si>
  <si>
    <t>AccuPrime Pfx Supermix (200 rxns)</t>
  </si>
  <si>
    <t>12344-040</t>
  </si>
  <si>
    <t>Only 26x better than Taq</t>
  </si>
  <si>
    <t>PHUSION HF PCR MSTMIX W/HF 100 rxns</t>
  </si>
  <si>
    <t>101641-018</t>
  </si>
  <si>
    <t>PHUSION HIGH-FIDELITY POL 100U</t>
  </si>
  <si>
    <t>T4 DNA ligase</t>
  </si>
  <si>
    <t>Peterson et al. 2012 report $202 for 250ul of 400k/mL</t>
  </si>
  <si>
    <t>Oligonucleotides P1 (48) for ddRADseq</t>
  </si>
  <si>
    <t>Wait until we nail down the restriction enzymes</t>
  </si>
  <si>
    <t>Oligonucleotides P2 (2) for ddRADseq</t>
  </si>
  <si>
    <t>PCR primers (12) for ddRADseq</t>
  </si>
  <si>
    <t>Biotinylated flex-P2.2 oligonucleotides for ddRADseq</t>
  </si>
  <si>
    <t>Needed?</t>
  </si>
  <si>
    <t>SUBTOTAL SUPPLIES</t>
  </si>
  <si>
    <t>NOT FROM A LAB SUPPLIER</t>
  </si>
  <si>
    <t>Generator for -80 (2000 watts)</t>
  </si>
  <si>
    <t>Generac 5500</t>
  </si>
  <si>
    <t>~$700</t>
  </si>
  <si>
    <t>Fine-tip permanent markers</t>
  </si>
  <si>
    <t>Staples</t>
  </si>
  <si>
    <t>Scissors</t>
  </si>
  <si>
    <t>SCISSORS 7 STRT RBRHANDLE</t>
  </si>
  <si>
    <t>H325225</t>
  </si>
  <si>
    <t>Whiteboard, large for ordering</t>
  </si>
  <si>
    <t>Dry erase markers</t>
  </si>
  <si>
    <t>Dry erase markers, caddy, and cleaner</t>
  </si>
  <si>
    <t>N2OM04107</t>
  </si>
  <si>
    <t>3-Hole punch</t>
  </si>
  <si>
    <t>PRECISION PRO PUNCH</t>
  </si>
  <si>
    <t>H274037</t>
  </si>
  <si>
    <t>Microwave (for agarose)</t>
  </si>
  <si>
    <t>Kenmore</t>
  </si>
  <si>
    <t>Kenmore Elite 1.5 cu. ft. Countertop Microwave w/ TrueCookPlusTM - White</t>
  </si>
  <si>
    <t>microwave 2 cuft</t>
  </si>
  <si>
    <t>MICROWAVE OVEN COMMERCIAL</t>
  </si>
  <si>
    <t>09 540 127</t>
  </si>
  <si>
    <t>Aluminum foil for autoclaving</t>
  </si>
  <si>
    <t>DRY LAB AND FIELD</t>
  </si>
  <si>
    <t>Oxygen Kit</t>
  </si>
  <si>
    <t>For international field use</t>
  </si>
  <si>
    <t>DAN</t>
  </si>
  <si>
    <t>Transect tapes</t>
  </si>
  <si>
    <t>Ben Meadows</t>
  </si>
  <si>
    <t>Field camera</t>
  </si>
  <si>
    <t>Digital Rebel T3i + accessories</t>
  </si>
  <si>
    <t>Canon</t>
  </si>
  <si>
    <t>Camera underwater housing</t>
  </si>
  <si>
    <t>Sea &amp; Sea RDX-600D</t>
  </si>
  <si>
    <t>Backscatter</t>
  </si>
  <si>
    <t>Lab computers for genomic analysis</t>
  </si>
  <si>
    <t>128gb RAM, 5TB harddrive w/ larger backup</t>
  </si>
  <si>
    <t>Amax</t>
  </si>
  <si>
    <t>emailed Robert Toloy 9/11/2013</t>
  </si>
  <si>
    <t>Dell</t>
  </si>
  <si>
    <t>Z820 256gb RAM, 10TB harddrive, 20C@2.8Ghz</t>
  </si>
  <si>
    <t>Monitor for lab computer</t>
  </si>
  <si>
    <t>Samsung</t>
  </si>
  <si>
    <t>Samsung S23C200B - LED monitor - 23"</t>
  </si>
  <si>
    <t>ViewSonic</t>
  </si>
  <si>
    <t>Monitor for PI</t>
  </si>
  <si>
    <t>Apple 27"</t>
  </si>
  <si>
    <t>Power adapter (thick to thin)</t>
  </si>
  <si>
    <t>Surge protector for office</t>
  </si>
  <si>
    <t>APC</t>
  </si>
  <si>
    <t>Lab computer for tech</t>
  </si>
  <si>
    <t>Dell Precision T7600 with 32GB RAM, 2TB HD, monitor</t>
  </si>
  <si>
    <t>21.5" iMac, 2.7Ghz, 8gb RAM, 1TB storage, AppleCare</t>
  </si>
  <si>
    <t>27-inch iMac, 8gb RAM, 1TB storage</t>
  </si>
  <si>
    <t>27-inch iMac, 32gb RAM, 3TB storage</t>
  </si>
  <si>
    <t>21.5" iMac doesn't support 32gb RAM</t>
  </si>
  <si>
    <t>RAID backup system</t>
  </si>
  <si>
    <t>Lacie 5big Network 2, 15TB</t>
  </si>
  <si>
    <t>Lacie</t>
  </si>
  <si>
    <t>Micronet Raidbank5 20TB</t>
  </si>
  <si>
    <t>recommended by Rob Muldowney</t>
  </si>
  <si>
    <t>add on to IMCS server?</t>
  </si>
  <si>
    <t>no space</t>
  </si>
  <si>
    <t>Lenovo (was Iomega)</t>
  </si>
  <si>
    <t>px6-300d (empty)</t>
  </si>
  <si>
    <t>BackupWorks</t>
  </si>
  <si>
    <t>70BG9000NA</t>
  </si>
  <si>
    <t>6 drive bays</t>
  </si>
  <si>
    <t>NAS 3TB Server Class HD</t>
  </si>
  <si>
    <t>Synology</t>
  </si>
  <si>
    <t>Synology DiskStation 8-Bay (Diskless) Network Attached Storage - Black (DS1812+)</t>
  </si>
  <si>
    <t>8-bay</t>
  </si>
  <si>
    <t>DS1513+ diskless</t>
  </si>
  <si>
    <t>5-bay</t>
  </si>
  <si>
    <t>4-bay</t>
  </si>
  <si>
    <t>Western Digital</t>
  </si>
  <si>
    <t>Western Digital 4 TB WD Red SATA III 5400 RPM 64 MB Cache Bulk/OEM NAS Hard Drive WD40EFRX</t>
  </si>
  <si>
    <t>Seagate</t>
  </si>
  <si>
    <t>Uninteruptable power source</t>
  </si>
  <si>
    <t>APC backups 900va</t>
  </si>
  <si>
    <t>Back-UPS 1300</t>
  </si>
  <si>
    <t>rec by John Bickel (HP)</t>
  </si>
  <si>
    <t>Back-UPS 1500</t>
  </si>
  <si>
    <t>APC Smart-UPS 1500 LCD</t>
  </si>
  <si>
    <t>APC Smart-UPS 1500 LCD SMT1500</t>
  </si>
  <si>
    <t>Computer software</t>
  </si>
  <si>
    <t>Microsoft Office</t>
  </si>
  <si>
    <t>Geneious R6</t>
  </si>
  <si>
    <t>Geneious</t>
  </si>
  <si>
    <t>CLC Bio</t>
  </si>
  <si>
    <t>CLC Genomics Workbench</t>
  </si>
  <si>
    <t>Books</t>
  </si>
  <si>
    <t>Statistics, lab protocols, field guides</t>
  </si>
  <si>
    <t>Escape from the Ivory Tower</t>
  </si>
  <si>
    <t>Bolker stats book</t>
  </si>
  <si>
    <t>Legendre and Legendre. 1998. Numerical ecology. Elsevier.</t>
  </si>
  <si>
    <t>Pinheiro &amp; Bates: generalized least squares methods</t>
  </si>
  <si>
    <t>Sokal &amp; Rolf</t>
  </si>
  <si>
    <t>Zarr</t>
  </si>
  <si>
    <t>Zuur. Mixed Effects Models and Extensions in Ecology with R</t>
  </si>
  <si>
    <t>Kelly, Douglas G. 1993. Introduction to Probability.</t>
  </si>
  <si>
    <t>Fautin,Field Guide to Anemonefishes</t>
  </si>
  <si>
    <t>Levin, Simon A. Fragile dominion: complexity and the commons. Perseus Books.</t>
  </si>
  <si>
    <t>Okubo &amp; Levin 2001. Diffusion and ecological problems: modern perspectives, 2nd ed. Springer.</t>
  </si>
  <si>
    <t>Avise. Conservation Genetics.</t>
  </si>
  <si>
    <t>Hartl &amp; Clark. Principles of Population Genetics. 4th ed.</t>
  </si>
  <si>
    <t>Sambrook &amp; Russell. Molecular Cloning</t>
  </si>
  <si>
    <t>Coyne &amp; Orr Speciation</t>
  </si>
  <si>
    <t>Tufte's books</t>
  </si>
  <si>
    <t>Marine Metapopulations</t>
  </si>
  <si>
    <t>Practical Computing for Biologists - Haddock &amp; Dunn</t>
  </si>
  <si>
    <t>Hedrick, Genetics of Populations (?)</t>
  </si>
  <si>
    <t>SUBTOTAL DRY LAB AND FIELD</t>
  </si>
  <si>
    <t>TOTAL (of $195k)</t>
  </si>
  <si>
    <t>NOT NOW</t>
  </si>
  <si>
    <t>Chemical storage cabinet</t>
  </si>
  <si>
    <t>Reagent storage</t>
  </si>
  <si>
    <t>Analytical balance</t>
  </si>
  <si>
    <t>Mettler Excellence Plus Level, XP Series Analytical Balances for reagents, sample prep</t>
  </si>
  <si>
    <t>Digital camera for scope</t>
  </si>
  <si>
    <t>EOS Rebel plus camera attachment for scope</t>
  </si>
  <si>
    <t>Repeater pipettes</t>
  </si>
  <si>
    <t>1 each of 5-120, 10-300, and 100-5000 ul (Biohit)</t>
  </si>
  <si>
    <t>Real time PCR</t>
  </si>
  <si>
    <t>StepOnePlus 96-well and 3 years of service</t>
  </si>
  <si>
    <t>UV Laminar Flow Hood</t>
  </si>
  <si>
    <t>2' Purifier Filtered PCR Enclosure with UV Light and Bi-Fold Doors</t>
  </si>
  <si>
    <t>Labconco</t>
  </si>
  <si>
    <t>Speed-vac and pump</t>
  </si>
  <si>
    <t>Drying down DNA solutions</t>
  </si>
  <si>
    <t>Savant</t>
  </si>
  <si>
    <t>Fisher Scientific: $6,191 for DNA120</t>
  </si>
  <si>
    <t>Multichannel repeator pipettors</t>
  </si>
  <si>
    <t>0.2-10, 5-120, 50-1200ul (Biohit)</t>
  </si>
  <si>
    <t>VSR</t>
  </si>
  <si>
    <t>Ice buckets/dewar</t>
  </si>
  <si>
    <t>Ice, dry ice and liquid nitrogen transport</t>
  </si>
  <si>
    <t>SCUBA gear</t>
  </si>
  <si>
    <t>One set for PI, one for student or RA</t>
  </si>
  <si>
    <t>Nets, traps, fishing gear</t>
  </si>
  <si>
    <t>Sample collection</t>
  </si>
  <si>
    <t>GPS</t>
  </si>
  <si>
    <t>Geolocation in the field</t>
  </si>
  <si>
    <t>Garmin</t>
  </si>
  <si>
    <t>Computer for PI</t>
  </si>
  <si>
    <t>iMac with 16GB RAM, 2TB HD</t>
  </si>
  <si>
    <t>Lab computer for simulations and GIS</t>
  </si>
  <si>
    <t>Laptop for travel</t>
  </si>
  <si>
    <t>15" Macbook Air</t>
  </si>
  <si>
    <t>Digital projector</t>
  </si>
  <si>
    <t>Dell 1420X</t>
  </si>
  <si>
    <t>Color laser printer</t>
  </si>
  <si>
    <t>Laserjet M451dn</t>
  </si>
  <si>
    <t>BW laser printer</t>
  </si>
  <si>
    <t>Laserjet P2055dn</t>
  </si>
  <si>
    <t>APC backups 900va (2 computers)</t>
  </si>
  <si>
    <t>Matlab, Arcview, Endnote, Microsoft Office, Adobe Creative Suite, etc. for 3 computers</t>
  </si>
  <si>
    <t>various</t>
  </si>
  <si>
    <t>Genemapper software</t>
  </si>
  <si>
    <t>Microsatellite genotyping</t>
  </si>
  <si>
    <t>Assembly of genomic/transcriptomic data (1 copy)</t>
  </si>
  <si>
    <t>CLC bio</t>
  </si>
  <si>
    <t>Sequencher</t>
  </si>
  <si>
    <t>Sequence alignment (1 Mac, 1 PC)</t>
  </si>
  <si>
    <t>Genecodes</t>
  </si>
  <si>
    <t>Lab/office furniture</t>
  </si>
  <si>
    <t>desks, chairs, file cabinets, bookcases</t>
  </si>
  <si>
    <t>Office supplies</t>
  </si>
  <si>
    <t>paper, toner, mailing, basic office supplies</t>
  </si>
  <si>
    <t>Lab consumables</t>
  </si>
  <si>
    <t>Plasticware</t>
  </si>
  <si>
    <t>Tips, tubes, gloves, etc. (3 years)</t>
  </si>
  <si>
    <t>Consumable supplies and reagents</t>
  </si>
  <si>
    <t>Extraction, PCR, Illumina Library Preparation (per mo)</t>
  </si>
  <si>
    <t>Type I water system for PCR (low volume)</t>
  </si>
  <si>
    <t>Millipore</t>
  </si>
  <si>
    <t>Direct-Q 3,5,8 Ultrapure water system (from tap water)</t>
  </si>
  <si>
    <t>Ed Bunge is rep</t>
  </si>
  <si>
    <t>Millipre</t>
  </si>
  <si>
    <t>Millipore Advantage A10, QGard T2, Quantum Tex, Biopak, etc.</t>
  </si>
  <si>
    <t>Millipore SYNERGY, Synergypak2, Biopak, etc.</t>
  </si>
  <si>
    <t>Model 133000</t>
  </si>
  <si>
    <t>Boekel</t>
  </si>
  <si>
    <t>SciGene Micro array oven (Model 700) to incubate and rotate samples overnight.</t>
  </si>
  <si>
    <t>HERATHERM 100L GP INCUBATOR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</si>
</sst>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/d/yyyy"/>
    <numFmt numFmtId="166" formatCode="_(&quot;$&quot;* #,##0.00_);_(&quot;$&quot;* \(#,##0.00\);_(&quot;$&quot;* &quot;-&quot;??_);_(@_)"/>
    <numFmt numFmtId="167" formatCode="0.0"/>
    <numFmt numFmtId="168" formatCode="&quot;$&quot;#,##0"/>
    <numFmt numFmtId="169" formatCode="&quot;$&quot;#,##0.0000"/>
  </numFmts>
  <fonts count="59">
    <font>
      <sz val="10.0"/>
      <color rgb="FF000000"/>
      <name val="Arial"/>
    </font>
    <font/>
    <font>
      <sz val="11.0"/>
      <color rgb="FF000000"/>
      <name val="Inconsolata"/>
    </font>
    <font>
      <color rgb="FF000000"/>
      <name val="Arial"/>
    </font>
    <font>
      <name val="Arial"/>
    </font>
    <font>
      <name val="Lato"/>
    </font>
    <font>
      <sz val="9.0"/>
      <color rgb="FF2B2B2B"/>
      <name val="Interface"/>
    </font>
    <font>
      <sz val="9.0"/>
    </font>
    <font>
      <strike/>
      <sz val="10.0"/>
      <color rgb="FF000000"/>
      <name val="Arial"/>
    </font>
    <font>
      <strike/>
      <color rgb="FF000000"/>
      <name val="Arial"/>
    </font>
    <font>
      <strike/>
      <name val="Arial"/>
    </font>
    <font>
      <strike/>
    </font>
    <font>
      <sz val="12.0"/>
      <color rgb="FF565656"/>
      <name val="Interface"/>
    </font>
    <font>
      <sz val="10.0"/>
    </font>
    <font>
      <b/>
      <sz val="10.0"/>
      <color rgb="FF000000"/>
      <name val="Arial"/>
    </font>
    <font>
      <b/>
    </font>
    <font>
      <sz val="11.0"/>
      <name val="Arial"/>
    </font>
    <font>
      <sz val="9.0"/>
      <color rgb="FF4C4C4C"/>
    </font>
    <font>
      <b/>
      <sz val="10.0"/>
    </font>
    <font>
      <b/>
      <color rgb="FF2B2B2B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Verdana"/>
    </font>
    <font>
      <i/>
    </font>
    <font>
      <u/>
      <sz val="12.0"/>
      <color rgb="FF0000FF"/>
      <name val="Calibri"/>
    </font>
    <font>
      <sz val="9.0"/>
      <color rgb="FF000000"/>
      <name val="Helvetica"/>
    </font>
    <font>
      <b/>
      <color rgb="FF004A85"/>
    </font>
    <font>
      <b/>
      <sz val="11.0"/>
      <color rgb="FFFF2F92"/>
      <name val="-webkit-standard"/>
    </font>
    <font>
      <sz val="11.0"/>
      <color rgb="FFFF2F92"/>
      <name val="-webkit-standard"/>
    </font>
    <font>
      <b/>
      <color rgb="FF4C4C4C"/>
    </font>
    <font>
      <u/>
      <sz val="12.0"/>
      <color rgb="FF0000FF"/>
      <name val="Calibri"/>
    </font>
    <font>
      <i/>
      <sz val="12.0"/>
      <color rgb="FF000000"/>
      <name val="Calibri"/>
    </font>
    <font>
      <sz val="12.0"/>
      <color rgb="FF232323"/>
      <name val="Calibri"/>
    </font>
    <font>
      <sz val="8.0"/>
      <color rgb="FF000000"/>
      <name val="Helvetica"/>
    </font>
    <font>
      <u/>
      <sz val="11.0"/>
      <color rgb="FF1155CC"/>
      <name val="Arial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rgb="FF003366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FF"/>
      <name val="Calibri"/>
    </font>
    <font>
      <u/>
      <sz val="12.0"/>
      <color rgb="FFFF0000"/>
      <name val="Calibri"/>
    </font>
    <font>
      <sz val="12.0"/>
      <color rgb="FFFF0000"/>
      <name val="Calibri"/>
    </font>
    <font>
      <u/>
      <sz val="10.0"/>
      <color rgb="FF0000FF"/>
      <name val="Verdana"/>
    </font>
  </fonts>
  <fills count="2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7AC6DC"/>
        <bgColor rgb="FF7AC6DC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4C7C3"/>
        <bgColor rgb="FFF4C7C3"/>
      </patternFill>
    </fill>
    <fill>
      <patternFill patternType="solid">
        <fgColor rgb="FFF3C7A4"/>
        <bgColor rgb="FFF3C7A4"/>
      </patternFill>
    </fill>
    <fill>
      <patternFill patternType="solid">
        <fgColor rgb="FF9FC6F0"/>
        <bgColor rgb="FF9FC6F0"/>
      </patternFill>
    </fill>
    <fill>
      <patternFill patternType="solid">
        <fgColor rgb="FFFFE098"/>
        <bgColor rgb="FFFFE098"/>
      </patternFill>
    </fill>
    <fill>
      <patternFill patternType="solid">
        <fgColor rgb="FFD4FA82"/>
        <bgColor rgb="FFD4FA82"/>
      </patternFill>
    </fill>
    <fill>
      <patternFill patternType="solid">
        <fgColor rgb="FF9ECFE4"/>
        <bgColor rgb="FF9ECFE4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C9DAF8"/>
        <bgColor rgb="FFC9DAF8"/>
      </patternFill>
    </fill>
    <fill>
      <patternFill patternType="solid">
        <fgColor rgb="FFDCE6F1"/>
        <bgColor rgb="FFDCE6F1"/>
      </patternFill>
    </fill>
    <fill>
      <patternFill patternType="solid">
        <fgColor rgb="FFB4A7D6"/>
        <bgColor rgb="FFB4A7D6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9">
    <xf borderId="0" fillId="0" fontId="0" numFmtId="0" xfId="0" applyAlignment="1" applyFont="1">
      <alignment readingOrder="0" shrinkToFit="0" vertical="bottom" wrapText="1"/>
    </xf>
    <xf borderId="1" fillId="0" fontId="0" numFmtId="0" xfId="0" applyAlignment="1" applyBorder="1" applyFont="1">
      <alignment readingOrder="0" shrinkToFit="0" wrapText="0"/>
    </xf>
    <xf borderId="0" fillId="2" fontId="1" numFmtId="0" xfId="0" applyAlignment="1" applyFill="1" applyFont="1">
      <alignment readingOrder="0" shrinkToFit="0" wrapText="1"/>
    </xf>
    <xf borderId="1" fillId="0" fontId="0" numFmtId="0" xfId="0" applyAlignment="1" applyBorder="1" applyFont="1">
      <alignment shrinkToFit="0" wrapText="0"/>
    </xf>
    <xf borderId="0" fillId="2" fontId="1" numFmtId="0" xfId="0" applyAlignment="1" applyFont="1">
      <alignment shrinkToFit="0" wrapText="1"/>
    </xf>
    <xf borderId="1" fillId="0" fontId="0" numFmtId="0" xfId="0" applyAlignment="1" applyBorder="1" applyFont="1">
      <alignment horizontal="left" shrinkToFit="0" wrapText="0"/>
    </xf>
    <xf borderId="0" fillId="0" fontId="1" numFmtId="0" xfId="0" applyAlignment="1" applyFont="1">
      <alignment readingOrder="0" shrinkToFit="0" wrapText="1"/>
    </xf>
    <xf borderId="1" fillId="0" fontId="0" numFmtId="3" xfId="0" applyAlignment="1" applyBorder="1" applyFont="1" applyNumberFormat="1">
      <alignment readingOrder="0" shrinkToFit="0" wrapText="0"/>
    </xf>
    <xf borderId="0" fillId="0" fontId="0" numFmtId="0" xfId="0" applyAlignment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shrinkToFit="0" wrapText="0"/>
    </xf>
    <xf borderId="1" fillId="0" fontId="0" numFmtId="164" xfId="0" applyAlignment="1" applyBorder="1" applyFont="1" applyNumberFormat="1">
      <alignment readingOrder="0" shrinkToFit="0" wrapText="0"/>
    </xf>
    <xf borderId="1" fillId="3" fontId="0" numFmtId="0" xfId="0" applyAlignment="1" applyBorder="1" applyFill="1" applyFont="1">
      <alignment readingOrder="0" shrinkToFit="0" wrapText="0"/>
    </xf>
    <xf borderId="1" fillId="0" fontId="0" numFmtId="0" xfId="0" applyAlignment="1" applyBorder="1" applyFont="1">
      <alignment horizontal="left" readingOrder="0" shrinkToFit="0" wrapText="0"/>
    </xf>
    <xf borderId="1" fillId="0" fontId="0" numFmtId="165" xfId="0" applyAlignment="1" applyBorder="1" applyFont="1" applyNumberFormat="1">
      <alignment readingOrder="0" shrinkToFit="0" wrapText="0"/>
    </xf>
    <xf borderId="0" fillId="0" fontId="2" numFmtId="164" xfId="0" applyAlignment="1" applyFont="1" applyNumberFormat="1">
      <alignment shrinkToFit="0" wrapText="1"/>
    </xf>
    <xf borderId="1" fillId="0" fontId="0" numFmtId="164" xfId="0" applyAlignment="1" applyBorder="1" applyFont="1" applyNumberFormat="1">
      <alignment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0"/>
    </xf>
    <xf borderId="1" fillId="0" fontId="0" numFmtId="165" xfId="0" applyAlignment="1" applyBorder="1" applyFont="1" applyNumberFormat="1">
      <alignment shrinkToFit="0" wrapText="0"/>
    </xf>
    <xf borderId="1" fillId="3" fontId="0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1"/>
    </xf>
    <xf borderId="0" fillId="0" fontId="1" numFmtId="0" xfId="0" applyAlignment="1" applyFont="1">
      <alignment shrinkToFit="0" wrapText="0"/>
    </xf>
    <xf borderId="1" fillId="4" fontId="0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vertical="bottom" wrapText="1"/>
    </xf>
    <xf borderId="0" fillId="0" fontId="0" numFmtId="0" xfId="0" applyAlignment="1" applyFont="1">
      <alignment shrinkToFit="0" wrapText="0"/>
    </xf>
    <xf borderId="0" fillId="5" fontId="1" numFmtId="164" xfId="0" applyAlignment="1" applyFill="1" applyFont="1" applyNumberFormat="1">
      <alignment shrinkToFit="0" wrapText="1"/>
    </xf>
    <xf borderId="0" fillId="5" fontId="1" numFmtId="0" xfId="0" applyAlignment="1" applyFont="1">
      <alignment readingOrder="0" shrinkToFit="0" wrapText="1"/>
    </xf>
    <xf borderId="1" fillId="4" fontId="0" numFmtId="0" xfId="0" applyAlignment="1" applyBorder="1" applyFont="1">
      <alignment shrinkToFit="0" wrapText="0"/>
    </xf>
    <xf borderId="0" fillId="6" fontId="1" numFmtId="164" xfId="0" applyAlignment="1" applyFill="1" applyFont="1" applyNumberFormat="1">
      <alignment shrinkToFit="0" wrapText="1"/>
    </xf>
    <xf borderId="0" fillId="6" fontId="1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1" fillId="0" fontId="3" numFmtId="3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0" numFmtId="3" xfId="0" applyAlignment="1" applyBorder="1" applyFont="1" applyNumberFormat="1">
      <alignment shrinkToFit="0" wrapText="0"/>
    </xf>
    <xf borderId="1" fillId="0" fontId="5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shrinkToFit="0" wrapText="0"/>
    </xf>
    <xf borderId="2" fillId="0" fontId="0" numFmtId="0" xfId="0" applyAlignment="1" applyBorder="1" applyFont="1">
      <alignment shrinkToFit="0" wrapText="0"/>
    </xf>
    <xf borderId="2" fillId="0" fontId="0" numFmtId="0" xfId="0" applyAlignment="1" applyBorder="1" applyFont="1">
      <alignment horizontal="left" shrinkToFit="0" wrapText="0"/>
    </xf>
    <xf borderId="2" fillId="0" fontId="0" numFmtId="165" xfId="0" applyAlignment="1" applyBorder="1" applyFont="1" applyNumberFormat="1">
      <alignment shrinkToFit="0" wrapText="0"/>
    </xf>
    <xf borderId="2" fillId="0" fontId="0" numFmtId="3" xfId="0" applyAlignment="1" applyBorder="1" applyFont="1" applyNumberFormat="1">
      <alignment shrinkToFit="0" wrapText="0"/>
    </xf>
    <xf borderId="2" fillId="0" fontId="0" numFmtId="0" xfId="0" applyAlignment="1" applyBorder="1" applyFont="1">
      <alignment shrinkToFit="0" wrapText="0"/>
    </xf>
    <xf borderId="2" fillId="0" fontId="0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0"/>
    </xf>
    <xf borderId="0" fillId="0" fontId="0" numFmtId="0" xfId="0" applyAlignment="1" applyFont="1">
      <alignment horizontal="left" readingOrder="0" shrinkToFit="0" wrapText="0"/>
    </xf>
    <xf borderId="1" fillId="7" fontId="6" numFmtId="0" xfId="0" applyAlignment="1" applyBorder="1" applyFill="1" applyFont="1">
      <alignment horizontal="left" readingOrder="0" shrinkToFit="0" wrapText="0"/>
    </xf>
    <xf borderId="0" fillId="0" fontId="0" numFmtId="0" xfId="0" applyAlignment="1" applyFont="1">
      <alignment horizontal="left" shrinkToFit="0" wrapText="0"/>
    </xf>
    <xf borderId="1" fillId="0" fontId="0" numFmtId="166" xfId="0" applyAlignment="1" applyBorder="1" applyFont="1" applyNumberFormat="1">
      <alignment readingOrder="0" shrinkToFit="0" wrapText="0"/>
    </xf>
    <xf borderId="1" fillId="0" fontId="7" numFmtId="0" xfId="0" applyAlignment="1" applyBorder="1" applyFont="1">
      <alignment readingOrder="0" shrinkToFit="0" wrapText="0"/>
    </xf>
    <xf borderId="1" fillId="0" fontId="0" numFmtId="14" xfId="0" applyAlignment="1" applyBorder="1" applyFont="1" applyNumberFormat="1">
      <alignment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0" numFmtId="164" xfId="0" applyAlignment="1" applyBorder="1" applyFont="1" applyNumberFormat="1">
      <alignment readingOrder="0" shrinkToFit="0" wrapText="0"/>
    </xf>
    <xf borderId="1" fillId="0" fontId="8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shrinkToFit="0" wrapText="0"/>
    </xf>
    <xf borderId="1" fillId="3" fontId="8" numFmtId="0" xfId="0" applyAlignment="1" applyBorder="1" applyFont="1">
      <alignment shrinkToFit="0" wrapText="0"/>
    </xf>
    <xf borderId="1" fillId="0" fontId="8" numFmtId="165" xfId="0" applyAlignment="1" applyBorder="1" applyFont="1" applyNumberFormat="1">
      <alignment shrinkToFit="0" wrapText="0"/>
    </xf>
    <xf borderId="1" fillId="0" fontId="8" numFmtId="3" xfId="0" applyAlignment="1" applyBorder="1" applyFont="1" applyNumberFormat="1">
      <alignment readingOrder="0" shrinkToFit="0" wrapText="0"/>
    </xf>
    <xf borderId="1" fillId="0" fontId="8" numFmtId="0" xfId="0" applyAlignment="1" applyBorder="1" applyFont="1">
      <alignment shrinkToFit="0" wrapText="0"/>
    </xf>
    <xf borderId="1" fillId="4" fontId="8" numFmtId="0" xfId="0" applyAlignment="1" applyBorder="1" applyFont="1">
      <alignment shrinkToFit="0" wrapText="0"/>
    </xf>
    <xf borderId="1" fillId="0" fontId="8" numFmtId="165" xfId="0" applyAlignment="1" applyBorder="1" applyFont="1" applyNumberFormat="1">
      <alignment readingOrder="0" shrinkToFit="0" wrapText="0"/>
    </xf>
    <xf borderId="1" fillId="4" fontId="8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horizontal="left" shrinkToFit="0" wrapText="0"/>
    </xf>
    <xf borderId="1" fillId="0" fontId="8" numFmtId="3" xfId="0" applyAlignment="1" applyBorder="1" applyFont="1" applyNumberFormat="1">
      <alignment shrinkToFit="0" wrapText="0"/>
    </xf>
    <xf borderId="1" fillId="3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1" fillId="0" fontId="9" numFmtId="165" xfId="0" applyAlignment="1" applyBorder="1" applyFont="1" applyNumberFormat="1">
      <alignment horizontal="right" shrinkToFit="0" vertical="bottom" wrapText="0"/>
    </xf>
    <xf borderId="1" fillId="0" fontId="9" numFmtId="0" xfId="0" applyAlignment="1" applyBorder="1" applyFont="1">
      <alignment horizontal="right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3" xfId="0" applyAlignment="1" applyBorder="1" applyFont="1" applyNumberFormat="1">
      <alignment horizontal="right"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horizontal="left" readingOrder="0" shrinkToFit="0" wrapText="0"/>
    </xf>
    <xf borderId="1" fillId="0" fontId="11" numFmtId="0" xfId="0" applyAlignment="1" applyBorder="1" applyFont="1">
      <alignment shrinkToFit="0" wrapText="0"/>
    </xf>
    <xf borderId="1" fillId="0" fontId="8" numFmtId="10" xfId="0" applyAlignment="1" applyBorder="1" applyFont="1" applyNumberFormat="1">
      <alignment shrinkToFit="0" wrapText="0"/>
    </xf>
    <xf borderId="2" fillId="0" fontId="8" numFmtId="0" xfId="0" applyAlignment="1" applyBorder="1" applyFont="1">
      <alignment shrinkToFit="0" wrapText="0"/>
    </xf>
    <xf borderId="2" fillId="0" fontId="8" numFmtId="0" xfId="0" applyAlignment="1" applyBorder="1" applyFont="1">
      <alignment horizontal="left" shrinkToFit="0" wrapText="0"/>
    </xf>
    <xf borderId="2" fillId="0" fontId="8" numFmtId="165" xfId="0" applyAlignment="1" applyBorder="1" applyFont="1" applyNumberFormat="1">
      <alignment shrinkToFit="0" wrapText="0"/>
    </xf>
    <xf borderId="2" fillId="0" fontId="8" numFmtId="3" xfId="0" applyAlignment="1" applyBorder="1" applyFont="1" applyNumberFormat="1">
      <alignment shrinkToFit="0" wrapText="0"/>
    </xf>
    <xf borderId="2" fillId="0" fontId="8" numFmtId="0" xfId="0" applyAlignment="1" applyBorder="1" applyFont="1">
      <alignment shrinkToFit="0" wrapText="0"/>
    </xf>
    <xf borderId="1" fillId="0" fontId="11" numFmtId="0" xfId="0" applyAlignment="1" applyBorder="1" applyFont="1">
      <alignment readingOrder="0" shrinkToFit="0" wrapText="0"/>
    </xf>
    <xf borderId="1" fillId="0" fontId="8" numFmtId="166" xfId="0" applyAlignment="1" applyBorder="1" applyFont="1" applyNumberFormat="1">
      <alignment shrinkToFit="0" wrapText="0"/>
    </xf>
    <xf borderId="0" fillId="0" fontId="0" numFmtId="165" xfId="0" applyAlignment="1" applyFont="1" applyNumberFormat="1">
      <alignment shrinkToFit="0" wrapText="0"/>
    </xf>
    <xf borderId="0" fillId="0" fontId="0" numFmtId="3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  <xf borderId="0" fillId="4" fontId="0" numFmtId="0" xfId="0" applyAlignment="1" applyFont="1">
      <alignment shrinkToFit="0" wrapText="0"/>
    </xf>
    <xf borderId="0" fillId="3" fontId="0" numFmtId="0" xfId="0" applyAlignment="1" applyFont="1">
      <alignment shrinkToFit="0" wrapText="0"/>
    </xf>
    <xf borderId="1" fillId="2" fontId="0" numFmtId="0" xfId="0" applyAlignment="1" applyBorder="1" applyFont="1">
      <alignment readingOrder="0" shrinkToFit="0" wrapText="0"/>
    </xf>
    <xf borderId="1" fillId="2" fontId="0" numFmtId="0" xfId="0" applyAlignment="1" applyBorder="1" applyFont="1">
      <alignment shrinkToFit="0" wrapText="0"/>
    </xf>
    <xf borderId="0" fillId="2" fontId="0" numFmtId="0" xfId="0" applyAlignment="1" applyFont="1">
      <alignment shrinkToFit="0" wrapText="0"/>
    </xf>
    <xf borderId="0" fillId="2" fontId="12" numFmtId="0" xfId="0" applyAlignment="1" applyFont="1">
      <alignment readingOrder="0" shrinkToFit="0" wrapText="0"/>
    </xf>
    <xf borderId="0" fillId="2" fontId="0" numFmtId="165" xfId="0" applyAlignment="1" applyFont="1" applyNumberFormat="1">
      <alignment readingOrder="0" shrinkToFit="0" wrapText="0"/>
    </xf>
    <xf borderId="0" fillId="2" fontId="0" numFmtId="3" xfId="0" applyAlignment="1" applyFont="1" applyNumberFormat="1">
      <alignment readingOrder="0" shrinkToFit="0" wrapText="0"/>
    </xf>
    <xf borderId="0" fillId="2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3" fillId="0" fontId="0" numFmtId="0" xfId="0" applyAlignment="1" applyBorder="1" applyFont="1">
      <alignment horizontal="left" shrinkToFit="0" wrapText="0"/>
    </xf>
    <xf borderId="0" fillId="3" fontId="0" numFmtId="0" xfId="0" applyAlignment="1" applyFont="1">
      <alignment readingOrder="0"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3" numFmtId="0" xfId="0" applyAlignment="1" applyFont="1">
      <alignment shrinkToFit="0" vertical="bottom" wrapText="0"/>
    </xf>
    <xf borderId="0" fillId="3" fontId="13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13" numFmtId="165" xfId="0" applyAlignment="1" applyFont="1" applyNumberFormat="1">
      <alignment horizontal="right" shrinkToFit="0" vertical="bottom" wrapText="0"/>
    </xf>
    <xf borderId="0" fillId="0" fontId="13" numFmtId="0" xfId="0" applyAlignment="1" applyFont="1">
      <alignment horizontal="right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3" xfId="0" applyAlignment="1" applyFont="1" applyNumberFormat="1">
      <alignment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3" fontId="8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8" numFmtId="3" xfId="0" applyAlignment="1" applyFont="1" applyNumberFormat="1">
      <alignment shrinkToFit="0" wrapText="0"/>
    </xf>
    <xf borderId="0" fillId="0" fontId="8" numFmtId="0" xfId="0" applyAlignment="1" applyFont="1">
      <alignment shrinkToFit="0" wrapText="0"/>
    </xf>
    <xf borderId="0" fillId="0" fontId="0" numFmtId="166" xfId="0" applyAlignment="1" applyFont="1" applyNumberFormat="1">
      <alignment readingOrder="0" shrinkToFit="0" wrapText="0"/>
    </xf>
    <xf borderId="0" fillId="0" fontId="11" numFmtId="0" xfId="0" applyAlignment="1" applyFont="1">
      <alignment shrinkToFit="0" wrapText="0"/>
    </xf>
    <xf borderId="0" fillId="7" fontId="12" numFmtId="0" xfId="0" applyAlignment="1" applyFont="1">
      <alignment readingOrder="0" shrinkToFit="0" wrapText="0"/>
    </xf>
    <xf borderId="0" fillId="3" fontId="8" numFmtId="0" xfId="0" applyAlignment="1" applyFont="1">
      <alignment shrinkToFit="0" wrapText="0"/>
    </xf>
    <xf borderId="0" fillId="0" fontId="8" numFmtId="0" xfId="0" applyAlignment="1" applyFont="1">
      <alignment horizontal="left" shrinkToFit="0" wrapText="0"/>
    </xf>
    <xf borderId="0" fillId="0" fontId="8" numFmtId="165" xfId="0" applyAlignment="1" applyFont="1" applyNumberFormat="1">
      <alignment shrinkToFit="0" wrapText="0"/>
    </xf>
    <xf borderId="1" fillId="0" fontId="14" numFmtId="0" xfId="0" applyAlignment="1" applyBorder="1" applyFont="1">
      <alignment horizontal="center" shrinkToFit="0" wrapText="0"/>
    </xf>
    <xf borderId="4" fillId="0" fontId="14" numFmtId="164" xfId="0" applyAlignment="1" applyBorder="1" applyFont="1" applyNumberFormat="1">
      <alignment horizontal="center" readingOrder="0" shrinkToFit="0" wrapText="0"/>
    </xf>
    <xf borderId="0" fillId="0" fontId="14" numFmtId="164" xfId="0" applyAlignment="1" applyFont="1" applyNumberFormat="1">
      <alignment horizontal="center" readingOrder="0" shrinkToFit="0" wrapText="0"/>
    </xf>
    <xf borderId="1" fillId="0" fontId="0" numFmtId="0" xfId="0" applyAlignment="1" applyBorder="1" applyFont="1">
      <alignment horizontal="center" shrinkToFit="0" wrapText="0"/>
    </xf>
    <xf borderId="1" fillId="0" fontId="0" numFmtId="164" xfId="0" applyAlignment="1" applyBorder="1" applyFont="1" applyNumberFormat="1">
      <alignment horizontal="center" readingOrder="0" shrinkToFit="0" wrapText="0"/>
    </xf>
    <xf borderId="1" fillId="0" fontId="0" numFmtId="1" xfId="0" applyAlignment="1" applyBorder="1" applyFont="1" applyNumberFormat="1">
      <alignment shrinkToFit="0" wrapText="0"/>
    </xf>
    <xf borderId="4" fillId="0" fontId="0" numFmtId="164" xfId="0" applyAlignment="1" applyBorder="1" applyFont="1" applyNumberFormat="1">
      <alignment shrinkToFit="0" wrapText="0"/>
    </xf>
    <xf borderId="0" fillId="0" fontId="0" numFmtId="164" xfId="0" applyAlignment="1" applyFont="1" applyNumberFormat="1">
      <alignment horizontal="center" readingOrder="0" shrinkToFit="0" wrapText="0"/>
    </xf>
    <xf borderId="0" fillId="0" fontId="0" numFmtId="164" xfId="0" applyAlignment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1" fillId="8" fontId="0" numFmtId="0" xfId="0" applyAlignment="1" applyBorder="1" applyFill="1" applyFont="1">
      <alignment shrinkToFit="0" wrapText="0"/>
    </xf>
    <xf borderId="1" fillId="8" fontId="0" numFmtId="164" xfId="0" applyAlignment="1" applyBorder="1" applyFont="1" applyNumberFormat="1">
      <alignment shrinkToFit="0" wrapText="0"/>
    </xf>
    <xf borderId="1" fillId="8" fontId="0" numFmtId="3" xfId="0" applyAlignment="1" applyBorder="1" applyFont="1" applyNumberFormat="1">
      <alignment shrinkToFit="0" wrapText="0"/>
    </xf>
    <xf borderId="0" fillId="8" fontId="4" numFmtId="0" xfId="0" applyAlignment="1" applyFont="1">
      <alignment shrinkToFit="0" wrapText="0"/>
    </xf>
    <xf borderId="0" fillId="8" fontId="0" numFmtId="0" xfId="0" applyAlignment="1" applyFont="1">
      <alignment shrinkToFit="0" wrapText="0"/>
    </xf>
    <xf borderId="0" fillId="0" fontId="14" numFmtId="0" xfId="0" applyAlignment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1" fillId="9" fontId="0" numFmtId="0" xfId="0" applyAlignment="1" applyBorder="1" applyFill="1" applyFont="1">
      <alignment shrinkToFit="0" wrapText="0"/>
    </xf>
    <xf borderId="1" fillId="9" fontId="0" numFmtId="164" xfId="0" applyAlignment="1" applyBorder="1" applyFont="1" applyNumberFormat="1">
      <alignment shrinkToFit="0" wrapText="0"/>
    </xf>
    <xf borderId="1" fillId="9" fontId="0" numFmtId="3" xfId="0" applyAlignment="1" applyBorder="1" applyFont="1" applyNumberFormat="1">
      <alignment shrinkToFit="0" wrapText="0"/>
    </xf>
    <xf borderId="0" fillId="9" fontId="4" numFmtId="0" xfId="0" applyAlignment="1" applyFont="1">
      <alignment shrinkToFit="0" wrapText="0"/>
    </xf>
    <xf borderId="0" fillId="9" fontId="0" numFmtId="0" xfId="0" applyAlignment="1" applyFont="1">
      <alignment shrinkToFit="0" wrapText="0"/>
    </xf>
    <xf borderId="1" fillId="3" fontId="0" numFmtId="164" xfId="0" applyAlignment="1" applyBorder="1" applyFont="1" applyNumberFormat="1">
      <alignment shrinkToFit="0" wrapText="0"/>
    </xf>
    <xf borderId="0" fillId="3" fontId="4" numFmtId="0" xfId="0" applyAlignment="1" applyFont="1">
      <alignment shrinkToFit="0" wrapText="0"/>
    </xf>
    <xf borderId="0" fillId="3" fontId="0" numFmtId="0" xfId="0" applyAlignment="1" applyFont="1">
      <alignment shrinkToFit="0" wrapText="0"/>
    </xf>
    <xf borderId="1" fillId="3" fontId="0" numFmtId="0" xfId="0" applyAlignment="1" applyBorder="1" applyFont="1">
      <alignment readingOrder="0" shrinkToFit="0" wrapText="1"/>
    </xf>
    <xf borderId="1" fillId="10" fontId="0" numFmtId="0" xfId="0" applyAlignment="1" applyBorder="1" applyFill="1" applyFont="1">
      <alignment readingOrder="0" shrinkToFit="0" wrapText="0"/>
    </xf>
    <xf borderId="1" fillId="10" fontId="0" numFmtId="0" xfId="0" applyAlignment="1" applyBorder="1" applyFont="1">
      <alignment shrinkToFit="0" wrapText="0"/>
    </xf>
    <xf borderId="1" fillId="10" fontId="0" numFmtId="164" xfId="0" applyAlignment="1" applyBorder="1" applyFont="1" applyNumberFormat="1">
      <alignment shrinkToFit="0" wrapText="0"/>
    </xf>
    <xf borderId="1" fillId="10" fontId="0" numFmtId="3" xfId="0" applyAlignment="1" applyBorder="1" applyFont="1" applyNumberFormat="1">
      <alignment shrinkToFit="0" wrapText="0"/>
    </xf>
    <xf borderId="0" fillId="10" fontId="4" numFmtId="0" xfId="0" applyAlignment="1" applyFont="1">
      <alignment shrinkToFit="0" wrapText="0"/>
    </xf>
    <xf borderId="0" fillId="10" fontId="0" numFmtId="0" xfId="0" applyAlignment="1" applyFont="1">
      <alignment shrinkToFit="0" wrapText="0"/>
    </xf>
    <xf borderId="1" fillId="5" fontId="0" numFmtId="0" xfId="0" applyAlignment="1" applyBorder="1" applyFont="1">
      <alignment readingOrder="0" shrinkToFit="0" wrapText="0"/>
    </xf>
    <xf borderId="1" fillId="5" fontId="0" numFmtId="0" xfId="0" applyAlignment="1" applyBorder="1" applyFont="1">
      <alignment shrinkToFit="0" wrapText="0"/>
    </xf>
    <xf borderId="1" fillId="5" fontId="0" numFmtId="164" xfId="0" applyAlignment="1" applyBorder="1" applyFont="1" applyNumberFormat="1">
      <alignment shrinkToFit="0" wrapText="0"/>
    </xf>
    <xf borderId="1" fillId="5" fontId="0" numFmtId="3" xfId="0" applyAlignment="1" applyBorder="1" applyFont="1" applyNumberFormat="1">
      <alignment shrinkToFit="0" wrapText="0"/>
    </xf>
    <xf borderId="0" fillId="5" fontId="4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14" numFmtId="0" xfId="0" applyAlignment="1" applyFont="1">
      <alignment horizontal="center" shrinkToFit="0" wrapText="0"/>
    </xf>
    <xf borderId="1" fillId="5" fontId="0" numFmtId="0" xfId="0" applyAlignment="1" applyBorder="1" applyFont="1">
      <alignment shrinkToFit="0" wrapText="0"/>
    </xf>
    <xf borderId="0" fillId="5" fontId="4" numFmtId="0" xfId="0" applyAlignment="1" applyFont="1">
      <alignment readingOrder="0" shrinkToFit="0" wrapText="0"/>
    </xf>
    <xf borderId="1" fillId="5" fontId="4" numFmtId="0" xfId="0" applyAlignment="1" applyBorder="1" applyFont="1">
      <alignment shrinkToFit="0" wrapText="0"/>
    </xf>
    <xf borderId="0" fillId="0" fontId="14" numFmtId="164" xfId="0" applyAlignment="1" applyFont="1" applyNumberFormat="1">
      <alignment horizontal="center" readingOrder="0" shrinkToFit="0" wrapText="0"/>
    </xf>
    <xf borderId="1" fillId="5" fontId="0" numFmtId="1" xfId="0" applyAlignment="1" applyBorder="1" applyFont="1" applyNumberFormat="1">
      <alignment readingOrder="0" shrinkToFit="0" wrapText="0"/>
    </xf>
    <xf borderId="4" fillId="5" fontId="0" numFmtId="164" xfId="0" applyAlignment="1" applyBorder="1" applyFont="1" applyNumberFormat="1">
      <alignment readingOrder="0" shrinkToFit="0" wrapText="0"/>
    </xf>
    <xf borderId="0" fillId="4" fontId="0" numFmtId="0" xfId="0" applyAlignment="1" applyFont="1">
      <alignment readingOrder="0" shrinkToFit="0" wrapText="0"/>
    </xf>
    <xf borderId="1" fillId="4" fontId="0" numFmtId="164" xfId="0" applyAlignment="1" applyBorder="1" applyFont="1" applyNumberFormat="1">
      <alignment shrinkToFit="0" wrapText="0"/>
    </xf>
    <xf borderId="4" fillId="4" fontId="0" numFmtId="0" xfId="0" applyAlignment="1" applyBorder="1" applyFont="1">
      <alignment shrinkToFit="0" wrapText="0"/>
    </xf>
    <xf borderId="0" fillId="4" fontId="4" numFmtId="0" xfId="0" applyAlignment="1" applyFont="1">
      <alignment shrinkToFit="0" wrapText="0"/>
    </xf>
    <xf borderId="0" fillId="4" fontId="0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0" numFmtId="1" xfId="0" applyAlignment="1" applyFont="1" applyNumberFormat="1">
      <alignment shrinkToFit="0" wrapText="0"/>
    </xf>
    <xf borderId="1" fillId="0" fontId="14" numFmtId="0" xfId="0" applyAlignment="1" applyBorder="1" applyFont="1">
      <alignment horizontal="left" shrinkToFit="0" wrapText="0"/>
    </xf>
    <xf borderId="0" fillId="0" fontId="4" numFmtId="0" xfId="0" applyAlignment="1" applyFont="1">
      <alignment shrinkToFit="0" vertical="bottom" wrapText="1"/>
    </xf>
    <xf borderId="1" fillId="0" fontId="14" numFmtId="1" xfId="0" applyAlignment="1" applyBorder="1" applyFont="1" applyNumberFormat="1">
      <alignment horizontal="center" shrinkToFit="0" wrapText="0"/>
    </xf>
    <xf borderId="0" fillId="7" fontId="4" numFmtId="0" xfId="0" applyAlignment="1" applyFont="1">
      <alignment shrinkToFit="0" vertical="bottom" wrapText="1"/>
    </xf>
    <xf borderId="1" fillId="0" fontId="14" numFmtId="164" xfId="0" applyAlignment="1" applyBorder="1" applyFont="1" applyNumberFormat="1">
      <alignment horizontal="center" shrinkToFit="0" wrapText="0"/>
    </xf>
    <xf borderId="0" fillId="0" fontId="4" numFmtId="0" xfId="0" applyAlignment="1" applyFont="1">
      <alignment horizontal="right" shrinkToFit="0" vertical="bottom" wrapText="1"/>
    </xf>
    <xf borderId="1" fillId="0" fontId="14" numFmtId="164" xfId="0" applyAlignment="1" applyBorder="1" applyFont="1" applyNumberFormat="1">
      <alignment horizontal="center" shrinkToFit="0" wrapText="0"/>
    </xf>
    <xf borderId="0" fillId="7" fontId="4" numFmtId="164" xfId="0" applyAlignment="1" applyFont="1" applyNumberFormat="1">
      <alignment shrinkToFit="0" vertical="bottom" wrapText="1"/>
    </xf>
    <xf borderId="1" fillId="0" fontId="14" numFmtId="0" xfId="0" applyAlignment="1" applyBorder="1" applyFont="1">
      <alignment horizontal="center" readingOrder="0" shrinkToFit="0" wrapText="0"/>
    </xf>
    <xf borderId="0" fillId="0" fontId="4" numFmtId="1" xfId="0" applyAlignment="1" applyFont="1" applyNumberFormat="1">
      <alignment shrinkToFit="0" vertical="bottom" wrapText="1"/>
    </xf>
    <xf borderId="1" fillId="0" fontId="14" numFmtId="164" xfId="0" applyAlignment="1" applyBorder="1" applyFont="1" applyNumberFormat="1">
      <alignment horizontal="center" readingOrder="0" shrinkToFit="0" wrapText="0"/>
    </xf>
    <xf borderId="0" fillId="0" fontId="15" numFmtId="0" xfId="0" applyAlignment="1" applyFont="1">
      <alignment horizontal="center" shrinkToFit="0" wrapText="1"/>
    </xf>
    <xf borderId="0" fillId="0" fontId="4" numFmtId="0" xfId="0" applyAlignment="1" applyFont="1">
      <alignment shrinkToFit="0" vertical="bottom" wrapText="1"/>
    </xf>
    <xf borderId="1" fillId="0" fontId="0" numFmtId="0" xfId="0" applyAlignment="1" applyBorder="1" applyFont="1">
      <alignment horizontal="left" shrinkToFit="0" wrapText="0"/>
    </xf>
    <xf borderId="0" fillId="0" fontId="3" numFmtId="0" xfId="0" applyAlignment="1" applyFont="1">
      <alignment shrinkToFit="0" vertical="bottom" wrapText="1"/>
    </xf>
    <xf borderId="1" fillId="0" fontId="4" numFmtId="0" xfId="0" applyAlignment="1" applyBorder="1" applyFont="1">
      <alignment horizontal="left" shrinkToFit="0" wrapText="0"/>
    </xf>
    <xf borderId="1" fillId="0" fontId="4" numFmtId="0" xfId="0" applyAlignment="1" applyBorder="1" applyFont="1">
      <alignment horizontal="center" shrinkToFit="0" wrapText="0"/>
    </xf>
    <xf borderId="1" fillId="0" fontId="0" numFmtId="1" xfId="0" applyAlignment="1" applyBorder="1" applyFont="1" applyNumberFormat="1">
      <alignment shrinkToFit="0" wrapText="1"/>
    </xf>
    <xf borderId="1" fillId="0" fontId="0" numFmtId="1" xfId="0" applyAlignment="1" applyBorder="1" applyFont="1" applyNumberFormat="1">
      <alignment horizontal="center" readingOrder="0" shrinkToFit="0" wrapText="0"/>
    </xf>
    <xf borderId="1" fillId="0" fontId="0" numFmtId="166" xfId="0" applyAlignment="1" applyBorder="1" applyFont="1" applyNumberFormat="1">
      <alignment shrinkToFit="0" wrapText="1"/>
    </xf>
    <xf borderId="1" fillId="0" fontId="0" numFmtId="164" xfId="0" applyAlignment="1" applyBorder="1" applyFont="1" applyNumberFormat="1">
      <alignment horizontal="center" shrinkToFit="0" wrapText="0"/>
    </xf>
    <xf borderId="0" fillId="0" fontId="0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 shrinkToFit="0" wrapText="0"/>
    </xf>
    <xf borderId="1" fillId="11" fontId="0" numFmtId="0" xfId="0" applyAlignment="1" applyBorder="1" applyFill="1" applyFont="1">
      <alignment shrinkToFit="0" wrapText="1"/>
    </xf>
    <xf borderId="0" fillId="0" fontId="3" numFmtId="0" xfId="0" applyAlignment="1" applyFont="1">
      <alignment shrinkToFit="0" vertical="bottom" wrapText="0"/>
    </xf>
    <xf borderId="1" fillId="0" fontId="0" numFmtId="164" xfId="0" applyAlignment="1" applyBorder="1" applyFont="1" applyNumberFormat="1">
      <alignment horizontal="center" shrinkToFit="0" wrapText="0"/>
    </xf>
    <xf borderId="0" fillId="7" fontId="4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5" fillId="0" fontId="4" numFmtId="0" xfId="0" applyAlignment="1" applyBorder="1" applyFont="1">
      <alignment shrinkToFit="0" vertical="bottom" wrapText="1"/>
    </xf>
    <xf borderId="1" fillId="11" fontId="0" numFmtId="0" xfId="0" applyAlignment="1" applyBorder="1" applyFont="1">
      <alignment horizontal="left" shrinkToFit="0" wrapText="1"/>
    </xf>
    <xf borderId="5" fillId="0" fontId="4" numFmtId="1" xfId="0" applyAlignment="1" applyBorder="1" applyFont="1" applyNumberFormat="1">
      <alignment shrinkToFit="0" vertical="bottom" wrapText="1"/>
    </xf>
    <xf borderId="1" fillId="0" fontId="0" numFmtId="0" xfId="0" applyAlignment="1" applyBorder="1" applyFont="1">
      <alignment horizontal="left" readingOrder="0" shrinkToFit="0" wrapText="0"/>
    </xf>
    <xf borderId="0" fillId="12" fontId="4" numFmtId="0" xfId="0" applyAlignment="1" applyFill="1" applyFont="1">
      <alignment shrinkToFit="0" vertical="bottom" wrapText="1"/>
    </xf>
    <xf borderId="1" fillId="0" fontId="4" numFmtId="0" xfId="0" applyAlignment="1" applyBorder="1" applyFont="1">
      <alignment horizontal="left" readingOrder="0" shrinkToFit="0" wrapText="0"/>
    </xf>
    <xf borderId="1" fillId="0" fontId="0" numFmtId="3" xfId="0" applyAlignment="1" applyBorder="1" applyFont="1" applyNumberFormat="1">
      <alignment horizontal="center" shrinkToFit="0" wrapText="0"/>
    </xf>
    <xf borderId="1" fillId="11" fontId="0" numFmtId="164" xfId="0" applyAlignment="1" applyBorder="1" applyFont="1" applyNumberFormat="1">
      <alignment shrinkToFit="0" wrapText="1"/>
    </xf>
    <xf borderId="1" fillId="0" fontId="0" numFmtId="0" xfId="0" applyAlignment="1" applyBorder="1" applyFont="1">
      <alignment horizontal="left" readingOrder="0" shrinkToFit="0" wrapText="1"/>
    </xf>
    <xf borderId="1" fillId="11" fontId="0" numFmtId="1" xfId="0" applyAlignment="1" applyBorder="1" applyFont="1" applyNumberFormat="1">
      <alignment shrinkToFit="0" wrapText="1"/>
    </xf>
    <xf borderId="1" fillId="0" fontId="0" numFmtId="3" xfId="0" applyAlignment="1" applyBorder="1" applyFont="1" applyNumberFormat="1">
      <alignment horizontal="center" readingOrder="0" shrinkToFit="0" wrapText="0"/>
    </xf>
    <xf borderId="1" fillId="11" fontId="0" numFmtId="166" xfId="0" applyAlignment="1" applyBorder="1" applyFont="1" applyNumberFormat="1">
      <alignment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0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1" numFmtId="0" xfId="0" applyAlignment="1" applyFont="1">
      <alignment horizontal="left" shrinkToFit="0" wrapText="1"/>
    </xf>
    <xf borderId="1" fillId="0" fontId="1" numFmtId="164" xfId="0" applyAlignment="1" applyBorder="1" applyFont="1" applyNumberFormat="1">
      <alignment horizontal="center" readingOrder="0" shrinkToFit="0" wrapText="1"/>
    </xf>
    <xf borderId="6" fillId="7" fontId="16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horizontal="left" shrinkToFit="0" wrapText="1"/>
    </xf>
    <xf borderId="0" fillId="0" fontId="0" numFmtId="164" xfId="0" applyAlignment="1" applyFont="1" applyNumberFormat="1">
      <alignment shrinkToFit="0" wrapText="1"/>
    </xf>
    <xf borderId="1" fillId="0" fontId="15" numFmtId="0" xfId="0" applyAlignment="1" applyBorder="1" applyFont="1">
      <alignment horizontal="center" readingOrder="0" shrinkToFit="0" wrapText="1"/>
    </xf>
    <xf borderId="0" fillId="0" fontId="0" numFmtId="0" xfId="0" applyAlignment="1" applyFont="1">
      <alignment shrinkToFit="0" wrapText="1"/>
    </xf>
    <xf borderId="7" fillId="0" fontId="3" numFmtId="0" xfId="0" applyAlignment="1" applyBorder="1" applyFont="1">
      <alignment horizontal="right" shrinkToFit="0" vertical="bottom" wrapText="1"/>
    </xf>
    <xf borderId="0" fillId="0" fontId="1" numFmtId="164" xfId="0" applyAlignment="1" applyFont="1" applyNumberFormat="1">
      <alignment horizontal="center" shrinkToFit="0" wrapText="1"/>
    </xf>
    <xf borderId="0" fillId="7" fontId="16" numFmtId="164" xfId="0" applyAlignment="1" applyFont="1" applyNumberFormat="1">
      <alignment horizontal="right" shrinkToFit="0" vertical="bottom" wrapText="1"/>
    </xf>
    <xf borderId="6" fillId="7" fontId="16" numFmtId="164" xfId="0" applyAlignment="1" applyBorder="1" applyFont="1" applyNumberFormat="1">
      <alignment horizontal="right" shrinkToFit="0" vertical="bottom" wrapText="1"/>
    </xf>
    <xf borderId="7" fillId="0" fontId="3" numFmtId="1" xfId="0" applyAlignment="1" applyBorder="1" applyFont="1" applyNumberFormat="1">
      <alignment horizontal="right" shrinkToFit="0" vertical="bottom" wrapText="1"/>
    </xf>
    <xf borderId="0" fillId="13" fontId="1" numFmtId="0" xfId="0" applyAlignment="1" applyFill="1" applyFont="1">
      <alignment shrinkToFit="0" wrapText="1"/>
    </xf>
    <xf borderId="0" fillId="7" fontId="16" numFmtId="164" xfId="0" applyAlignment="1" applyFont="1" applyNumberFormat="1">
      <alignment horizontal="right" shrinkToFit="0" vertical="bottom" wrapText="1"/>
    </xf>
    <xf borderId="1" fillId="13" fontId="0" numFmtId="0" xfId="0" applyAlignment="1" applyBorder="1" applyFont="1">
      <alignment shrinkToFit="0" wrapText="1"/>
    </xf>
    <xf borderId="0" fillId="0" fontId="4" numFmtId="167" xfId="0" applyAlignment="1" applyFont="1" applyNumberFormat="1">
      <alignment horizontal="right" shrinkToFit="0" vertical="bottom" wrapText="1"/>
    </xf>
    <xf borderId="1" fillId="13" fontId="0" numFmtId="0" xfId="0" applyAlignment="1" applyBorder="1" applyFont="1">
      <alignment readingOrder="0" shrinkToFit="0" wrapText="1"/>
    </xf>
    <xf borderId="1" fillId="13" fontId="0" numFmtId="164" xfId="0" applyAlignment="1" applyBorder="1" applyFont="1" applyNumberFormat="1">
      <alignment shrinkToFit="0" wrapText="1"/>
    </xf>
    <xf borderId="1" fillId="13" fontId="0" numFmtId="1" xfId="0" applyAlignment="1" applyBorder="1" applyFont="1" applyNumberFormat="1">
      <alignment shrinkToFit="0" wrapText="1"/>
    </xf>
    <xf borderId="0" fillId="14" fontId="4" numFmtId="167" xfId="0" applyAlignment="1" applyFill="1" applyFont="1" applyNumberFormat="1">
      <alignment horizontal="right" shrinkToFit="0" vertical="bottom" wrapText="1"/>
    </xf>
    <xf borderId="1" fillId="13" fontId="0" numFmtId="166" xfId="0" applyAlignment="1" applyBorder="1" applyFont="1" applyNumberFormat="1">
      <alignment shrinkToFit="0" wrapText="1"/>
    </xf>
    <xf borderId="0" fillId="13" fontId="0" numFmtId="0" xfId="0" applyAlignment="1" applyFont="1">
      <alignment shrinkToFit="0" wrapText="1"/>
    </xf>
    <xf borderId="0" fillId="13" fontId="0" numFmtId="164" xfId="0" applyAlignment="1" applyFont="1" applyNumberFormat="1">
      <alignment shrinkToFit="0" wrapText="1"/>
    </xf>
    <xf borderId="0" fillId="13" fontId="0" numFmtId="0" xfId="0" applyAlignment="1" applyFont="1">
      <alignment shrinkToFit="0" wrapText="1"/>
    </xf>
    <xf borderId="0" fillId="7" fontId="16" numFmtId="165" xfId="0" applyAlignment="1" applyFont="1" applyNumberFormat="1">
      <alignment horizontal="right" shrinkToFit="0" vertical="bottom" wrapText="1"/>
    </xf>
    <xf borderId="1" fillId="15" fontId="0" numFmtId="0" xfId="0" applyAlignment="1" applyBorder="1" applyFill="1" applyFont="1">
      <alignment shrinkToFit="0" wrapText="1"/>
    </xf>
    <xf borderId="1" fillId="15" fontId="0" numFmtId="164" xfId="0" applyAlignment="1" applyBorder="1" applyFont="1" applyNumberFormat="1">
      <alignment shrinkToFit="0" wrapText="1"/>
    </xf>
    <xf borderId="6" fillId="7" fontId="16" numFmtId="0" xfId="0" applyAlignment="1" applyBorder="1" applyFont="1">
      <alignment horizontal="right" shrinkToFit="0" vertical="bottom" wrapText="1"/>
    </xf>
    <xf borderId="1" fillId="15" fontId="0" numFmtId="1" xfId="0" applyAlignment="1" applyBorder="1" applyFont="1" applyNumberFormat="1">
      <alignment shrinkToFit="0" wrapText="1"/>
    </xf>
    <xf borderId="7" fillId="0" fontId="4" numFmtId="0" xfId="0" applyAlignment="1" applyBorder="1" applyFont="1">
      <alignment shrinkToFit="0" vertical="bottom" wrapText="1"/>
    </xf>
    <xf borderId="1" fillId="15" fontId="0" numFmtId="166" xfId="0" applyAlignment="1" applyBorder="1" applyFont="1" applyNumberFormat="1">
      <alignment shrinkToFit="0" wrapText="1"/>
    </xf>
    <xf borderId="1" fillId="13" fontId="0" numFmtId="0" xfId="0" applyAlignment="1" applyBorder="1" applyFont="1">
      <alignment horizontal="left" shrinkToFit="0" wrapText="1"/>
    </xf>
    <xf borderId="1" fillId="15" fontId="0" numFmtId="0" xfId="0" applyAlignment="1" applyBorder="1" applyFont="1">
      <alignment horizontal="left" shrinkToFit="0" wrapText="1"/>
    </xf>
    <xf borderId="1" fillId="15" fontId="0" numFmtId="0" xfId="0" applyAlignment="1" applyBorder="1" applyFont="1">
      <alignment readingOrder="0" shrinkToFit="0" wrapText="1"/>
    </xf>
    <xf borderId="0" fillId="7" fontId="4" numFmtId="164" xfId="0" applyAlignment="1" applyFont="1" applyNumberFormat="1">
      <alignment horizontal="right" shrinkToFit="0" vertical="bottom" wrapText="1"/>
    </xf>
    <xf borderId="1" fillId="0" fontId="0" numFmtId="0" xfId="0" applyAlignment="1" applyBorder="1" applyFont="1">
      <alignment horizontal="left" shrinkToFit="0" wrapText="1"/>
    </xf>
    <xf borderId="1" fillId="0" fontId="0" numFmtId="164" xfId="0" applyAlignment="1" applyBorder="1" applyFont="1" applyNumberFormat="1">
      <alignment shrinkToFit="0" wrapText="1"/>
    </xf>
    <xf borderId="1" fillId="15" fontId="0" numFmtId="0" xfId="0" applyAlignment="1" applyBorder="1" applyFont="1">
      <alignment horizontal="left" readingOrder="0" shrinkToFit="0" wrapText="1"/>
    </xf>
    <xf borderId="6" fillId="7" fontId="4" numFmtId="164" xfId="0" applyAlignment="1" applyBorder="1" applyFont="1" applyNumberFormat="1">
      <alignment shrinkToFit="0" vertical="bottom" wrapText="1"/>
    </xf>
    <xf borderId="1" fillId="15" fontId="0" numFmtId="1" xfId="0" applyAlignment="1" applyBorder="1" applyFont="1" applyNumberFormat="1">
      <alignment readingOrder="0" shrinkToFit="0" wrapText="1"/>
    </xf>
    <xf borderId="1" fillId="15" fontId="0" numFmtId="166" xfId="0" applyAlignment="1" applyBorder="1" applyFont="1" applyNumberFormat="1">
      <alignment readingOrder="0" shrinkToFit="0" wrapText="1"/>
    </xf>
    <xf borderId="7" fillId="0" fontId="4" numFmtId="1" xfId="0" applyAlignment="1" applyBorder="1" applyFont="1" applyNumberFormat="1">
      <alignment horizontal="center" shrinkToFit="0" vertical="bottom" wrapText="1"/>
    </xf>
    <xf borderId="0" fillId="7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1" fillId="16" fontId="0" numFmtId="0" xfId="0" applyAlignment="1" applyBorder="1" applyFill="1" applyFont="1">
      <alignment shrinkToFit="0" wrapText="1"/>
    </xf>
    <xf borderId="1" fillId="16" fontId="0" numFmtId="0" xfId="0" applyAlignment="1" applyBorder="1" applyFont="1">
      <alignment horizontal="left" shrinkToFit="0" wrapText="1"/>
    </xf>
    <xf borderId="1" fillId="16" fontId="0" numFmtId="164" xfId="0" applyAlignment="1" applyBorder="1" applyFont="1" applyNumberFormat="1">
      <alignment shrinkToFit="0" wrapText="1"/>
    </xf>
    <xf borderId="1" fillId="16" fontId="0" numFmtId="1" xfId="0" applyAlignment="1" applyBorder="1" applyFont="1" applyNumberFormat="1">
      <alignment shrinkToFit="0" wrapText="1"/>
    </xf>
    <xf borderId="1" fillId="16" fontId="0" numFmtId="166" xfId="0" applyAlignment="1" applyBorder="1" applyFont="1" applyNumberFormat="1">
      <alignment shrinkToFit="0" wrapText="1"/>
    </xf>
    <xf borderId="6" fillId="7" fontId="4" numFmtId="0" xfId="0" applyAlignment="1" applyBorder="1" applyFont="1">
      <alignment shrinkToFit="0" vertical="bottom" wrapText="1"/>
    </xf>
    <xf borderId="1" fillId="17" fontId="0" numFmtId="0" xfId="0" applyAlignment="1" applyBorder="1" applyFill="1" applyFont="1">
      <alignment shrinkToFit="0" wrapText="1"/>
    </xf>
    <xf borderId="1" fillId="17" fontId="0" numFmtId="164" xfId="0" applyAlignment="1" applyBorder="1" applyFont="1" applyNumberFormat="1">
      <alignment shrinkToFit="0" wrapText="1"/>
    </xf>
    <xf borderId="1" fillId="17" fontId="0" numFmtId="1" xfId="0" applyAlignment="1" applyBorder="1" applyFont="1" applyNumberFormat="1">
      <alignment shrinkToFit="0" wrapText="1"/>
    </xf>
    <xf borderId="1" fillId="17" fontId="0" numFmtId="166" xfId="0" applyAlignment="1" applyBorder="1" applyFont="1" applyNumberFormat="1">
      <alignment shrinkToFit="0" wrapText="1"/>
    </xf>
    <xf borderId="1" fillId="17" fontId="0" numFmtId="0" xfId="0" applyAlignment="1" applyBorder="1" applyFont="1">
      <alignment horizontal="left" shrinkToFit="0" wrapText="1"/>
    </xf>
    <xf borderId="7" fillId="0" fontId="4" numFmtId="1" xfId="0" applyAlignment="1" applyBorder="1" applyFont="1" applyNumberFormat="1">
      <alignment shrinkToFit="0" vertical="bottom" wrapText="1"/>
    </xf>
    <xf borderId="8" fillId="17" fontId="0" numFmtId="0" xfId="0" applyAlignment="1" applyBorder="1" applyFont="1">
      <alignment shrinkToFit="0" wrapText="1"/>
    </xf>
    <xf borderId="8" fillId="17" fontId="0" numFmtId="0" xfId="0" applyAlignment="1" applyBorder="1" applyFont="1">
      <alignment horizontal="left" shrinkToFit="0" wrapText="1"/>
    </xf>
    <xf borderId="1" fillId="17" fontId="0" numFmtId="0" xfId="0" applyAlignment="1" applyBorder="1" applyFont="1">
      <alignment readingOrder="0" shrinkToFit="0" wrapText="1"/>
    </xf>
    <xf borderId="0" fillId="7" fontId="4" numFmtId="165" xfId="0" applyAlignment="1" applyFont="1" applyNumberFormat="1">
      <alignment shrinkToFit="0" vertical="bottom" wrapText="1"/>
    </xf>
    <xf borderId="6" fillId="7" fontId="4" numFmtId="0" xfId="0" applyAlignment="1" applyBorder="1" applyFont="1">
      <alignment shrinkToFit="0" vertical="bottom" wrapText="1"/>
    </xf>
    <xf borderId="1" fillId="18" fontId="0" numFmtId="0" xfId="0" applyAlignment="1" applyBorder="1" applyFill="1" applyFont="1">
      <alignment shrinkToFit="0" wrapText="1"/>
    </xf>
    <xf borderId="1" fillId="18" fontId="0" numFmtId="0" xfId="0" applyAlignment="1" applyBorder="1" applyFont="1">
      <alignment horizontal="left" shrinkToFit="0" wrapText="1"/>
    </xf>
    <xf borderId="1" fillId="18" fontId="0" numFmtId="164" xfId="0" applyAlignment="1" applyBorder="1" applyFont="1" applyNumberFormat="1">
      <alignment shrinkToFit="0" wrapText="1"/>
    </xf>
    <xf borderId="1" fillId="18" fontId="0" numFmtId="1" xfId="0" applyAlignment="1" applyBorder="1" applyFont="1" applyNumberFormat="1">
      <alignment shrinkToFit="0" wrapText="1"/>
    </xf>
    <xf borderId="1" fillId="18" fontId="0" numFmtId="166" xfId="0" applyAlignment="1" applyBorder="1" applyFont="1" applyNumberFormat="1">
      <alignment shrinkToFit="0" wrapText="1"/>
    </xf>
    <xf borderId="1" fillId="18" fontId="0" numFmtId="0" xfId="0" applyAlignment="1" applyBorder="1" applyFont="1">
      <alignment readingOrder="0" shrinkToFit="0" wrapText="1"/>
    </xf>
    <xf borderId="1" fillId="18" fontId="0" numFmtId="166" xfId="0" applyAlignment="1" applyBorder="1" applyFont="1" applyNumberFormat="1">
      <alignment readingOrder="0" shrinkToFit="0" wrapText="1"/>
    </xf>
    <xf borderId="6" fillId="0" fontId="13" numFmtId="0" xfId="0" applyAlignment="1" applyBorder="1" applyFont="1">
      <alignment shrinkToFit="0" vertical="bottom" wrapText="1"/>
    </xf>
    <xf borderId="2" fillId="18" fontId="13" numFmtId="0" xfId="0" applyAlignment="1" applyBorder="1" applyFont="1">
      <alignment readingOrder="0" shrinkToFit="0" vertical="bottom" wrapText="1"/>
    </xf>
    <xf borderId="2" fillId="18" fontId="13" numFmtId="0" xfId="0" applyAlignment="1" applyBorder="1" applyFont="1">
      <alignment shrinkToFit="0" vertical="bottom" wrapText="1"/>
    </xf>
    <xf borderId="2" fillId="18" fontId="13" numFmtId="0" xfId="0" applyAlignment="1" applyBorder="1" applyFont="1">
      <alignment horizontal="right" shrinkToFit="0" vertical="bottom" wrapText="1"/>
    </xf>
    <xf borderId="2" fillId="18" fontId="13" numFmtId="164" xfId="0" applyAlignment="1" applyBorder="1" applyFont="1" applyNumberFormat="1">
      <alignment horizontal="right" shrinkToFit="0" vertical="bottom" wrapText="1"/>
    </xf>
    <xf borderId="2" fillId="18" fontId="13" numFmtId="1" xfId="0" applyAlignment="1" applyBorder="1" applyFont="1" applyNumberFormat="1">
      <alignment horizontal="right" shrinkToFit="0" vertical="bottom" wrapText="1"/>
    </xf>
    <xf borderId="2" fillId="18" fontId="13" numFmtId="166" xfId="0" applyAlignment="1" applyBorder="1" applyFont="1" applyNumberFormat="1">
      <alignment horizontal="right" shrinkToFit="0" vertical="bottom" wrapText="1"/>
    </xf>
    <xf borderId="0" fillId="0" fontId="13" numFmtId="0" xfId="0" applyAlignment="1" applyFont="1">
      <alignment shrinkToFit="0" vertical="bottom" wrapText="1"/>
    </xf>
    <xf borderId="0" fillId="0" fontId="13" numFmtId="164" xfId="0" applyAlignment="1" applyFont="1" applyNumberFormat="1">
      <alignment horizontal="right" shrinkToFit="0" vertical="bottom" wrapText="1"/>
    </xf>
    <xf borderId="0" fillId="7" fontId="16" numFmtId="0" xfId="0" applyAlignment="1" applyFont="1">
      <alignment horizontal="right" shrinkToFit="0" vertical="bottom" wrapText="1"/>
    </xf>
    <xf borderId="1" fillId="6" fontId="0" numFmtId="0" xfId="0" applyAlignment="1" applyBorder="1" applyFont="1">
      <alignment shrinkToFit="0" wrapText="1"/>
    </xf>
    <xf borderId="8" fillId="6" fontId="0" numFmtId="0" xfId="0" applyAlignment="1" applyBorder="1" applyFont="1">
      <alignment shrinkToFit="0" wrapText="1"/>
    </xf>
    <xf borderId="8" fillId="6" fontId="0" numFmtId="0" xfId="0" applyAlignment="1" applyBorder="1" applyFont="1">
      <alignment horizontal="left" shrinkToFit="0" wrapText="1"/>
    </xf>
    <xf borderId="1" fillId="6" fontId="0" numFmtId="164" xfId="0" applyAlignment="1" applyBorder="1" applyFont="1" applyNumberFormat="1">
      <alignment shrinkToFit="0" wrapText="1"/>
    </xf>
    <xf borderId="1" fillId="6" fontId="0" numFmtId="1" xfId="0" applyAlignment="1" applyBorder="1" applyFont="1" applyNumberFormat="1">
      <alignment shrinkToFit="0" wrapText="1"/>
    </xf>
    <xf borderId="1" fillId="6" fontId="0" numFmtId="166" xfId="0" applyAlignment="1" applyBorder="1" applyFont="1" applyNumberFormat="1">
      <alignment shrinkToFit="0" wrapText="1"/>
    </xf>
    <xf borderId="0" fillId="6" fontId="1" numFmtId="0" xfId="0" applyAlignment="1" applyFont="1">
      <alignment shrinkToFit="0" wrapText="1"/>
    </xf>
    <xf borderId="0" fillId="6" fontId="0" numFmtId="164" xfId="0" applyAlignment="1" applyFont="1" applyNumberFormat="1">
      <alignment shrinkToFit="0" wrapText="1"/>
    </xf>
    <xf borderId="0" fillId="6" fontId="0" numFmtId="0" xfId="0" applyAlignment="1" applyFont="1">
      <alignment shrinkToFit="0" wrapText="1"/>
    </xf>
    <xf borderId="0" fillId="7" fontId="16" numFmtId="0" xfId="0" applyAlignment="1" applyFont="1">
      <alignment horizontal="center" shrinkToFit="0" vertical="bottom" wrapText="1"/>
    </xf>
    <xf borderId="0" fillId="13" fontId="17" numFmtId="0" xfId="0" applyAlignment="1" applyFont="1">
      <alignment readingOrder="0" shrinkToFit="0" wrapText="1"/>
    </xf>
    <xf borderId="6" fillId="7" fontId="16" numFmtId="0" xfId="0" applyAlignment="1" applyBorder="1" applyFont="1">
      <alignment horizontal="center" shrinkToFit="0" vertical="bottom" wrapText="1"/>
    </xf>
    <xf borderId="0" fillId="7" fontId="16" numFmtId="164" xfId="0" applyAlignment="1" applyFont="1" applyNumberFormat="1">
      <alignment horizontal="center" shrinkToFit="0" vertical="bottom" wrapText="1"/>
    </xf>
    <xf borderId="1" fillId="6" fontId="0" numFmtId="0" xfId="0" applyAlignment="1" applyBorder="1" applyFont="1">
      <alignment readingOrder="0" shrinkToFit="0" wrapText="1"/>
    </xf>
    <xf borderId="6" fillId="7" fontId="16" numFmtId="164" xfId="0" applyAlignment="1" applyBorder="1" applyFont="1" applyNumberFormat="1">
      <alignment horizontal="center" shrinkToFit="0" vertical="bottom" wrapText="1"/>
    </xf>
    <xf borderId="7" fillId="0" fontId="3" numFmtId="1" xfId="0" applyAlignment="1" applyBorder="1" applyFont="1" applyNumberFormat="1">
      <alignment horizontal="center" shrinkToFit="0" vertical="bottom" wrapText="1"/>
    </xf>
    <xf borderId="1" fillId="19" fontId="0" numFmtId="0" xfId="0" applyAlignment="1" applyBorder="1" applyFill="1" applyFont="1">
      <alignment shrinkToFit="0" wrapText="1"/>
    </xf>
    <xf borderId="1" fillId="19" fontId="0" numFmtId="0" xfId="0" applyAlignment="1" applyBorder="1" applyFont="1">
      <alignment horizontal="left" shrinkToFit="0" wrapText="1"/>
    </xf>
    <xf borderId="1" fillId="19" fontId="0" numFmtId="164" xfId="0" applyAlignment="1" applyBorder="1" applyFont="1" applyNumberFormat="1">
      <alignment shrinkToFit="0" wrapText="1"/>
    </xf>
    <xf borderId="1" fillId="19" fontId="0" numFmtId="1" xfId="0" applyAlignment="1" applyBorder="1" applyFont="1" applyNumberFormat="1">
      <alignment shrinkToFit="0" wrapText="1"/>
    </xf>
    <xf borderId="1" fillId="19" fontId="0" numFmtId="166" xfId="0" applyAlignment="1" applyBorder="1" applyFont="1" applyNumberForma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1" fillId="19" fontId="0" numFmtId="0" xfId="0" applyAlignment="1" applyBorder="1" applyFont="1">
      <alignment readingOrder="0" shrinkToFit="0" wrapText="1"/>
    </xf>
    <xf borderId="0" fillId="7" fontId="16" numFmtId="0" xfId="0" applyAlignment="1" applyFont="1">
      <alignment horizontal="center" shrinkToFit="0" vertical="bottom" wrapText="1"/>
    </xf>
    <xf borderId="1" fillId="20" fontId="0" numFmtId="0" xfId="0" applyAlignment="1" applyBorder="1" applyFill="1" applyFont="1">
      <alignment shrinkToFit="0" wrapText="1"/>
    </xf>
    <xf borderId="1" fillId="20" fontId="0" numFmtId="164" xfId="0" applyAlignment="1" applyBorder="1" applyFont="1" applyNumberFormat="1">
      <alignment shrinkToFit="0" wrapText="1"/>
    </xf>
    <xf borderId="1" fillId="20" fontId="0" numFmtId="1" xfId="0" applyAlignment="1" applyBorder="1" applyFont="1" applyNumberFormat="1">
      <alignment shrinkToFit="0" wrapText="1"/>
    </xf>
    <xf borderId="1" fillId="20" fontId="0" numFmtId="166" xfId="0" applyAlignment="1" applyBorder="1" applyFont="1" applyNumberFormat="1">
      <alignment shrinkToFit="0" wrapText="1"/>
    </xf>
    <xf borderId="1" fillId="20" fontId="0" numFmtId="0" xfId="0" applyAlignment="1" applyBorder="1" applyFont="1">
      <alignment horizontal="left" shrinkToFit="0" wrapText="1"/>
    </xf>
    <xf borderId="1" fillId="20" fontId="0" numFmtId="0" xfId="0" applyAlignment="1" applyBorder="1" applyFont="1">
      <alignment readingOrder="0" shrinkToFit="0" wrapText="1"/>
    </xf>
    <xf borderId="0" fillId="0" fontId="0" numFmtId="166" xfId="0" applyAlignment="1" applyFont="1" applyNumberFormat="1">
      <alignment shrinkToFit="0" wrapText="1"/>
    </xf>
    <xf borderId="0" fillId="0" fontId="0" numFmtId="1" xfId="0" applyAlignment="1" applyFont="1" applyNumberFormat="1">
      <alignment shrinkToFit="0" wrapText="1"/>
    </xf>
    <xf borderId="1" fillId="0" fontId="14" numFmtId="0" xfId="0" applyAlignment="1" applyBorder="1" applyFont="1">
      <alignment shrinkToFit="0" wrapText="1"/>
    </xf>
    <xf borderId="1" fillId="0" fontId="14" numFmtId="0" xfId="0" applyAlignment="1" applyBorder="1" applyFont="1">
      <alignment horizontal="left" shrinkToFit="0" wrapText="1"/>
    </xf>
    <xf borderId="1" fillId="0" fontId="14" numFmtId="3" xfId="0" applyAlignment="1" applyBorder="1" applyFont="1" applyNumberFormat="1">
      <alignment readingOrder="0" shrinkToFit="0" wrapText="1"/>
    </xf>
    <xf borderId="1" fillId="0" fontId="14" numFmtId="164" xfId="0" applyAlignment="1" applyBorder="1" applyFont="1" applyNumberFormat="1">
      <alignment shrinkToFit="0" wrapText="1"/>
    </xf>
    <xf borderId="1" fillId="0" fontId="14" numFmtId="0" xfId="0" applyAlignment="1" applyBorder="1" applyFont="1">
      <alignment shrinkToFit="0" wrapText="0"/>
    </xf>
    <xf borderId="0" fillId="0" fontId="15" numFmtId="0" xfId="0" applyAlignment="1" applyFont="1">
      <alignment shrinkToFit="0" wrapText="1"/>
    </xf>
    <xf borderId="1" fillId="0" fontId="18" numFmtId="0" xfId="0" applyAlignment="1" applyBorder="1" applyFont="1">
      <alignment shrinkToFit="0" vertical="bottom" wrapText="1"/>
    </xf>
    <xf borderId="2" fillId="0" fontId="18" numFmtId="0" xfId="0" applyAlignment="1" applyBorder="1" applyFont="1">
      <alignment shrinkToFit="0" vertical="bottom" wrapText="1"/>
    </xf>
    <xf borderId="2" fillId="0" fontId="18" numFmtId="0" xfId="0" applyAlignment="1" applyBorder="1" applyFont="1">
      <alignment horizontal="left" readingOrder="0" shrinkToFit="0" vertical="bottom" wrapText="1"/>
    </xf>
    <xf borderId="2" fillId="0" fontId="18" numFmtId="165" xfId="0" applyAlignment="1" applyBorder="1" applyFont="1" applyNumberFormat="1">
      <alignment horizontal="right" shrinkToFit="0" vertical="bottom" wrapText="1"/>
    </xf>
    <xf borderId="2" fillId="0" fontId="18" numFmtId="0" xfId="0" applyAlignment="1" applyBorder="1" applyFont="1">
      <alignment horizontal="right" readingOrder="0" shrinkToFit="0" vertical="bottom" wrapText="1"/>
    </xf>
    <xf borderId="2" fillId="0" fontId="18" numFmtId="0" xfId="0" applyAlignment="1" applyBorder="1" applyFont="1">
      <alignment readingOrder="0" shrinkToFit="0" vertical="bottom" wrapText="1"/>
    </xf>
    <xf borderId="2" fillId="0" fontId="18" numFmtId="3" xfId="0" applyAlignment="1" applyBorder="1" applyFont="1" applyNumberFormat="1">
      <alignment readingOrder="0" shrinkToFit="0" vertical="bottom" wrapText="1"/>
    </xf>
    <xf borderId="2" fillId="0" fontId="18" numFmtId="164" xfId="0" applyAlignment="1" applyBorder="1" applyFont="1" applyNumberFormat="1">
      <alignment horizontal="right" readingOrder="0" shrinkToFit="0" vertical="bottom" wrapText="1"/>
    </xf>
    <xf borderId="2" fillId="0" fontId="18" numFmtId="0" xfId="0" applyAlignment="1" applyBorder="1" applyFont="1">
      <alignment horizontal="right" shrinkToFit="0" vertical="bottom" wrapText="1"/>
    </xf>
    <xf borderId="2" fillId="0" fontId="18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readingOrder="0" shrinkToFit="0" wrapText="1"/>
    </xf>
    <xf borderId="1" fillId="0" fontId="14" numFmtId="165" xfId="0" applyAlignment="1" applyBorder="1" applyFont="1" applyNumberFormat="1">
      <alignment readingOrder="0" shrinkToFit="0" wrapText="1"/>
    </xf>
    <xf borderId="1" fillId="0" fontId="14" numFmtId="164" xfId="0" applyAlignment="1" applyBorder="1" applyFont="1" applyNumberFormat="1">
      <alignment readingOrder="0" shrinkToFit="0" wrapText="1"/>
    </xf>
    <xf borderId="1" fillId="0" fontId="14" numFmtId="0" xfId="0" applyAlignment="1" applyBorder="1" applyFont="1">
      <alignment shrinkToFit="0" wrapText="1"/>
    </xf>
    <xf borderId="1" fillId="0" fontId="15" numFmtId="0" xfId="0" applyAlignment="1" applyBorder="1" applyFont="1">
      <alignment readingOrder="0" shrinkToFit="0" wrapText="0"/>
    </xf>
    <xf borderId="1" fillId="0" fontId="14" numFmtId="165" xfId="0" applyAlignment="1" applyBorder="1" applyFont="1" applyNumberFormat="1">
      <alignment shrinkToFit="0" wrapText="1"/>
    </xf>
    <xf borderId="1" fillId="0" fontId="14" numFmtId="0" xfId="0" applyAlignment="1" applyBorder="1" applyFont="1">
      <alignment horizontal="left" readingOrder="0" shrinkToFit="0" wrapText="1"/>
    </xf>
    <xf borderId="1" fillId="0" fontId="14" numFmtId="0" xfId="0" applyAlignment="1" applyBorder="1" applyFont="1">
      <alignment readingOrder="0" shrinkToFit="0" wrapText="0"/>
    </xf>
    <xf borderId="1" fillId="0" fontId="14" numFmtId="3" xfId="0" applyAlignment="1" applyBorder="1" applyFont="1" applyNumberFormat="1">
      <alignment shrinkToFit="0" wrapText="1"/>
    </xf>
    <xf borderId="0" fillId="0" fontId="15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15" numFmtId="3" xfId="0" applyAlignment="1" applyFont="1" applyNumberFormat="1">
      <alignment readingOrder="0" shrinkToFit="0" wrapText="1"/>
    </xf>
    <xf borderId="0" fillId="0" fontId="15" numFmtId="164" xfId="0" applyAlignment="1" applyFont="1" applyNumberFormat="1">
      <alignment readingOrder="0" shrinkToFit="0" wrapText="1"/>
    </xf>
    <xf borderId="0" fillId="21" fontId="1" numFmtId="0" xfId="0" applyAlignment="1" applyFill="1" applyFont="1">
      <alignment shrinkToFit="0" wrapText="1"/>
    </xf>
    <xf borderId="0" fillId="14" fontId="4" numFmtId="0" xfId="0" applyAlignment="1" applyFont="1">
      <alignment horizontal="right" shrinkToFit="0" vertical="bottom" wrapText="1"/>
    </xf>
    <xf borderId="0" fillId="21" fontId="1" numFmtId="3" xfId="0" applyAlignment="1" applyFont="1" applyNumberFormat="1">
      <alignment shrinkToFit="0" wrapText="1"/>
    </xf>
    <xf borderId="0" fillId="21" fontId="1" numFmtId="164" xfId="0" applyAlignment="1" applyFont="1" applyNumberFormat="1">
      <alignment shrinkToFit="0" wrapText="1"/>
    </xf>
    <xf borderId="0" fillId="0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shrinkToFit="0" vertical="center" wrapText="0"/>
    </xf>
    <xf borderId="0" fillId="0" fontId="14" numFmtId="0" xfId="0" applyAlignment="1" applyFont="1">
      <alignment readingOrder="0" shrinkToFit="0" wrapText="1"/>
    </xf>
    <xf borderId="0" fillId="0" fontId="20" numFmtId="0" xfId="0" applyAlignment="1" applyFont="1">
      <alignment shrinkToFit="0" vertical="center" wrapText="0"/>
    </xf>
    <xf borderId="0" fillId="0" fontId="14" numFmtId="0" xfId="0" applyAlignment="1" applyFont="1">
      <alignment shrinkToFit="0" wrapText="1"/>
    </xf>
    <xf borderId="0" fillId="0" fontId="20" numFmtId="168" xfId="0" applyAlignment="1" applyFont="1" applyNumberFormat="1">
      <alignment horizontal="center" shrinkToFit="0" vertical="center" wrapText="0"/>
    </xf>
    <xf borderId="0" fillId="0" fontId="14" numFmtId="0" xfId="0" applyAlignment="1" applyFont="1">
      <alignment horizontal="left" readingOrder="0" shrinkToFit="0" wrapText="1"/>
    </xf>
    <xf borderId="0" fillId="0" fontId="22" numFmtId="0" xfId="0" applyAlignment="1" applyFont="1">
      <alignment shrinkToFit="0" vertical="center" wrapText="0"/>
    </xf>
    <xf borderId="0" fillId="0" fontId="14" numFmtId="165" xfId="0" applyAlignment="1" applyFont="1" applyNumberFormat="1">
      <alignment readingOrder="0" shrinkToFit="0" wrapText="1"/>
    </xf>
    <xf borderId="8" fillId="22" fontId="21" numFmtId="0" xfId="0" applyAlignment="1" applyBorder="1" applyFill="1" applyFont="1">
      <alignment shrinkToFit="0" vertical="center" wrapText="0"/>
    </xf>
    <xf borderId="0" fillId="0" fontId="14" numFmtId="3" xfId="0" applyAlignment="1" applyFont="1" applyNumberFormat="1">
      <alignment shrinkToFit="0" wrapText="1"/>
    </xf>
    <xf borderId="8" fillId="23" fontId="21" numFmtId="0" xfId="0" applyAlignment="1" applyBorder="1" applyFill="1" applyFont="1">
      <alignment shrinkToFit="0" vertical="center" wrapText="0"/>
    </xf>
    <xf borderId="0" fillId="0" fontId="14" numFmtId="164" xfId="0" applyAlignment="1" applyFont="1" applyNumberFormat="1">
      <alignment readingOrder="0" shrinkToFit="0" wrapText="1"/>
    </xf>
    <xf borderId="0" fillId="0" fontId="22" numFmtId="0" xfId="0" applyAlignment="1" applyFont="1">
      <alignment horizontal="center" shrinkToFit="0" vertical="center" wrapText="0"/>
    </xf>
    <xf borderId="0" fillId="0" fontId="14" numFmtId="164" xfId="0" applyAlignment="1" applyFont="1" applyNumberFormat="1">
      <alignment readingOrder="0" shrinkToFit="0" wrapText="1"/>
    </xf>
    <xf borderId="0" fillId="0" fontId="21" numFmtId="0" xfId="0" applyAlignment="1" applyFont="1">
      <alignment horizontal="center" shrinkToFit="0" vertical="center" wrapText="0"/>
    </xf>
    <xf borderId="0" fillId="0" fontId="14" numFmtId="0" xfId="0" applyAlignment="1" applyFont="1">
      <alignment shrinkToFit="0" wrapText="0"/>
    </xf>
    <xf borderId="0" fillId="0" fontId="21" numFmtId="168" xfId="0" applyAlignment="1" applyFont="1" applyNumberFormat="1">
      <alignment horizontal="center" shrinkToFit="0" vertical="center" wrapText="0"/>
    </xf>
    <xf borderId="0" fillId="0" fontId="23" numFmtId="0" xfId="0" applyAlignment="1" applyFont="1">
      <alignment readingOrder="0" shrinkToFit="0" wrapText="1"/>
    </xf>
    <xf borderId="8" fillId="22" fontId="21" numFmtId="0" xfId="0" applyAlignment="1" applyBorder="1" applyFont="1">
      <alignment horizontal="center" shrinkToFit="0" vertical="center" wrapText="0"/>
    </xf>
    <xf borderId="1" fillId="2" fontId="0" numFmtId="165" xfId="0" applyAlignment="1" applyBorder="1" applyFont="1" applyNumberFormat="1">
      <alignment shrinkToFit="0" wrapText="1"/>
    </xf>
    <xf borderId="1" fillId="2" fontId="0" numFmtId="3" xfId="0" applyAlignment="1" applyBorder="1" applyFont="1" applyNumberFormat="1">
      <alignment shrinkToFit="0" wrapText="1"/>
    </xf>
    <xf borderId="1" fillId="2" fontId="0" numFmtId="164" xfId="0" applyAlignment="1" applyBorder="1" applyFont="1" applyNumberFormat="1">
      <alignment readingOrder="0" shrinkToFit="0" wrapText="1"/>
    </xf>
    <xf borderId="1" fillId="2" fontId="0" numFmtId="164" xfId="0" applyAlignment="1" applyBorder="1" applyFont="1" applyNumberFormat="1">
      <alignment readingOrder="0" shrinkToFit="0" wrapText="1"/>
    </xf>
    <xf borderId="1" fillId="2" fontId="0" numFmtId="0" xfId="0" applyAlignment="1" applyBorder="1" applyFont="1">
      <alignment shrinkToFit="0" wrapText="1"/>
    </xf>
    <xf borderId="1" fillId="0" fontId="15" numFmtId="0" xfId="0" applyAlignment="1" applyBorder="1" applyFont="1">
      <alignment readingOrder="0" shrinkToFit="0" wrapText="1"/>
    </xf>
    <xf borderId="8" fillId="22" fontId="24" numFmtId="0" xfId="0" applyAlignment="1" applyBorder="1" applyFont="1">
      <alignment shrinkToFit="0" vertical="center" wrapText="0"/>
    </xf>
    <xf borderId="1" fillId="0" fontId="19" numFmtId="0" xfId="0" applyAlignment="1" applyBorder="1" applyFont="1">
      <alignment readingOrder="0" shrinkToFit="0" wrapText="1"/>
    </xf>
    <xf borderId="8" fillId="22" fontId="21" numFmtId="168" xfId="0" applyAlignment="1" applyBorder="1" applyFont="1" applyNumberFormat="1">
      <alignment horizontal="center" shrinkToFit="0" vertical="center" wrapText="0"/>
    </xf>
    <xf borderId="8" fillId="22" fontId="21" numFmtId="164" xfId="0" applyAlignment="1" applyBorder="1" applyFont="1" applyNumberFormat="1">
      <alignment shrinkToFit="0" vertical="center" wrapText="0"/>
    </xf>
    <xf borderId="8" fillId="22" fontId="0" numFmtId="0" xfId="0" applyAlignment="1" applyBorder="1" applyFont="1">
      <alignment shrinkToFit="0" wrapText="1"/>
    </xf>
    <xf borderId="8" fillId="23" fontId="21" numFmtId="0" xfId="0" applyAlignment="1" applyBorder="1" applyFont="1">
      <alignment horizontal="center" shrinkToFit="0" vertical="center" wrapText="0"/>
    </xf>
    <xf borderId="8" fillId="23" fontId="21" numFmtId="168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shrinkToFit="0" wrapText="1"/>
    </xf>
    <xf borderId="8" fillId="23" fontId="21" numFmtId="164" xfId="0" applyAlignment="1" applyBorder="1" applyFont="1" applyNumberFormat="1">
      <alignment horizontal="center" shrinkToFit="0" wrapText="0"/>
    </xf>
    <xf borderId="1" fillId="0" fontId="15" numFmtId="3" xfId="0" applyAlignment="1" applyBorder="1" applyFont="1" applyNumberFormat="1">
      <alignment readingOrder="0" shrinkToFit="0" wrapText="1"/>
    </xf>
    <xf borderId="8" fillId="23" fontId="0" numFmtId="0" xfId="0" applyAlignment="1" applyBorder="1" applyFont="1">
      <alignment shrinkToFit="0" wrapText="1"/>
    </xf>
    <xf borderId="1" fillId="0" fontId="15" numFmtId="164" xfId="0" applyAlignment="1" applyBorder="1" applyFont="1" applyNumberFormat="1">
      <alignment readingOrder="0" shrinkToFit="0" wrapText="1"/>
    </xf>
    <xf borderId="8" fillId="23" fontId="25" numFmtId="0" xfId="0" applyAlignment="1" applyBorder="1" applyFont="1">
      <alignment shrinkToFit="0" vertical="center" wrapText="0"/>
    </xf>
    <xf borderId="0" fillId="0" fontId="26" numFmtId="0" xfId="0" applyAlignment="1" applyFont="1">
      <alignment readingOrder="0" shrinkToFit="0" wrapText="1"/>
    </xf>
    <xf borderId="1" fillId="0" fontId="15" numFmtId="3" xfId="0" applyAlignment="1" applyBorder="1" applyFont="1" applyNumberFormat="1">
      <alignment shrinkToFit="0" wrapText="1"/>
    </xf>
    <xf borderId="0" fillId="0" fontId="21" numFmtId="164" xfId="0" applyAlignment="1" applyFont="1" applyNumberFormat="1">
      <alignment horizontal="center" shrinkToFit="0" wrapText="0"/>
    </xf>
    <xf borderId="0" fillId="24" fontId="1" numFmtId="0" xfId="0" applyAlignment="1" applyFill="1" applyFont="1">
      <alignment readingOrder="0" shrinkToFit="0" wrapText="1"/>
    </xf>
    <xf borderId="1" fillId="24" fontId="1" numFmtId="0" xfId="0" applyAlignment="1" applyBorder="1" applyFont="1">
      <alignment shrinkToFit="0" wrapText="1"/>
    </xf>
    <xf borderId="1" fillId="24" fontId="1" numFmtId="0" xfId="0" applyAlignment="1" applyBorder="1" applyFont="1">
      <alignment readingOrder="0" shrinkToFit="0" wrapText="1"/>
    </xf>
    <xf borderId="1" fillId="24" fontId="1" numFmtId="3" xfId="0" applyAlignment="1" applyBorder="1" applyFont="1" applyNumberFormat="1">
      <alignment shrinkToFit="0" wrapText="1"/>
    </xf>
    <xf borderId="1" fillId="24" fontId="1" numFmtId="164" xfId="0" applyAlignment="1" applyBorder="1" applyFont="1" applyNumberFormat="1">
      <alignment shrinkToFit="0" wrapText="1"/>
    </xf>
    <xf borderId="0" fillId="24" fontId="1" numFmtId="0" xfId="0" applyAlignment="1" applyFont="1">
      <alignment shrinkToFit="0" wrapText="1"/>
    </xf>
    <xf borderId="0" fillId="6" fontId="1" numFmtId="3" xfId="0" applyAlignment="1" applyFont="1" applyNumberFormat="1">
      <alignment shrinkToFit="0" wrapText="1"/>
    </xf>
    <xf borderId="0" fillId="2" fontId="1" numFmtId="3" xfId="0" applyAlignment="1" applyFont="1" applyNumberFormat="1">
      <alignment shrinkToFit="0" wrapText="1"/>
    </xf>
    <xf borderId="0" fillId="2" fontId="1" numFmtId="164" xfId="0" applyAlignment="1" applyFont="1" applyNumberFormat="1">
      <alignment shrinkToFit="0" wrapText="1"/>
    </xf>
    <xf borderId="0" fillId="0" fontId="27" numFmtId="0" xfId="0" applyAlignment="1" applyFont="1">
      <alignment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2" fontId="28" numFmtId="0" xfId="0" applyAlignment="1" applyFont="1">
      <alignment readingOrder="0" shrinkToFit="0" wrapText="1"/>
    </xf>
    <xf borderId="1" fillId="2" fontId="28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3" xfId="0" applyAlignment="1" applyBorder="1" applyFont="1" applyNumberFormat="1">
      <alignment shrinkToFit="0" wrapText="1"/>
    </xf>
    <xf borderId="8" fillId="22" fontId="21" numFmtId="164" xfId="0" applyAlignment="1" applyBorder="1" applyFont="1" applyNumberFormat="1">
      <alignment horizontal="center" shrinkToFit="0" vertical="center" wrapText="0"/>
    </xf>
    <xf borderId="1" fillId="2" fontId="1" numFmtId="164" xfId="0" applyAlignment="1" applyBorder="1" applyFont="1" applyNumberFormat="1">
      <alignment shrinkToFit="0" wrapText="1"/>
    </xf>
    <xf borderId="0" fillId="0" fontId="21" numFmtId="0" xfId="0" applyAlignment="1" applyFont="1">
      <alignment horizontal="left" shrinkToFit="0" vertical="center" wrapText="0"/>
    </xf>
    <xf borderId="0" fillId="0" fontId="14" numFmtId="3" xfId="0" applyAlignment="1" applyFont="1" applyNumberForma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 shrinkToFit="0" wrapText="0"/>
    </xf>
    <xf borderId="0" fillId="0" fontId="29" numFmtId="0" xfId="0" applyAlignment="1" applyFont="1">
      <alignment readingOrder="0" shrinkToFit="0" wrapText="1"/>
    </xf>
    <xf borderId="1" fillId="0" fontId="29" numFmtId="0" xfId="0" applyAlignment="1" applyBorder="1" applyFont="1">
      <alignment readingOrder="0" shrinkToFit="0" wrapText="1"/>
    </xf>
    <xf borderId="0" fillId="0" fontId="15" numFmtId="3" xfId="0" applyAlignment="1" applyFont="1" applyNumberFormat="1">
      <alignment shrinkToFit="0" wrapText="1"/>
    </xf>
    <xf borderId="0" fillId="0" fontId="15" numFmtId="164" xfId="0" applyAlignment="1" applyFont="1" applyNumberFormat="1">
      <alignment shrinkToFit="0" wrapText="1"/>
    </xf>
    <xf borderId="0" fillId="0" fontId="14" numFmtId="164" xfId="0" applyAlignment="1" applyFont="1" applyNumberFormat="1">
      <alignment shrinkToFit="0" wrapText="1"/>
    </xf>
    <xf borderId="0" fillId="0" fontId="14" numFmtId="1" xfId="0" applyAlignment="1" applyFont="1" applyNumberFormat="1">
      <alignment shrinkToFit="0" wrapText="1"/>
    </xf>
    <xf borderId="0" fillId="0" fontId="14" numFmtId="166" xfId="0" applyAlignment="1" applyFont="1" applyNumberFormat="1">
      <alignment readingOrder="0" shrinkToFit="0" wrapText="1"/>
    </xf>
    <xf borderId="0" fillId="0" fontId="14" numFmtId="0" xfId="0" applyAlignment="1" applyFont="1">
      <alignment horizontal="left" shrinkToFit="0" wrapText="1"/>
    </xf>
    <xf borderId="0" fillId="0" fontId="14" numFmtId="165" xfId="0" applyAlignment="1" applyFont="1" applyNumberFormat="1">
      <alignment shrinkToFit="0" wrapText="1"/>
    </xf>
    <xf borderId="1" fillId="0" fontId="15" numFmtId="164" xfId="0" applyAlignment="1" applyBorder="1" applyFont="1" applyNumberFormat="1">
      <alignment shrinkToFit="0" wrapText="1"/>
    </xf>
    <xf borderId="0" fillId="2" fontId="0" numFmtId="0" xfId="0" applyAlignment="1" applyFont="1">
      <alignment readingOrder="0" shrinkToFit="0" wrapText="1"/>
    </xf>
    <xf borderId="0" fillId="2" fontId="0" numFmtId="0" xfId="0" applyAlignment="1" applyFont="1">
      <alignment horizontal="left" shrinkToFit="0" wrapText="1"/>
    </xf>
    <xf borderId="0" fillId="2" fontId="0" numFmtId="165" xfId="0" applyAlignment="1" applyFont="1" applyNumberFormat="1">
      <alignment shrinkToFit="0" wrapText="1"/>
    </xf>
    <xf borderId="0" fillId="2" fontId="0" numFmtId="0" xfId="0" applyAlignment="1" applyFont="1">
      <alignment shrinkToFit="0" wrapText="1"/>
    </xf>
    <xf borderId="0" fillId="2" fontId="0" numFmtId="3" xfId="0" applyAlignment="1" applyFont="1" applyNumberFormat="1">
      <alignment shrinkToFit="0" wrapText="1"/>
    </xf>
    <xf borderId="0" fillId="2" fontId="0" numFmtId="164" xfId="0" applyAlignment="1" applyFont="1" applyNumberFormat="1">
      <alignment readingOrder="0" shrinkToFit="0" wrapText="1"/>
    </xf>
    <xf borderId="0" fillId="2" fontId="0" numFmtId="164" xfId="0" applyAlignment="1" applyFont="1" applyNumberFormat="1">
      <alignment readingOrder="0" shrinkToFit="0" wrapText="1"/>
    </xf>
    <xf borderId="0" fillId="2" fontId="0" numFmtId="0" xfId="0" applyAlignment="1" applyFont="1">
      <alignment shrinkToFit="0" wrapText="1"/>
    </xf>
    <xf borderId="0" fillId="2" fontId="1" numFmtId="0" xfId="0" applyAlignment="1" applyFont="1">
      <alignment readingOrder="0" shrinkToFit="0" wrapText="0"/>
    </xf>
    <xf borderId="8" fillId="7" fontId="21" numFmtId="0" xfId="0" applyAlignment="1" applyBorder="1" applyFont="1">
      <alignment horizontal="center" shrinkToFit="0" vertical="center" wrapText="0"/>
    </xf>
    <xf borderId="0" fillId="24" fontId="1" numFmtId="3" xfId="0" applyAlignment="1" applyFont="1" applyNumberFormat="1">
      <alignment shrinkToFit="0" wrapText="1"/>
    </xf>
    <xf borderId="8" fillId="7" fontId="21" numFmtId="0" xfId="0" applyAlignment="1" applyBorder="1" applyFont="1">
      <alignment shrinkToFit="0" vertical="center" wrapText="0"/>
    </xf>
    <xf borderId="0" fillId="24" fontId="1" numFmtId="164" xfId="0" applyAlignment="1" applyFont="1" applyNumberFormat="1">
      <alignment shrinkToFit="0" wrapText="1"/>
    </xf>
    <xf borderId="8" fillId="7" fontId="21" numFmtId="168" xfId="0" applyAlignment="1" applyBorder="1" applyFont="1" applyNumberFormat="1">
      <alignment horizontal="center" shrinkToFit="0" vertical="center" wrapText="0"/>
    </xf>
    <xf borderId="8" fillId="7" fontId="21" numFmtId="164" xfId="0" applyAlignment="1" applyBorder="1" applyFont="1" applyNumberFormat="1">
      <alignment horizontal="center" shrinkToFit="0" wrapText="0"/>
    </xf>
    <xf borderId="8" fillId="7" fontId="0" numFmtId="0" xfId="0" applyAlignment="1" applyBorder="1" applyFont="1">
      <alignment shrinkToFit="0" wrapText="1"/>
    </xf>
    <xf borderId="0" fillId="0" fontId="0" numFmtId="0" xfId="0" applyAlignment="1" applyFont="1">
      <alignment horizontal="left" readingOrder="0" shrinkToFit="0" wrapText="1"/>
    </xf>
    <xf borderId="0" fillId="0" fontId="0" numFmtId="3" xfId="0" applyAlignment="1" applyFont="1" applyNumberFormat="1">
      <alignment readingOrder="0" shrinkToFit="0" wrapText="1"/>
    </xf>
    <xf borderId="0" fillId="0" fontId="0" numFmtId="164" xfId="0" applyAlignment="1" applyFont="1" applyNumberFormat="1">
      <alignment readingOrder="0" shrinkToFit="0" wrapText="1"/>
    </xf>
    <xf borderId="8" fillId="22" fontId="21" numFmtId="0" xfId="0" applyAlignment="1" applyBorder="1" applyFont="1">
      <alignment horizontal="left" shrinkToFit="0" vertical="center" wrapText="0"/>
    </xf>
    <xf borderId="8" fillId="22" fontId="30" numFmtId="0" xfId="0" applyAlignment="1" applyBorder="1" applyFont="1">
      <alignment shrinkToFit="0" vertical="center" wrapText="1"/>
    </xf>
    <xf borderId="8" fillId="22" fontId="21" numFmtId="49" xfId="0" applyAlignment="1" applyBorder="1" applyFont="1" applyNumberFormat="1">
      <alignment horizontal="center" shrinkToFit="0" vertical="center" wrapText="0"/>
    </xf>
    <xf borderId="8" fillId="22" fontId="31" numFmtId="0" xfId="0" applyAlignment="1" applyBorder="1" applyFont="1">
      <alignment horizontal="center" shrinkToFit="0" vertical="center" wrapText="0"/>
    </xf>
    <xf borderId="8" fillId="23" fontId="21" numFmtId="164" xfId="0" applyAlignment="1" applyBorder="1" applyFont="1" applyNumberFormat="1">
      <alignment horizontal="center" shrinkToFit="0" vertical="center" wrapText="0"/>
    </xf>
    <xf borderId="0" fillId="0" fontId="4" numFmtId="14" xfId="0" applyAlignment="1" applyFont="1" applyNumberFormat="1">
      <alignment shrinkToFit="0" vertical="bottom" wrapText="1"/>
    </xf>
    <xf borderId="8" fillId="22" fontId="21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shrinkToFit="0" vertical="center" wrapText="0"/>
    </xf>
    <xf borderId="8" fillId="22" fontId="22" numFmtId="0" xfId="0" applyAlignment="1" applyBorder="1" applyFont="1">
      <alignment shrinkToFit="0" vertical="center" wrapText="0"/>
    </xf>
    <xf borderId="8" fillId="22" fontId="33" numFmtId="0" xfId="0" applyAlignment="1" applyBorder="1" applyFont="1">
      <alignment shrinkToFit="0" vertical="center" wrapText="0"/>
    </xf>
    <xf borderId="0" fillId="0" fontId="0" numFmtId="0" xfId="0" applyAlignment="1" applyFont="1">
      <alignment shrinkToFit="0" wrapText="0"/>
    </xf>
    <xf borderId="0" fillId="0" fontId="21" numFmtId="164" xfId="0" applyAlignment="1" applyFont="1" applyNumberFormat="1">
      <alignment horizontal="center" shrinkToFit="0" vertical="center" wrapText="0"/>
    </xf>
    <xf borderId="6" fillId="7" fontId="34" numFmtId="0" xfId="0" applyAlignment="1" applyBorder="1" applyFont="1">
      <alignment shrinkToFit="0" vertical="bottom" wrapText="1"/>
    </xf>
    <xf borderId="8" fillId="23" fontId="21" numFmtId="164" xfId="0" applyAlignment="1" applyBorder="1" applyFont="1" applyNumberFormat="1">
      <alignment horizontal="center" shrinkToFit="0" vertical="center" wrapText="1"/>
    </xf>
    <xf borderId="0" fillId="0" fontId="21" numFmtId="164" xfId="0" applyAlignment="1" applyFont="1" applyNumberFormat="1">
      <alignment horizontal="center" shrinkToFit="0" vertical="center" wrapText="1"/>
    </xf>
    <xf borderId="8" fillId="22" fontId="21" numFmtId="164" xfId="0" applyAlignment="1" applyBorder="1" applyFont="1" applyNumberFormat="1">
      <alignment horizontal="center" shrinkToFit="0" wrapText="0"/>
    </xf>
    <xf borderId="1" fillId="4" fontId="0" numFmtId="3" xfId="0" applyAlignment="1" applyBorder="1" applyFont="1" applyNumberFormat="1">
      <alignment shrinkToFit="0" wrapText="0"/>
    </xf>
    <xf borderId="8" fillId="23" fontId="31" numFmtId="0" xfId="0" applyAlignment="1" applyBorder="1" applyFont="1">
      <alignment horizontal="center" shrinkToFit="0" vertical="center" wrapText="0"/>
    </xf>
    <xf borderId="8" fillId="25" fontId="21" numFmtId="0" xfId="0" applyAlignment="1" applyBorder="1" applyFill="1" applyFont="1">
      <alignment shrinkToFit="0" vertical="center" wrapText="0"/>
    </xf>
    <xf borderId="8" fillId="23" fontId="35" numFmtId="0" xfId="0" applyAlignment="1" applyBorder="1" applyFont="1">
      <alignment shrinkToFit="0" vertical="center" wrapText="0"/>
    </xf>
    <xf borderId="0" fillId="0" fontId="21" numFmtId="0" xfId="0" applyAlignment="1" applyFont="1">
      <alignment horizontal="left" shrinkToFit="0" wrapText="0"/>
    </xf>
    <xf borderId="8" fillId="22" fontId="36" numFmtId="0" xfId="0" applyAlignment="1" applyBorder="1" applyFont="1">
      <alignment shrinkToFit="0" vertical="center" wrapText="0"/>
    </xf>
    <xf borderId="8" fillId="23" fontId="21" numFmtId="49" xfId="0" applyAlignment="1" applyBorder="1" applyFont="1" applyNumberFormat="1">
      <alignment horizontal="center" shrinkToFit="0" vertical="center" wrapText="0"/>
    </xf>
    <xf borderId="5" fillId="0" fontId="21" numFmtId="0" xfId="0" applyAlignment="1" applyBorder="1" applyFont="1">
      <alignment shrinkToFit="0" vertical="center" wrapText="0"/>
    </xf>
    <xf borderId="5" fillId="0" fontId="22" numFmtId="0" xfId="0" applyAlignment="1" applyBorder="1" applyFont="1">
      <alignment horizontal="center" shrinkToFit="0" vertical="center" wrapText="0"/>
    </xf>
    <xf borderId="9" fillId="22" fontId="21" numFmtId="0" xfId="0" applyAlignment="1" applyBorder="1" applyFont="1">
      <alignment shrinkToFit="0" vertical="center" wrapText="0"/>
    </xf>
    <xf borderId="1" fillId="22" fontId="37" numFmtId="0" xfId="0" applyAlignment="1" applyBorder="1" applyFont="1">
      <alignment shrinkToFit="0" vertical="center" wrapText="0"/>
    </xf>
    <xf borderId="10" fillId="22" fontId="21" numFmtId="0" xfId="0" applyAlignment="1" applyBorder="1" applyFont="1">
      <alignment shrinkToFit="0" vertical="center" wrapText="0"/>
    </xf>
    <xf borderId="1" fillId="22" fontId="21" numFmtId="49" xfId="0" applyAlignment="1" applyBorder="1" applyFont="1" applyNumberFormat="1">
      <alignment horizontal="center" shrinkToFit="0" vertical="center" wrapText="0"/>
    </xf>
    <xf borderId="11" fillId="22" fontId="21" numFmtId="0" xfId="0" applyAlignment="1" applyBorder="1" applyFont="1">
      <alignment horizontal="center" shrinkToFit="0" vertical="center" wrapText="0"/>
    </xf>
    <xf borderId="9" fillId="22" fontId="21" numFmtId="168" xfId="0" applyAlignment="1" applyBorder="1" applyFont="1" applyNumberFormat="1">
      <alignment horizontal="center" shrinkToFit="0" vertical="center" wrapText="0"/>
    </xf>
    <xf borderId="1" fillId="22" fontId="21" numFmtId="164" xfId="0" applyAlignment="1" applyBorder="1" applyFont="1" applyNumberFormat="1">
      <alignment horizontal="center" shrinkToFit="0" vertical="center" wrapText="0"/>
    </xf>
    <xf borderId="11" fillId="22" fontId="21" numFmtId="168" xfId="0" applyAlignment="1" applyBorder="1" applyFont="1" applyNumberFormat="1">
      <alignment horizontal="center" shrinkToFit="0" vertical="center" wrapText="0"/>
    </xf>
    <xf borderId="12" fillId="23" fontId="21" numFmtId="0" xfId="0" applyAlignment="1" applyBorder="1" applyFont="1">
      <alignment shrinkToFit="0" vertical="center" wrapText="0"/>
    </xf>
    <xf borderId="13" fillId="0" fontId="22" numFmtId="0" xfId="0" applyAlignment="1" applyBorder="1" applyFont="1">
      <alignment shrinkToFit="0" vertical="center" wrapText="0"/>
    </xf>
    <xf borderId="12" fillId="23" fontId="21" numFmtId="168" xfId="0" applyAlignment="1" applyBorder="1" applyFont="1" applyNumberFormat="1">
      <alignment horizontal="center" shrinkToFit="0" vertical="center" wrapText="0"/>
    </xf>
    <xf borderId="8" fillId="22" fontId="21" numFmtId="0" xfId="0" applyAlignment="1" applyBorder="1" applyFont="1">
      <alignment horizontal="center" shrinkToFit="0" wrapText="0"/>
    </xf>
    <xf borderId="8" fillId="22" fontId="38" numFmtId="0" xfId="0" applyAlignment="1" applyBorder="1" applyFont="1">
      <alignment shrinkToFit="0" wrapText="1"/>
    </xf>
    <xf borderId="8" fillId="23" fontId="21" numFmtId="0" xfId="0" applyAlignment="1" applyBorder="1" applyFont="1">
      <alignment horizontal="center" shrinkToFit="0" wrapText="0"/>
    </xf>
    <xf borderId="8" fillId="23" fontId="39" numFmtId="0" xfId="0" applyAlignment="1" applyBorder="1" applyFont="1">
      <alignment shrinkToFit="0" wrapText="1"/>
    </xf>
    <xf borderId="8" fillId="23" fontId="40" numFmtId="0" xfId="0" applyAlignment="1" applyBorder="1" applyFont="1">
      <alignment shrinkToFit="0" wrapText="1"/>
    </xf>
    <xf borderId="5" fillId="0" fontId="21" numFmtId="0" xfId="0" applyAlignment="1" applyBorder="1" applyFont="1">
      <alignment horizontal="left" shrinkToFit="0" vertical="center" wrapText="0"/>
    </xf>
    <xf borderId="11" fillId="22" fontId="21" numFmtId="0" xfId="0" applyAlignment="1" applyBorder="1" applyFont="1">
      <alignment shrinkToFit="0" vertical="center" wrapText="0"/>
    </xf>
    <xf borderId="11" fillId="22" fontId="21" numFmtId="164" xfId="0" applyAlignment="1" applyBorder="1" applyFont="1" applyNumberFormat="1">
      <alignment horizontal="center" shrinkToFit="0" vertical="center" wrapText="0"/>
    </xf>
    <xf borderId="12" fillId="22" fontId="41" numFmtId="0" xfId="0" applyAlignment="1" applyBorder="1" applyFont="1">
      <alignment shrinkToFit="0" vertical="center" wrapText="0"/>
    </xf>
    <xf borderId="12" fillId="22" fontId="21" numFmtId="164" xfId="0" applyAlignment="1" applyBorder="1" applyFont="1" applyNumberFormat="1">
      <alignment horizontal="center" shrinkToFit="0" vertical="center" wrapText="0"/>
    </xf>
    <xf borderId="5" fillId="0" fontId="21" numFmtId="0" xfId="0" applyAlignment="1" applyBorder="1" applyFont="1">
      <alignment horizontal="center" shrinkToFit="0" vertical="center" wrapText="0"/>
    </xf>
    <xf borderId="6" fillId="0" fontId="22" numFmtId="0" xfId="0" applyAlignment="1" applyBorder="1" applyFont="1">
      <alignment shrinkToFit="0" vertical="center" wrapText="0"/>
    </xf>
    <xf borderId="1" fillId="22" fontId="42" numFmtId="0" xfId="0" applyAlignment="1" applyBorder="1" applyFont="1">
      <alignment horizontal="center" shrinkToFit="0" vertical="center" wrapText="0"/>
    </xf>
    <xf borderId="0" fillId="0" fontId="21" numFmtId="49" xfId="0" applyAlignment="1" applyFont="1" applyNumberFormat="1">
      <alignment horizontal="center" shrinkToFit="0" vertical="center" wrapText="0"/>
    </xf>
    <xf borderId="8" fillId="23" fontId="21" numFmtId="0" xfId="0" applyAlignment="1" applyBorder="1" applyFont="1">
      <alignment horizontal="left" shrinkToFit="0" vertical="center" wrapText="0"/>
    </xf>
    <xf borderId="5" fillId="0" fontId="22" numFmtId="0" xfId="0" applyAlignment="1" applyBorder="1" applyFont="1">
      <alignment shrinkToFit="0" vertical="center" wrapText="0"/>
    </xf>
    <xf borderId="1" fillId="22" fontId="43" numFmtId="0" xfId="0" applyAlignment="1" applyBorder="1" applyFont="1">
      <alignment horizontal="center" shrinkToFit="0" vertical="center" wrapText="0"/>
    </xf>
    <xf borderId="1" fillId="22" fontId="21" numFmtId="0" xfId="0" applyAlignment="1" applyBorder="1" applyFont="1">
      <alignment shrinkToFit="0" vertical="center" wrapText="0"/>
    </xf>
    <xf borderId="12" fillId="23" fontId="43" numFmtId="0" xfId="0" applyAlignment="1" applyBorder="1" applyFont="1">
      <alignment horizontal="center" shrinkToFit="0" vertical="center" wrapText="0"/>
    </xf>
    <xf borderId="12" fillId="23" fontId="21" numFmtId="164" xfId="0" applyAlignment="1" applyBorder="1" applyFont="1" applyNumberFormat="1">
      <alignment horizontal="center" shrinkToFit="0" vertical="center" wrapText="0"/>
    </xf>
    <xf borderId="8" fillId="23" fontId="43" numFmtId="0" xfId="0" applyAlignment="1" applyBorder="1" applyFont="1">
      <alignment horizontal="center" shrinkToFit="0" vertical="center" wrapText="0"/>
    </xf>
    <xf borderId="1" fillId="22" fontId="44" numFmtId="0" xfId="0" applyAlignment="1" applyBorder="1" applyFont="1">
      <alignment horizontal="left" shrinkToFit="0" vertical="center" wrapText="0"/>
    </xf>
    <xf borderId="12" fillId="23" fontId="25" numFmtId="0" xfId="0" applyAlignment="1" applyBorder="1" applyFont="1">
      <alignment shrinkToFit="0" vertical="center" wrapText="0"/>
    </xf>
    <xf borderId="10" fillId="22" fontId="21" numFmtId="0" xfId="0" applyAlignment="1" applyBorder="1" applyFont="1">
      <alignment horizontal="center" shrinkToFit="0" vertical="center" wrapText="0"/>
    </xf>
    <xf borderId="1" fillId="22" fontId="21" numFmtId="0" xfId="0" applyAlignment="1" applyBorder="1" applyFont="1">
      <alignment horizontal="center" shrinkToFit="0" vertical="center" wrapText="0"/>
    </xf>
    <xf borderId="13" fillId="0" fontId="45" numFmtId="0" xfId="0" applyAlignment="1" applyBorder="1" applyFont="1">
      <alignment shrinkToFit="0" vertical="center" wrapText="0"/>
    </xf>
    <xf borderId="13" fillId="0" fontId="21" numFmtId="0" xfId="0" applyAlignment="1" applyBorder="1" applyFont="1">
      <alignment horizontal="center" shrinkToFit="0" vertical="center" wrapText="0"/>
    </xf>
    <xf borderId="0" fillId="0" fontId="46" numFmtId="168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shrinkToFit="0" vertical="center" wrapText="0"/>
    </xf>
    <xf borderId="5" fillId="0" fontId="21" numFmtId="168" xfId="0" applyAlignment="1" applyBorder="1" applyFont="1" applyNumberFormat="1">
      <alignment horizontal="center" shrinkToFit="0" vertical="center" wrapText="0"/>
    </xf>
    <xf borderId="13" fillId="0" fontId="22" numFmtId="0" xfId="0" applyAlignment="1" applyBorder="1" applyFont="1">
      <alignment horizontal="center" shrinkToFit="0" vertical="center" wrapText="0"/>
    </xf>
    <xf borderId="1" fillId="3" fontId="0" numFmtId="3" xfId="0" applyAlignment="1" applyBorder="1" applyFont="1" applyNumberFormat="1">
      <alignment shrinkToFit="0" wrapText="0"/>
    </xf>
    <xf borderId="1" fillId="3" fontId="0" numFmtId="164" xfId="0" applyAlignment="1" applyBorder="1" applyFont="1" applyNumberFormat="1">
      <alignment shrinkToFit="0" wrapText="0"/>
    </xf>
    <xf borderId="8" fillId="22" fontId="47" numFmtId="0" xfId="0" applyAlignment="1" applyBorder="1" applyFont="1">
      <alignment horizontal="left" shrinkToFit="0" vertical="center" wrapText="0"/>
    </xf>
    <xf borderId="8" fillId="23" fontId="48" numFmtId="0" xfId="0" applyAlignment="1" applyBorder="1" applyFont="1">
      <alignment horizontal="left" shrinkToFit="0" vertical="center" wrapText="0"/>
    </xf>
    <xf borderId="1" fillId="0" fontId="49" numFmtId="0" xfId="0" applyAlignment="1" applyBorder="1" applyFont="1">
      <alignment shrinkToFit="0" vertical="center" wrapText="0"/>
    </xf>
    <xf borderId="14" fillId="0" fontId="21" numFmtId="0" xfId="0" applyAlignment="1" applyBorder="1" applyFont="1">
      <alignment shrinkToFit="0" vertical="center" wrapText="0"/>
    </xf>
    <xf borderId="15" fillId="0" fontId="21" numFmtId="0" xfId="0" applyAlignment="1" applyBorder="1" applyFont="1">
      <alignment horizontal="center" shrinkToFit="0" vertical="center" wrapText="0"/>
    </xf>
    <xf borderId="16" fillId="22" fontId="50" numFmtId="0" xfId="0" applyAlignment="1" applyBorder="1" applyFont="1">
      <alignment shrinkToFit="0" vertical="center" wrapText="0"/>
    </xf>
    <xf borderId="0" fillId="7" fontId="16" numFmtId="14" xfId="0" applyAlignment="1" applyFont="1" applyNumberFormat="1">
      <alignment horizontal="right" shrinkToFit="0" vertical="bottom" wrapText="1"/>
    </xf>
    <xf borderId="16" fillId="22" fontId="21" numFmtId="49" xfId="0" applyAlignment="1" applyBorder="1" applyFont="1" applyNumberFormat="1">
      <alignment horizontal="center" shrinkToFit="0" vertical="center" wrapText="0"/>
    </xf>
    <xf borderId="12" fillId="22" fontId="51" numFmtId="0" xfId="0" applyAlignment="1" applyBorder="1" applyFont="1">
      <alignment horizontal="left" shrinkToFit="0" vertical="center" wrapText="0"/>
    </xf>
    <xf borderId="12" fillId="22" fontId="21" numFmtId="0" xfId="0" applyAlignment="1" applyBorder="1" applyFont="1">
      <alignment shrinkToFit="0" vertical="center" wrapText="0"/>
    </xf>
    <xf borderId="8" fillId="22" fontId="21" numFmtId="169" xfId="0" applyAlignment="1" applyBorder="1" applyFont="1" applyNumberFormat="1">
      <alignment shrinkToFit="0" vertical="center" wrapText="0"/>
    </xf>
    <xf borderId="8" fillId="23" fontId="21" numFmtId="169" xfId="0" applyAlignment="1" applyBorder="1" applyFont="1" applyNumberFormat="1">
      <alignment shrinkToFit="0" vertical="center" wrapText="0"/>
    </xf>
    <xf borderId="8" fillId="23" fontId="21" numFmtId="164" xfId="0" applyAlignment="1" applyBorder="1" applyFont="1" applyNumberFormat="1">
      <alignment shrinkToFit="0" vertical="center" wrapText="0"/>
    </xf>
    <xf borderId="0" fillId="0" fontId="52" numFmtId="0" xfId="0" applyAlignment="1" applyFont="1">
      <alignment shrinkToFit="0" vertical="center" wrapText="0"/>
    </xf>
    <xf borderId="0" fillId="0" fontId="33" numFmtId="0" xfId="0" applyAlignment="1" applyFont="1">
      <alignment shrinkToFit="0" vertical="center" wrapText="0"/>
    </xf>
    <xf borderId="1" fillId="0" fontId="21" numFmtId="164" xfId="0" applyAlignment="1" applyBorder="1" applyFont="1" applyNumberFormat="1">
      <alignment horizontal="center" shrinkToFit="0" vertical="center" wrapText="0"/>
    </xf>
    <xf borderId="0" fillId="0" fontId="53" numFmtId="0" xfId="0" applyAlignment="1" applyFont="1">
      <alignment shrinkToFit="0" vertical="center" wrapText="0"/>
    </xf>
    <xf borderId="0" fillId="0" fontId="21" numFmtId="0" xfId="0" applyAlignment="1" applyFont="1">
      <alignment horizontal="center" shrinkToFit="0" wrapText="0"/>
    </xf>
    <xf borderId="1" fillId="22" fontId="54" numFmtId="0" xfId="0" applyAlignment="1" applyBorder="1" applyFont="1">
      <alignment shrinkToFit="0" vertical="center" wrapText="0"/>
    </xf>
    <xf borderId="12" fillId="23" fontId="21" numFmtId="49" xfId="0" applyAlignment="1" applyBorder="1" applyFont="1" applyNumberFormat="1">
      <alignment horizontal="center" shrinkToFit="0" vertical="center" wrapText="0"/>
    </xf>
    <xf borderId="1" fillId="22" fontId="55" numFmtId="0" xfId="0" applyAlignment="1" applyBorder="1" applyFont="1">
      <alignment horizontal="left" shrinkToFit="0" wrapText="0"/>
    </xf>
    <xf borderId="12" fillId="23" fontId="21" numFmtId="0" xfId="0" applyAlignment="1" applyBorder="1" applyFont="1">
      <alignment horizontal="center" shrinkToFit="0" vertical="center" wrapText="0"/>
    </xf>
    <xf borderId="6" fillId="7" fontId="16" numFmtId="0" xfId="0" applyAlignment="1" applyBorder="1" applyFont="1">
      <alignment horizontal="center" shrinkToFit="0" vertical="bottom" wrapText="1"/>
    </xf>
    <xf borderId="1" fillId="22" fontId="56" numFmtId="0" xfId="0" applyAlignment="1" applyBorder="1" applyFont="1">
      <alignment shrinkToFit="0" vertical="center" wrapText="0"/>
    </xf>
    <xf borderId="1" fillId="22" fontId="57" numFmtId="49" xfId="0" applyAlignment="1" applyBorder="1" applyFont="1" applyNumberFormat="1">
      <alignment horizontal="center" shrinkToFit="0" vertical="center" wrapText="0"/>
    </xf>
    <xf borderId="1" fillId="22" fontId="57" numFmtId="164" xfId="0" applyAlignment="1" applyBorder="1" applyFont="1" applyNumberFormat="1">
      <alignment horizontal="center" shrinkToFit="0" vertical="center" wrapText="0"/>
    </xf>
    <xf borderId="15" fillId="0" fontId="22" numFmtId="0" xfId="0" applyAlignment="1" applyBorder="1" applyFont="1">
      <alignment horizontal="center" shrinkToFit="0" vertical="center" wrapText="0"/>
    </xf>
    <xf borderId="1" fillId="26" fontId="0" numFmtId="0" xfId="0" applyAlignment="1" applyBorder="1" applyFill="1" applyFont="1">
      <alignment shrinkToFit="0" wrapText="0"/>
    </xf>
    <xf borderId="6" fillId="0" fontId="21" numFmtId="0" xfId="0" applyAlignment="1" applyBorder="1" applyFont="1">
      <alignment shrinkToFit="0" vertical="center" wrapText="0"/>
    </xf>
    <xf borderId="0" fillId="26" fontId="4" numFmtId="0" xfId="0" applyAlignment="1" applyFont="1">
      <alignment shrinkToFit="0" wrapText="0"/>
    </xf>
    <xf borderId="1" fillId="0" fontId="22" numFmtId="0" xfId="0" applyAlignment="1" applyBorder="1" applyFont="1">
      <alignment shrinkToFit="0" vertical="center" wrapText="0"/>
    </xf>
    <xf borderId="0" fillId="26" fontId="4" numFmtId="0" xfId="0" applyAlignment="1" applyFont="1">
      <alignment readingOrder="0" shrinkToFit="0" wrapText="0"/>
    </xf>
    <xf borderId="12" fillId="22" fontId="33" numFmtId="0" xfId="0" applyAlignment="1" applyBorder="1" applyFont="1">
      <alignment shrinkToFit="0" vertical="center" wrapText="0"/>
    </xf>
    <xf borderId="1" fillId="26" fontId="4" numFmtId="0" xfId="0" applyAlignment="1" applyBorder="1" applyFont="1">
      <alignment shrinkToFit="0" wrapText="0"/>
    </xf>
    <xf borderId="1" fillId="26" fontId="0" numFmtId="164" xfId="0" applyAlignment="1" applyBorder="1" applyFont="1" applyNumberFormat="1">
      <alignment shrinkToFit="0" wrapText="0"/>
    </xf>
    <xf borderId="1" fillId="26" fontId="0" numFmtId="1" xfId="0" applyAlignment="1" applyBorder="1" applyFont="1" applyNumberFormat="1">
      <alignment shrinkToFit="0" wrapText="0"/>
    </xf>
    <xf borderId="4" fillId="26" fontId="0" numFmtId="164" xfId="0" applyAlignment="1" applyBorder="1" applyFont="1" applyNumberFormat="1">
      <alignment shrinkToFit="0" wrapText="0"/>
    </xf>
    <xf borderId="13" fillId="0" fontId="21" numFmtId="0" xfId="0" applyAlignment="1" applyBorder="1" applyFont="1">
      <alignment shrinkToFit="0" vertical="center" wrapText="0"/>
    </xf>
    <xf borderId="1" fillId="26" fontId="0" numFmtId="164" xfId="0" applyAlignment="1" applyBorder="1" applyFont="1" applyNumberFormat="1">
      <alignment shrinkToFit="0" wrapText="0"/>
    </xf>
    <xf borderId="0" fillId="0" fontId="1" numFmtId="0" xfId="0" applyAlignment="1" applyFont="1">
      <alignment horizontal="right" readingOrder="0" shrinkToFit="0" wrapText="1"/>
    </xf>
    <xf borderId="0" fillId="0" fontId="46" numFmtId="168" xfId="0" applyAlignment="1" applyFont="1" applyNumberFormat="1">
      <alignment shrinkToFit="0" vertical="center" wrapText="0"/>
    </xf>
    <xf borderId="0" fillId="0" fontId="58" numFmtId="0" xfId="0" applyAlignment="1" applyFont="1">
      <alignment shrinkToFit="0" vertical="center" wrapText="0"/>
    </xf>
    <xf borderId="5" fillId="0" fontId="3" numFmtId="0" xfId="0" applyAlignment="1" applyBorder="1" applyFont="1">
      <alignment horizontal="right" shrinkToFit="0" vertical="bottom" wrapText="1"/>
    </xf>
    <xf borderId="5" fillId="0" fontId="3" numFmtId="1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F4C7C3"/>
          <bgColor rgb="FFF4C7C3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nchout.fishersci.com/shop/products/ethylenediaminetetraacetic-acid-disodium-salt-dihydrate-crystalline-certified-acs-fisher-chemical-7/s311100?keyword=true" TargetMode="External"/><Relationship Id="rId2" Type="http://schemas.openxmlformats.org/officeDocument/2006/relationships/hyperlink" Target="https://punchout.fishersci.com/shop/products/fisher-bioreagents-proteinase-k-i-tritirachium-album-i-molecular-biology-3/bp170050?keyword=true" TargetMode="External"/><Relationship Id="rId3" Type="http://schemas.openxmlformats.org/officeDocument/2006/relationships/hyperlink" Target="https://punchout.fishersci.com/shop/products/sodium-dodecyl-sulfate-white-powder-electrophoresis-fisher-bioreagents-3/bp166100?keyword=true" TargetMode="External"/><Relationship Id="rId4" Type="http://schemas.openxmlformats.org/officeDocument/2006/relationships/hyperlink" Target="https://punchout.fishersci.com/shop/products/tris-base-white-crystals-crystalline-powder-molecular-biology-fisher-bioreagents-7/bp152500?keyword=tru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44.43"/>
    <col customWidth="1" min="2" max="3" width="19.0"/>
    <col customWidth="1" min="4" max="4" width="15.29"/>
    <col customWidth="1" min="5" max="5" width="9.43"/>
    <col customWidth="1" min="6" max="6" width="4.86"/>
    <col customWidth="1" min="7" max="7" width="2.71"/>
    <col customWidth="1" min="8" max="8" width="3.29"/>
    <col customWidth="1" min="9" max="10" width="8.43"/>
    <col customWidth="1" min="11" max="11" width="6.71"/>
    <col customWidth="1" min="12" max="12" width="53.14"/>
    <col customWidth="1" min="13" max="13" width="17.14"/>
  </cols>
  <sheetData>
    <row r="1" ht="96.0" customHeight="1">
      <c r="A1" s="1" t="s">
        <v>0</v>
      </c>
      <c r="B1" s="1" t="s">
        <v>2</v>
      </c>
      <c r="C1" s="3" t="s">
        <v>3</v>
      </c>
      <c r="D1" s="5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7" t="s">
        <v>11</v>
      </c>
      <c r="J1" s="10" t="s">
        <v>18</v>
      </c>
      <c r="K1" s="11" t="s">
        <v>20</v>
      </c>
      <c r="L1" s="3" t="s">
        <v>21</v>
      </c>
      <c r="M1" s="3" t="s">
        <v>22</v>
      </c>
    </row>
    <row r="2" ht="12.0" customHeight="1">
      <c r="A2" s="1" t="s">
        <v>23</v>
      </c>
      <c r="B2" s="3">
        <v>500000.0</v>
      </c>
      <c r="C2" s="12" t="s">
        <v>24</v>
      </c>
      <c r="D2" s="13" t="s">
        <v>25</v>
      </c>
      <c r="E2" s="14">
        <v>41969.0</v>
      </c>
      <c r="F2" s="1">
        <v>1.0</v>
      </c>
      <c r="G2" s="1" t="s">
        <v>26</v>
      </c>
      <c r="H2" s="1" t="s">
        <v>27</v>
      </c>
      <c r="I2" s="7">
        <v>100.0</v>
      </c>
      <c r="J2" s="1">
        <v>11.73</v>
      </c>
      <c r="K2" s="16">
        <f t="shared" ref="K2:K27" si="1">J2/I2</f>
        <v>0.1173</v>
      </c>
      <c r="L2" s="3"/>
      <c r="M2" s="19" t="s">
        <v>28</v>
      </c>
    </row>
    <row r="3" ht="12.0" customHeight="1">
      <c r="A3" s="3" t="s">
        <v>29</v>
      </c>
      <c r="B3" s="3">
        <v>4000.0</v>
      </c>
      <c r="C3" s="3" t="s">
        <v>30</v>
      </c>
      <c r="D3" s="5" t="s">
        <v>31</v>
      </c>
      <c r="E3" s="20">
        <v>41599.0</v>
      </c>
      <c r="F3" s="3">
        <v>1.0</v>
      </c>
      <c r="G3" s="3" t="s">
        <v>26</v>
      </c>
      <c r="H3" s="3" t="s">
        <v>27</v>
      </c>
      <c r="I3" s="7">
        <v>5000.0</v>
      </c>
      <c r="J3" s="10">
        <v>103.1</v>
      </c>
      <c r="K3" s="16">
        <f t="shared" si="1"/>
        <v>0.02062</v>
      </c>
      <c r="L3" s="3" t="s">
        <v>32</v>
      </c>
      <c r="M3" s="3"/>
    </row>
    <row r="4" ht="12.0" customHeight="1">
      <c r="A4" s="3" t="s">
        <v>34</v>
      </c>
      <c r="B4" s="3"/>
      <c r="C4" s="21" t="s">
        <v>24</v>
      </c>
      <c r="D4" s="3" t="s">
        <v>36</v>
      </c>
      <c r="E4" s="14">
        <v>42654.0</v>
      </c>
      <c r="F4" s="1">
        <v>2.0</v>
      </c>
      <c r="G4" s="3" t="s">
        <v>26</v>
      </c>
      <c r="H4" s="3" t="s">
        <v>27</v>
      </c>
      <c r="I4" s="7">
        <v>480.0</v>
      </c>
      <c r="J4" s="1">
        <v>12.91</v>
      </c>
      <c r="K4" s="16">
        <f t="shared" si="1"/>
        <v>0.02689583333</v>
      </c>
      <c r="L4" s="1" t="s">
        <v>37</v>
      </c>
      <c r="M4" s="3"/>
    </row>
    <row r="5" ht="12.0" customHeight="1">
      <c r="A5" s="1" t="s">
        <v>38</v>
      </c>
      <c r="B5" s="23"/>
      <c r="C5" s="1" t="s">
        <v>40</v>
      </c>
      <c r="D5" s="3">
        <v>2.2491253E7</v>
      </c>
      <c r="E5" s="14">
        <v>42654.0</v>
      </c>
      <c r="F5" s="1">
        <v>1.0</v>
      </c>
      <c r="G5" s="1" t="s">
        <v>26</v>
      </c>
      <c r="H5" s="1" t="s">
        <v>27</v>
      </c>
      <c r="I5" s="7">
        <v>960.0</v>
      </c>
      <c r="J5" s="1">
        <v>121.13</v>
      </c>
      <c r="K5" s="16">
        <f t="shared" si="1"/>
        <v>0.1261770833</v>
      </c>
      <c r="L5" s="1" t="s">
        <v>41</v>
      </c>
      <c r="M5" s="3"/>
    </row>
    <row r="6" ht="12.0" customHeight="1">
      <c r="A6" s="3" t="s">
        <v>42</v>
      </c>
      <c r="B6" s="3" t="e">
        <v>#N/A</v>
      </c>
      <c r="C6" s="21" t="s">
        <v>24</v>
      </c>
      <c r="D6" s="5" t="s">
        <v>44</v>
      </c>
      <c r="E6" s="20">
        <v>41576.0</v>
      </c>
      <c r="F6" s="3">
        <v>1.0</v>
      </c>
      <c r="G6" s="3" t="s">
        <v>26</v>
      </c>
      <c r="H6" s="3" t="s">
        <v>27</v>
      </c>
      <c r="I6" s="7">
        <v>500.0</v>
      </c>
      <c r="J6" s="10">
        <v>14.24</v>
      </c>
      <c r="K6" s="16">
        <f t="shared" si="1"/>
        <v>0.02848</v>
      </c>
      <c r="L6" s="3"/>
      <c r="M6" s="3"/>
    </row>
    <row r="7" ht="12.0" customHeight="1">
      <c r="A7" s="3" t="s">
        <v>45</v>
      </c>
      <c r="B7" s="1">
        <v>0.0</v>
      </c>
      <c r="C7" s="24" t="s">
        <v>46</v>
      </c>
      <c r="D7" s="13" t="s">
        <v>48</v>
      </c>
      <c r="E7" s="14">
        <v>43066.0</v>
      </c>
      <c r="F7" s="1">
        <v>4.0</v>
      </c>
      <c r="G7" s="1" t="s">
        <v>26</v>
      </c>
      <c r="H7" s="1" t="s">
        <v>27</v>
      </c>
      <c r="I7" s="7">
        <v>960.0</v>
      </c>
      <c r="J7" s="1">
        <v>70.74</v>
      </c>
      <c r="K7" s="16">
        <f t="shared" si="1"/>
        <v>0.0736875</v>
      </c>
      <c r="L7" s="3"/>
      <c r="M7" s="25"/>
    </row>
    <row r="8" ht="12.0" customHeight="1">
      <c r="A8" s="3" t="s">
        <v>35</v>
      </c>
      <c r="B8" s="1"/>
      <c r="C8" s="1" t="s">
        <v>40</v>
      </c>
      <c r="D8" s="3">
        <v>2.2491237E7</v>
      </c>
      <c r="E8" s="14">
        <v>43270.0</v>
      </c>
      <c r="F8" s="1">
        <v>9.0</v>
      </c>
      <c r="G8" s="1" t="s">
        <v>26</v>
      </c>
      <c r="H8" s="1" t="s">
        <v>27</v>
      </c>
      <c r="I8" s="7">
        <v>960.0</v>
      </c>
      <c r="J8" s="1">
        <v>121.88</v>
      </c>
      <c r="K8" s="16">
        <f t="shared" si="1"/>
        <v>0.1269583333</v>
      </c>
      <c r="L8" s="1" t="s">
        <v>51</v>
      </c>
      <c r="M8" s="3"/>
    </row>
    <row r="9" ht="12.0" customHeight="1">
      <c r="A9" s="1" t="s">
        <v>52</v>
      </c>
      <c r="B9" s="1"/>
      <c r="C9" s="1" t="s">
        <v>53</v>
      </c>
      <c r="D9" s="1" t="s">
        <v>54</v>
      </c>
      <c r="E9" s="14">
        <v>43265.0</v>
      </c>
      <c r="F9" s="1">
        <v>9.0</v>
      </c>
      <c r="G9" s="1" t="s">
        <v>26</v>
      </c>
      <c r="H9" s="1" t="s">
        <v>27</v>
      </c>
      <c r="I9" s="7">
        <v>960.0</v>
      </c>
      <c r="J9" s="1">
        <v>146.25</v>
      </c>
      <c r="K9" s="16">
        <f t="shared" si="1"/>
        <v>0.15234375</v>
      </c>
      <c r="L9" s="1" t="s">
        <v>56</v>
      </c>
      <c r="M9" s="3"/>
    </row>
    <row r="10" ht="12.0" customHeight="1">
      <c r="A10" s="3" t="s">
        <v>57</v>
      </c>
      <c r="B10" s="3" t="e">
        <v>#N/A</v>
      </c>
      <c r="C10" s="21" t="s">
        <v>24</v>
      </c>
      <c r="D10" s="5" t="s">
        <v>58</v>
      </c>
      <c r="E10" s="20">
        <v>41576.0</v>
      </c>
      <c r="F10" s="3">
        <v>1.0</v>
      </c>
      <c r="G10" s="3" t="s">
        <v>26</v>
      </c>
      <c r="H10" s="3" t="s">
        <v>27</v>
      </c>
      <c r="I10" s="7">
        <v>200.0</v>
      </c>
      <c r="J10" s="10">
        <v>31.44</v>
      </c>
      <c r="K10" s="16">
        <f t="shared" si="1"/>
        <v>0.1572</v>
      </c>
      <c r="L10" s="25"/>
      <c r="M10" s="3"/>
    </row>
    <row r="11" ht="12.0" customHeight="1">
      <c r="A11" s="3" t="s">
        <v>59</v>
      </c>
      <c r="B11" s="3"/>
      <c r="C11" s="1" t="s">
        <v>40</v>
      </c>
      <c r="D11" s="3">
        <v>2.2491211E7</v>
      </c>
      <c r="E11" s="14">
        <v>43270.0</v>
      </c>
      <c r="F11" s="1">
        <v>3.0</v>
      </c>
      <c r="G11" s="1" t="s">
        <v>26</v>
      </c>
      <c r="H11" s="1" t="s">
        <v>27</v>
      </c>
      <c r="I11" s="7">
        <v>960.0</v>
      </c>
      <c r="J11" s="1">
        <v>126.38</v>
      </c>
      <c r="K11" s="16">
        <f t="shared" si="1"/>
        <v>0.1316458333</v>
      </c>
      <c r="L11" s="1" t="s">
        <v>51</v>
      </c>
      <c r="M11" s="3"/>
    </row>
    <row r="12" ht="12.0" customHeight="1">
      <c r="A12" s="1" t="s">
        <v>61</v>
      </c>
      <c r="B12" s="3">
        <v>960.0</v>
      </c>
      <c r="C12" s="12" t="s">
        <v>24</v>
      </c>
      <c r="D12" s="13" t="s">
        <v>62</v>
      </c>
      <c r="E12" s="14">
        <v>41969.0</v>
      </c>
      <c r="F12" s="1">
        <v>1.0</v>
      </c>
      <c r="G12" s="1" t="s">
        <v>26</v>
      </c>
      <c r="H12" s="1" t="s">
        <v>27</v>
      </c>
      <c r="I12" s="7">
        <v>4800.0</v>
      </c>
      <c r="J12" s="1">
        <v>386.16</v>
      </c>
      <c r="K12" s="16">
        <f t="shared" si="1"/>
        <v>0.08045</v>
      </c>
      <c r="L12" s="3"/>
      <c r="M12" s="25"/>
    </row>
    <row r="13" ht="12.0" customHeight="1">
      <c r="A13" s="3" t="s">
        <v>63</v>
      </c>
      <c r="B13" s="3">
        <f>150</f>
        <v>150</v>
      </c>
      <c r="C13" s="21" t="s">
        <v>24</v>
      </c>
      <c r="D13" s="5" t="s">
        <v>65</v>
      </c>
      <c r="E13" s="20">
        <v>41576.0</v>
      </c>
      <c r="F13" s="3">
        <v>2.0</v>
      </c>
      <c r="G13" s="3" t="s">
        <v>26</v>
      </c>
      <c r="H13" s="3" t="s">
        <v>27</v>
      </c>
      <c r="I13" s="7">
        <v>500.0</v>
      </c>
      <c r="J13" s="10">
        <v>53.33</v>
      </c>
      <c r="K13" s="16">
        <f t="shared" si="1"/>
        <v>0.10666</v>
      </c>
      <c r="L13" s="27"/>
      <c r="M13" s="3"/>
    </row>
    <row r="14" ht="12.0" customHeight="1">
      <c r="A14" s="3" t="s">
        <v>66</v>
      </c>
      <c r="B14" s="1">
        <v>300000.0</v>
      </c>
      <c r="C14" s="3" t="s">
        <v>67</v>
      </c>
      <c r="D14" s="3"/>
      <c r="E14" s="20"/>
      <c r="F14" s="3"/>
      <c r="G14" s="1" t="s">
        <v>26</v>
      </c>
      <c r="H14" s="1" t="s">
        <v>27</v>
      </c>
      <c r="I14" s="7">
        <v>500.0</v>
      </c>
      <c r="J14" s="10">
        <v>0.0</v>
      </c>
      <c r="K14" s="16">
        <f t="shared" si="1"/>
        <v>0</v>
      </c>
      <c r="L14" s="3"/>
      <c r="M14" s="1" t="s">
        <v>69</v>
      </c>
    </row>
    <row r="15" ht="12.0" customHeight="1">
      <c r="A15" s="1" t="s">
        <v>70</v>
      </c>
      <c r="B15" s="3">
        <f>4*960</f>
        <v>3840</v>
      </c>
      <c r="C15" s="24" t="s">
        <v>46</v>
      </c>
      <c r="D15" s="5">
        <v>540349.0</v>
      </c>
      <c r="E15" s="14">
        <v>43066.0</v>
      </c>
      <c r="F15" s="1">
        <v>4.0</v>
      </c>
      <c r="G15" s="1" t="s">
        <v>26</v>
      </c>
      <c r="H15" s="1" t="s">
        <v>27</v>
      </c>
      <c r="I15" s="7">
        <v>960.0</v>
      </c>
      <c r="J15" s="1">
        <f>266.92/4</f>
        <v>66.73</v>
      </c>
      <c r="K15" s="16">
        <f t="shared" si="1"/>
        <v>0.06951041667</v>
      </c>
      <c r="L15" s="1"/>
      <c r="M15" s="3"/>
    </row>
    <row r="16" ht="12.0" customHeight="1">
      <c r="A16" s="1" t="s">
        <v>70</v>
      </c>
      <c r="B16" s="1">
        <v>0.0</v>
      </c>
      <c r="C16" s="12" t="s">
        <v>24</v>
      </c>
      <c r="D16" s="1" t="s">
        <v>75</v>
      </c>
      <c r="E16" s="14">
        <v>42464.0</v>
      </c>
      <c r="F16" s="1">
        <v>1.0</v>
      </c>
      <c r="G16" s="1" t="s">
        <v>26</v>
      </c>
      <c r="H16" s="1" t="s">
        <v>27</v>
      </c>
      <c r="I16" s="7">
        <v>4800.0</v>
      </c>
      <c r="J16" s="1">
        <v>317.32</v>
      </c>
      <c r="K16" s="16">
        <f t="shared" si="1"/>
        <v>0.06610833333</v>
      </c>
      <c r="L16" s="1"/>
      <c r="M16" s="3"/>
    </row>
    <row r="17" ht="12.0" customHeight="1">
      <c r="A17" s="3" t="s">
        <v>72</v>
      </c>
      <c r="B17" s="3">
        <v>1000.0</v>
      </c>
      <c r="C17" s="21" t="s">
        <v>24</v>
      </c>
      <c r="D17" s="5" t="s">
        <v>76</v>
      </c>
      <c r="E17" s="20">
        <v>41576.0</v>
      </c>
      <c r="F17" s="3">
        <v>1.0</v>
      </c>
      <c r="G17" s="3" t="s">
        <v>26</v>
      </c>
      <c r="H17" s="3" t="s">
        <v>27</v>
      </c>
      <c r="I17" s="7">
        <v>200.0</v>
      </c>
      <c r="J17" s="10">
        <v>76.25</v>
      </c>
      <c r="K17" s="16">
        <f t="shared" si="1"/>
        <v>0.38125</v>
      </c>
      <c r="L17" s="3"/>
      <c r="M17" s="3" t="s">
        <v>77</v>
      </c>
    </row>
    <row r="18" ht="12.0" customHeight="1">
      <c r="A18" s="1" t="s">
        <v>78</v>
      </c>
      <c r="B18" s="1">
        <v>500.0</v>
      </c>
      <c r="C18" s="3" t="s">
        <v>30</v>
      </c>
      <c r="D18" s="3" t="s">
        <v>79</v>
      </c>
      <c r="E18" s="20">
        <v>41766.0</v>
      </c>
      <c r="F18" s="3">
        <v>1.0</v>
      </c>
      <c r="G18" s="3" t="s">
        <v>26</v>
      </c>
      <c r="H18" s="3" t="s">
        <v>27</v>
      </c>
      <c r="I18" s="7">
        <v>5000.0</v>
      </c>
      <c r="J18" s="10">
        <v>1005.39</v>
      </c>
      <c r="K18" s="16">
        <f t="shared" si="1"/>
        <v>0.201078</v>
      </c>
      <c r="L18" s="3"/>
      <c r="M18" s="3"/>
    </row>
    <row r="19" ht="12.0" customHeight="1">
      <c r="A19" s="3" t="s">
        <v>55</v>
      </c>
      <c r="B19" s="1"/>
      <c r="C19" s="1" t="s">
        <v>40</v>
      </c>
      <c r="D19" s="1">
        <v>2.2491245E7</v>
      </c>
      <c r="E19" s="14"/>
      <c r="F19" s="1">
        <v>4.0</v>
      </c>
      <c r="G19" s="3" t="s">
        <v>26</v>
      </c>
      <c r="H19" s="1" t="s">
        <v>27</v>
      </c>
      <c r="I19" s="7">
        <v>960.0</v>
      </c>
      <c r="J19" s="1">
        <v>121.88</v>
      </c>
      <c r="K19" s="16">
        <f t="shared" si="1"/>
        <v>0.1269583333</v>
      </c>
      <c r="L19" s="1" t="s">
        <v>51</v>
      </c>
      <c r="M19" s="1" t="s">
        <v>77</v>
      </c>
    </row>
    <row r="20" ht="12.0" customHeight="1">
      <c r="A20" s="1" t="s">
        <v>80</v>
      </c>
      <c r="B20" s="1"/>
      <c r="C20" s="24" t="s">
        <v>46</v>
      </c>
      <c r="D20" s="3" t="s">
        <v>81</v>
      </c>
      <c r="E20" s="14">
        <v>42325.0</v>
      </c>
      <c r="F20" s="1">
        <v>1.0</v>
      </c>
      <c r="G20" s="1" t="s">
        <v>26</v>
      </c>
      <c r="H20" s="1" t="s">
        <v>27</v>
      </c>
      <c r="I20" s="7">
        <v>4800.0</v>
      </c>
      <c r="J20" s="1">
        <v>317.32</v>
      </c>
      <c r="K20" s="16">
        <f t="shared" si="1"/>
        <v>0.06610833333</v>
      </c>
      <c r="L20" s="1"/>
      <c r="M20" s="3"/>
    </row>
    <row r="21" ht="12.0" customHeight="1">
      <c r="A21" s="3" t="s">
        <v>73</v>
      </c>
      <c r="B21" s="1">
        <v>200.0</v>
      </c>
      <c r="C21" s="21" t="s">
        <v>24</v>
      </c>
      <c r="D21" s="5" t="s">
        <v>82</v>
      </c>
      <c r="E21" s="20">
        <v>41576.0</v>
      </c>
      <c r="F21" s="3">
        <v>2.0</v>
      </c>
      <c r="G21" s="3" t="s">
        <v>26</v>
      </c>
      <c r="H21" s="3" t="s">
        <v>27</v>
      </c>
      <c r="I21" s="7">
        <v>500.0</v>
      </c>
      <c r="J21" s="10">
        <v>65.33</v>
      </c>
      <c r="K21" s="16">
        <f t="shared" si="1"/>
        <v>0.13066</v>
      </c>
      <c r="L21" s="3"/>
      <c r="M21" s="3"/>
    </row>
    <row r="22" ht="12.0" customHeight="1">
      <c r="A22" s="3" t="s">
        <v>49</v>
      </c>
      <c r="B22" s="3">
        <v>100.0</v>
      </c>
      <c r="C22" s="21" t="s">
        <v>24</v>
      </c>
      <c r="D22" s="5" t="s">
        <v>83</v>
      </c>
      <c r="E22" s="20"/>
      <c r="F22" s="3">
        <v>1.0</v>
      </c>
      <c r="G22" s="3" t="s">
        <v>26</v>
      </c>
      <c r="H22" s="3" t="s">
        <v>27</v>
      </c>
      <c r="I22" s="7">
        <v>200.0</v>
      </c>
      <c r="J22" s="10">
        <v>67.93</v>
      </c>
      <c r="K22" s="16">
        <f t="shared" si="1"/>
        <v>0.33965</v>
      </c>
      <c r="L22" s="3"/>
      <c r="M22" s="3"/>
    </row>
    <row r="23" ht="12.0" customHeight="1">
      <c r="A23" s="3" t="s">
        <v>85</v>
      </c>
      <c r="B23" s="3" t="e">
        <v>#N/A</v>
      </c>
      <c r="C23" s="30" t="s">
        <v>46</v>
      </c>
      <c r="D23" s="5" t="s">
        <v>86</v>
      </c>
      <c r="E23" s="20">
        <v>41583.0</v>
      </c>
      <c r="F23" s="3">
        <v>1.0</v>
      </c>
      <c r="G23" s="3" t="s">
        <v>26</v>
      </c>
      <c r="H23" s="3" t="s">
        <v>27</v>
      </c>
      <c r="I23" s="7">
        <v>960.0</v>
      </c>
      <c r="J23" s="10"/>
      <c r="K23" s="16">
        <f t="shared" si="1"/>
        <v>0</v>
      </c>
      <c r="L23" s="3"/>
      <c r="M23" s="3"/>
    </row>
    <row r="24" ht="12.0" customHeight="1">
      <c r="A24" s="3" t="s">
        <v>64</v>
      </c>
      <c r="B24" s="1"/>
      <c r="C24" s="21" t="s">
        <v>24</v>
      </c>
      <c r="D24" s="5" t="s">
        <v>88</v>
      </c>
      <c r="E24" s="14">
        <v>43265.0</v>
      </c>
      <c r="F24" s="3">
        <v>1.0</v>
      </c>
      <c r="G24" s="3" t="s">
        <v>26</v>
      </c>
      <c r="H24" s="3" t="s">
        <v>27</v>
      </c>
      <c r="I24" s="7">
        <v>100.0</v>
      </c>
      <c r="J24" s="1">
        <v>354.72</v>
      </c>
      <c r="K24" s="16">
        <f t="shared" si="1"/>
        <v>3.5472</v>
      </c>
      <c r="L24" s="1"/>
      <c r="M24" s="3"/>
    </row>
    <row r="25" ht="12.0" customHeight="1">
      <c r="A25" s="3" t="s">
        <v>89</v>
      </c>
      <c r="B25" s="3"/>
      <c r="C25" s="21" t="s">
        <v>24</v>
      </c>
      <c r="D25" s="5" t="s">
        <v>90</v>
      </c>
      <c r="E25" s="20">
        <v>41577.0</v>
      </c>
      <c r="F25" s="3">
        <v>1.0</v>
      </c>
      <c r="G25" s="3" t="s">
        <v>26</v>
      </c>
      <c r="H25" s="3" t="s">
        <v>27</v>
      </c>
      <c r="I25" s="7">
        <v>500.0</v>
      </c>
      <c r="J25" s="1">
        <v>305.12</v>
      </c>
      <c r="K25" s="16">
        <f t="shared" si="1"/>
        <v>0.61024</v>
      </c>
      <c r="L25" s="3"/>
      <c r="M25" s="3"/>
    </row>
    <row r="26" ht="12.0" customHeight="1">
      <c r="A26" s="1" t="s">
        <v>91</v>
      </c>
      <c r="B26" s="1">
        <v>0.0</v>
      </c>
      <c r="C26" s="3" t="s">
        <v>92</v>
      </c>
      <c r="D26" s="13" t="s">
        <v>93</v>
      </c>
      <c r="E26" s="14">
        <v>41946.0</v>
      </c>
      <c r="F26" s="3">
        <v>1.0</v>
      </c>
      <c r="G26" s="3" t="s">
        <v>26</v>
      </c>
      <c r="H26" s="3" t="s">
        <v>27</v>
      </c>
      <c r="I26" s="7">
        <v>450.0</v>
      </c>
      <c r="J26" s="1">
        <v>5493.0</v>
      </c>
      <c r="K26" s="16">
        <f t="shared" si="1"/>
        <v>12.20666667</v>
      </c>
      <c r="L26" s="13" t="s">
        <v>94</v>
      </c>
      <c r="M26" s="3"/>
    </row>
    <row r="27" ht="12.0" customHeight="1">
      <c r="A27" s="33" t="s">
        <v>60</v>
      </c>
      <c r="B27" s="34"/>
      <c r="C27" s="3" t="s">
        <v>92</v>
      </c>
      <c r="D27" s="33" t="s">
        <v>95</v>
      </c>
      <c r="E27" s="35">
        <v>43265.0</v>
      </c>
      <c r="F27" s="34">
        <v>1.0</v>
      </c>
      <c r="G27" s="33" t="s">
        <v>26</v>
      </c>
      <c r="H27" s="33" t="s">
        <v>27</v>
      </c>
      <c r="I27" s="36">
        <v>60.0</v>
      </c>
      <c r="J27" s="34">
        <v>1190.0</v>
      </c>
      <c r="K27" s="16">
        <f t="shared" si="1"/>
        <v>19.83333333</v>
      </c>
      <c r="L27" s="33" t="s">
        <v>96</v>
      </c>
      <c r="M27" s="37"/>
    </row>
    <row r="28" ht="12.0" customHeight="1">
      <c r="A28" s="1" t="s">
        <v>97</v>
      </c>
      <c r="B28" s="3"/>
      <c r="C28" s="1" t="s">
        <v>98</v>
      </c>
      <c r="D28" s="13"/>
      <c r="E28" s="14"/>
      <c r="F28" s="1"/>
      <c r="G28" s="1" t="s">
        <v>26</v>
      </c>
      <c r="H28" s="1" t="s">
        <v>27</v>
      </c>
      <c r="I28" s="7"/>
      <c r="J28" s="1"/>
      <c r="K28" s="16"/>
      <c r="L28" s="3"/>
      <c r="M28" s="25"/>
    </row>
    <row r="29" ht="12.0" customHeight="1">
      <c r="A29" s="3" t="s">
        <v>99</v>
      </c>
      <c r="B29" s="3" t="e">
        <v>#N/A</v>
      </c>
      <c r="C29" s="30" t="s">
        <v>46</v>
      </c>
      <c r="D29" s="5" t="s">
        <v>100</v>
      </c>
      <c r="E29" s="20">
        <v>41583.0</v>
      </c>
      <c r="F29" s="3">
        <v>1.0</v>
      </c>
      <c r="G29" s="3" t="s">
        <v>26</v>
      </c>
      <c r="H29" s="3" t="s">
        <v>27</v>
      </c>
      <c r="I29" s="38"/>
      <c r="J29" s="10"/>
      <c r="K29" s="16"/>
      <c r="L29" s="3"/>
      <c r="M29" s="3"/>
    </row>
    <row r="30" ht="12.0" customHeight="1">
      <c r="A30" s="1" t="s">
        <v>43</v>
      </c>
      <c r="B30" s="1">
        <v>5.0</v>
      </c>
      <c r="C30" s="1" t="s">
        <v>101</v>
      </c>
      <c r="D30" s="13" t="s">
        <v>102</v>
      </c>
      <c r="E30" s="14"/>
      <c r="F30" s="1"/>
      <c r="G30" s="1" t="s">
        <v>26</v>
      </c>
      <c r="H30" s="1" t="s">
        <v>27</v>
      </c>
      <c r="I30" s="7">
        <v>10000.0</v>
      </c>
      <c r="J30" s="1">
        <v>29.45</v>
      </c>
      <c r="K30" s="16">
        <f t="shared" ref="K30:K37" si="2">J30/I30</f>
        <v>0.002945</v>
      </c>
      <c r="L30" s="3"/>
      <c r="M30" s="25"/>
    </row>
    <row r="31" ht="12.0" customHeight="1">
      <c r="A31" s="39" t="s">
        <v>103</v>
      </c>
      <c r="B31" s="1">
        <v>0.0</v>
      </c>
      <c r="C31" s="12" t="s">
        <v>24</v>
      </c>
      <c r="D31" s="5" t="s">
        <v>104</v>
      </c>
      <c r="E31" s="14">
        <v>43140.0</v>
      </c>
      <c r="F31" s="1">
        <v>1.0</v>
      </c>
      <c r="G31" s="1" t="s">
        <v>26</v>
      </c>
      <c r="H31" s="1" t="s">
        <v>27</v>
      </c>
      <c r="I31" s="7">
        <f>250/0.5</f>
        <v>500</v>
      </c>
      <c r="J31" s="1">
        <v>53.9</v>
      </c>
      <c r="K31" s="16">
        <f t="shared" si="2"/>
        <v>0.1078</v>
      </c>
      <c r="L31" s="25"/>
      <c r="M31" s="3"/>
    </row>
    <row r="32" ht="12.0" customHeight="1">
      <c r="A32" s="3" t="s">
        <v>19</v>
      </c>
      <c r="B32" s="3"/>
      <c r="C32" s="3" t="s">
        <v>105</v>
      </c>
      <c r="D32" s="5">
        <v>69582.0</v>
      </c>
      <c r="E32" s="14">
        <v>42479.0</v>
      </c>
      <c r="F32" s="3">
        <v>1.0</v>
      </c>
      <c r="G32" s="3" t="s">
        <v>26</v>
      </c>
      <c r="H32" s="3" t="s">
        <v>27</v>
      </c>
      <c r="I32" s="7">
        <f>12*96</f>
        <v>1152</v>
      </c>
      <c r="J32" s="1">
        <v>3082.17</v>
      </c>
      <c r="K32" s="16">
        <f t="shared" si="2"/>
        <v>2.675494792</v>
      </c>
      <c r="L32" s="3"/>
      <c r="M32" s="3" t="s">
        <v>106</v>
      </c>
    </row>
    <row r="33" ht="12.0" customHeight="1">
      <c r="A33" s="1" t="s">
        <v>107</v>
      </c>
      <c r="B33" s="3"/>
      <c r="C33" s="3" t="s">
        <v>105</v>
      </c>
      <c r="D33" s="5">
        <v>69581.0</v>
      </c>
      <c r="E33" s="14">
        <v>43265.0</v>
      </c>
      <c r="F33" s="3">
        <v>1.0</v>
      </c>
      <c r="G33" s="3" t="s">
        <v>26</v>
      </c>
      <c r="H33" s="3" t="s">
        <v>27</v>
      </c>
      <c r="I33" s="7">
        <v>384.0</v>
      </c>
      <c r="J33" s="1">
        <v>1116.57</v>
      </c>
      <c r="K33" s="16">
        <f t="shared" si="2"/>
        <v>2.907734375</v>
      </c>
      <c r="L33" s="3"/>
      <c r="M33" s="3" t="s">
        <v>106</v>
      </c>
    </row>
    <row r="34" ht="12.0" customHeight="1">
      <c r="A34" s="1" t="s">
        <v>108</v>
      </c>
      <c r="B34" s="3">
        <v>200.0</v>
      </c>
      <c r="C34" s="1" t="s">
        <v>109</v>
      </c>
      <c r="D34" s="5"/>
      <c r="E34" s="20"/>
      <c r="F34" s="3"/>
      <c r="G34" s="1" t="s">
        <v>26</v>
      </c>
      <c r="H34" s="1" t="s">
        <v>27</v>
      </c>
      <c r="I34" s="7">
        <v>1500.0</v>
      </c>
      <c r="J34" s="1">
        <v>0.0</v>
      </c>
      <c r="K34" s="16">
        <f t="shared" si="2"/>
        <v>0</v>
      </c>
      <c r="L34" s="3"/>
      <c r="M34" s="25"/>
    </row>
    <row r="35" ht="12.0" customHeight="1">
      <c r="A35" s="1" t="s">
        <v>110</v>
      </c>
      <c r="B35" s="3" t="e">
        <v>#N/A</v>
      </c>
      <c r="C35" s="1" t="s">
        <v>109</v>
      </c>
      <c r="D35" s="13" t="s">
        <v>111</v>
      </c>
      <c r="E35" s="14">
        <v>43272.0</v>
      </c>
      <c r="F35" s="1">
        <v>1.0</v>
      </c>
      <c r="G35" s="1" t="s">
        <v>26</v>
      </c>
      <c r="H35" s="1" t="s">
        <v>27</v>
      </c>
      <c r="I35" s="7">
        <v>500.0</v>
      </c>
      <c r="J35" s="1">
        <v>202.5</v>
      </c>
      <c r="K35" s="16">
        <f t="shared" si="2"/>
        <v>0.405</v>
      </c>
      <c r="L35" s="3"/>
      <c r="M35" s="25"/>
    </row>
    <row r="36" ht="12.0" customHeight="1">
      <c r="A36" s="1" t="s">
        <v>17</v>
      </c>
      <c r="B36" s="1">
        <v>1000.0</v>
      </c>
      <c r="C36" s="12" t="s">
        <v>46</v>
      </c>
      <c r="D36" s="40" t="s">
        <v>112</v>
      </c>
      <c r="E36" s="14"/>
      <c r="F36" s="3"/>
      <c r="G36" s="1" t="s">
        <v>26</v>
      </c>
      <c r="H36" s="1" t="s">
        <v>27</v>
      </c>
      <c r="I36" s="7">
        <v>100.0</v>
      </c>
      <c r="J36" s="1">
        <v>42.96</v>
      </c>
      <c r="K36" s="16">
        <f t="shared" si="2"/>
        <v>0.4296</v>
      </c>
      <c r="L36" s="1"/>
      <c r="M36" s="3"/>
    </row>
    <row r="37" ht="12.0" customHeight="1">
      <c r="A37" s="1" t="s">
        <v>71</v>
      </c>
      <c r="B37" s="3"/>
      <c r="C37" s="3" t="s">
        <v>46</v>
      </c>
      <c r="D37" s="13" t="s">
        <v>113</v>
      </c>
      <c r="E37" s="14">
        <v>43265.0</v>
      </c>
      <c r="F37" s="3">
        <v>1.0</v>
      </c>
      <c r="G37" s="3" t="s">
        <v>26</v>
      </c>
      <c r="H37" s="3" t="s">
        <v>27</v>
      </c>
      <c r="I37" s="7">
        <v>4000.0</v>
      </c>
      <c r="J37" s="1">
        <v>79.73</v>
      </c>
      <c r="K37" s="16">
        <f t="shared" si="2"/>
        <v>0.0199325</v>
      </c>
      <c r="L37" s="1" t="s">
        <v>114</v>
      </c>
      <c r="M37" s="1" t="s">
        <v>115</v>
      </c>
    </row>
    <row r="38" ht="12.0" customHeight="1">
      <c r="A38" s="3" t="s">
        <v>116</v>
      </c>
      <c r="B38" s="41" t="e">
        <v>#N/A</v>
      </c>
      <c r="C38" s="3" t="s">
        <v>117</v>
      </c>
      <c r="D38" s="42" t="s">
        <v>118</v>
      </c>
      <c r="E38" s="43">
        <v>41591.0</v>
      </c>
      <c r="F38" s="41">
        <v>1.0</v>
      </c>
      <c r="G38" s="41" t="s">
        <v>26</v>
      </c>
      <c r="H38" s="41" t="s">
        <v>27</v>
      </c>
      <c r="I38" s="44"/>
      <c r="J38" s="45">
        <v>3.79</v>
      </c>
      <c r="K38" s="16"/>
      <c r="L38" s="41"/>
      <c r="M38" s="41"/>
    </row>
    <row r="39" ht="12.0" customHeight="1">
      <c r="A39" s="1" t="s">
        <v>119</v>
      </c>
      <c r="B39" s="41" t="e">
        <v>#N/A</v>
      </c>
      <c r="C39" s="1" t="s">
        <v>120</v>
      </c>
      <c r="D39" s="42"/>
      <c r="E39" s="43"/>
      <c r="F39" s="41"/>
      <c r="G39" s="46" t="s">
        <v>26</v>
      </c>
      <c r="H39" s="46" t="s">
        <v>27</v>
      </c>
      <c r="I39" s="44"/>
      <c r="J39" s="45"/>
      <c r="K39" s="16"/>
      <c r="L39" s="41"/>
      <c r="M39" s="48"/>
    </row>
    <row r="40" ht="12.0" customHeight="1">
      <c r="A40" s="1" t="s">
        <v>123</v>
      </c>
      <c r="B40" s="3"/>
      <c r="C40" s="1" t="s">
        <v>120</v>
      </c>
      <c r="D40" s="42"/>
      <c r="E40" s="20"/>
      <c r="F40" s="3"/>
      <c r="G40" s="1" t="s">
        <v>26</v>
      </c>
      <c r="H40" s="1" t="s">
        <v>27</v>
      </c>
      <c r="I40" s="7">
        <v>3200.0</v>
      </c>
      <c r="J40" s="1">
        <v>25.12</v>
      </c>
      <c r="K40" s="16">
        <f t="shared" ref="K40:K43" si="3">J40/I40</f>
        <v>0.00785</v>
      </c>
      <c r="L40" s="3"/>
      <c r="M40" s="25"/>
    </row>
    <row r="41" ht="12.0" customHeight="1">
      <c r="A41" s="1" t="s">
        <v>124</v>
      </c>
      <c r="B41" s="1"/>
      <c r="C41" s="12" t="s">
        <v>24</v>
      </c>
      <c r="D41" s="13" t="s">
        <v>125</v>
      </c>
      <c r="E41" s="14">
        <v>43140.0</v>
      </c>
      <c r="F41" s="1">
        <v>2.0</v>
      </c>
      <c r="G41" s="1" t="s">
        <v>26</v>
      </c>
      <c r="H41" s="1" t="s">
        <v>27</v>
      </c>
      <c r="I41" s="7">
        <v>500.0</v>
      </c>
      <c r="J41" s="1">
        <v>104.0</v>
      </c>
      <c r="K41" s="16">
        <f t="shared" si="3"/>
        <v>0.208</v>
      </c>
      <c r="L41" s="1" t="s">
        <v>126</v>
      </c>
      <c r="M41" s="25"/>
    </row>
    <row r="42" ht="12.0" customHeight="1">
      <c r="A42" s="1" t="s">
        <v>127</v>
      </c>
      <c r="B42" s="1">
        <v>400.0</v>
      </c>
      <c r="C42" s="1" t="s">
        <v>128</v>
      </c>
      <c r="D42" s="1" t="s">
        <v>129</v>
      </c>
      <c r="E42" s="14">
        <v>42842.0</v>
      </c>
      <c r="F42" s="1">
        <v>300.0</v>
      </c>
      <c r="G42" s="1" t="s">
        <v>26</v>
      </c>
      <c r="H42" s="1" t="s">
        <v>27</v>
      </c>
      <c r="I42" s="7">
        <v>1.0</v>
      </c>
      <c r="J42" s="1">
        <v>2.86</v>
      </c>
      <c r="K42" s="16">
        <f t="shared" si="3"/>
        <v>2.86</v>
      </c>
      <c r="L42" s="1" t="s">
        <v>130</v>
      </c>
      <c r="M42" s="25"/>
    </row>
    <row r="43" ht="12.0" customHeight="1">
      <c r="A43" s="1" t="s">
        <v>131</v>
      </c>
      <c r="B43" s="1">
        <v>0.0</v>
      </c>
      <c r="C43" s="1" t="s">
        <v>132</v>
      </c>
      <c r="D43" s="49" t="s">
        <v>133</v>
      </c>
      <c r="E43" s="14">
        <v>42675.0</v>
      </c>
      <c r="F43" s="1">
        <v>3.0</v>
      </c>
      <c r="G43" s="1" t="s">
        <v>26</v>
      </c>
      <c r="H43" s="1" t="s">
        <v>27</v>
      </c>
      <c r="I43" s="7">
        <v>1.0</v>
      </c>
      <c r="J43" s="1">
        <v>126.0</v>
      </c>
      <c r="K43" s="16">
        <f t="shared" si="3"/>
        <v>126</v>
      </c>
      <c r="L43" s="3"/>
      <c r="M43" s="25"/>
    </row>
    <row r="44" ht="12.0" customHeight="1">
      <c r="A44" s="1" t="s">
        <v>134</v>
      </c>
      <c r="B44" s="1">
        <v>0.0</v>
      </c>
      <c r="C44" s="1" t="s">
        <v>132</v>
      </c>
      <c r="D44" s="49" t="s">
        <v>135</v>
      </c>
      <c r="E44" s="14">
        <v>42788.0</v>
      </c>
      <c r="F44" s="1">
        <v>1.0</v>
      </c>
      <c r="G44" s="1" t="s">
        <v>26</v>
      </c>
      <c r="H44" s="1" t="s">
        <v>27</v>
      </c>
      <c r="I44" s="7"/>
      <c r="J44" s="1">
        <v>352.0</v>
      </c>
      <c r="K44" s="16"/>
      <c r="L44" s="3"/>
      <c r="M44" s="19" t="s">
        <v>136</v>
      </c>
    </row>
    <row r="45" ht="12.0" customHeight="1">
      <c r="A45" s="1" t="s">
        <v>137</v>
      </c>
      <c r="B45" s="3" t="e">
        <v>#N/A</v>
      </c>
      <c r="C45" s="24" t="s">
        <v>46</v>
      </c>
      <c r="D45" s="13" t="s">
        <v>138</v>
      </c>
      <c r="E45" s="14">
        <v>42263.0</v>
      </c>
      <c r="F45" s="1">
        <v>1.0</v>
      </c>
      <c r="G45" s="1" t="s">
        <v>26</v>
      </c>
      <c r="H45" s="1" t="s">
        <v>27</v>
      </c>
      <c r="I45" s="7">
        <v>1.0</v>
      </c>
      <c r="J45" s="1">
        <v>198.47</v>
      </c>
      <c r="K45" s="16">
        <f>J45/I45</f>
        <v>198.47</v>
      </c>
      <c r="L45" s="3"/>
      <c r="M45" s="25"/>
    </row>
    <row r="46" ht="12.0" customHeight="1">
      <c r="A46" s="3" t="s">
        <v>140</v>
      </c>
      <c r="B46" s="3" t="e">
        <v>#N/A</v>
      </c>
      <c r="C46" s="21" t="s">
        <v>24</v>
      </c>
      <c r="D46" s="5" t="s">
        <v>141</v>
      </c>
      <c r="E46" s="20">
        <v>41576.0</v>
      </c>
      <c r="F46" s="3">
        <v>1.0</v>
      </c>
      <c r="G46" s="3" t="s">
        <v>26</v>
      </c>
      <c r="H46" s="3" t="s">
        <v>27</v>
      </c>
      <c r="I46" s="38"/>
      <c r="J46" s="10">
        <v>39.75</v>
      </c>
      <c r="K46" s="16"/>
      <c r="L46" s="3"/>
      <c r="M46" s="3"/>
    </row>
    <row r="47" ht="12.0" customHeight="1">
      <c r="A47" s="3" t="s">
        <v>142</v>
      </c>
      <c r="B47" s="3" t="e">
        <v>#N/A</v>
      </c>
      <c r="C47" s="21" t="s">
        <v>24</v>
      </c>
      <c r="D47" s="5" t="s">
        <v>143</v>
      </c>
      <c r="E47" s="20">
        <v>41576.0</v>
      </c>
      <c r="F47" s="3">
        <v>1.0</v>
      </c>
      <c r="G47" s="3" t="s">
        <v>26</v>
      </c>
      <c r="H47" s="3" t="s">
        <v>27</v>
      </c>
      <c r="I47" s="7">
        <v>280.0</v>
      </c>
      <c r="J47" s="10">
        <v>99.99</v>
      </c>
      <c r="K47" s="16">
        <f t="shared" ref="K47:K50" si="4">J47/I47</f>
        <v>0.3571071429</v>
      </c>
      <c r="L47" s="3"/>
      <c r="M47" s="3"/>
    </row>
    <row r="48" ht="12.0" customHeight="1">
      <c r="A48" s="1" t="s">
        <v>144</v>
      </c>
      <c r="B48" s="1">
        <v>0.0</v>
      </c>
      <c r="C48" s="1" t="s">
        <v>145</v>
      </c>
      <c r="D48" s="13" t="s">
        <v>146</v>
      </c>
      <c r="E48" s="14">
        <v>42656.0</v>
      </c>
      <c r="F48" s="1">
        <v>1.0</v>
      </c>
      <c r="G48" s="1" t="s">
        <v>26</v>
      </c>
      <c r="H48" s="1" t="s">
        <v>27</v>
      </c>
      <c r="I48" s="7">
        <v>40.0</v>
      </c>
      <c r="J48" s="1">
        <v>475.0</v>
      </c>
      <c r="K48" s="16">
        <f t="shared" si="4"/>
        <v>11.875</v>
      </c>
      <c r="L48" s="1" t="s">
        <v>147</v>
      </c>
      <c r="M48" s="19" t="s">
        <v>148</v>
      </c>
    </row>
    <row r="49" ht="12.0" customHeight="1">
      <c r="A49" s="3" t="s">
        <v>149</v>
      </c>
      <c r="B49" s="3">
        <v>960.0</v>
      </c>
      <c r="C49" s="1" t="s">
        <v>109</v>
      </c>
      <c r="D49" s="5"/>
      <c r="E49" s="20"/>
      <c r="F49" s="3"/>
      <c r="G49" s="1" t="s">
        <v>26</v>
      </c>
      <c r="H49" s="1" t="s">
        <v>27</v>
      </c>
      <c r="I49" s="7">
        <v>1500.0</v>
      </c>
      <c r="J49" s="1">
        <v>0.0</v>
      </c>
      <c r="K49" s="16">
        <f t="shared" si="4"/>
        <v>0</v>
      </c>
      <c r="L49" s="3"/>
      <c r="M49" s="19" t="s">
        <v>150</v>
      </c>
    </row>
    <row r="50" ht="12.0" customHeight="1">
      <c r="A50" s="3" t="s">
        <v>151</v>
      </c>
      <c r="B50" s="3">
        <v>100.0</v>
      </c>
      <c r="C50" s="1"/>
      <c r="D50" s="5"/>
      <c r="E50" s="20"/>
      <c r="F50" s="1">
        <v>1.0</v>
      </c>
      <c r="G50" s="1" t="s">
        <v>26</v>
      </c>
      <c r="H50" s="1" t="s">
        <v>27</v>
      </c>
      <c r="I50" s="7">
        <v>1500.0</v>
      </c>
      <c r="J50" s="1">
        <v>0.0</v>
      </c>
      <c r="K50" s="16">
        <f t="shared" si="4"/>
        <v>0</v>
      </c>
      <c r="L50" s="3"/>
      <c r="M50" s="25"/>
    </row>
    <row r="51" ht="12.0" customHeight="1">
      <c r="A51" s="1" t="s">
        <v>152</v>
      </c>
      <c r="B51" s="3" t="e">
        <v>#N/A</v>
      </c>
      <c r="C51" s="1" t="s">
        <v>153</v>
      </c>
      <c r="D51" s="13">
        <v>4311971.0</v>
      </c>
      <c r="E51" s="20"/>
      <c r="F51" s="3"/>
      <c r="G51" s="1" t="s">
        <v>26</v>
      </c>
      <c r="H51" s="1" t="s">
        <v>27</v>
      </c>
      <c r="I51" s="38"/>
      <c r="J51" s="10"/>
      <c r="K51" s="16"/>
      <c r="L51" s="1" t="s">
        <v>154</v>
      </c>
      <c r="M51" s="25"/>
    </row>
    <row r="52" ht="12.0" customHeight="1">
      <c r="A52" s="1" t="s">
        <v>155</v>
      </c>
      <c r="B52" s="1">
        <v>100.0</v>
      </c>
      <c r="C52" s="1" t="s">
        <v>109</v>
      </c>
      <c r="D52" s="13" t="s">
        <v>156</v>
      </c>
      <c r="E52" s="14">
        <v>43265.0</v>
      </c>
      <c r="F52" s="1">
        <v>2.0</v>
      </c>
      <c r="G52" s="1" t="s">
        <v>26</v>
      </c>
      <c r="H52" s="1" t="s">
        <v>27</v>
      </c>
      <c r="I52" s="7">
        <v>500.0</v>
      </c>
      <c r="J52" s="1">
        <v>233.1</v>
      </c>
      <c r="K52" s="16">
        <f t="shared" ref="K52:K57" si="5">J52/I52</f>
        <v>0.4662</v>
      </c>
      <c r="L52" s="1" t="s">
        <v>157</v>
      </c>
      <c r="M52" s="25"/>
    </row>
    <row r="53" ht="12.0" customHeight="1">
      <c r="A53" s="1" t="s">
        <v>158</v>
      </c>
      <c r="B53" s="1">
        <v>0.0</v>
      </c>
      <c r="C53" s="1" t="s">
        <v>159</v>
      </c>
      <c r="D53" s="13">
        <v>300116.0</v>
      </c>
      <c r="E53" s="14">
        <v>43088.0</v>
      </c>
      <c r="F53" s="1">
        <v>1.0</v>
      </c>
      <c r="G53" s="1" t="s">
        <v>26</v>
      </c>
      <c r="H53" s="1" t="s">
        <v>27</v>
      </c>
      <c r="I53" s="7">
        <v>1.0</v>
      </c>
      <c r="J53" s="1">
        <v>3200.0</v>
      </c>
      <c r="K53" s="16">
        <f t="shared" si="5"/>
        <v>3200</v>
      </c>
      <c r="L53" s="3"/>
      <c r="M53" s="25"/>
    </row>
    <row r="54" ht="12.0" customHeight="1">
      <c r="A54" s="1" t="s">
        <v>160</v>
      </c>
      <c r="B54" s="3"/>
      <c r="C54" s="1" t="s">
        <v>161</v>
      </c>
      <c r="D54" s="13">
        <v>2.0018707E7</v>
      </c>
      <c r="E54" s="14"/>
      <c r="F54" s="1">
        <v>1.0</v>
      </c>
      <c r="G54" s="1" t="s">
        <v>26</v>
      </c>
      <c r="H54" s="1" t="s">
        <v>27</v>
      </c>
      <c r="I54" s="7">
        <v>24.0</v>
      </c>
      <c r="J54" s="1">
        <v>247.0</v>
      </c>
      <c r="K54" s="16">
        <f t="shared" si="5"/>
        <v>10.29166667</v>
      </c>
      <c r="L54" s="1" t="s">
        <v>162</v>
      </c>
      <c r="M54" s="25"/>
    </row>
    <row r="55" ht="12.0" customHeight="1">
      <c r="A55" s="3" t="s">
        <v>163</v>
      </c>
      <c r="B55" s="3"/>
      <c r="C55" s="30" t="s">
        <v>46</v>
      </c>
      <c r="D55" s="5" t="s">
        <v>164</v>
      </c>
      <c r="E55" s="20">
        <v>41579.0</v>
      </c>
      <c r="F55" s="3">
        <v>1.0</v>
      </c>
      <c r="G55" s="3" t="s">
        <v>26</v>
      </c>
      <c r="H55" s="3" t="s">
        <v>27</v>
      </c>
      <c r="I55" s="7">
        <v>10.0</v>
      </c>
      <c r="J55" s="10"/>
      <c r="K55" s="16">
        <f t="shared" si="5"/>
        <v>0</v>
      </c>
      <c r="L55" s="3"/>
      <c r="M55" s="3"/>
    </row>
    <row r="56" ht="12.0" customHeight="1">
      <c r="A56" s="1" t="s">
        <v>165</v>
      </c>
      <c r="B56" s="3"/>
      <c r="C56" s="12" t="s">
        <v>24</v>
      </c>
      <c r="D56" s="5" t="s">
        <v>166</v>
      </c>
      <c r="E56" s="14">
        <v>42115.0</v>
      </c>
      <c r="F56" s="3">
        <v>1.0</v>
      </c>
      <c r="G56" s="3" t="s">
        <v>26</v>
      </c>
      <c r="H56" s="3" t="s">
        <v>27</v>
      </c>
      <c r="I56" s="7">
        <v>1000.0</v>
      </c>
      <c r="J56" s="1">
        <v>63.94</v>
      </c>
      <c r="K56" s="16">
        <f t="shared" si="5"/>
        <v>0.06394</v>
      </c>
      <c r="L56" s="1" t="s">
        <v>167</v>
      </c>
      <c r="M56" s="3"/>
    </row>
    <row r="57" ht="12.0" customHeight="1">
      <c r="A57" s="1" t="s">
        <v>168</v>
      </c>
      <c r="B57" s="3"/>
      <c r="C57" s="12" t="s">
        <v>24</v>
      </c>
      <c r="D57" s="5" t="s">
        <v>169</v>
      </c>
      <c r="E57" s="14">
        <v>43311.0</v>
      </c>
      <c r="F57" s="3">
        <v>1.0</v>
      </c>
      <c r="G57" s="3" t="s">
        <v>26</v>
      </c>
      <c r="H57" s="3" t="s">
        <v>27</v>
      </c>
      <c r="I57" s="7">
        <v>1000.0</v>
      </c>
      <c r="J57" s="1">
        <v>33.69</v>
      </c>
      <c r="K57" s="16">
        <f t="shared" si="5"/>
        <v>0.03369</v>
      </c>
      <c r="L57" s="1" t="s">
        <v>170</v>
      </c>
      <c r="M57" s="3"/>
    </row>
    <row r="58" ht="12.0" customHeight="1">
      <c r="A58" s="1" t="s">
        <v>171</v>
      </c>
      <c r="B58" s="3" t="e">
        <v>#N/A</v>
      </c>
      <c r="C58" s="1" t="s">
        <v>120</v>
      </c>
      <c r="D58" s="5"/>
      <c r="E58" s="20"/>
      <c r="F58" s="3"/>
      <c r="G58" s="1" t="s">
        <v>26</v>
      </c>
      <c r="H58" s="1" t="s">
        <v>27</v>
      </c>
      <c r="I58" s="38"/>
      <c r="J58" s="10"/>
      <c r="K58" s="16"/>
      <c r="L58" s="3"/>
      <c r="M58" s="25"/>
    </row>
    <row r="59" ht="12.0" customHeight="1">
      <c r="A59" s="1" t="s">
        <v>172</v>
      </c>
      <c r="B59" s="3"/>
      <c r="C59" s="1" t="s">
        <v>120</v>
      </c>
      <c r="D59" s="5"/>
      <c r="E59" s="20"/>
      <c r="F59" s="3"/>
      <c r="G59" s="1" t="s">
        <v>26</v>
      </c>
      <c r="H59" s="1" t="s">
        <v>27</v>
      </c>
      <c r="I59" s="7">
        <v>800.0</v>
      </c>
      <c r="J59" s="1">
        <v>65.54</v>
      </c>
      <c r="K59" s="16">
        <f>J59/I59</f>
        <v>0.081925</v>
      </c>
      <c r="L59" s="3"/>
      <c r="M59" s="25"/>
    </row>
    <row r="60" ht="12.0" customHeight="1">
      <c r="A60" s="1" t="s">
        <v>173</v>
      </c>
      <c r="B60" s="3" t="e">
        <v>#N/A</v>
      </c>
      <c r="C60" s="1" t="s">
        <v>120</v>
      </c>
      <c r="D60" s="5"/>
      <c r="E60" s="20"/>
      <c r="F60" s="3"/>
      <c r="G60" s="1" t="s">
        <v>26</v>
      </c>
      <c r="H60" s="1" t="s">
        <v>27</v>
      </c>
      <c r="I60" s="38"/>
      <c r="J60" s="10"/>
      <c r="K60" s="16"/>
      <c r="L60" s="3"/>
      <c r="M60" s="25"/>
    </row>
    <row r="61" ht="12.0" customHeight="1">
      <c r="A61" s="1" t="s">
        <v>174</v>
      </c>
      <c r="B61" s="3"/>
      <c r="C61" s="1" t="s">
        <v>120</v>
      </c>
      <c r="D61" s="5"/>
      <c r="E61" s="20"/>
      <c r="F61" s="3"/>
      <c r="G61" s="1" t="s">
        <v>26</v>
      </c>
      <c r="H61" s="1" t="s">
        <v>27</v>
      </c>
      <c r="I61" s="7">
        <v>800.0</v>
      </c>
      <c r="J61" s="1">
        <v>54.73</v>
      </c>
      <c r="K61" s="16">
        <f>J61/I61</f>
        <v>0.0684125</v>
      </c>
      <c r="L61" s="3"/>
      <c r="M61" s="25"/>
    </row>
    <row r="62" ht="12.0" customHeight="1">
      <c r="A62" s="3" t="s">
        <v>175</v>
      </c>
      <c r="B62" s="3" t="e">
        <v>#N/A</v>
      </c>
      <c r="C62" s="30" t="s">
        <v>46</v>
      </c>
      <c r="D62" s="5" t="s">
        <v>176</v>
      </c>
      <c r="E62" s="20">
        <v>41583.0</v>
      </c>
      <c r="F62" s="3">
        <v>1.0</v>
      </c>
      <c r="G62" s="3" t="s">
        <v>26</v>
      </c>
      <c r="H62" s="3" t="s">
        <v>27</v>
      </c>
      <c r="I62" s="38"/>
      <c r="J62" s="10"/>
      <c r="K62" s="16"/>
      <c r="L62" s="3"/>
      <c r="M62" s="3"/>
    </row>
    <row r="63" ht="12.0" customHeight="1">
      <c r="A63" s="3" t="s">
        <v>177</v>
      </c>
      <c r="B63" s="3"/>
      <c r="C63" s="30" t="s">
        <v>46</v>
      </c>
      <c r="D63" s="5" t="s">
        <v>178</v>
      </c>
      <c r="E63" s="20">
        <v>41583.0</v>
      </c>
      <c r="F63" s="3">
        <v>1.0</v>
      </c>
      <c r="G63" s="3" t="s">
        <v>26</v>
      </c>
      <c r="H63" s="3" t="s">
        <v>27</v>
      </c>
      <c r="I63" s="7">
        <v>250.0</v>
      </c>
      <c r="J63" s="10">
        <v>125.0</v>
      </c>
      <c r="K63" s="16">
        <f t="shared" ref="K63:K69" si="6">J63/I63</f>
        <v>0.5</v>
      </c>
      <c r="L63" s="3"/>
      <c r="M63" s="3"/>
    </row>
    <row r="64" ht="12.0" customHeight="1">
      <c r="A64" s="3" t="s">
        <v>179</v>
      </c>
      <c r="B64" s="3" t="e">
        <v>#N/A</v>
      </c>
      <c r="C64" s="21" t="s">
        <v>24</v>
      </c>
      <c r="D64" s="5" t="s">
        <v>180</v>
      </c>
      <c r="E64" s="20">
        <v>41577.0</v>
      </c>
      <c r="F64" s="3">
        <v>1.0</v>
      </c>
      <c r="G64" s="3" t="s">
        <v>26</v>
      </c>
      <c r="H64" s="3" t="s">
        <v>27</v>
      </c>
      <c r="I64" s="7">
        <v>500.0</v>
      </c>
      <c r="J64" s="10"/>
      <c r="K64" s="16">
        <f t="shared" si="6"/>
        <v>0</v>
      </c>
      <c r="L64" s="3"/>
      <c r="M64" s="3"/>
    </row>
    <row r="65" ht="12.0" customHeight="1">
      <c r="A65" s="3" t="s">
        <v>181</v>
      </c>
      <c r="B65" s="3" t="e">
        <v>#N/A</v>
      </c>
      <c r="C65" s="1" t="s">
        <v>120</v>
      </c>
      <c r="D65" s="5">
        <v>1.19738049E8</v>
      </c>
      <c r="E65" s="20">
        <v>41708.0</v>
      </c>
      <c r="F65" s="3">
        <v>1.0</v>
      </c>
      <c r="G65" s="3" t="s">
        <v>26</v>
      </c>
      <c r="H65" s="3" t="s">
        <v>27</v>
      </c>
      <c r="I65" s="7">
        <v>25.0</v>
      </c>
      <c r="J65" s="10">
        <v>5.75</v>
      </c>
      <c r="K65" s="16">
        <f t="shared" si="6"/>
        <v>0.23</v>
      </c>
      <c r="L65" s="3" t="s">
        <v>182</v>
      </c>
      <c r="M65" s="3"/>
    </row>
    <row r="66" ht="12.0" customHeight="1">
      <c r="A66" s="3" t="s">
        <v>183</v>
      </c>
      <c r="B66" s="3" t="e">
        <v>#N/A</v>
      </c>
      <c r="C66" s="3" t="s">
        <v>120</v>
      </c>
      <c r="D66" s="5">
        <v>1.19899596E8</v>
      </c>
      <c r="E66" s="20">
        <v>41714.0</v>
      </c>
      <c r="F66" s="3">
        <v>1.0</v>
      </c>
      <c r="G66" s="3" t="s">
        <v>26</v>
      </c>
      <c r="H66" s="3" t="s">
        <v>27</v>
      </c>
      <c r="I66" s="7">
        <v>25.0</v>
      </c>
      <c r="J66" s="10">
        <v>5.75</v>
      </c>
      <c r="K66" s="16">
        <f t="shared" si="6"/>
        <v>0.23</v>
      </c>
      <c r="L66" s="3" t="s">
        <v>184</v>
      </c>
      <c r="M66" s="3"/>
    </row>
    <row r="67" ht="12.0" customHeight="1">
      <c r="A67" s="1" t="s">
        <v>50</v>
      </c>
      <c r="B67" s="3"/>
      <c r="C67" s="1" t="s">
        <v>46</v>
      </c>
      <c r="D67" s="40" t="s">
        <v>185</v>
      </c>
      <c r="E67" s="14"/>
      <c r="F67" s="1"/>
      <c r="G67" s="1" t="s">
        <v>26</v>
      </c>
      <c r="H67" s="1" t="s">
        <v>27</v>
      </c>
      <c r="I67" s="7">
        <v>100.0</v>
      </c>
      <c r="J67" s="1">
        <v>23.85</v>
      </c>
      <c r="K67" s="16">
        <f t="shared" si="6"/>
        <v>0.2385</v>
      </c>
      <c r="L67" s="3"/>
      <c r="M67" s="25"/>
    </row>
    <row r="68" ht="12.0" customHeight="1">
      <c r="A68" s="3" t="s">
        <v>186</v>
      </c>
      <c r="B68" s="3">
        <v>800.0</v>
      </c>
      <c r="C68" s="1" t="s">
        <v>109</v>
      </c>
      <c r="D68" s="5"/>
      <c r="E68" s="20"/>
      <c r="F68" s="1">
        <v>1.0</v>
      </c>
      <c r="G68" s="1" t="s">
        <v>26</v>
      </c>
      <c r="H68" s="1" t="s">
        <v>27</v>
      </c>
      <c r="I68" s="7">
        <v>1500.0</v>
      </c>
      <c r="J68" s="1">
        <v>0.0</v>
      </c>
      <c r="K68" s="16">
        <f t="shared" si="6"/>
        <v>0</v>
      </c>
      <c r="L68" s="3"/>
      <c r="M68" s="25"/>
    </row>
    <row r="69" ht="12.0" customHeight="1">
      <c r="A69" s="1" t="s">
        <v>187</v>
      </c>
      <c r="B69" s="3">
        <v>50.0</v>
      </c>
      <c r="C69" s="3" t="s">
        <v>109</v>
      </c>
      <c r="D69" s="5" t="s">
        <v>188</v>
      </c>
      <c r="E69" s="20">
        <v>41711.0</v>
      </c>
      <c r="F69" s="3">
        <v>1.0</v>
      </c>
      <c r="G69" s="3" t="s">
        <v>26</v>
      </c>
      <c r="H69" s="3" t="s">
        <v>27</v>
      </c>
      <c r="I69" s="7">
        <v>100.0</v>
      </c>
      <c r="J69" s="10">
        <v>201.6</v>
      </c>
      <c r="K69" s="16">
        <f t="shared" si="6"/>
        <v>2.016</v>
      </c>
      <c r="L69" s="3"/>
      <c r="M69" s="3"/>
    </row>
    <row r="70" ht="12.0" customHeight="1">
      <c r="A70" s="1" t="s">
        <v>189</v>
      </c>
      <c r="B70" s="3" t="e">
        <v>#N/A</v>
      </c>
      <c r="C70" s="1" t="s">
        <v>145</v>
      </c>
      <c r="D70" s="5"/>
      <c r="E70" s="20"/>
      <c r="F70" s="3"/>
      <c r="G70" s="1" t="s">
        <v>26</v>
      </c>
      <c r="H70" s="1" t="s">
        <v>27</v>
      </c>
      <c r="I70" s="7"/>
      <c r="J70" s="1">
        <v>0.0</v>
      </c>
      <c r="K70" s="16"/>
      <c r="L70" s="3"/>
      <c r="M70" s="19" t="s">
        <v>148</v>
      </c>
    </row>
    <row r="71" ht="12.0" customHeight="1">
      <c r="A71" s="1" t="s">
        <v>190</v>
      </c>
      <c r="B71" s="3">
        <v>8924.0</v>
      </c>
      <c r="C71" s="1" t="s">
        <v>145</v>
      </c>
      <c r="D71" s="3"/>
      <c r="E71" s="20"/>
      <c r="F71" s="3"/>
      <c r="G71" s="1" t="s">
        <v>26</v>
      </c>
      <c r="H71" s="1" t="s">
        <v>27</v>
      </c>
      <c r="I71" s="7">
        <v>500.0</v>
      </c>
      <c r="J71" s="1">
        <v>0.0</v>
      </c>
      <c r="K71" s="16">
        <f t="shared" ref="K71:K83" si="7">J71/I71</f>
        <v>0</v>
      </c>
      <c r="L71" s="3"/>
      <c r="M71" s="1" t="s">
        <v>148</v>
      </c>
    </row>
    <row r="72" ht="12.0" customHeight="1">
      <c r="A72" s="1" t="s">
        <v>68</v>
      </c>
      <c r="B72" s="3"/>
      <c r="C72" s="1" t="s">
        <v>46</v>
      </c>
      <c r="D72" s="40" t="s">
        <v>191</v>
      </c>
      <c r="E72" s="14"/>
      <c r="F72" s="1"/>
      <c r="G72" s="1" t="s">
        <v>26</v>
      </c>
      <c r="H72" s="1" t="s">
        <v>27</v>
      </c>
      <c r="I72" s="7">
        <v>50.0</v>
      </c>
      <c r="J72" s="1">
        <v>57.87</v>
      </c>
      <c r="K72" s="16">
        <f t="shared" si="7"/>
        <v>1.1574</v>
      </c>
      <c r="L72" s="3"/>
      <c r="M72" s="25"/>
    </row>
    <row r="73" ht="12.0" customHeight="1">
      <c r="A73" s="1" t="s">
        <v>192</v>
      </c>
      <c r="B73" s="3"/>
      <c r="C73" s="1" t="s">
        <v>109</v>
      </c>
      <c r="D73" s="13" t="s">
        <v>193</v>
      </c>
      <c r="E73" s="14">
        <v>43265.0</v>
      </c>
      <c r="F73" s="1">
        <v>1.0</v>
      </c>
      <c r="G73" s="1" t="s">
        <v>26</v>
      </c>
      <c r="H73" s="1" t="s">
        <v>27</v>
      </c>
      <c r="I73" s="7">
        <v>500.0</v>
      </c>
      <c r="J73" s="1">
        <v>233.1</v>
      </c>
      <c r="K73" s="16">
        <f t="shared" si="7"/>
        <v>0.4662</v>
      </c>
      <c r="L73" s="3"/>
      <c r="M73" s="19" t="s">
        <v>194</v>
      </c>
    </row>
    <row r="74" ht="12.0" customHeight="1">
      <c r="A74" s="1" t="s">
        <v>195</v>
      </c>
      <c r="B74" s="1">
        <v>100.0</v>
      </c>
      <c r="C74" s="12" t="s">
        <v>24</v>
      </c>
      <c r="D74" s="13" t="s">
        <v>196</v>
      </c>
      <c r="E74" s="14">
        <v>42793.0</v>
      </c>
      <c r="F74" s="1">
        <v>1.0</v>
      </c>
      <c r="G74" s="1" t="s">
        <v>26</v>
      </c>
      <c r="H74" s="1" t="s">
        <v>27</v>
      </c>
      <c r="I74" s="7">
        <v>100.0</v>
      </c>
      <c r="J74" s="1">
        <v>97.72</v>
      </c>
      <c r="K74" s="16">
        <f t="shared" si="7"/>
        <v>0.9772</v>
      </c>
      <c r="L74" s="3"/>
      <c r="M74" s="19" t="s">
        <v>136</v>
      </c>
    </row>
    <row r="75" ht="12.0" customHeight="1">
      <c r="A75" s="3" t="s">
        <v>139</v>
      </c>
      <c r="B75" s="1">
        <v>0.0</v>
      </c>
      <c r="C75" s="24" t="s">
        <v>46</v>
      </c>
      <c r="D75" s="5" t="s">
        <v>197</v>
      </c>
      <c r="E75" s="14">
        <v>43311.0</v>
      </c>
      <c r="F75" s="1">
        <v>2.0</v>
      </c>
      <c r="G75" s="3" t="s">
        <v>26</v>
      </c>
      <c r="H75" s="3" t="s">
        <v>27</v>
      </c>
      <c r="I75" s="7">
        <v>1000.0</v>
      </c>
      <c r="J75" s="1">
        <v>410.97</v>
      </c>
      <c r="K75" s="16">
        <f t="shared" si="7"/>
        <v>0.41097</v>
      </c>
      <c r="L75" s="3"/>
      <c r="M75" s="3"/>
    </row>
    <row r="76" ht="12.0" customHeight="1">
      <c r="A76" s="1" t="s">
        <v>198</v>
      </c>
      <c r="B76" s="3">
        <v>200.0</v>
      </c>
      <c r="C76" s="24" t="s">
        <v>46</v>
      </c>
      <c r="D76" s="5"/>
      <c r="E76" s="20"/>
      <c r="F76" s="3"/>
      <c r="G76" s="1" t="s">
        <v>26</v>
      </c>
      <c r="H76" s="1" t="s">
        <v>27</v>
      </c>
      <c r="I76" s="7">
        <v>500000.0</v>
      </c>
      <c r="J76" s="1">
        <v>0.0</v>
      </c>
      <c r="K76" s="16">
        <f t="shared" si="7"/>
        <v>0</v>
      </c>
      <c r="L76" s="3"/>
      <c r="M76" s="25"/>
    </row>
    <row r="77" ht="12.0" customHeight="1">
      <c r="A77" s="1" t="s">
        <v>199</v>
      </c>
      <c r="B77" s="3"/>
      <c r="C77" s="24" t="s">
        <v>46</v>
      </c>
      <c r="D77" s="50" t="s">
        <v>200</v>
      </c>
      <c r="E77" s="14"/>
      <c r="F77" s="1">
        <v>1.0</v>
      </c>
      <c r="G77" s="1" t="s">
        <v>26</v>
      </c>
      <c r="H77" s="1" t="s">
        <v>27</v>
      </c>
      <c r="I77" s="7">
        <v>1250.0</v>
      </c>
      <c r="J77" s="1">
        <v>97.0</v>
      </c>
      <c r="K77" s="16">
        <f t="shared" si="7"/>
        <v>0.0776</v>
      </c>
      <c r="L77" s="3"/>
      <c r="M77" s="25"/>
    </row>
    <row r="78" ht="12.0" customHeight="1">
      <c r="A78" s="1" t="s">
        <v>201</v>
      </c>
      <c r="B78" s="1">
        <v>2000.0</v>
      </c>
      <c r="C78" s="24" t="s">
        <v>46</v>
      </c>
      <c r="D78" s="13" t="s">
        <v>202</v>
      </c>
      <c r="E78" s="14">
        <v>43066.0</v>
      </c>
      <c r="F78" s="1">
        <v>4.0</v>
      </c>
      <c r="G78" s="1" t="s">
        <v>26</v>
      </c>
      <c r="H78" s="1" t="s">
        <v>27</v>
      </c>
      <c r="I78" s="7">
        <v>500.0</v>
      </c>
      <c r="J78" s="1">
        <v>66.0</v>
      </c>
      <c r="K78" s="16">
        <f t="shared" si="7"/>
        <v>0.132</v>
      </c>
      <c r="L78" s="3"/>
      <c r="M78" s="25"/>
    </row>
    <row r="79" ht="12.0" customHeight="1">
      <c r="A79" s="1" t="s">
        <v>203</v>
      </c>
      <c r="B79" s="1"/>
      <c r="C79" s="1" t="s">
        <v>120</v>
      </c>
      <c r="D79" s="5"/>
      <c r="E79" s="20"/>
      <c r="F79" s="1">
        <v>12.0</v>
      </c>
      <c r="G79" s="1" t="s">
        <v>26</v>
      </c>
      <c r="H79" s="1" t="s">
        <v>27</v>
      </c>
      <c r="I79" s="7">
        <v>3200.0</v>
      </c>
      <c r="J79" s="1">
        <v>28.41</v>
      </c>
      <c r="K79" s="16">
        <f t="shared" si="7"/>
        <v>0.008878125</v>
      </c>
      <c r="L79" s="3"/>
      <c r="M79" s="25"/>
    </row>
    <row r="80" ht="12.0" customHeight="1">
      <c r="A80" s="1" t="s">
        <v>204</v>
      </c>
      <c r="B80" s="3" t="e">
        <v>#N/A</v>
      </c>
      <c r="C80" s="1" t="s">
        <v>120</v>
      </c>
      <c r="D80" s="5"/>
      <c r="E80" s="20"/>
      <c r="F80" s="1">
        <v>5.0</v>
      </c>
      <c r="G80" s="1" t="s">
        <v>26</v>
      </c>
      <c r="H80" s="1" t="s">
        <v>27</v>
      </c>
      <c r="I80" s="7">
        <v>300.0</v>
      </c>
      <c r="J80" s="1">
        <v>28.41</v>
      </c>
      <c r="K80" s="16">
        <f t="shared" si="7"/>
        <v>0.0947</v>
      </c>
      <c r="L80" s="3"/>
      <c r="M80" s="25"/>
    </row>
    <row r="81" ht="12.0" customHeight="1">
      <c r="A81" s="27" t="s">
        <v>205</v>
      </c>
      <c r="B81" s="3" t="e">
        <v>#N/A</v>
      </c>
      <c r="C81" s="30" t="s">
        <v>46</v>
      </c>
      <c r="D81" s="51" t="s">
        <v>206</v>
      </c>
      <c r="E81" s="20">
        <v>41583.0</v>
      </c>
      <c r="F81" s="3">
        <v>1.0</v>
      </c>
      <c r="G81" s="3" t="s">
        <v>26</v>
      </c>
      <c r="H81" s="3" t="s">
        <v>27</v>
      </c>
      <c r="I81" s="7">
        <v>100.0</v>
      </c>
      <c r="J81" s="10"/>
      <c r="K81" s="16">
        <f t="shared" si="7"/>
        <v>0</v>
      </c>
      <c r="L81" s="27"/>
      <c r="M81" s="3"/>
    </row>
    <row r="82" ht="12.0" customHeight="1">
      <c r="A82" s="3" t="s">
        <v>207</v>
      </c>
      <c r="B82" s="3" t="e">
        <v>#N/A</v>
      </c>
      <c r="C82" s="21" t="s">
        <v>24</v>
      </c>
      <c r="D82" s="5" t="s">
        <v>208</v>
      </c>
      <c r="E82" s="20">
        <v>41576.0</v>
      </c>
      <c r="F82" s="3">
        <v>1.0</v>
      </c>
      <c r="G82" s="3" t="s">
        <v>26</v>
      </c>
      <c r="H82" s="3" t="s">
        <v>27</v>
      </c>
      <c r="I82" s="7">
        <v>10.0</v>
      </c>
      <c r="J82" s="10">
        <v>2.0</v>
      </c>
      <c r="K82" s="16">
        <f t="shared" si="7"/>
        <v>0.2</v>
      </c>
      <c r="L82" s="27"/>
      <c r="M82" s="3"/>
    </row>
    <row r="83" ht="12.0" customHeight="1">
      <c r="A83" s="1" t="s">
        <v>39</v>
      </c>
      <c r="B83" s="1">
        <v>100.0</v>
      </c>
      <c r="C83" s="12" t="s">
        <v>46</v>
      </c>
      <c r="D83" s="40" t="s">
        <v>209</v>
      </c>
      <c r="E83" s="14"/>
      <c r="F83" s="1"/>
      <c r="G83" s="1" t="s">
        <v>26</v>
      </c>
      <c r="H83" s="1" t="s">
        <v>27</v>
      </c>
      <c r="I83" s="7">
        <v>100.0</v>
      </c>
      <c r="J83" s="1">
        <v>32.26</v>
      </c>
      <c r="K83" s="16">
        <f t="shared" si="7"/>
        <v>0.3226</v>
      </c>
      <c r="L83" s="27"/>
      <c r="M83" s="25"/>
    </row>
    <row r="84" ht="12.0" customHeight="1">
      <c r="A84" s="3" t="s">
        <v>210</v>
      </c>
      <c r="B84" s="3" t="e">
        <v>#N/A</v>
      </c>
      <c r="C84" s="3" t="s">
        <v>117</v>
      </c>
      <c r="D84" s="5" t="s">
        <v>211</v>
      </c>
      <c r="E84" s="20">
        <v>41591.0</v>
      </c>
      <c r="F84" s="3">
        <v>1.0</v>
      </c>
      <c r="G84" s="3" t="s">
        <v>26</v>
      </c>
      <c r="H84" s="3" t="s">
        <v>27</v>
      </c>
      <c r="I84" s="38"/>
      <c r="J84" s="10">
        <v>2.33</v>
      </c>
      <c r="K84" s="16"/>
      <c r="L84" s="27"/>
      <c r="M84" s="3"/>
    </row>
    <row r="85" ht="12.0" customHeight="1">
      <c r="A85" s="3" t="s">
        <v>212</v>
      </c>
      <c r="B85" s="3" t="e">
        <v>#N/A</v>
      </c>
      <c r="C85" s="3" t="s">
        <v>117</v>
      </c>
      <c r="D85" s="5" t="s">
        <v>213</v>
      </c>
      <c r="E85" s="20">
        <v>41591.0</v>
      </c>
      <c r="F85" s="3">
        <v>2.0</v>
      </c>
      <c r="G85" s="3" t="s">
        <v>26</v>
      </c>
      <c r="H85" s="3" t="s">
        <v>27</v>
      </c>
      <c r="I85" s="38"/>
      <c r="J85" s="10">
        <v>3.58</v>
      </c>
      <c r="K85" s="16"/>
      <c r="L85" s="3"/>
      <c r="M85" s="3"/>
    </row>
    <row r="86" ht="12.0" customHeight="1">
      <c r="A86" s="3" t="s">
        <v>47</v>
      </c>
      <c r="B86" s="3" t="e">
        <v>#N/A</v>
      </c>
      <c r="C86" s="30" t="s">
        <v>46</v>
      </c>
      <c r="D86" s="5" t="s">
        <v>214</v>
      </c>
      <c r="E86" s="20">
        <v>41698.0</v>
      </c>
      <c r="F86" s="3">
        <v>1.0</v>
      </c>
      <c r="G86" s="3" t="s">
        <v>26</v>
      </c>
      <c r="H86" s="3" t="s">
        <v>27</v>
      </c>
      <c r="I86" s="7">
        <v>1000.0</v>
      </c>
      <c r="J86" s="1">
        <v>40.08</v>
      </c>
      <c r="K86" s="16">
        <f t="shared" ref="K86:K96" si="8">J86/I86</f>
        <v>0.04008</v>
      </c>
      <c r="L86" s="3"/>
      <c r="M86" s="3"/>
    </row>
    <row r="87" ht="12.0" customHeight="1">
      <c r="A87" s="3" t="s">
        <v>215</v>
      </c>
      <c r="B87" s="3" t="e">
        <v>#N/A</v>
      </c>
      <c r="C87" s="30" t="s">
        <v>46</v>
      </c>
      <c r="D87" s="5" t="s">
        <v>216</v>
      </c>
      <c r="E87" s="20">
        <v>41698.0</v>
      </c>
      <c r="F87" s="3">
        <v>1.0</v>
      </c>
      <c r="G87" s="3" t="s">
        <v>26</v>
      </c>
      <c r="H87" s="3" t="s">
        <v>27</v>
      </c>
      <c r="I87" s="7">
        <v>500.0</v>
      </c>
      <c r="J87" s="10">
        <v>59.41</v>
      </c>
      <c r="K87" s="16">
        <f t="shared" si="8"/>
        <v>0.11882</v>
      </c>
      <c r="L87" s="3"/>
      <c r="M87" s="3"/>
    </row>
    <row r="88" ht="12.0" customHeight="1">
      <c r="A88" s="3" t="s">
        <v>217</v>
      </c>
      <c r="B88" s="1">
        <v>200.0</v>
      </c>
      <c r="C88" s="3" t="s">
        <v>109</v>
      </c>
      <c r="D88" s="27" t="s">
        <v>218</v>
      </c>
      <c r="E88" s="14">
        <v>43073.0</v>
      </c>
      <c r="F88" s="1">
        <v>5.0</v>
      </c>
      <c r="G88" s="1" t="s">
        <v>26</v>
      </c>
      <c r="H88" s="3" t="s">
        <v>27</v>
      </c>
      <c r="I88" s="7">
        <v>250.0</v>
      </c>
      <c r="J88" s="10">
        <v>256.0</v>
      </c>
      <c r="K88" s="16">
        <f t="shared" si="8"/>
        <v>1.024</v>
      </c>
      <c r="L88" s="52" t="s">
        <v>219</v>
      </c>
      <c r="M88" s="3" t="s">
        <v>150</v>
      </c>
    </row>
    <row r="89" ht="12.0" customHeight="1">
      <c r="A89" s="1" t="s">
        <v>122</v>
      </c>
      <c r="B89" s="1">
        <v>0.0</v>
      </c>
      <c r="C89" s="12" t="s">
        <v>24</v>
      </c>
      <c r="D89" s="13" t="s">
        <v>220</v>
      </c>
      <c r="E89" s="14">
        <v>43140.0</v>
      </c>
      <c r="F89" s="1">
        <v>1.0</v>
      </c>
      <c r="G89" s="1" t="s">
        <v>26</v>
      </c>
      <c r="H89" s="1" t="s">
        <v>27</v>
      </c>
      <c r="I89" s="7">
        <v>250.0</v>
      </c>
      <c r="J89" s="1">
        <v>41.98</v>
      </c>
      <c r="K89" s="16">
        <f t="shared" si="8"/>
        <v>0.16792</v>
      </c>
      <c r="L89" s="3"/>
      <c r="M89" s="3"/>
    </row>
    <row r="90" ht="12.0" customHeight="1">
      <c r="A90" s="1" t="s">
        <v>221</v>
      </c>
      <c r="B90" s="3"/>
      <c r="C90" s="12" t="s">
        <v>24</v>
      </c>
      <c r="D90" s="13" t="s">
        <v>222</v>
      </c>
      <c r="E90" s="14">
        <v>42842.0</v>
      </c>
      <c r="F90" s="1">
        <v>1000.0</v>
      </c>
      <c r="G90" s="1" t="s">
        <v>26</v>
      </c>
      <c r="H90" s="1" t="s">
        <v>27</v>
      </c>
      <c r="I90" s="7">
        <v>500.0</v>
      </c>
      <c r="J90" s="1">
        <v>103.36</v>
      </c>
      <c r="K90" s="16">
        <f t="shared" si="8"/>
        <v>0.20672</v>
      </c>
      <c r="L90" s="3"/>
      <c r="M90" s="25"/>
    </row>
    <row r="91" ht="12.0" customHeight="1">
      <c r="A91" s="1" t="s">
        <v>223</v>
      </c>
      <c r="B91" s="3"/>
      <c r="C91" s="12" t="s">
        <v>24</v>
      </c>
      <c r="D91" s="13" t="s">
        <v>224</v>
      </c>
      <c r="E91" s="14">
        <v>42842.0</v>
      </c>
      <c r="F91" s="1">
        <v>500.0</v>
      </c>
      <c r="G91" s="1" t="s">
        <v>26</v>
      </c>
      <c r="H91" s="1" t="s">
        <v>27</v>
      </c>
      <c r="I91" s="7">
        <v>500.0</v>
      </c>
      <c r="J91" s="1">
        <v>103.36</v>
      </c>
      <c r="K91" s="16">
        <f t="shared" si="8"/>
        <v>0.20672</v>
      </c>
      <c r="L91" s="3"/>
      <c r="M91" s="25"/>
    </row>
    <row r="92" ht="12.0" customHeight="1">
      <c r="A92" s="1" t="s">
        <v>225</v>
      </c>
      <c r="B92" s="3"/>
      <c r="C92" s="12" t="s">
        <v>24</v>
      </c>
      <c r="D92" s="13" t="s">
        <v>226</v>
      </c>
      <c r="E92" s="14"/>
      <c r="F92" s="1"/>
      <c r="G92" s="1" t="s">
        <v>26</v>
      </c>
      <c r="H92" s="1" t="s">
        <v>27</v>
      </c>
      <c r="I92" s="7">
        <v>500.0</v>
      </c>
      <c r="J92" s="1">
        <v>103.31</v>
      </c>
      <c r="K92" s="16">
        <f t="shared" si="8"/>
        <v>0.20662</v>
      </c>
      <c r="L92" s="3"/>
      <c r="M92" s="25"/>
    </row>
    <row r="93" ht="12.0" customHeight="1">
      <c r="A93" s="1" t="s">
        <v>74</v>
      </c>
      <c r="B93" s="1"/>
      <c r="C93" s="24" t="s">
        <v>46</v>
      </c>
      <c r="D93" s="53" t="s">
        <v>227</v>
      </c>
      <c r="E93" s="54">
        <v>43265.0</v>
      </c>
      <c r="F93" s="1">
        <v>2.0</v>
      </c>
      <c r="G93" s="1" t="s">
        <v>26</v>
      </c>
      <c r="H93" s="1" t="s">
        <v>27</v>
      </c>
      <c r="I93" s="7">
        <v>100.0</v>
      </c>
      <c r="J93" s="1">
        <v>78.8</v>
      </c>
      <c r="K93" s="16">
        <f t="shared" si="8"/>
        <v>0.788</v>
      </c>
      <c r="L93" s="1"/>
      <c r="M93" s="25"/>
    </row>
    <row r="94" ht="12.0" customHeight="1">
      <c r="A94" s="1" t="s">
        <v>228</v>
      </c>
      <c r="B94" s="1">
        <v>200.0</v>
      </c>
      <c r="C94" s="24" t="s">
        <v>46</v>
      </c>
      <c r="D94" s="13" t="s">
        <v>229</v>
      </c>
      <c r="E94" s="14">
        <v>43049.0</v>
      </c>
      <c r="F94" s="1">
        <v>2.0</v>
      </c>
      <c r="G94" s="1" t="s">
        <v>26</v>
      </c>
      <c r="H94" s="1" t="s">
        <v>27</v>
      </c>
      <c r="I94" s="7">
        <v>50.0</v>
      </c>
      <c r="J94" s="1">
        <v>78.8</v>
      </c>
      <c r="K94" s="16">
        <f t="shared" si="8"/>
        <v>1.576</v>
      </c>
      <c r="L94" s="1" t="s">
        <v>230</v>
      </c>
      <c r="M94" s="19" t="s">
        <v>231</v>
      </c>
    </row>
    <row r="95" ht="12.0" customHeight="1">
      <c r="A95" s="1" t="s">
        <v>33</v>
      </c>
      <c r="B95" s="1">
        <v>500.0</v>
      </c>
      <c r="C95" s="12" t="s">
        <v>46</v>
      </c>
      <c r="D95" s="40" t="s">
        <v>232</v>
      </c>
      <c r="E95" s="14"/>
      <c r="F95" s="1"/>
      <c r="G95" s="1" t="s">
        <v>26</v>
      </c>
      <c r="H95" s="1" t="s">
        <v>27</v>
      </c>
      <c r="I95" s="7">
        <v>500.0</v>
      </c>
      <c r="J95" s="1">
        <v>78.74</v>
      </c>
      <c r="K95" s="16">
        <f t="shared" si="8"/>
        <v>0.15748</v>
      </c>
      <c r="L95" s="3"/>
      <c r="M95" s="25"/>
    </row>
    <row r="96" ht="12.0" customHeight="1">
      <c r="A96" s="3" t="s">
        <v>233</v>
      </c>
      <c r="B96" s="3" t="e">
        <v>#N/A</v>
      </c>
      <c r="C96" s="21" t="s">
        <v>24</v>
      </c>
      <c r="D96" s="5" t="s">
        <v>234</v>
      </c>
      <c r="E96" s="20">
        <v>41576.0</v>
      </c>
      <c r="F96" s="3">
        <v>1.0</v>
      </c>
      <c r="G96" s="3" t="s">
        <v>26</v>
      </c>
      <c r="H96" s="3" t="s">
        <v>27</v>
      </c>
      <c r="I96" s="7">
        <v>200.0</v>
      </c>
      <c r="J96" s="10">
        <v>35.96</v>
      </c>
      <c r="K96" s="16">
        <f t="shared" si="8"/>
        <v>0.1798</v>
      </c>
      <c r="L96" s="3"/>
      <c r="M96" s="3"/>
    </row>
    <row r="97" ht="12.0" customHeight="1">
      <c r="A97" s="55" t="s">
        <v>235</v>
      </c>
      <c r="B97" s="3"/>
      <c r="C97" s="1" t="s">
        <v>46</v>
      </c>
      <c r="D97" s="40" t="s">
        <v>236</v>
      </c>
      <c r="E97" s="14">
        <v>43272.0</v>
      </c>
      <c r="F97" s="1">
        <v>2.0</v>
      </c>
      <c r="G97" s="1" t="s">
        <v>26</v>
      </c>
      <c r="H97" s="1" t="s">
        <v>27</v>
      </c>
      <c r="I97" s="7">
        <v>960.0</v>
      </c>
      <c r="J97" s="1"/>
      <c r="K97" s="16"/>
      <c r="L97" s="3"/>
      <c r="M97" s="25"/>
    </row>
    <row r="98" ht="12.0" customHeight="1">
      <c r="A98" s="1" t="s">
        <v>237</v>
      </c>
      <c r="B98" s="1">
        <v>0.0</v>
      </c>
      <c r="C98" s="24" t="s">
        <v>46</v>
      </c>
      <c r="D98" s="13" t="s">
        <v>238</v>
      </c>
      <c r="E98" s="14">
        <v>42803.0</v>
      </c>
      <c r="F98" s="1">
        <v>1.0</v>
      </c>
      <c r="G98" s="1" t="s">
        <v>26</v>
      </c>
      <c r="H98" s="1" t="s">
        <v>27</v>
      </c>
      <c r="I98" s="7">
        <v>25.0</v>
      </c>
      <c r="J98" s="1">
        <v>58.0</v>
      </c>
      <c r="K98" s="16">
        <f t="shared" ref="K98:K117" si="9">J98/I98</f>
        <v>2.32</v>
      </c>
      <c r="L98" s="1" t="s">
        <v>239</v>
      </c>
      <c r="M98" s="19" t="s">
        <v>136</v>
      </c>
    </row>
    <row r="99" ht="12.0" customHeight="1">
      <c r="A99" s="3" t="s">
        <v>240</v>
      </c>
      <c r="B99" s="3"/>
      <c r="C99" s="30" t="s">
        <v>46</v>
      </c>
      <c r="D99" s="5" t="s">
        <v>241</v>
      </c>
      <c r="E99" s="20"/>
      <c r="F99" s="3">
        <v>1.0</v>
      </c>
      <c r="G99" s="3" t="s">
        <v>26</v>
      </c>
      <c r="H99" s="3" t="s">
        <v>27</v>
      </c>
      <c r="I99" s="7">
        <v>1000000.0</v>
      </c>
      <c r="J99" s="10">
        <v>45.45</v>
      </c>
      <c r="K99" s="16">
        <f t="shared" si="9"/>
        <v>0.00004545</v>
      </c>
      <c r="L99" s="3" t="s">
        <v>242</v>
      </c>
      <c r="M99" s="3"/>
    </row>
    <row r="100" ht="14.25" customHeight="1">
      <c r="A100" s="1" t="s">
        <v>243</v>
      </c>
      <c r="B100" s="3" t="e">
        <v>#N/A</v>
      </c>
      <c r="C100" s="21" t="s">
        <v>24</v>
      </c>
      <c r="D100" s="13" t="s">
        <v>244</v>
      </c>
      <c r="E100" s="14">
        <v>42842.0</v>
      </c>
      <c r="F100" s="1">
        <v>20.0</v>
      </c>
      <c r="G100" s="3" t="s">
        <v>26</v>
      </c>
      <c r="H100" s="3" t="s">
        <v>27</v>
      </c>
      <c r="I100" s="7">
        <v>1.0</v>
      </c>
      <c r="J100" s="1">
        <v>4.36</v>
      </c>
      <c r="K100" s="16">
        <f t="shared" si="9"/>
        <v>4.36</v>
      </c>
      <c r="L100" s="1" t="s">
        <v>245</v>
      </c>
      <c r="M100" s="3"/>
    </row>
    <row r="101" ht="12.0" customHeight="1">
      <c r="A101" s="3" t="s">
        <v>246</v>
      </c>
      <c r="B101" s="3">
        <v>1000000.0</v>
      </c>
      <c r="C101" s="1" t="s">
        <v>109</v>
      </c>
      <c r="D101" s="5"/>
      <c r="E101" s="20"/>
      <c r="F101" s="3"/>
      <c r="G101" s="1" t="s">
        <v>26</v>
      </c>
      <c r="H101" s="1" t="s">
        <v>27</v>
      </c>
      <c r="I101" s="7">
        <v>1500.0</v>
      </c>
      <c r="J101" s="1">
        <v>0.0</v>
      </c>
      <c r="K101" s="16">
        <f t="shared" si="9"/>
        <v>0</v>
      </c>
      <c r="L101" s="3"/>
      <c r="M101" s="25"/>
    </row>
    <row r="102" ht="12.0" customHeight="1">
      <c r="A102" s="1" t="s">
        <v>247</v>
      </c>
      <c r="B102" s="3">
        <v>200.0</v>
      </c>
      <c r="C102" s="1" t="s">
        <v>248</v>
      </c>
      <c r="D102" s="5"/>
      <c r="E102" s="20"/>
      <c r="F102" s="3"/>
      <c r="G102" s="1" t="s">
        <v>26</v>
      </c>
      <c r="H102" s="1" t="s">
        <v>27</v>
      </c>
      <c r="I102" s="7">
        <v>25.0</v>
      </c>
      <c r="J102" s="1">
        <v>0.0</v>
      </c>
      <c r="K102" s="16">
        <f t="shared" si="9"/>
        <v>0</v>
      </c>
      <c r="L102" s="3"/>
      <c r="M102" s="25"/>
    </row>
    <row r="103" ht="12.0" customHeight="1">
      <c r="A103" s="3" t="s">
        <v>249</v>
      </c>
      <c r="B103" s="3">
        <v>2000.0</v>
      </c>
      <c r="C103" s="1" t="s">
        <v>109</v>
      </c>
      <c r="D103" s="5"/>
      <c r="E103" s="20"/>
      <c r="F103" s="1">
        <v>1.0</v>
      </c>
      <c r="G103" s="1" t="s">
        <v>26</v>
      </c>
      <c r="H103" s="1" t="s">
        <v>27</v>
      </c>
      <c r="I103" s="7">
        <v>1500.0</v>
      </c>
      <c r="J103" s="1">
        <v>0.0</v>
      </c>
      <c r="K103" s="16">
        <f t="shared" si="9"/>
        <v>0</v>
      </c>
      <c r="L103" s="3"/>
      <c r="M103" s="25"/>
    </row>
    <row r="104" ht="12.0" customHeight="1">
      <c r="A104" s="1" t="s">
        <v>250</v>
      </c>
      <c r="B104" s="1">
        <v>15.0</v>
      </c>
      <c r="C104" s="1" t="s">
        <v>120</v>
      </c>
      <c r="D104" s="5"/>
      <c r="E104" s="20"/>
      <c r="F104" s="1">
        <v>48.0</v>
      </c>
      <c r="G104" s="1" t="s">
        <v>26</v>
      </c>
      <c r="H104" s="1" t="s">
        <v>27</v>
      </c>
      <c r="I104" s="7">
        <v>300.0</v>
      </c>
      <c r="J104" s="1">
        <f>1138.08/48</f>
        <v>23.71</v>
      </c>
      <c r="K104" s="16">
        <f t="shared" si="9"/>
        <v>0.07903333333</v>
      </c>
      <c r="L104" s="56"/>
      <c r="M104" s="25"/>
    </row>
    <row r="105" ht="12.0" customHeight="1">
      <c r="A105" s="1" t="s">
        <v>251</v>
      </c>
      <c r="B105" s="1">
        <v>15.0</v>
      </c>
      <c r="C105" s="1" t="s">
        <v>120</v>
      </c>
      <c r="D105" s="5"/>
      <c r="E105" s="20"/>
      <c r="F105" s="1">
        <v>48.0</v>
      </c>
      <c r="G105" s="1" t="s">
        <v>26</v>
      </c>
      <c r="H105" s="1" t="s">
        <v>27</v>
      </c>
      <c r="I105" s="7">
        <v>300.0</v>
      </c>
      <c r="J105" s="1">
        <f>2007.84/48</f>
        <v>41.83</v>
      </c>
      <c r="K105" s="16">
        <f t="shared" si="9"/>
        <v>0.1394333333</v>
      </c>
      <c r="L105" s="56"/>
      <c r="M105" s="25"/>
    </row>
    <row r="106" ht="12.0" customHeight="1">
      <c r="A106" s="1" t="s">
        <v>252</v>
      </c>
      <c r="B106" s="3">
        <v>9000.0</v>
      </c>
      <c r="C106" s="1" t="s">
        <v>248</v>
      </c>
      <c r="D106" s="5"/>
      <c r="E106" s="20"/>
      <c r="F106" s="3"/>
      <c r="G106" s="1" t="s">
        <v>26</v>
      </c>
      <c r="H106" s="1" t="s">
        <v>27</v>
      </c>
      <c r="I106" s="7">
        <v>212.0</v>
      </c>
      <c r="J106" s="1">
        <v>0.0</v>
      </c>
      <c r="K106" s="16">
        <f t="shared" si="9"/>
        <v>0</v>
      </c>
      <c r="L106" s="3"/>
      <c r="M106" s="25"/>
    </row>
    <row r="107" ht="12.0" customHeight="1">
      <c r="A107" s="1" t="s">
        <v>253</v>
      </c>
      <c r="B107" s="3">
        <v>100.0</v>
      </c>
      <c r="C107" s="1" t="s">
        <v>120</v>
      </c>
      <c r="D107" s="37" t="s">
        <v>254</v>
      </c>
      <c r="E107" s="14">
        <v>42486.0</v>
      </c>
      <c r="F107" s="1">
        <v>1.0</v>
      </c>
      <c r="G107" s="1" t="s">
        <v>26</v>
      </c>
      <c r="H107" s="1" t="s">
        <v>27</v>
      </c>
      <c r="I107" s="7">
        <v>350.0</v>
      </c>
      <c r="J107" s="1">
        <v>19.48</v>
      </c>
      <c r="K107" s="16">
        <f t="shared" si="9"/>
        <v>0.05565714286</v>
      </c>
      <c r="L107" s="3"/>
      <c r="M107" s="25"/>
    </row>
    <row r="108" ht="12.0" customHeight="1">
      <c r="A108" s="1" t="s">
        <v>255</v>
      </c>
      <c r="B108" s="3">
        <v>50.0</v>
      </c>
      <c r="C108" s="1" t="s">
        <v>120</v>
      </c>
      <c r="D108" s="37" t="s">
        <v>256</v>
      </c>
      <c r="E108" s="14">
        <v>42486.0</v>
      </c>
      <c r="F108" s="1">
        <v>1.0</v>
      </c>
      <c r="G108" s="1" t="s">
        <v>26</v>
      </c>
      <c r="H108" s="1" t="s">
        <v>27</v>
      </c>
      <c r="I108" s="7">
        <v>350.0</v>
      </c>
      <c r="J108" s="1">
        <v>35.25</v>
      </c>
      <c r="K108" s="16">
        <f t="shared" si="9"/>
        <v>0.1007142857</v>
      </c>
      <c r="L108" s="3"/>
      <c r="M108" s="25"/>
    </row>
    <row r="109" ht="12.0" customHeight="1">
      <c r="A109" s="3" t="s">
        <v>257</v>
      </c>
      <c r="B109" s="3">
        <v>150.0</v>
      </c>
      <c r="C109" s="1" t="s">
        <v>248</v>
      </c>
      <c r="D109" s="13"/>
      <c r="E109" s="14"/>
      <c r="F109" s="1"/>
      <c r="G109" s="1" t="s">
        <v>26</v>
      </c>
      <c r="H109" s="1" t="s">
        <v>27</v>
      </c>
      <c r="I109" s="7">
        <v>100.0</v>
      </c>
      <c r="J109" s="1">
        <v>0.0</v>
      </c>
      <c r="K109" s="16">
        <f t="shared" si="9"/>
        <v>0</v>
      </c>
      <c r="L109" s="3"/>
      <c r="M109" s="25"/>
    </row>
    <row r="110" ht="12.0" customHeight="1">
      <c r="A110" s="57" t="s">
        <v>258</v>
      </c>
      <c r="B110" s="58">
        <v>10.0</v>
      </c>
      <c r="C110" s="59" t="s">
        <v>24</v>
      </c>
      <c r="D110" s="58" t="s">
        <v>259</v>
      </c>
      <c r="E110" s="60">
        <v>41981.0</v>
      </c>
      <c r="F110" s="58">
        <v>1.0</v>
      </c>
      <c r="G110" s="58" t="s">
        <v>26</v>
      </c>
      <c r="H110" s="57" t="s">
        <v>26</v>
      </c>
      <c r="I110" s="61">
        <v>500.0</v>
      </c>
      <c r="J110" s="62">
        <v>126.97</v>
      </c>
      <c r="K110" s="16">
        <f t="shared" si="9"/>
        <v>0.25394</v>
      </c>
      <c r="L110" s="57"/>
      <c r="M110" s="58"/>
    </row>
    <row r="111" ht="12.0" customHeight="1">
      <c r="A111" s="58" t="s">
        <v>260</v>
      </c>
      <c r="B111" s="58">
        <v>4800.0</v>
      </c>
      <c r="C111" s="63" t="s">
        <v>46</v>
      </c>
      <c r="D111" s="58" t="s">
        <v>261</v>
      </c>
      <c r="E111" s="60">
        <v>41943.0</v>
      </c>
      <c r="F111" s="58">
        <v>1.0</v>
      </c>
      <c r="G111" s="58" t="s">
        <v>26</v>
      </c>
      <c r="H111" s="57" t="s">
        <v>26</v>
      </c>
      <c r="I111" s="61">
        <v>560.0</v>
      </c>
      <c r="J111" s="62">
        <v>33.43</v>
      </c>
      <c r="K111" s="16">
        <f t="shared" si="9"/>
        <v>0.05969642857</v>
      </c>
      <c r="L111" s="58"/>
      <c r="M111" s="58"/>
    </row>
    <row r="112" ht="12.0" customHeight="1">
      <c r="A112" s="58" t="s">
        <v>35</v>
      </c>
      <c r="B112" s="57"/>
      <c r="C112" s="57" t="s">
        <v>262</v>
      </c>
      <c r="D112" s="58">
        <v>2.2491237E7</v>
      </c>
      <c r="E112" s="64"/>
      <c r="F112" s="57">
        <v>4.0</v>
      </c>
      <c r="G112" s="57" t="s">
        <v>26</v>
      </c>
      <c r="H112" s="57" t="s">
        <v>26</v>
      </c>
      <c r="I112" s="61">
        <v>960.0</v>
      </c>
      <c r="J112" s="57">
        <v>205.2</v>
      </c>
      <c r="K112" s="16">
        <f t="shared" si="9"/>
        <v>0.21375</v>
      </c>
      <c r="L112" s="57"/>
      <c r="M112" s="58"/>
    </row>
    <row r="113" ht="12.0" customHeight="1">
      <c r="A113" s="58" t="s">
        <v>35</v>
      </c>
      <c r="B113" s="57"/>
      <c r="C113" s="59" t="s">
        <v>24</v>
      </c>
      <c r="D113" s="58">
        <v>2.2491237E7</v>
      </c>
      <c r="E113" s="64">
        <v>43250.0</v>
      </c>
      <c r="F113" s="57">
        <v>4.0</v>
      </c>
      <c r="G113" s="57" t="s">
        <v>26</v>
      </c>
      <c r="H113" s="57" t="s">
        <v>26</v>
      </c>
      <c r="I113" s="61">
        <v>960.0</v>
      </c>
      <c r="J113" s="57">
        <v>161.29</v>
      </c>
      <c r="K113" s="16">
        <f t="shared" si="9"/>
        <v>0.1680104167</v>
      </c>
      <c r="L113" s="57"/>
      <c r="M113" s="58"/>
    </row>
    <row r="114" ht="12.0" customHeight="1">
      <c r="A114" s="58" t="s">
        <v>35</v>
      </c>
      <c r="B114" s="57"/>
      <c r="C114" s="65" t="s">
        <v>46</v>
      </c>
      <c r="D114" s="58">
        <v>2.2491237E7</v>
      </c>
      <c r="E114" s="64">
        <v>43049.0</v>
      </c>
      <c r="F114" s="57">
        <v>4.0</v>
      </c>
      <c r="G114" s="57" t="s">
        <v>26</v>
      </c>
      <c r="H114" s="57" t="s">
        <v>26</v>
      </c>
      <c r="I114" s="61">
        <v>960.0</v>
      </c>
      <c r="J114" s="57">
        <v>163.25</v>
      </c>
      <c r="K114" s="16">
        <f t="shared" si="9"/>
        <v>0.1700520833</v>
      </c>
      <c r="L114" s="57"/>
      <c r="M114" s="58"/>
    </row>
    <row r="115" ht="12.0" customHeight="1">
      <c r="A115" s="57" t="s">
        <v>263</v>
      </c>
      <c r="B115" s="58" t="e">
        <v>#N/A</v>
      </c>
      <c r="C115" s="59" t="s">
        <v>24</v>
      </c>
      <c r="D115" s="66" t="s">
        <v>264</v>
      </c>
      <c r="E115" s="60">
        <v>41576.0</v>
      </c>
      <c r="F115" s="58">
        <v>1.0</v>
      </c>
      <c r="G115" s="58" t="s">
        <v>26</v>
      </c>
      <c r="H115" s="57" t="s">
        <v>26</v>
      </c>
      <c r="I115" s="61">
        <v>960.0</v>
      </c>
      <c r="J115" s="62">
        <v>22.69</v>
      </c>
      <c r="K115" s="16">
        <f t="shared" si="9"/>
        <v>0.02363541667</v>
      </c>
      <c r="L115" s="58"/>
      <c r="M115" s="58"/>
    </row>
    <row r="116" ht="12.0" customHeight="1">
      <c r="A116" s="58" t="s">
        <v>265</v>
      </c>
      <c r="B116" s="58" t="e">
        <v>#N/A</v>
      </c>
      <c r="C116" s="59" t="s">
        <v>24</v>
      </c>
      <c r="D116" s="66" t="s">
        <v>266</v>
      </c>
      <c r="E116" s="60">
        <v>41782.0</v>
      </c>
      <c r="F116" s="58">
        <v>6.0</v>
      </c>
      <c r="G116" s="58" t="s">
        <v>26</v>
      </c>
      <c r="H116" s="57" t="s">
        <v>26</v>
      </c>
      <c r="I116" s="61">
        <v>960.0</v>
      </c>
      <c r="J116" s="62">
        <v>19.16</v>
      </c>
      <c r="K116" s="16">
        <f t="shared" si="9"/>
        <v>0.01995833333</v>
      </c>
      <c r="L116" s="58" t="s">
        <v>242</v>
      </c>
      <c r="M116" s="58"/>
    </row>
    <row r="117" ht="12.0" customHeight="1">
      <c r="A117" s="58" t="s">
        <v>267</v>
      </c>
      <c r="B117" s="58" t="e">
        <v>#N/A</v>
      </c>
      <c r="C117" s="63" t="s">
        <v>46</v>
      </c>
      <c r="D117" s="66" t="s">
        <v>268</v>
      </c>
      <c r="E117" s="60">
        <v>41583.0</v>
      </c>
      <c r="F117" s="58">
        <v>1.0</v>
      </c>
      <c r="G117" s="58" t="s">
        <v>26</v>
      </c>
      <c r="H117" s="57" t="s">
        <v>26</v>
      </c>
      <c r="I117" s="61">
        <v>960.0</v>
      </c>
      <c r="J117" s="62"/>
      <c r="K117" s="16">
        <f t="shared" si="9"/>
        <v>0</v>
      </c>
      <c r="L117" s="58"/>
      <c r="M117" s="58"/>
    </row>
    <row r="118" ht="12.0" customHeight="1">
      <c r="A118" s="58" t="s">
        <v>269</v>
      </c>
      <c r="B118" s="58" t="e">
        <v>#N/A</v>
      </c>
      <c r="C118" s="59" t="s">
        <v>24</v>
      </c>
      <c r="D118" s="66" t="s">
        <v>270</v>
      </c>
      <c r="E118" s="60">
        <v>41828.0</v>
      </c>
      <c r="F118" s="58">
        <v>1.0</v>
      </c>
      <c r="G118" s="58" t="s">
        <v>26</v>
      </c>
      <c r="H118" s="57" t="s">
        <v>26</v>
      </c>
      <c r="I118" s="67"/>
      <c r="J118" s="62">
        <v>59.19</v>
      </c>
      <c r="K118" s="16"/>
      <c r="L118" s="57" t="s">
        <v>271</v>
      </c>
      <c r="M118" s="58"/>
    </row>
    <row r="119" ht="12.0" customHeight="1">
      <c r="A119" s="58" t="s">
        <v>59</v>
      </c>
      <c r="B119" s="58"/>
      <c r="C119" s="59" t="s">
        <v>24</v>
      </c>
      <c r="D119" s="58">
        <v>2.2491211E7</v>
      </c>
      <c r="E119" s="64"/>
      <c r="F119" s="57">
        <v>4.0</v>
      </c>
      <c r="G119" s="57" t="s">
        <v>26</v>
      </c>
      <c r="H119" s="57" t="s">
        <v>26</v>
      </c>
      <c r="I119" s="61">
        <v>960.0</v>
      </c>
      <c r="J119" s="57">
        <v>165.95</v>
      </c>
      <c r="K119" s="16">
        <f t="shared" ref="K119:K124" si="10">J119/I119</f>
        <v>0.1728645833</v>
      </c>
      <c r="L119" s="57"/>
      <c r="M119" s="58"/>
    </row>
    <row r="120" ht="12.0" customHeight="1">
      <c r="A120" s="58" t="s">
        <v>59</v>
      </c>
      <c r="B120" s="58"/>
      <c r="C120" s="57" t="s">
        <v>262</v>
      </c>
      <c r="D120" s="58">
        <v>2.2491211E7</v>
      </c>
      <c r="E120" s="64"/>
      <c r="F120" s="57">
        <v>4.0</v>
      </c>
      <c r="G120" s="57" t="s">
        <v>26</v>
      </c>
      <c r="H120" s="57" t="s">
        <v>26</v>
      </c>
      <c r="I120" s="61">
        <v>960.0</v>
      </c>
      <c r="J120" s="57">
        <v>224.8</v>
      </c>
      <c r="K120" s="16">
        <f t="shared" si="10"/>
        <v>0.2341666667</v>
      </c>
      <c r="L120" s="57"/>
      <c r="M120" s="58"/>
    </row>
    <row r="121" ht="12.0" customHeight="1">
      <c r="A121" s="58" t="s">
        <v>59</v>
      </c>
      <c r="B121" s="58"/>
      <c r="C121" s="65" t="s">
        <v>46</v>
      </c>
      <c r="D121" s="58">
        <v>2.2491211E7</v>
      </c>
      <c r="E121" s="64">
        <v>43018.0</v>
      </c>
      <c r="F121" s="57">
        <v>4.0</v>
      </c>
      <c r="G121" s="57" t="s">
        <v>26</v>
      </c>
      <c r="H121" s="57" t="s">
        <v>26</v>
      </c>
      <c r="I121" s="61">
        <v>960.0</v>
      </c>
      <c r="J121" s="57">
        <v>168.82</v>
      </c>
      <c r="K121" s="16">
        <f t="shared" si="10"/>
        <v>0.1758541667</v>
      </c>
      <c r="L121" s="57" t="s">
        <v>272</v>
      </c>
      <c r="M121" s="58"/>
    </row>
    <row r="122" ht="12.0" customHeight="1">
      <c r="A122" s="57" t="s">
        <v>273</v>
      </c>
      <c r="B122" s="57"/>
      <c r="C122" s="57" t="s">
        <v>53</v>
      </c>
      <c r="D122" s="57" t="s">
        <v>274</v>
      </c>
      <c r="E122" s="64">
        <v>43265.0</v>
      </c>
      <c r="F122" s="57">
        <v>3.0</v>
      </c>
      <c r="G122" s="57" t="s">
        <v>26</v>
      </c>
      <c r="H122" s="57" t="s">
        <v>26</v>
      </c>
      <c r="I122" s="61">
        <v>960.0</v>
      </c>
      <c r="J122" s="57">
        <v>103.05</v>
      </c>
      <c r="K122" s="16">
        <f t="shared" si="10"/>
        <v>0.10734375</v>
      </c>
      <c r="L122" s="57" t="s">
        <v>56</v>
      </c>
      <c r="M122" s="58"/>
    </row>
    <row r="123" ht="24.0" customHeight="1">
      <c r="A123" s="58" t="s">
        <v>275</v>
      </c>
      <c r="B123" s="58" t="e">
        <v>#N/A</v>
      </c>
      <c r="C123" s="59" t="s">
        <v>24</v>
      </c>
      <c r="D123" s="66" t="s">
        <v>276</v>
      </c>
      <c r="E123" s="60">
        <v>41886.0</v>
      </c>
      <c r="F123" s="58">
        <v>2.0</v>
      </c>
      <c r="G123" s="58" t="s">
        <v>26</v>
      </c>
      <c r="H123" s="57" t="s">
        <v>26</v>
      </c>
      <c r="I123" s="61">
        <v>1248.0</v>
      </c>
      <c r="J123" s="62">
        <v>39.14</v>
      </c>
      <c r="K123" s="16">
        <f t="shared" si="10"/>
        <v>0.03136217949</v>
      </c>
      <c r="L123" s="58"/>
      <c r="M123" s="58" t="s">
        <v>77</v>
      </c>
    </row>
    <row r="124" ht="12.0" customHeight="1">
      <c r="A124" s="58" t="s">
        <v>277</v>
      </c>
      <c r="B124" s="58" t="e">
        <v>#N/A</v>
      </c>
      <c r="C124" s="59" t="s">
        <v>24</v>
      </c>
      <c r="D124" s="66" t="s">
        <v>278</v>
      </c>
      <c r="E124" s="60">
        <v>41782.0</v>
      </c>
      <c r="F124" s="58">
        <v>2.0</v>
      </c>
      <c r="G124" s="58" t="s">
        <v>26</v>
      </c>
      <c r="H124" s="57" t="s">
        <v>26</v>
      </c>
      <c r="I124" s="61">
        <v>1344.0</v>
      </c>
      <c r="J124" s="62">
        <v>30.41</v>
      </c>
      <c r="K124" s="16">
        <f t="shared" si="10"/>
        <v>0.0226264881</v>
      </c>
      <c r="L124" s="58" t="s">
        <v>242</v>
      </c>
      <c r="M124" s="58"/>
    </row>
    <row r="125" ht="12.0" customHeight="1">
      <c r="A125" s="58" t="s">
        <v>279</v>
      </c>
      <c r="B125" s="58" t="e">
        <v>#N/A</v>
      </c>
      <c r="C125" s="59" t="s">
        <v>24</v>
      </c>
      <c r="D125" s="66" t="s">
        <v>280</v>
      </c>
      <c r="E125" s="60">
        <v>41782.0</v>
      </c>
      <c r="F125" s="58">
        <v>1.0</v>
      </c>
      <c r="G125" s="58" t="s">
        <v>26</v>
      </c>
      <c r="H125" s="58" t="s">
        <v>26</v>
      </c>
      <c r="I125" s="67"/>
      <c r="J125" s="62">
        <v>26.55</v>
      </c>
      <c r="K125" s="16"/>
      <c r="L125" s="58" t="s">
        <v>242</v>
      </c>
      <c r="M125" s="58"/>
    </row>
    <row r="126" ht="12.0" customHeight="1">
      <c r="A126" s="58" t="s">
        <v>281</v>
      </c>
      <c r="B126" s="58" t="e">
        <v>#N/A</v>
      </c>
      <c r="C126" s="63" t="s">
        <v>46</v>
      </c>
      <c r="D126" s="66" t="s">
        <v>282</v>
      </c>
      <c r="E126" s="60">
        <v>41583.0</v>
      </c>
      <c r="F126" s="58">
        <v>1.0</v>
      </c>
      <c r="G126" s="58" t="s">
        <v>26</v>
      </c>
      <c r="H126" s="57" t="s">
        <v>26</v>
      </c>
      <c r="I126" s="61">
        <v>960.0</v>
      </c>
      <c r="J126" s="62"/>
      <c r="K126" s="16">
        <f t="shared" ref="K126:K127" si="11">J126/I126</f>
        <v>0</v>
      </c>
      <c r="L126" s="58"/>
      <c r="M126" s="58"/>
    </row>
    <row r="127" ht="12.0" customHeight="1">
      <c r="A127" s="58" t="s">
        <v>283</v>
      </c>
      <c r="B127" s="58" t="e">
        <v>#N/A</v>
      </c>
      <c r="C127" s="63" t="s">
        <v>46</v>
      </c>
      <c r="D127" s="66" t="s">
        <v>284</v>
      </c>
      <c r="E127" s="60">
        <v>41583.0</v>
      </c>
      <c r="F127" s="58">
        <v>1.0</v>
      </c>
      <c r="G127" s="58" t="s">
        <v>26</v>
      </c>
      <c r="H127" s="57" t="s">
        <v>26</v>
      </c>
      <c r="I127" s="61">
        <v>960.0</v>
      </c>
      <c r="J127" s="62"/>
      <c r="K127" s="16">
        <f t="shared" si="11"/>
        <v>0</v>
      </c>
      <c r="L127" s="58"/>
      <c r="M127" s="58"/>
    </row>
    <row r="128" ht="12.0" customHeight="1">
      <c r="A128" s="58" t="s">
        <v>285</v>
      </c>
      <c r="B128" s="58" t="e">
        <v>#N/A</v>
      </c>
      <c r="C128" s="63" t="s">
        <v>46</v>
      </c>
      <c r="D128" s="66" t="s">
        <v>286</v>
      </c>
      <c r="E128" s="60">
        <v>41698.0</v>
      </c>
      <c r="F128" s="58">
        <v>1.0</v>
      </c>
      <c r="G128" s="58" t="s">
        <v>26</v>
      </c>
      <c r="H128" s="57" t="s">
        <v>26</v>
      </c>
      <c r="I128" s="67"/>
      <c r="J128" s="62">
        <v>87.38</v>
      </c>
      <c r="K128" s="16"/>
      <c r="L128" s="58"/>
      <c r="M128" s="58"/>
    </row>
    <row r="129" ht="12.0" customHeight="1">
      <c r="A129" s="58" t="s">
        <v>287</v>
      </c>
      <c r="B129" s="58" t="e">
        <v>#N/A</v>
      </c>
      <c r="C129" s="59" t="s">
        <v>24</v>
      </c>
      <c r="D129" s="66" t="s">
        <v>288</v>
      </c>
      <c r="E129" s="60">
        <v>41576.0</v>
      </c>
      <c r="F129" s="58">
        <v>1.0</v>
      </c>
      <c r="G129" s="58" t="s">
        <v>26</v>
      </c>
      <c r="H129" s="57" t="s">
        <v>26</v>
      </c>
      <c r="I129" s="61">
        <v>480.0</v>
      </c>
      <c r="J129" s="62">
        <v>13.85</v>
      </c>
      <c r="K129" s="16">
        <f t="shared" ref="K129:K130" si="12">J129/I129</f>
        <v>0.02885416667</v>
      </c>
      <c r="L129" s="58"/>
      <c r="M129" s="58"/>
    </row>
    <row r="130" ht="12.0" customHeight="1">
      <c r="A130" s="58" t="s">
        <v>287</v>
      </c>
      <c r="B130" s="58" t="e">
        <v>#N/A</v>
      </c>
      <c r="C130" s="59" t="s">
        <v>24</v>
      </c>
      <c r="D130" s="66" t="s">
        <v>289</v>
      </c>
      <c r="E130" s="60"/>
      <c r="F130" s="58">
        <v>1.0</v>
      </c>
      <c r="G130" s="58" t="s">
        <v>26</v>
      </c>
      <c r="H130" s="57" t="s">
        <v>26</v>
      </c>
      <c r="I130" s="61">
        <v>480.0</v>
      </c>
      <c r="J130" s="62"/>
      <c r="K130" s="16">
        <f t="shared" si="12"/>
        <v>0</v>
      </c>
      <c r="L130" s="58"/>
      <c r="M130" s="58"/>
    </row>
    <row r="131" ht="12.0" customHeight="1">
      <c r="A131" s="58" t="s">
        <v>290</v>
      </c>
      <c r="B131" s="58" t="e">
        <v>#N/A</v>
      </c>
      <c r="C131" s="59" t="s">
        <v>24</v>
      </c>
      <c r="D131" s="66" t="s">
        <v>291</v>
      </c>
      <c r="E131" s="60">
        <v>41576.0</v>
      </c>
      <c r="F131" s="58">
        <v>1.0</v>
      </c>
      <c r="G131" s="58" t="s">
        <v>26</v>
      </c>
      <c r="H131" s="57" t="s">
        <v>26</v>
      </c>
      <c r="I131" s="67"/>
      <c r="J131" s="62">
        <v>43.93</v>
      </c>
      <c r="K131" s="16"/>
      <c r="L131" s="58"/>
      <c r="M131" s="58"/>
    </row>
    <row r="132" ht="12.0" customHeight="1">
      <c r="A132" s="58" t="s">
        <v>55</v>
      </c>
      <c r="B132" s="57"/>
      <c r="C132" s="57" t="s">
        <v>262</v>
      </c>
      <c r="D132" s="57">
        <v>2.2491245E7</v>
      </c>
      <c r="E132" s="64"/>
      <c r="F132" s="57">
        <v>4.0</v>
      </c>
      <c r="G132" s="58" t="s">
        <v>26</v>
      </c>
      <c r="H132" s="57" t="s">
        <v>26</v>
      </c>
      <c r="I132" s="61">
        <v>960.0</v>
      </c>
      <c r="J132" s="57">
        <v>217.0</v>
      </c>
      <c r="K132" s="16">
        <f t="shared" ref="K132:K140" si="13">J132/I132</f>
        <v>0.2260416667</v>
      </c>
      <c r="L132" s="57"/>
      <c r="M132" s="57" t="s">
        <v>77</v>
      </c>
    </row>
    <row r="133" ht="12.0" customHeight="1">
      <c r="A133" s="58" t="s">
        <v>55</v>
      </c>
      <c r="B133" s="57"/>
      <c r="C133" s="68" t="s">
        <v>24</v>
      </c>
      <c r="D133" s="57">
        <v>2.2491245E7</v>
      </c>
      <c r="E133" s="64"/>
      <c r="F133" s="57">
        <v>4.0</v>
      </c>
      <c r="G133" s="58" t="s">
        <v>26</v>
      </c>
      <c r="H133" s="57" t="s">
        <v>26</v>
      </c>
      <c r="I133" s="61">
        <v>960.0</v>
      </c>
      <c r="J133" s="57">
        <v>160.33</v>
      </c>
      <c r="K133" s="16">
        <f t="shared" si="13"/>
        <v>0.1670104167</v>
      </c>
      <c r="L133" s="57"/>
      <c r="M133" s="57" t="s">
        <v>77</v>
      </c>
    </row>
    <row r="134" ht="12.0" customHeight="1">
      <c r="A134" s="58" t="s">
        <v>55</v>
      </c>
      <c r="B134" s="57"/>
      <c r="C134" s="57" t="s">
        <v>53</v>
      </c>
      <c r="D134" s="57">
        <v>2.2491245E7</v>
      </c>
      <c r="E134" s="64"/>
      <c r="F134" s="57">
        <v>4.0</v>
      </c>
      <c r="G134" s="58" t="s">
        <v>26</v>
      </c>
      <c r="H134" s="57" t="s">
        <v>26</v>
      </c>
      <c r="I134" s="61">
        <v>960.0</v>
      </c>
      <c r="J134" s="57">
        <v>146.25</v>
      </c>
      <c r="K134" s="16">
        <f t="shared" si="13"/>
        <v>0.15234375</v>
      </c>
      <c r="L134" s="57"/>
      <c r="M134" s="57" t="s">
        <v>77</v>
      </c>
    </row>
    <row r="135" ht="12.0" customHeight="1">
      <c r="A135" s="58" t="s">
        <v>55</v>
      </c>
      <c r="B135" s="58"/>
      <c r="C135" s="57" t="s">
        <v>46</v>
      </c>
      <c r="D135" s="58">
        <v>2.2491245E7</v>
      </c>
      <c r="E135" s="64">
        <v>43265.0</v>
      </c>
      <c r="F135" s="57">
        <v>4.0</v>
      </c>
      <c r="G135" s="57" t="s">
        <v>26</v>
      </c>
      <c r="H135" s="57" t="s">
        <v>26</v>
      </c>
      <c r="I135" s="61">
        <v>960.0</v>
      </c>
      <c r="J135" s="57">
        <v>141.53</v>
      </c>
      <c r="K135" s="16">
        <f t="shared" si="13"/>
        <v>0.1474270833</v>
      </c>
      <c r="L135" s="57"/>
      <c r="M135" s="58" t="s">
        <v>77</v>
      </c>
    </row>
    <row r="136" ht="12.0" customHeight="1">
      <c r="A136" s="58" t="s">
        <v>292</v>
      </c>
      <c r="B136" s="58" t="e">
        <v>#N/A</v>
      </c>
      <c r="C136" s="59" t="s">
        <v>24</v>
      </c>
      <c r="D136" s="66" t="s">
        <v>293</v>
      </c>
      <c r="E136" s="60">
        <v>41576.0</v>
      </c>
      <c r="F136" s="58">
        <v>1.0</v>
      </c>
      <c r="G136" s="58" t="s">
        <v>26</v>
      </c>
      <c r="H136" s="57" t="s">
        <v>26</v>
      </c>
      <c r="I136" s="61">
        <v>576.0</v>
      </c>
      <c r="J136" s="62">
        <v>19.18</v>
      </c>
      <c r="K136" s="16">
        <f t="shared" si="13"/>
        <v>0.03329861111</v>
      </c>
      <c r="L136" s="57" t="s">
        <v>294</v>
      </c>
      <c r="M136" s="58"/>
    </row>
    <row r="137" ht="12.0" customHeight="1">
      <c r="A137" s="69" t="s">
        <v>60</v>
      </c>
      <c r="B137" s="70">
        <v>0.0</v>
      </c>
      <c r="C137" s="59" t="s">
        <v>24</v>
      </c>
      <c r="D137" s="69" t="s">
        <v>295</v>
      </c>
      <c r="E137" s="71"/>
      <c r="F137" s="72">
        <v>1.0</v>
      </c>
      <c r="G137" s="73" t="s">
        <v>26</v>
      </c>
      <c r="H137" s="69" t="s">
        <v>26</v>
      </c>
      <c r="I137" s="74">
        <v>60.0</v>
      </c>
      <c r="J137" s="70">
        <v>1642.24</v>
      </c>
      <c r="K137" s="16">
        <f t="shared" si="13"/>
        <v>27.37066667</v>
      </c>
      <c r="L137" s="75"/>
      <c r="M137" s="76"/>
    </row>
    <row r="138" ht="12.0" customHeight="1">
      <c r="A138" s="69" t="s">
        <v>60</v>
      </c>
      <c r="B138" s="70">
        <v>0.0</v>
      </c>
      <c r="C138" s="63" t="s">
        <v>46</v>
      </c>
      <c r="D138" s="69" t="s">
        <v>296</v>
      </c>
      <c r="E138" s="71"/>
      <c r="F138" s="72">
        <v>1.0</v>
      </c>
      <c r="G138" s="73" t="s">
        <v>26</v>
      </c>
      <c r="H138" s="69" t="s">
        <v>26</v>
      </c>
      <c r="I138" s="74">
        <v>60.0</v>
      </c>
      <c r="J138" s="77"/>
      <c r="K138" s="16">
        <f t="shared" si="13"/>
        <v>0</v>
      </c>
      <c r="L138" s="75"/>
      <c r="M138" s="76"/>
    </row>
    <row r="139" ht="12.0" customHeight="1">
      <c r="A139" s="58" t="s">
        <v>297</v>
      </c>
      <c r="B139" s="58" t="e">
        <v>#N/A</v>
      </c>
      <c r="C139" s="63" t="s">
        <v>46</v>
      </c>
      <c r="D139" s="66" t="s">
        <v>298</v>
      </c>
      <c r="E139" s="60">
        <v>41698.0</v>
      </c>
      <c r="F139" s="58">
        <v>1.0</v>
      </c>
      <c r="G139" s="58" t="s">
        <v>26</v>
      </c>
      <c r="H139" s="57" t="s">
        <v>26</v>
      </c>
      <c r="I139" s="61">
        <v>100.0</v>
      </c>
      <c r="J139" s="57">
        <v>76.53</v>
      </c>
      <c r="K139" s="16">
        <f t="shared" si="13"/>
        <v>0.7653</v>
      </c>
      <c r="L139" s="58"/>
      <c r="M139" s="58"/>
    </row>
    <row r="140" ht="12.0" customHeight="1">
      <c r="A140" s="57" t="s">
        <v>299</v>
      </c>
      <c r="B140" s="57">
        <v>4000.0</v>
      </c>
      <c r="C140" s="65" t="s">
        <v>46</v>
      </c>
      <c r="D140" s="78" t="s">
        <v>300</v>
      </c>
      <c r="E140" s="64">
        <v>42482.0</v>
      </c>
      <c r="F140" s="57">
        <v>1.0</v>
      </c>
      <c r="G140" s="57" t="s">
        <v>26</v>
      </c>
      <c r="H140" s="57" t="s">
        <v>26</v>
      </c>
      <c r="I140" s="61">
        <v>4000.0</v>
      </c>
      <c r="J140" s="57">
        <v>878.02</v>
      </c>
      <c r="K140" s="16">
        <f t="shared" si="13"/>
        <v>0.219505</v>
      </c>
      <c r="L140" s="57" t="s">
        <v>302</v>
      </c>
      <c r="M140" s="79"/>
    </row>
    <row r="141" ht="12.0" customHeight="1">
      <c r="A141" s="80" t="s">
        <v>303</v>
      </c>
      <c r="B141" s="58" t="e">
        <v>#N/A</v>
      </c>
      <c r="C141" s="59" t="s">
        <v>24</v>
      </c>
      <c r="D141" s="66" t="s">
        <v>304</v>
      </c>
      <c r="E141" s="60">
        <v>41576.0</v>
      </c>
      <c r="F141" s="58">
        <v>1.0</v>
      </c>
      <c r="G141" s="58" t="s">
        <v>26</v>
      </c>
      <c r="H141" s="58" t="s">
        <v>26</v>
      </c>
      <c r="I141" s="67"/>
      <c r="J141" s="62">
        <v>81.9</v>
      </c>
      <c r="K141" s="16"/>
      <c r="L141" s="58" t="s">
        <v>306</v>
      </c>
      <c r="M141" s="58"/>
    </row>
    <row r="142" ht="12.0" customHeight="1">
      <c r="A142" s="58" t="s">
        <v>307</v>
      </c>
      <c r="B142" s="58" t="e">
        <v>#N/A</v>
      </c>
      <c r="C142" s="81" t="s">
        <v>308</v>
      </c>
      <c r="D142" s="82" t="s">
        <v>309</v>
      </c>
      <c r="E142" s="83">
        <v>41599.0</v>
      </c>
      <c r="F142" s="81">
        <v>1.0</v>
      </c>
      <c r="G142" s="81" t="s">
        <v>26</v>
      </c>
      <c r="H142" s="81" t="s">
        <v>26</v>
      </c>
      <c r="I142" s="84"/>
      <c r="J142" s="85">
        <v>7.61</v>
      </c>
      <c r="K142" s="16"/>
      <c r="L142" s="81" t="s">
        <v>310</v>
      </c>
      <c r="M142" s="81"/>
    </row>
    <row r="143" ht="12.0" customHeight="1">
      <c r="A143" s="57" t="s">
        <v>71</v>
      </c>
      <c r="B143" s="58"/>
      <c r="C143" s="59" t="s">
        <v>24</v>
      </c>
      <c r="D143" s="58" t="s">
        <v>311</v>
      </c>
      <c r="E143" s="64">
        <v>42922.0</v>
      </c>
      <c r="F143" s="58">
        <v>1.0</v>
      </c>
      <c r="G143" s="58" t="s">
        <v>26</v>
      </c>
      <c r="H143" s="57" t="s">
        <v>26</v>
      </c>
      <c r="I143" s="61"/>
      <c r="J143" s="57">
        <v>96.38</v>
      </c>
      <c r="K143" s="16"/>
      <c r="L143" s="57" t="s">
        <v>312</v>
      </c>
      <c r="M143" s="57" t="s">
        <v>115</v>
      </c>
    </row>
    <row r="144" ht="12.0" customHeight="1">
      <c r="A144" s="58" t="s">
        <v>313</v>
      </c>
      <c r="B144" s="58" t="e">
        <v>#N/A</v>
      </c>
      <c r="C144" s="58" t="s">
        <v>314</v>
      </c>
      <c r="D144" s="66" t="s">
        <v>315</v>
      </c>
      <c r="E144" s="60">
        <v>41600.0</v>
      </c>
      <c r="F144" s="58">
        <v>1.0</v>
      </c>
      <c r="G144" s="58" t="s">
        <v>26</v>
      </c>
      <c r="H144" s="58" t="s">
        <v>26</v>
      </c>
      <c r="I144" s="67"/>
      <c r="J144" s="62">
        <v>10.01</v>
      </c>
      <c r="K144" s="16"/>
      <c r="L144" s="58" t="s">
        <v>316</v>
      </c>
      <c r="M144" s="58"/>
    </row>
    <row r="145" ht="12.0" customHeight="1">
      <c r="A145" s="58" t="s">
        <v>317</v>
      </c>
      <c r="B145" s="58" t="e">
        <v>#N/A</v>
      </c>
      <c r="C145" s="59" t="s">
        <v>24</v>
      </c>
      <c r="D145" s="66" t="s">
        <v>318</v>
      </c>
      <c r="E145" s="60">
        <v>41576.0</v>
      </c>
      <c r="F145" s="58">
        <v>2.0</v>
      </c>
      <c r="G145" s="58" t="s">
        <v>26</v>
      </c>
      <c r="H145" s="57" t="s">
        <v>26</v>
      </c>
      <c r="I145" s="61">
        <v>100.0</v>
      </c>
      <c r="J145" s="62">
        <v>54.18</v>
      </c>
      <c r="K145" s="16">
        <f t="shared" ref="K145:K148" si="14">J145/I145</f>
        <v>0.5418</v>
      </c>
      <c r="L145" s="57" t="s">
        <v>319</v>
      </c>
      <c r="M145" s="58"/>
    </row>
    <row r="146" ht="12.0" customHeight="1">
      <c r="A146" s="58" t="s">
        <v>320</v>
      </c>
      <c r="B146" s="57">
        <v>0.0</v>
      </c>
      <c r="C146" s="65" t="s">
        <v>46</v>
      </c>
      <c r="D146" s="66" t="s">
        <v>321</v>
      </c>
      <c r="E146" s="60">
        <v>41698.0</v>
      </c>
      <c r="F146" s="58">
        <v>1.0</v>
      </c>
      <c r="G146" s="58" t="s">
        <v>26</v>
      </c>
      <c r="H146" s="57" t="s">
        <v>26</v>
      </c>
      <c r="I146" s="61">
        <v>250.0</v>
      </c>
      <c r="J146" s="62">
        <v>94.1</v>
      </c>
      <c r="K146" s="16">
        <f t="shared" si="14"/>
        <v>0.3764</v>
      </c>
      <c r="L146" s="79"/>
      <c r="M146" s="58"/>
    </row>
    <row r="147" ht="12.0" customHeight="1">
      <c r="A147" s="57" t="s">
        <v>192</v>
      </c>
      <c r="B147" s="58"/>
      <c r="C147" s="57" t="s">
        <v>24</v>
      </c>
      <c r="D147" s="78" t="s">
        <v>193</v>
      </c>
      <c r="E147" s="64"/>
      <c r="F147" s="57">
        <v>1.0</v>
      </c>
      <c r="G147" s="57" t="s">
        <v>26</v>
      </c>
      <c r="H147" s="57" t="s">
        <v>26</v>
      </c>
      <c r="I147" s="61">
        <v>500.0</v>
      </c>
      <c r="J147" s="57">
        <v>262.05</v>
      </c>
      <c r="K147" s="16">
        <f t="shared" si="14"/>
        <v>0.5241</v>
      </c>
      <c r="L147" s="58"/>
      <c r="M147" s="86" t="s">
        <v>194</v>
      </c>
    </row>
    <row r="148" ht="12.0" customHeight="1">
      <c r="A148" s="57" t="s">
        <v>192</v>
      </c>
      <c r="B148" s="58"/>
      <c r="C148" s="57" t="s">
        <v>46</v>
      </c>
      <c r="D148" s="78" t="s">
        <v>193</v>
      </c>
      <c r="E148" s="64"/>
      <c r="F148" s="57">
        <v>1.0</v>
      </c>
      <c r="G148" s="57" t="s">
        <v>26</v>
      </c>
      <c r="H148" s="57" t="s">
        <v>26</v>
      </c>
      <c r="I148" s="61">
        <v>500.0</v>
      </c>
      <c r="J148" s="57">
        <v>259.0</v>
      </c>
      <c r="K148" s="16">
        <f t="shared" si="14"/>
        <v>0.518</v>
      </c>
      <c r="L148" s="58"/>
      <c r="M148" s="86" t="s">
        <v>194</v>
      </c>
    </row>
    <row r="149" ht="12.0" customHeight="1">
      <c r="A149" s="58" t="s">
        <v>322</v>
      </c>
      <c r="B149" s="58" t="e">
        <v>#N/A</v>
      </c>
      <c r="C149" s="58" t="s">
        <v>105</v>
      </c>
      <c r="D149" s="66">
        <v>158622.0</v>
      </c>
      <c r="E149" s="60">
        <v>41600.0</v>
      </c>
      <c r="F149" s="58">
        <v>1.0</v>
      </c>
      <c r="G149" s="58" t="s">
        <v>26</v>
      </c>
      <c r="H149" s="58" t="s">
        <v>26</v>
      </c>
      <c r="I149" s="67"/>
      <c r="J149" s="62" t="s">
        <v>323</v>
      </c>
      <c r="K149" s="16"/>
      <c r="L149" s="58" t="s">
        <v>324</v>
      </c>
      <c r="M149" s="58"/>
    </row>
    <row r="150" ht="12.0" customHeight="1">
      <c r="A150" s="58" t="s">
        <v>325</v>
      </c>
      <c r="B150" s="58" t="e">
        <v>#N/A</v>
      </c>
      <c r="C150" s="58" t="s">
        <v>109</v>
      </c>
      <c r="D150" s="58" t="s">
        <v>326</v>
      </c>
      <c r="E150" s="60"/>
      <c r="F150" s="58">
        <v>1.0</v>
      </c>
      <c r="G150" s="58" t="s">
        <v>26</v>
      </c>
      <c r="H150" s="58" t="s">
        <v>26</v>
      </c>
      <c r="I150" s="67"/>
      <c r="J150" s="62">
        <v>64.0</v>
      </c>
      <c r="K150" s="16" t="str">
        <f t="shared" ref="K150:K155" si="15">J150/I150</f>
        <v>#DIV/0!</v>
      </c>
      <c r="L150" s="87" t="s">
        <v>327</v>
      </c>
      <c r="M150" s="58" t="s">
        <v>150</v>
      </c>
    </row>
    <row r="151" ht="12.0" customHeight="1">
      <c r="A151" s="57" t="s">
        <v>221</v>
      </c>
      <c r="B151" s="58"/>
      <c r="C151" s="65" t="s">
        <v>46</v>
      </c>
      <c r="D151" s="78" t="s">
        <v>328</v>
      </c>
      <c r="E151" s="64"/>
      <c r="F151" s="57"/>
      <c r="G151" s="57" t="s">
        <v>26</v>
      </c>
      <c r="H151" s="57" t="s">
        <v>26</v>
      </c>
      <c r="I151" s="61">
        <v>500.0</v>
      </c>
      <c r="J151" s="57">
        <v>112.72</v>
      </c>
      <c r="K151" s="16">
        <f t="shared" si="15"/>
        <v>0.22544</v>
      </c>
      <c r="L151" s="58"/>
      <c r="M151" s="79"/>
    </row>
    <row r="152" ht="12.0" customHeight="1">
      <c r="A152" s="57" t="s">
        <v>223</v>
      </c>
      <c r="B152" s="58"/>
      <c r="C152" s="65" t="s">
        <v>46</v>
      </c>
      <c r="D152" s="78" t="s">
        <v>329</v>
      </c>
      <c r="E152" s="64"/>
      <c r="F152" s="57"/>
      <c r="G152" s="57" t="s">
        <v>26</v>
      </c>
      <c r="H152" s="57" t="s">
        <v>26</v>
      </c>
      <c r="I152" s="61">
        <v>500.0</v>
      </c>
      <c r="J152" s="57">
        <v>80.05</v>
      </c>
      <c r="K152" s="16">
        <f t="shared" si="15"/>
        <v>0.1601</v>
      </c>
      <c r="L152" s="58"/>
      <c r="M152" s="79"/>
    </row>
    <row r="153" ht="12.0" customHeight="1">
      <c r="A153" s="57" t="s">
        <v>223</v>
      </c>
      <c r="B153" s="58"/>
      <c r="C153" s="68" t="s">
        <v>24</v>
      </c>
      <c r="D153" s="78" t="s">
        <v>330</v>
      </c>
      <c r="E153" s="64"/>
      <c r="F153" s="57"/>
      <c r="G153" s="57" t="s">
        <v>26</v>
      </c>
      <c r="H153" s="57" t="s">
        <v>26</v>
      </c>
      <c r="I153" s="61">
        <v>500.0</v>
      </c>
      <c r="J153" s="57">
        <v>221.07</v>
      </c>
      <c r="K153" s="16">
        <f t="shared" si="15"/>
        <v>0.44214</v>
      </c>
      <c r="L153" s="58"/>
      <c r="M153" s="79"/>
    </row>
    <row r="154" ht="12.0" customHeight="1">
      <c r="A154" s="57" t="s">
        <v>225</v>
      </c>
      <c r="B154" s="58"/>
      <c r="C154" s="65" t="s">
        <v>46</v>
      </c>
      <c r="D154" s="78" t="s">
        <v>331</v>
      </c>
      <c r="E154" s="64"/>
      <c r="F154" s="57"/>
      <c r="G154" s="57" t="s">
        <v>26</v>
      </c>
      <c r="H154" s="57" t="s">
        <v>26</v>
      </c>
      <c r="I154" s="61">
        <v>500.0</v>
      </c>
      <c r="J154" s="57">
        <v>112.72</v>
      </c>
      <c r="K154" s="16">
        <f t="shared" si="15"/>
        <v>0.22544</v>
      </c>
      <c r="L154" s="58"/>
      <c r="M154" s="79"/>
    </row>
    <row r="155" ht="12.0" customHeight="1">
      <c r="A155" s="57" t="s">
        <v>225</v>
      </c>
      <c r="B155" s="58"/>
      <c r="C155" s="68" t="s">
        <v>24</v>
      </c>
      <c r="D155" s="78" t="s">
        <v>332</v>
      </c>
      <c r="E155" s="64"/>
      <c r="F155" s="57"/>
      <c r="G155" s="57" t="s">
        <v>26</v>
      </c>
      <c r="H155" s="57" t="s">
        <v>26</v>
      </c>
      <c r="I155" s="61">
        <v>500.0</v>
      </c>
      <c r="J155" s="57">
        <v>218.12</v>
      </c>
      <c r="K155" s="16">
        <f t="shared" si="15"/>
        <v>0.43624</v>
      </c>
      <c r="L155" s="58"/>
      <c r="M155" s="79"/>
    </row>
    <row r="156" ht="12.0" customHeight="1">
      <c r="A156" s="58" t="s">
        <v>333</v>
      </c>
      <c r="B156" s="57">
        <v>1.0</v>
      </c>
      <c r="C156" s="63" t="s">
        <v>46</v>
      </c>
      <c r="D156" s="66" t="s">
        <v>334</v>
      </c>
      <c r="E156" s="60">
        <v>41583.0</v>
      </c>
      <c r="F156" s="58">
        <v>1.0</v>
      </c>
      <c r="G156" s="58" t="s">
        <v>26</v>
      </c>
      <c r="H156" s="57" t="s">
        <v>26</v>
      </c>
      <c r="I156" s="67"/>
      <c r="J156" s="62"/>
      <c r="K156" s="16"/>
      <c r="L156" s="58"/>
      <c r="M156" s="58"/>
    </row>
    <row r="157" ht="12.0" customHeight="1">
      <c r="A157" s="58" t="s">
        <v>335</v>
      </c>
      <c r="B157" s="58" t="e">
        <v>#N/A</v>
      </c>
      <c r="C157" s="58" t="s">
        <v>314</v>
      </c>
      <c r="D157" s="66" t="s">
        <v>336</v>
      </c>
      <c r="E157" s="60">
        <v>41600.0</v>
      </c>
      <c r="F157" s="58">
        <v>1.0</v>
      </c>
      <c r="G157" s="58" t="s">
        <v>26</v>
      </c>
      <c r="H157" s="58" t="s">
        <v>26</v>
      </c>
      <c r="I157" s="67"/>
      <c r="J157" s="62">
        <v>12.5</v>
      </c>
      <c r="K157" s="16"/>
      <c r="L157" s="58" t="s">
        <v>316</v>
      </c>
      <c r="M157" s="58"/>
    </row>
    <row r="158" ht="12.0" customHeight="1">
      <c r="A158" s="3" t="s">
        <v>337</v>
      </c>
      <c r="B158" s="3" t="e">
        <v>#N/A</v>
      </c>
      <c r="C158" s="30" t="s">
        <v>46</v>
      </c>
      <c r="D158" s="5" t="s">
        <v>338</v>
      </c>
      <c r="E158" s="20">
        <v>41583.0</v>
      </c>
      <c r="F158" s="3">
        <v>1.0</v>
      </c>
      <c r="G158" s="3" t="s">
        <v>27</v>
      </c>
      <c r="H158" s="3" t="s">
        <v>27</v>
      </c>
      <c r="I158" s="7"/>
      <c r="J158" s="10"/>
      <c r="K158" s="16"/>
      <c r="L158" s="3"/>
      <c r="M158" s="3"/>
    </row>
    <row r="159" ht="12.0" customHeight="1">
      <c r="A159" s="3" t="s">
        <v>339</v>
      </c>
      <c r="B159" s="3" t="e">
        <v>#N/A</v>
      </c>
      <c r="C159" s="21" t="s">
        <v>24</v>
      </c>
      <c r="D159" s="5" t="s">
        <v>340</v>
      </c>
      <c r="E159" s="20">
        <v>41576.0</v>
      </c>
      <c r="F159" s="3">
        <v>1.0</v>
      </c>
      <c r="G159" s="3" t="s">
        <v>27</v>
      </c>
      <c r="H159" s="3" t="s">
        <v>27</v>
      </c>
      <c r="I159" s="38"/>
      <c r="J159" s="10">
        <v>12.5</v>
      </c>
      <c r="K159" s="16"/>
      <c r="L159" s="3"/>
      <c r="M159" s="3"/>
    </row>
    <row r="160" ht="12.0" customHeight="1">
      <c r="A160" s="3" t="s">
        <v>341</v>
      </c>
      <c r="B160" s="3" t="e">
        <v>#N/A</v>
      </c>
      <c r="C160" s="30" t="s">
        <v>46</v>
      </c>
      <c r="D160" s="5" t="s">
        <v>342</v>
      </c>
      <c r="E160" s="20">
        <v>41583.0</v>
      </c>
      <c r="F160" s="3">
        <v>2.0</v>
      </c>
      <c r="G160" s="3" t="s">
        <v>27</v>
      </c>
      <c r="H160" s="3" t="s">
        <v>27</v>
      </c>
      <c r="I160" s="38"/>
      <c r="J160" s="10"/>
      <c r="K160" s="16"/>
      <c r="L160" s="3"/>
      <c r="M160" s="3"/>
    </row>
    <row r="161" ht="12.0" customHeight="1">
      <c r="A161" s="3" t="s">
        <v>343</v>
      </c>
      <c r="B161" s="3" t="e">
        <v>#N/A</v>
      </c>
      <c r="C161" s="3" t="s">
        <v>344</v>
      </c>
      <c r="D161" s="5">
        <v>2.2458133E7</v>
      </c>
      <c r="E161" s="20">
        <v>41577.0</v>
      </c>
      <c r="F161" s="3">
        <v>2.0</v>
      </c>
      <c r="G161" s="3" t="s">
        <v>27</v>
      </c>
      <c r="H161" s="3" t="s">
        <v>27</v>
      </c>
      <c r="I161" s="38"/>
      <c r="J161" s="10"/>
      <c r="K161" s="16"/>
      <c r="L161" s="3"/>
      <c r="M161" s="3"/>
    </row>
    <row r="162" ht="12.0" customHeight="1">
      <c r="A162" s="3" t="s">
        <v>345</v>
      </c>
      <c r="B162" s="3" t="e">
        <v>#N/A</v>
      </c>
      <c r="C162" s="21" t="s">
        <v>24</v>
      </c>
      <c r="D162" s="5" t="s">
        <v>346</v>
      </c>
      <c r="E162" s="20">
        <v>41576.0</v>
      </c>
      <c r="F162" s="3">
        <v>2.0</v>
      </c>
      <c r="G162" s="3" t="s">
        <v>27</v>
      </c>
      <c r="H162" s="3" t="s">
        <v>27</v>
      </c>
      <c r="I162" s="38"/>
      <c r="J162" s="10">
        <v>74.89</v>
      </c>
      <c r="K162" s="16"/>
      <c r="L162" s="3" t="s">
        <v>347</v>
      </c>
      <c r="M162" s="3"/>
    </row>
    <row r="163" ht="12.0" customHeight="1">
      <c r="A163" s="3" t="s">
        <v>348</v>
      </c>
      <c r="B163" s="3" t="e">
        <v>#N/A</v>
      </c>
      <c r="C163" s="30" t="s">
        <v>46</v>
      </c>
      <c r="D163" s="5" t="s">
        <v>349</v>
      </c>
      <c r="E163" s="20">
        <v>41583.0</v>
      </c>
      <c r="F163" s="3">
        <v>2.0</v>
      </c>
      <c r="G163" s="3" t="s">
        <v>27</v>
      </c>
      <c r="H163" s="3" t="s">
        <v>27</v>
      </c>
      <c r="I163" s="38"/>
      <c r="J163" s="10"/>
      <c r="K163" s="16"/>
      <c r="L163" s="3"/>
      <c r="M163" s="3"/>
    </row>
    <row r="164" ht="12.0" customHeight="1">
      <c r="A164" s="27" t="s">
        <v>350</v>
      </c>
      <c r="B164" s="3" t="e">
        <v>#N/A</v>
      </c>
      <c r="C164" s="3" t="s">
        <v>344</v>
      </c>
      <c r="D164" s="51">
        <v>2.2458126E7</v>
      </c>
      <c r="E164" s="88">
        <v>41577.0</v>
      </c>
      <c r="F164" s="27">
        <v>2.0</v>
      </c>
      <c r="G164" s="27" t="s">
        <v>27</v>
      </c>
      <c r="H164" s="27" t="s">
        <v>27</v>
      </c>
      <c r="I164" s="89"/>
      <c r="J164" s="90"/>
      <c r="K164" s="16"/>
      <c r="L164" s="27"/>
      <c r="M164" s="27"/>
    </row>
    <row r="165" ht="12.0" customHeight="1">
      <c r="A165" s="27" t="s">
        <v>351</v>
      </c>
      <c r="B165" s="3" t="e">
        <v>#N/A</v>
      </c>
      <c r="C165" s="30" t="s">
        <v>46</v>
      </c>
      <c r="D165" s="51" t="s">
        <v>352</v>
      </c>
      <c r="E165" s="88">
        <v>41583.0</v>
      </c>
      <c r="F165" s="27">
        <v>1.0</v>
      </c>
      <c r="G165" s="27" t="s">
        <v>27</v>
      </c>
      <c r="H165" s="27" t="s">
        <v>27</v>
      </c>
      <c r="I165" s="89"/>
      <c r="J165" s="90"/>
      <c r="K165" s="16"/>
      <c r="L165" s="27"/>
      <c r="M165" s="27"/>
    </row>
    <row r="166" ht="12.0" customHeight="1">
      <c r="A166" s="27" t="s">
        <v>353</v>
      </c>
      <c r="B166" s="3" t="e">
        <v>#N/A</v>
      </c>
      <c r="C166" s="91" t="s">
        <v>46</v>
      </c>
      <c r="D166" s="51" t="s">
        <v>354</v>
      </c>
      <c r="E166" s="88">
        <v>41583.0</v>
      </c>
      <c r="F166" s="27">
        <v>1.0</v>
      </c>
      <c r="G166" s="27" t="s">
        <v>27</v>
      </c>
      <c r="H166" s="27" t="s">
        <v>27</v>
      </c>
      <c r="I166" s="89"/>
      <c r="J166" s="90"/>
      <c r="K166" s="16"/>
      <c r="L166" s="27"/>
      <c r="M166" s="27"/>
    </row>
    <row r="167" ht="12.0" customHeight="1">
      <c r="A167" s="27" t="s">
        <v>355</v>
      </c>
      <c r="B167" s="3" t="e">
        <v>#N/A</v>
      </c>
      <c r="C167" s="91" t="s">
        <v>46</v>
      </c>
      <c r="D167" s="51" t="s">
        <v>356</v>
      </c>
      <c r="E167" s="88">
        <v>41583.0</v>
      </c>
      <c r="F167" s="27">
        <v>2.0</v>
      </c>
      <c r="G167" s="27" t="s">
        <v>27</v>
      </c>
      <c r="H167" s="27" t="s">
        <v>27</v>
      </c>
      <c r="I167" s="89"/>
      <c r="J167" s="90"/>
      <c r="K167" s="16"/>
      <c r="L167" s="27"/>
      <c r="M167" s="27"/>
    </row>
    <row r="168" ht="12.0" customHeight="1">
      <c r="A168" s="27" t="s">
        <v>357</v>
      </c>
      <c r="B168" s="3" t="e">
        <v>#N/A</v>
      </c>
      <c r="C168" s="91" t="s">
        <v>46</v>
      </c>
      <c r="D168" s="51" t="s">
        <v>358</v>
      </c>
      <c r="E168" s="88">
        <v>41583.0</v>
      </c>
      <c r="F168" s="27">
        <v>1.0</v>
      </c>
      <c r="G168" s="27" t="s">
        <v>27</v>
      </c>
      <c r="H168" s="27" t="s">
        <v>27</v>
      </c>
      <c r="I168" s="89"/>
      <c r="J168" s="90"/>
      <c r="K168" s="16"/>
      <c r="L168" s="27"/>
      <c r="M168" s="27"/>
    </row>
    <row r="169" ht="12.0" customHeight="1">
      <c r="A169" s="3" t="s">
        <v>359</v>
      </c>
      <c r="B169" s="3" t="e">
        <v>#N/A</v>
      </c>
      <c r="C169" s="30" t="s">
        <v>46</v>
      </c>
      <c r="D169" s="5" t="s">
        <v>360</v>
      </c>
      <c r="E169" s="20">
        <v>41583.0</v>
      </c>
      <c r="F169" s="3">
        <v>2.0</v>
      </c>
      <c r="G169" s="3" t="s">
        <v>27</v>
      </c>
      <c r="H169" s="3" t="s">
        <v>27</v>
      </c>
      <c r="I169" s="38"/>
      <c r="J169" s="10"/>
      <c r="K169" s="16"/>
      <c r="L169" s="3"/>
      <c r="M169" s="27"/>
    </row>
    <row r="170" ht="12.0" customHeight="1">
      <c r="A170" s="27" t="s">
        <v>361</v>
      </c>
      <c r="B170" s="3" t="e">
        <v>#N/A</v>
      </c>
      <c r="C170" s="92" t="s">
        <v>24</v>
      </c>
      <c r="D170" s="51" t="s">
        <v>362</v>
      </c>
      <c r="E170" s="88">
        <v>41586.0</v>
      </c>
      <c r="F170" s="27">
        <v>1.0</v>
      </c>
      <c r="G170" s="27" t="s">
        <v>27</v>
      </c>
      <c r="H170" s="27" t="s">
        <v>27</v>
      </c>
      <c r="I170" s="89"/>
      <c r="J170" s="90"/>
      <c r="K170" s="16"/>
      <c r="L170" s="27"/>
      <c r="M170" s="27"/>
    </row>
    <row r="171" ht="12.0" customHeight="1">
      <c r="A171" s="27" t="s">
        <v>363</v>
      </c>
      <c r="B171" s="3" t="e">
        <v>#N/A</v>
      </c>
      <c r="C171" s="91" t="s">
        <v>46</v>
      </c>
      <c r="D171" s="51" t="s">
        <v>364</v>
      </c>
      <c r="E171" s="88">
        <v>41583.0</v>
      </c>
      <c r="F171" s="27">
        <v>1.0</v>
      </c>
      <c r="G171" s="27" t="s">
        <v>27</v>
      </c>
      <c r="H171" s="27" t="s">
        <v>27</v>
      </c>
      <c r="I171" s="89"/>
      <c r="J171" s="90"/>
      <c r="K171" s="16"/>
      <c r="L171" s="27"/>
      <c r="M171" s="27"/>
    </row>
    <row r="172" ht="12.0" customHeight="1">
      <c r="A172" s="27" t="s">
        <v>365</v>
      </c>
      <c r="B172" s="3" t="e">
        <v>#N/A</v>
      </c>
      <c r="C172" s="27" t="s">
        <v>344</v>
      </c>
      <c r="D172" s="51">
        <v>2.2458142E7</v>
      </c>
      <c r="E172" s="88">
        <v>41577.0</v>
      </c>
      <c r="F172" s="27">
        <v>1.0</v>
      </c>
      <c r="G172" s="27" t="s">
        <v>27</v>
      </c>
      <c r="H172" s="27" t="s">
        <v>27</v>
      </c>
      <c r="I172" s="89"/>
      <c r="J172" s="90"/>
      <c r="K172" s="16"/>
      <c r="L172" s="27"/>
      <c r="M172" s="27"/>
    </row>
    <row r="173" ht="12.0" customHeight="1">
      <c r="A173" s="27" t="s">
        <v>366</v>
      </c>
      <c r="B173" s="3" t="e">
        <v>#N/A</v>
      </c>
      <c r="C173" s="91" t="s">
        <v>46</v>
      </c>
      <c r="D173" s="51" t="s">
        <v>367</v>
      </c>
      <c r="E173" s="88">
        <v>41583.0</v>
      </c>
      <c r="F173" s="27">
        <v>1.0</v>
      </c>
      <c r="G173" s="27" t="s">
        <v>27</v>
      </c>
      <c r="H173" s="27" t="s">
        <v>27</v>
      </c>
      <c r="I173" s="89"/>
      <c r="J173" s="90"/>
      <c r="K173" s="16"/>
      <c r="L173" s="27"/>
      <c r="M173" s="27"/>
    </row>
    <row r="174" ht="12.0" customHeight="1">
      <c r="A174" s="27" t="s">
        <v>368</v>
      </c>
      <c r="B174" s="3" t="e">
        <v>#N/A</v>
      </c>
      <c r="C174" s="91" t="s">
        <v>46</v>
      </c>
      <c r="D174" s="51" t="s">
        <v>369</v>
      </c>
      <c r="E174" s="88">
        <v>41583.0</v>
      </c>
      <c r="F174" s="27">
        <v>1.0</v>
      </c>
      <c r="G174" s="27" t="s">
        <v>27</v>
      </c>
      <c r="H174" s="27" t="s">
        <v>27</v>
      </c>
      <c r="I174" s="89"/>
      <c r="J174" s="90"/>
      <c r="K174" s="16"/>
      <c r="L174" s="27"/>
      <c r="M174" s="27"/>
    </row>
    <row r="175" ht="12.0" customHeight="1">
      <c r="A175" s="27" t="s">
        <v>370</v>
      </c>
      <c r="B175" s="3" t="e">
        <v>#N/A</v>
      </c>
      <c r="C175" s="91" t="s">
        <v>46</v>
      </c>
      <c r="D175" s="51" t="s">
        <v>371</v>
      </c>
      <c r="E175" s="88">
        <v>41583.0</v>
      </c>
      <c r="F175" s="27">
        <v>1.0</v>
      </c>
      <c r="G175" s="27" t="s">
        <v>27</v>
      </c>
      <c r="H175" s="27" t="s">
        <v>27</v>
      </c>
      <c r="I175" s="89"/>
      <c r="J175" s="90"/>
      <c r="K175" s="16"/>
      <c r="L175" s="27"/>
      <c r="M175" s="27"/>
    </row>
    <row r="176" ht="12.0" customHeight="1">
      <c r="A176" s="27" t="s">
        <v>372</v>
      </c>
      <c r="B176" s="3" t="e">
        <v>#N/A</v>
      </c>
      <c r="C176" s="91" t="s">
        <v>46</v>
      </c>
      <c r="D176" s="51" t="s">
        <v>373</v>
      </c>
      <c r="E176" s="88">
        <v>41583.0</v>
      </c>
      <c r="F176" s="27">
        <v>1.0</v>
      </c>
      <c r="G176" s="27" t="s">
        <v>27</v>
      </c>
      <c r="H176" s="27" t="s">
        <v>27</v>
      </c>
      <c r="I176" s="89"/>
      <c r="J176" s="90"/>
      <c r="K176" s="16"/>
      <c r="L176" s="27"/>
      <c r="M176" s="27"/>
    </row>
    <row r="177" ht="12.0" customHeight="1">
      <c r="A177" s="3" t="s">
        <v>374</v>
      </c>
      <c r="B177" s="3" t="e">
        <v>#N/A</v>
      </c>
      <c r="C177" s="91" t="s">
        <v>46</v>
      </c>
      <c r="D177" s="51" t="s">
        <v>375</v>
      </c>
      <c r="E177" s="88">
        <v>41583.0</v>
      </c>
      <c r="F177" s="27">
        <v>2.0</v>
      </c>
      <c r="G177" s="27" t="s">
        <v>27</v>
      </c>
      <c r="H177" s="27" t="s">
        <v>27</v>
      </c>
      <c r="I177" s="89"/>
      <c r="J177" s="90"/>
      <c r="K177" s="16"/>
      <c r="L177" s="27"/>
      <c r="M177" s="27"/>
    </row>
    <row r="178" ht="12.0" customHeight="1">
      <c r="A178" s="27" t="s">
        <v>376</v>
      </c>
      <c r="B178" s="3" t="e">
        <v>#N/A</v>
      </c>
      <c r="C178" s="27" t="s">
        <v>344</v>
      </c>
      <c r="D178" s="51">
        <v>2.2629891E7</v>
      </c>
      <c r="E178" s="88">
        <v>41577.0</v>
      </c>
      <c r="F178" s="27">
        <v>1.0</v>
      </c>
      <c r="G178" s="27" t="s">
        <v>27</v>
      </c>
      <c r="H178" s="27" t="s">
        <v>27</v>
      </c>
      <c r="I178" s="89"/>
      <c r="J178" s="90"/>
      <c r="K178" s="16"/>
      <c r="L178" s="27"/>
      <c r="M178" s="27"/>
    </row>
    <row r="179" ht="12.0" customHeight="1">
      <c r="A179" s="3" t="s">
        <v>377</v>
      </c>
      <c r="B179" s="3" t="e">
        <v>#N/A</v>
      </c>
      <c r="C179" s="91" t="s">
        <v>46</v>
      </c>
      <c r="D179" s="51" t="s">
        <v>378</v>
      </c>
      <c r="E179" s="88">
        <v>41583.0</v>
      </c>
      <c r="F179" s="27">
        <v>1.0</v>
      </c>
      <c r="G179" s="27" t="s">
        <v>27</v>
      </c>
      <c r="H179" s="27" t="s">
        <v>27</v>
      </c>
      <c r="I179" s="89"/>
      <c r="J179" s="90"/>
      <c r="K179" s="16"/>
      <c r="L179" s="27"/>
      <c r="M179" s="27"/>
    </row>
    <row r="180" ht="12.0" customHeight="1">
      <c r="A180" s="27" t="s">
        <v>379</v>
      </c>
      <c r="B180" s="3" t="e">
        <v>#N/A</v>
      </c>
      <c r="C180" s="91" t="s">
        <v>46</v>
      </c>
      <c r="D180" s="51" t="s">
        <v>380</v>
      </c>
      <c r="E180" s="88">
        <v>41583.0</v>
      </c>
      <c r="F180" s="27">
        <v>1.0</v>
      </c>
      <c r="G180" s="27" t="s">
        <v>27</v>
      </c>
      <c r="H180" s="27" t="s">
        <v>27</v>
      </c>
      <c r="I180" s="89"/>
      <c r="J180" s="90"/>
      <c r="K180" s="16"/>
      <c r="L180" s="27"/>
      <c r="M180" s="27"/>
    </row>
    <row r="181" ht="12.0" customHeight="1">
      <c r="A181" s="27" t="s">
        <v>381</v>
      </c>
      <c r="B181" s="3" t="e">
        <v>#N/A</v>
      </c>
      <c r="C181" s="92" t="s">
        <v>24</v>
      </c>
      <c r="D181" s="51" t="s">
        <v>382</v>
      </c>
      <c r="E181" s="88">
        <v>41576.0</v>
      </c>
      <c r="F181" s="27">
        <v>4.0</v>
      </c>
      <c r="G181" s="27" t="s">
        <v>27</v>
      </c>
      <c r="H181" s="27" t="s">
        <v>27</v>
      </c>
      <c r="I181" s="89"/>
      <c r="J181" s="90">
        <v>10.99</v>
      </c>
      <c r="K181" s="16"/>
      <c r="L181" s="27"/>
      <c r="M181" s="27"/>
    </row>
    <row r="182" ht="12.0" customHeight="1">
      <c r="A182" s="27" t="s">
        <v>383</v>
      </c>
      <c r="B182" s="3" t="e">
        <v>#N/A</v>
      </c>
      <c r="C182" s="27" t="s">
        <v>384</v>
      </c>
      <c r="D182" s="51">
        <v>1840196.0</v>
      </c>
      <c r="E182" s="88">
        <v>41582.0</v>
      </c>
      <c r="F182" s="27">
        <v>2.0</v>
      </c>
      <c r="G182" s="27" t="s">
        <v>27</v>
      </c>
      <c r="H182" s="27" t="s">
        <v>27</v>
      </c>
      <c r="I182" s="89"/>
      <c r="J182" s="90"/>
      <c r="K182" s="16"/>
      <c r="L182" s="27"/>
      <c r="M182" s="27"/>
    </row>
    <row r="183" ht="12.0" customHeight="1">
      <c r="A183" s="27" t="s">
        <v>385</v>
      </c>
      <c r="B183" s="3" t="e">
        <v>#N/A</v>
      </c>
      <c r="C183" s="27" t="s">
        <v>386</v>
      </c>
      <c r="D183" s="51">
        <v>1934415.0</v>
      </c>
      <c r="E183" s="88">
        <v>41583.0</v>
      </c>
      <c r="F183" s="27">
        <v>1.0</v>
      </c>
      <c r="G183" s="27" t="s">
        <v>27</v>
      </c>
      <c r="H183" s="27" t="s">
        <v>27</v>
      </c>
      <c r="I183" s="89"/>
      <c r="J183" s="90">
        <v>446.48</v>
      </c>
      <c r="K183" s="16"/>
      <c r="L183" s="27" t="s">
        <v>387</v>
      </c>
      <c r="M183" s="27"/>
    </row>
    <row r="184" ht="12.0" customHeight="1">
      <c r="A184" s="3" t="s">
        <v>388</v>
      </c>
      <c r="B184" s="3" t="e">
        <v>#N/A</v>
      </c>
      <c r="C184" s="27" t="s">
        <v>386</v>
      </c>
      <c r="D184" s="51">
        <v>1423407.0</v>
      </c>
      <c r="E184" s="88">
        <v>41576.0</v>
      </c>
      <c r="F184" s="27">
        <v>1.0</v>
      </c>
      <c r="G184" s="27" t="s">
        <v>27</v>
      </c>
      <c r="H184" s="27" t="s">
        <v>27</v>
      </c>
      <c r="I184" s="89"/>
      <c r="J184" s="90">
        <v>27.1</v>
      </c>
      <c r="K184" s="16"/>
      <c r="L184" s="27"/>
      <c r="M184" s="27"/>
    </row>
    <row r="185" ht="12.0" customHeight="1">
      <c r="A185" s="3" t="s">
        <v>389</v>
      </c>
      <c r="B185" s="3" t="e">
        <v>#N/A</v>
      </c>
      <c r="C185" s="92" t="s">
        <v>24</v>
      </c>
      <c r="D185" s="51" t="s">
        <v>390</v>
      </c>
      <c r="E185" s="88">
        <v>41576.0</v>
      </c>
      <c r="F185" s="27">
        <v>2.0</v>
      </c>
      <c r="G185" s="27" t="s">
        <v>27</v>
      </c>
      <c r="H185" s="27" t="s">
        <v>27</v>
      </c>
      <c r="I185" s="89"/>
      <c r="J185" s="90">
        <v>5.0</v>
      </c>
      <c r="K185" s="16"/>
      <c r="L185" s="27"/>
      <c r="M185" s="27"/>
    </row>
    <row r="186" ht="12.0" customHeight="1">
      <c r="A186" s="3" t="s">
        <v>391</v>
      </c>
      <c r="B186" s="3" t="e">
        <v>#N/A</v>
      </c>
      <c r="C186" s="27" t="s">
        <v>384</v>
      </c>
      <c r="D186" s="51">
        <v>1841100.0</v>
      </c>
      <c r="E186" s="88">
        <v>41582.0</v>
      </c>
      <c r="F186" s="27">
        <v>2.0</v>
      </c>
      <c r="G186" s="27" t="s">
        <v>27</v>
      </c>
      <c r="H186" s="27" t="s">
        <v>27</v>
      </c>
      <c r="I186" s="89"/>
      <c r="J186" s="90"/>
      <c r="K186" s="16"/>
      <c r="L186" s="27"/>
      <c r="M186" s="27"/>
    </row>
    <row r="187" ht="12.0" customHeight="1">
      <c r="A187" s="3" t="s">
        <v>392</v>
      </c>
      <c r="B187" s="3" t="e">
        <v>#N/A</v>
      </c>
      <c r="C187" s="27" t="s">
        <v>393</v>
      </c>
      <c r="D187" s="51" t="s">
        <v>394</v>
      </c>
      <c r="E187" s="88">
        <v>41571.0</v>
      </c>
      <c r="F187" s="27">
        <v>1.0</v>
      </c>
      <c r="G187" s="27" t="s">
        <v>27</v>
      </c>
      <c r="H187" s="27" t="s">
        <v>27</v>
      </c>
      <c r="I187" s="89"/>
      <c r="J187" s="90">
        <v>8875.0</v>
      </c>
      <c r="K187" s="16"/>
      <c r="L187" s="27" t="s">
        <v>387</v>
      </c>
      <c r="M187" s="27"/>
    </row>
    <row r="188" ht="12.0" customHeight="1">
      <c r="A188" s="3" t="s">
        <v>395</v>
      </c>
      <c r="B188" s="3" t="e">
        <v>#N/A</v>
      </c>
      <c r="C188" s="92" t="s">
        <v>24</v>
      </c>
      <c r="D188" s="51" t="s">
        <v>396</v>
      </c>
      <c r="E188" s="88">
        <v>41576.0</v>
      </c>
      <c r="F188" s="27">
        <v>1.0</v>
      </c>
      <c r="G188" s="27" t="s">
        <v>27</v>
      </c>
      <c r="H188" s="27" t="s">
        <v>27</v>
      </c>
      <c r="I188" s="89"/>
      <c r="J188" s="90">
        <v>12.59</v>
      </c>
      <c r="K188" s="16"/>
      <c r="L188" s="27"/>
      <c r="M188" s="27"/>
    </row>
    <row r="189" ht="12.0" customHeight="1">
      <c r="A189" s="3" t="s">
        <v>397</v>
      </c>
      <c r="B189" s="3">
        <v>1.0</v>
      </c>
      <c r="C189" s="27" t="s">
        <v>344</v>
      </c>
      <c r="D189" s="51" t="s">
        <v>398</v>
      </c>
      <c r="E189" s="88">
        <v>41941.0</v>
      </c>
      <c r="F189" s="27">
        <v>1.0</v>
      </c>
      <c r="G189" s="27" t="s">
        <v>27</v>
      </c>
      <c r="H189" s="27" t="s">
        <v>27</v>
      </c>
      <c r="I189" s="89"/>
      <c r="J189" s="90"/>
      <c r="K189" s="16"/>
      <c r="L189" s="27"/>
      <c r="M189" s="27" t="s">
        <v>77</v>
      </c>
    </row>
    <row r="190" ht="12.0" customHeight="1">
      <c r="A190" s="3" t="s">
        <v>399</v>
      </c>
      <c r="B190" s="3" t="e">
        <v>#N/A</v>
      </c>
      <c r="C190" s="91" t="s">
        <v>46</v>
      </c>
      <c r="D190" s="51" t="s">
        <v>400</v>
      </c>
      <c r="E190" s="88">
        <v>41583.0</v>
      </c>
      <c r="F190" s="27">
        <v>1.0</v>
      </c>
      <c r="G190" s="27" t="s">
        <v>27</v>
      </c>
      <c r="H190" s="27" t="s">
        <v>27</v>
      </c>
      <c r="I190" s="89"/>
      <c r="J190" s="90"/>
      <c r="K190" s="16"/>
      <c r="L190" s="27"/>
      <c r="M190" s="27"/>
    </row>
    <row r="191" ht="12.0" customHeight="1">
      <c r="A191" s="3" t="s">
        <v>401</v>
      </c>
      <c r="B191" s="3" t="e">
        <v>#N/A</v>
      </c>
      <c r="C191" s="27" t="s">
        <v>344</v>
      </c>
      <c r="D191" s="51" t="s">
        <v>402</v>
      </c>
      <c r="E191" s="88">
        <v>41667.0</v>
      </c>
      <c r="F191" s="27">
        <v>1.0</v>
      </c>
      <c r="G191" s="27" t="s">
        <v>27</v>
      </c>
      <c r="H191" s="27" t="s">
        <v>27</v>
      </c>
      <c r="I191" s="89"/>
      <c r="J191" s="90">
        <v>2.6</v>
      </c>
      <c r="K191" s="16"/>
      <c r="L191" s="27"/>
      <c r="M191" s="27"/>
    </row>
    <row r="192" ht="12.0" customHeight="1">
      <c r="A192" s="3" t="s">
        <v>403</v>
      </c>
      <c r="B192" s="3" t="e">
        <v>#N/A</v>
      </c>
      <c r="C192" s="92" t="s">
        <v>24</v>
      </c>
      <c r="D192" s="51" t="s">
        <v>404</v>
      </c>
      <c r="E192" s="88">
        <v>41576.0</v>
      </c>
      <c r="F192" s="27">
        <v>2.0</v>
      </c>
      <c r="G192" s="27" t="s">
        <v>27</v>
      </c>
      <c r="H192" s="27" t="s">
        <v>27</v>
      </c>
      <c r="I192" s="89"/>
      <c r="J192" s="90">
        <v>212.0</v>
      </c>
      <c r="K192" s="16"/>
      <c r="L192" s="27"/>
      <c r="M192" s="27"/>
    </row>
    <row r="193" ht="12.0" customHeight="1">
      <c r="A193" s="3" t="s">
        <v>405</v>
      </c>
      <c r="B193" s="3" t="e">
        <v>#N/A</v>
      </c>
      <c r="C193" s="92" t="s">
        <v>24</v>
      </c>
      <c r="D193" s="51" t="s">
        <v>406</v>
      </c>
      <c r="E193" s="88">
        <v>41577.0</v>
      </c>
      <c r="F193" s="27">
        <v>1.0</v>
      </c>
      <c r="G193" s="27" t="s">
        <v>27</v>
      </c>
      <c r="H193" s="27" t="s">
        <v>27</v>
      </c>
      <c r="I193" s="89"/>
      <c r="J193" s="90"/>
      <c r="K193" s="16"/>
      <c r="L193" s="27"/>
      <c r="M193" s="27"/>
    </row>
    <row r="194" ht="12.0" customHeight="1">
      <c r="A194" s="93" t="s">
        <v>121</v>
      </c>
      <c r="B194" s="94"/>
      <c r="C194" s="95" t="s">
        <v>24</v>
      </c>
      <c r="D194" s="96">
        <v>655076.0</v>
      </c>
      <c r="E194" s="97">
        <v>43265.0</v>
      </c>
      <c r="F194" s="95">
        <v>1.0</v>
      </c>
      <c r="G194" s="95" t="s">
        <v>27</v>
      </c>
      <c r="H194" s="95" t="s">
        <v>27</v>
      </c>
      <c r="I194" s="98">
        <v>40.0</v>
      </c>
      <c r="J194" s="99">
        <v>52.22</v>
      </c>
      <c r="K194" s="16">
        <f>J194/I194</f>
        <v>1.3055</v>
      </c>
      <c r="L194" s="95"/>
      <c r="M194" s="99" t="s">
        <v>407</v>
      </c>
    </row>
    <row r="195" ht="12.0" customHeight="1">
      <c r="A195" s="3" t="s">
        <v>408</v>
      </c>
      <c r="B195" s="3" t="e">
        <v>#N/A</v>
      </c>
      <c r="C195" s="92" t="s">
        <v>24</v>
      </c>
      <c r="D195" s="51" t="s">
        <v>409</v>
      </c>
      <c r="E195" s="88">
        <v>41576.0</v>
      </c>
      <c r="F195" s="27">
        <v>2.0</v>
      </c>
      <c r="G195" s="27" t="s">
        <v>27</v>
      </c>
      <c r="H195" s="27" t="s">
        <v>27</v>
      </c>
      <c r="I195" s="89"/>
      <c r="J195" s="90">
        <v>30.23</v>
      </c>
      <c r="K195" s="16"/>
      <c r="L195" s="27"/>
      <c r="M195" s="27"/>
    </row>
    <row r="196" ht="12.0" customHeight="1">
      <c r="A196" s="3" t="s">
        <v>410</v>
      </c>
      <c r="B196" s="3" t="e">
        <v>#N/A</v>
      </c>
      <c r="C196" s="27" t="s">
        <v>411</v>
      </c>
      <c r="D196" s="51" t="s">
        <v>412</v>
      </c>
      <c r="E196" s="88">
        <v>41591.0</v>
      </c>
      <c r="F196" s="27">
        <v>1.0</v>
      </c>
      <c r="G196" s="27" t="s">
        <v>27</v>
      </c>
      <c r="H196" s="27" t="s">
        <v>27</v>
      </c>
      <c r="I196" s="89"/>
      <c r="J196" s="90"/>
      <c r="K196" s="16"/>
      <c r="L196" s="27"/>
      <c r="M196" s="27"/>
    </row>
    <row r="197" ht="12.0" customHeight="1">
      <c r="A197" s="27" t="s">
        <v>413</v>
      </c>
      <c r="B197" s="3">
        <v>1.0</v>
      </c>
      <c r="C197" s="100"/>
      <c r="D197" s="5"/>
      <c r="E197" s="88"/>
      <c r="F197" s="27"/>
      <c r="G197" s="100" t="s">
        <v>27</v>
      </c>
      <c r="H197" s="100" t="s">
        <v>27</v>
      </c>
      <c r="I197" s="89"/>
      <c r="J197" s="90"/>
      <c r="K197" s="16"/>
      <c r="L197" s="27"/>
      <c r="M197" s="23"/>
    </row>
    <row r="198" ht="12.0" customHeight="1">
      <c r="A198" s="27" t="s">
        <v>414</v>
      </c>
      <c r="B198" s="3" t="e">
        <v>#N/A</v>
      </c>
      <c r="C198" s="27" t="s">
        <v>411</v>
      </c>
      <c r="D198" s="101" t="s">
        <v>415</v>
      </c>
      <c r="E198" s="88">
        <v>41591.0</v>
      </c>
      <c r="F198" s="27">
        <v>1.0</v>
      </c>
      <c r="G198" s="27" t="s">
        <v>27</v>
      </c>
      <c r="H198" s="27" t="s">
        <v>27</v>
      </c>
      <c r="I198" s="89"/>
      <c r="J198" s="90"/>
      <c r="K198" s="16"/>
      <c r="L198" s="27"/>
      <c r="M198" s="27"/>
    </row>
    <row r="199" ht="12.0" customHeight="1">
      <c r="A199" s="3" t="s">
        <v>416</v>
      </c>
      <c r="B199" s="3" t="e">
        <v>#N/A</v>
      </c>
      <c r="C199" s="91" t="s">
        <v>46</v>
      </c>
      <c r="D199" s="51" t="s">
        <v>417</v>
      </c>
      <c r="E199" s="88">
        <v>41585.0</v>
      </c>
      <c r="F199" s="27">
        <v>1.0</v>
      </c>
      <c r="G199" s="27" t="s">
        <v>27</v>
      </c>
      <c r="H199" s="27" t="s">
        <v>27</v>
      </c>
      <c r="I199" s="89"/>
      <c r="J199" s="90"/>
      <c r="K199" s="16"/>
      <c r="L199" s="27"/>
      <c r="M199" s="27"/>
    </row>
    <row r="200" ht="12.0" customHeight="1">
      <c r="A200" s="3" t="s">
        <v>418</v>
      </c>
      <c r="B200" s="3" t="e">
        <v>#N/A</v>
      </c>
      <c r="C200" s="27" t="s">
        <v>117</v>
      </c>
      <c r="D200" s="51" t="s">
        <v>419</v>
      </c>
      <c r="E200" s="88">
        <v>41591.0</v>
      </c>
      <c r="F200" s="27">
        <v>1.0</v>
      </c>
      <c r="G200" s="27" t="s">
        <v>27</v>
      </c>
      <c r="H200" s="27" t="s">
        <v>27</v>
      </c>
      <c r="I200" s="89"/>
      <c r="J200" s="90">
        <v>1.9</v>
      </c>
      <c r="K200" s="16"/>
      <c r="L200" s="27"/>
      <c r="M200" s="27"/>
    </row>
    <row r="201" ht="12.0" customHeight="1">
      <c r="A201" s="27" t="s">
        <v>420</v>
      </c>
      <c r="B201" s="3" t="e">
        <v>#N/A</v>
      </c>
      <c r="C201" s="91" t="s">
        <v>46</v>
      </c>
      <c r="D201" s="51" t="s">
        <v>421</v>
      </c>
      <c r="E201" s="88">
        <v>41583.0</v>
      </c>
      <c r="F201" s="27">
        <v>1.0</v>
      </c>
      <c r="G201" s="27" t="s">
        <v>27</v>
      </c>
      <c r="H201" s="27" t="s">
        <v>27</v>
      </c>
      <c r="I201" s="89"/>
      <c r="J201" s="90"/>
      <c r="K201" s="16"/>
      <c r="L201" s="27"/>
      <c r="M201" s="27"/>
    </row>
    <row r="202" ht="12.0" customHeight="1">
      <c r="A202" s="27" t="s">
        <v>422</v>
      </c>
      <c r="B202" s="3" t="e">
        <v>#N/A</v>
      </c>
      <c r="C202" s="92" t="s">
        <v>24</v>
      </c>
      <c r="D202" s="51" t="s">
        <v>423</v>
      </c>
      <c r="E202" s="88">
        <v>41576.0</v>
      </c>
      <c r="F202" s="27">
        <v>1.0</v>
      </c>
      <c r="G202" s="27" t="s">
        <v>27</v>
      </c>
      <c r="H202" s="27" t="s">
        <v>27</v>
      </c>
      <c r="I202" s="89"/>
      <c r="J202" s="90">
        <v>21.0</v>
      </c>
      <c r="K202" s="16"/>
      <c r="L202" s="27"/>
      <c r="M202" s="27"/>
    </row>
    <row r="203" ht="12.0" customHeight="1">
      <c r="A203" s="27" t="s">
        <v>424</v>
      </c>
      <c r="B203" s="3" t="e">
        <v>#N/A</v>
      </c>
      <c r="C203" s="91" t="s">
        <v>46</v>
      </c>
      <c r="D203" s="51" t="s">
        <v>425</v>
      </c>
      <c r="E203" s="88">
        <v>41583.0</v>
      </c>
      <c r="F203" s="27">
        <v>1.0</v>
      </c>
      <c r="G203" s="27" t="s">
        <v>27</v>
      </c>
      <c r="H203" s="27" t="s">
        <v>27</v>
      </c>
      <c r="I203" s="89"/>
      <c r="J203" s="90"/>
      <c r="K203" s="16"/>
      <c r="L203" s="27"/>
      <c r="M203" s="27"/>
    </row>
    <row r="204" ht="12.0" customHeight="1">
      <c r="A204" s="3" t="s">
        <v>426</v>
      </c>
      <c r="B204" s="3" t="e">
        <v>#N/A</v>
      </c>
      <c r="C204" s="92" t="s">
        <v>24</v>
      </c>
      <c r="D204" s="51" t="s">
        <v>427</v>
      </c>
      <c r="E204" s="88">
        <v>41576.0</v>
      </c>
      <c r="F204" s="27">
        <v>1.0</v>
      </c>
      <c r="G204" s="27" t="s">
        <v>27</v>
      </c>
      <c r="H204" s="27" t="s">
        <v>27</v>
      </c>
      <c r="I204" s="89"/>
      <c r="J204" s="90">
        <v>19.25</v>
      </c>
      <c r="K204" s="16"/>
      <c r="L204" s="27"/>
      <c r="M204" s="27"/>
    </row>
    <row r="205" ht="12.0" customHeight="1">
      <c r="A205" s="3" t="s">
        <v>428</v>
      </c>
      <c r="B205" s="3" t="e">
        <v>#N/A</v>
      </c>
      <c r="C205" s="92" t="s">
        <v>24</v>
      </c>
      <c r="D205" s="51" t="s">
        <v>429</v>
      </c>
      <c r="E205" s="88">
        <v>41576.0</v>
      </c>
      <c r="F205" s="27">
        <v>2.0</v>
      </c>
      <c r="G205" s="27" t="s">
        <v>27</v>
      </c>
      <c r="H205" s="27" t="s">
        <v>27</v>
      </c>
      <c r="I205" s="89"/>
      <c r="J205" s="90">
        <v>2.99</v>
      </c>
      <c r="K205" s="16"/>
      <c r="L205" s="27"/>
      <c r="M205" s="27"/>
    </row>
    <row r="206" ht="12.0" customHeight="1">
      <c r="A206" s="100" t="s">
        <v>430</v>
      </c>
      <c r="B206" s="3" t="e">
        <v>#N/A</v>
      </c>
      <c r="C206" s="102" t="s">
        <v>24</v>
      </c>
      <c r="D206" s="51" t="s">
        <v>431</v>
      </c>
      <c r="E206" s="103">
        <v>42192.0</v>
      </c>
      <c r="F206" s="100">
        <v>5.0</v>
      </c>
      <c r="G206" s="100" t="s">
        <v>27</v>
      </c>
      <c r="H206" s="100" t="s">
        <v>27</v>
      </c>
      <c r="I206" s="104">
        <v>1.0</v>
      </c>
      <c r="J206" s="100">
        <v>13.03</v>
      </c>
      <c r="K206" s="16">
        <f>J206/I206</f>
        <v>13.03</v>
      </c>
      <c r="L206" s="27"/>
      <c r="M206" s="105" t="s">
        <v>432</v>
      </c>
    </row>
    <row r="207" ht="12.0" customHeight="1">
      <c r="A207" s="3" t="s">
        <v>433</v>
      </c>
      <c r="B207" s="3" t="e">
        <v>#N/A</v>
      </c>
      <c r="C207" s="91" t="s">
        <v>46</v>
      </c>
      <c r="D207" s="51" t="s">
        <v>434</v>
      </c>
      <c r="E207" s="88">
        <v>41583.0</v>
      </c>
      <c r="F207" s="27">
        <v>1.0</v>
      </c>
      <c r="G207" s="27" t="s">
        <v>27</v>
      </c>
      <c r="H207" s="27" t="s">
        <v>27</v>
      </c>
      <c r="I207" s="89"/>
      <c r="J207" s="90"/>
      <c r="K207" s="16"/>
      <c r="L207" s="27"/>
      <c r="M207" s="27"/>
    </row>
    <row r="208" ht="12.0" customHeight="1">
      <c r="A208" s="27" t="s">
        <v>435</v>
      </c>
      <c r="B208" s="3" t="e">
        <v>#N/A</v>
      </c>
      <c r="C208" s="27" t="s">
        <v>386</v>
      </c>
      <c r="D208" s="51">
        <v>3033896.0</v>
      </c>
      <c r="E208" s="88">
        <v>41576.0</v>
      </c>
      <c r="F208" s="27">
        <v>5.0</v>
      </c>
      <c r="G208" s="27" t="s">
        <v>27</v>
      </c>
      <c r="H208" s="27" t="s">
        <v>27</v>
      </c>
      <c r="I208" s="89"/>
      <c r="J208" s="90">
        <v>197.92</v>
      </c>
      <c r="K208" s="16"/>
      <c r="L208" s="27"/>
      <c r="M208" s="27"/>
    </row>
    <row r="209" ht="12.0" customHeight="1">
      <c r="A209" s="100" t="s">
        <v>436</v>
      </c>
      <c r="B209" s="1">
        <v>0.0</v>
      </c>
      <c r="C209" s="102" t="s">
        <v>24</v>
      </c>
      <c r="D209" s="49" t="s">
        <v>437</v>
      </c>
      <c r="E209" s="103">
        <v>42814.0</v>
      </c>
      <c r="F209" s="100">
        <v>1.0</v>
      </c>
      <c r="G209" s="100" t="s">
        <v>27</v>
      </c>
      <c r="H209" s="100" t="s">
        <v>27</v>
      </c>
      <c r="I209" s="104">
        <v>5.0</v>
      </c>
      <c r="J209" s="100">
        <v>38.75</v>
      </c>
      <c r="K209" s="16">
        <f>J209/I209</f>
        <v>7.75</v>
      </c>
      <c r="L209" s="100" t="s">
        <v>438</v>
      </c>
      <c r="M209" s="23"/>
    </row>
    <row r="210" ht="12.0" customHeight="1">
      <c r="A210" s="27" t="s">
        <v>439</v>
      </c>
      <c r="B210" s="3" t="e">
        <v>#N/A</v>
      </c>
      <c r="C210" s="27" t="s">
        <v>109</v>
      </c>
      <c r="D210" s="51" t="s">
        <v>440</v>
      </c>
      <c r="E210" s="88">
        <v>41667.0</v>
      </c>
      <c r="F210" s="27">
        <v>1.0</v>
      </c>
      <c r="G210" s="27" t="s">
        <v>27</v>
      </c>
      <c r="H210" s="27" t="s">
        <v>27</v>
      </c>
      <c r="I210" s="89"/>
      <c r="J210" s="90">
        <v>165.6</v>
      </c>
      <c r="K210" s="16"/>
      <c r="L210" s="27"/>
      <c r="M210" s="27"/>
    </row>
    <row r="211" ht="12.0" customHeight="1">
      <c r="A211" s="27" t="s">
        <v>441</v>
      </c>
      <c r="B211" s="3" t="e">
        <v>#N/A</v>
      </c>
      <c r="C211" s="91" t="s">
        <v>46</v>
      </c>
      <c r="D211" s="51" t="s">
        <v>442</v>
      </c>
      <c r="E211" s="88">
        <v>41583.0</v>
      </c>
      <c r="F211" s="27">
        <v>1.0</v>
      </c>
      <c r="G211" s="27" t="s">
        <v>27</v>
      </c>
      <c r="H211" s="27" t="s">
        <v>27</v>
      </c>
      <c r="I211" s="89"/>
      <c r="J211" s="90"/>
      <c r="K211" s="16"/>
      <c r="L211" s="27"/>
      <c r="M211" s="27"/>
    </row>
    <row r="212" ht="12.0" customHeight="1">
      <c r="A212" s="27" t="s">
        <v>443</v>
      </c>
      <c r="B212" s="3" t="e">
        <v>#N/A</v>
      </c>
      <c r="C212" s="91" t="s">
        <v>46</v>
      </c>
      <c r="D212" s="51" t="s">
        <v>444</v>
      </c>
      <c r="E212" s="88">
        <v>41583.0</v>
      </c>
      <c r="F212" s="27">
        <v>1.0</v>
      </c>
      <c r="G212" s="27" t="s">
        <v>27</v>
      </c>
      <c r="H212" s="27" t="s">
        <v>27</v>
      </c>
      <c r="I212" s="89"/>
      <c r="J212" s="90"/>
      <c r="K212" s="16"/>
      <c r="L212" s="27"/>
      <c r="M212" s="27"/>
    </row>
    <row r="213" ht="12.0" customHeight="1">
      <c r="A213" s="27" t="s">
        <v>445</v>
      </c>
      <c r="B213" s="3" t="e">
        <v>#N/A</v>
      </c>
      <c r="C213" s="27" t="s">
        <v>314</v>
      </c>
      <c r="D213" s="51" t="s">
        <v>446</v>
      </c>
      <c r="E213" s="88">
        <v>41576.0</v>
      </c>
      <c r="F213" s="27">
        <v>1.0</v>
      </c>
      <c r="G213" s="27" t="s">
        <v>27</v>
      </c>
      <c r="H213" s="27" t="s">
        <v>27</v>
      </c>
      <c r="I213" s="89"/>
      <c r="J213" s="90">
        <v>899.99</v>
      </c>
      <c r="K213" s="16"/>
      <c r="L213" s="27"/>
      <c r="M213" s="27"/>
    </row>
    <row r="214" ht="12.0" customHeight="1">
      <c r="A214" s="27" t="s">
        <v>447</v>
      </c>
      <c r="B214" s="3" t="e">
        <v>#N/A</v>
      </c>
      <c r="C214" s="91" t="s">
        <v>46</v>
      </c>
      <c r="D214" s="51" t="s">
        <v>448</v>
      </c>
      <c r="E214" s="88">
        <v>41583.0</v>
      </c>
      <c r="F214" s="27">
        <v>2.0</v>
      </c>
      <c r="G214" s="27" t="s">
        <v>27</v>
      </c>
      <c r="H214" s="27" t="s">
        <v>27</v>
      </c>
      <c r="I214" s="89"/>
      <c r="J214" s="90"/>
      <c r="K214" s="16"/>
      <c r="L214" s="27"/>
      <c r="M214" s="27"/>
    </row>
    <row r="215" ht="12.0" customHeight="1">
      <c r="A215" s="27" t="s">
        <v>449</v>
      </c>
      <c r="B215" s="3" t="e">
        <v>#N/A</v>
      </c>
      <c r="C215" s="27" t="s">
        <v>344</v>
      </c>
      <c r="D215" s="51">
        <v>2.2670522E7</v>
      </c>
      <c r="E215" s="88">
        <v>41598.0</v>
      </c>
      <c r="F215" s="27">
        <v>1.0</v>
      </c>
      <c r="G215" s="27" t="s">
        <v>27</v>
      </c>
      <c r="H215" s="27" t="s">
        <v>27</v>
      </c>
      <c r="I215" s="89"/>
      <c r="J215" s="90"/>
      <c r="K215" s="16"/>
      <c r="L215" s="27"/>
      <c r="M215" s="27"/>
    </row>
    <row r="216" ht="12.0" customHeight="1">
      <c r="A216" s="27" t="s">
        <v>450</v>
      </c>
      <c r="B216" s="3" t="e">
        <v>#N/A</v>
      </c>
      <c r="C216" s="27" t="s">
        <v>344</v>
      </c>
      <c r="D216" s="51" t="s">
        <v>451</v>
      </c>
      <c r="E216" s="88">
        <v>41577.0</v>
      </c>
      <c r="F216" s="27">
        <v>1.0</v>
      </c>
      <c r="G216" s="27" t="s">
        <v>27</v>
      </c>
      <c r="H216" s="27" t="s">
        <v>27</v>
      </c>
      <c r="I216" s="89"/>
      <c r="J216" s="90"/>
      <c r="K216" s="16"/>
      <c r="L216" s="27"/>
      <c r="M216" s="27"/>
    </row>
    <row r="217" ht="12.0" customHeight="1">
      <c r="A217" s="27" t="s">
        <v>452</v>
      </c>
      <c r="B217" s="3" t="e">
        <v>#N/A</v>
      </c>
      <c r="C217" s="91" t="s">
        <v>46</v>
      </c>
      <c r="D217" s="51" t="s">
        <v>453</v>
      </c>
      <c r="E217" s="88">
        <v>41583.0</v>
      </c>
      <c r="F217" s="27">
        <v>6.0</v>
      </c>
      <c r="G217" s="27" t="s">
        <v>27</v>
      </c>
      <c r="H217" s="27" t="s">
        <v>27</v>
      </c>
      <c r="I217" s="89"/>
      <c r="J217" s="90"/>
      <c r="K217" s="16"/>
      <c r="L217" s="27"/>
      <c r="M217" s="27"/>
    </row>
    <row r="218" ht="12.0" customHeight="1">
      <c r="A218" s="106" t="s">
        <v>454</v>
      </c>
      <c r="B218" s="3">
        <v>1.0</v>
      </c>
      <c r="C218" s="107" t="s">
        <v>24</v>
      </c>
      <c r="D218" s="108" t="s">
        <v>455</v>
      </c>
      <c r="E218" s="109"/>
      <c r="F218" s="110"/>
      <c r="G218" s="106" t="s">
        <v>27</v>
      </c>
      <c r="H218" s="111" t="s">
        <v>27</v>
      </c>
      <c r="I218" s="112"/>
      <c r="J218" s="113">
        <v>7.22</v>
      </c>
      <c r="K218" s="16"/>
      <c r="L218" s="111" t="s">
        <v>456</v>
      </c>
      <c r="M218" s="106" t="s">
        <v>77</v>
      </c>
    </row>
    <row r="219" ht="12.0" customHeight="1">
      <c r="A219" s="27" t="s">
        <v>457</v>
      </c>
      <c r="B219" s="27" t="e">
        <v>#N/A</v>
      </c>
      <c r="C219" s="92" t="s">
        <v>24</v>
      </c>
      <c r="D219" s="51" t="s">
        <v>458</v>
      </c>
      <c r="E219" s="88">
        <v>41576.0</v>
      </c>
      <c r="F219" s="27">
        <v>1.0</v>
      </c>
      <c r="G219" s="27" t="s">
        <v>27</v>
      </c>
      <c r="H219" s="27" t="s">
        <v>27</v>
      </c>
      <c r="I219" s="89"/>
      <c r="J219" s="90">
        <v>175.0</v>
      </c>
      <c r="K219" s="16"/>
      <c r="L219" s="27"/>
      <c r="M219" s="27"/>
    </row>
    <row r="220" ht="12.0" customHeight="1">
      <c r="A220" s="27" t="s">
        <v>459</v>
      </c>
      <c r="B220" s="3" t="e">
        <v>#N/A</v>
      </c>
      <c r="C220" s="91" t="s">
        <v>46</v>
      </c>
      <c r="D220" s="51" t="s">
        <v>460</v>
      </c>
      <c r="E220" s="88">
        <v>41584.0</v>
      </c>
      <c r="F220" s="27">
        <v>1.0</v>
      </c>
      <c r="G220" s="27" t="s">
        <v>27</v>
      </c>
      <c r="H220" s="27" t="s">
        <v>27</v>
      </c>
      <c r="I220" s="89"/>
      <c r="J220" s="90"/>
      <c r="K220" s="16"/>
      <c r="L220" s="27"/>
      <c r="M220" s="27"/>
    </row>
    <row r="221" ht="12.0" customHeight="1">
      <c r="A221" s="100" t="s">
        <v>461</v>
      </c>
      <c r="B221" s="1">
        <v>1.0</v>
      </c>
      <c r="C221" s="102" t="s">
        <v>24</v>
      </c>
      <c r="D221" s="49" t="s">
        <v>462</v>
      </c>
      <c r="E221" s="103">
        <v>42654.0</v>
      </c>
      <c r="F221" s="100">
        <v>1.0</v>
      </c>
      <c r="G221" s="100" t="s">
        <v>27</v>
      </c>
      <c r="H221" s="100" t="s">
        <v>27</v>
      </c>
      <c r="I221" s="104">
        <v>1.0</v>
      </c>
      <c r="J221" s="100">
        <v>7939.77</v>
      </c>
      <c r="K221" s="16">
        <f>J221/I221</f>
        <v>7939.77</v>
      </c>
      <c r="L221" s="27"/>
      <c r="M221" s="23"/>
    </row>
    <row r="222" ht="12.0" customHeight="1">
      <c r="A222" s="27" t="s">
        <v>463</v>
      </c>
      <c r="B222" s="27" t="e">
        <v>#N/A</v>
      </c>
      <c r="C222" s="27" t="s">
        <v>386</v>
      </c>
      <c r="D222" s="51">
        <v>3018956.0</v>
      </c>
      <c r="E222" s="88">
        <v>41583.0</v>
      </c>
      <c r="F222" s="27">
        <v>1.0</v>
      </c>
      <c r="G222" s="27" t="s">
        <v>27</v>
      </c>
      <c r="H222" s="27" t="s">
        <v>27</v>
      </c>
      <c r="I222" s="89"/>
      <c r="J222" s="90">
        <v>235.97</v>
      </c>
      <c r="K222" s="16"/>
      <c r="L222" s="27"/>
      <c r="M222" s="27"/>
    </row>
    <row r="223" ht="12.0" customHeight="1">
      <c r="A223" s="27" t="s">
        <v>464</v>
      </c>
      <c r="B223" s="27" t="e">
        <v>#N/A</v>
      </c>
      <c r="C223" s="91" t="s">
        <v>46</v>
      </c>
      <c r="D223" s="51" t="s">
        <v>465</v>
      </c>
      <c r="E223" s="88">
        <v>41583.0</v>
      </c>
      <c r="F223" s="27">
        <v>2.0</v>
      </c>
      <c r="G223" s="27" t="s">
        <v>27</v>
      </c>
      <c r="H223" s="27" t="s">
        <v>27</v>
      </c>
      <c r="I223" s="89"/>
      <c r="J223" s="90"/>
      <c r="K223" s="16"/>
      <c r="L223" s="27"/>
      <c r="M223" s="27"/>
    </row>
    <row r="224" ht="12.0" customHeight="1">
      <c r="A224" s="27" t="s">
        <v>466</v>
      </c>
      <c r="B224" s="27" t="e">
        <v>#N/A</v>
      </c>
      <c r="C224" s="92" t="s">
        <v>24</v>
      </c>
      <c r="D224" s="51" t="s">
        <v>467</v>
      </c>
      <c r="E224" s="88">
        <v>41576.0</v>
      </c>
      <c r="F224" s="27">
        <v>1.0</v>
      </c>
      <c r="G224" s="27" t="s">
        <v>27</v>
      </c>
      <c r="H224" s="27" t="s">
        <v>27</v>
      </c>
      <c r="I224" s="89"/>
      <c r="J224" s="90">
        <v>1118.97</v>
      </c>
      <c r="K224" s="16"/>
      <c r="L224" s="27"/>
      <c r="M224" s="27"/>
    </row>
    <row r="225" ht="12.0" customHeight="1">
      <c r="A225" s="27" t="s">
        <v>468</v>
      </c>
      <c r="B225" s="27" t="e">
        <v>#N/A</v>
      </c>
      <c r="C225" s="91" t="s">
        <v>46</v>
      </c>
      <c r="D225" s="51" t="s">
        <v>469</v>
      </c>
      <c r="E225" s="88">
        <v>41583.0</v>
      </c>
      <c r="F225" s="27">
        <v>5.0</v>
      </c>
      <c r="G225" s="27" t="s">
        <v>27</v>
      </c>
      <c r="H225" s="27" t="s">
        <v>27</v>
      </c>
      <c r="I225" s="89"/>
      <c r="J225" s="90"/>
      <c r="K225" s="16"/>
      <c r="L225" s="27"/>
      <c r="M225" s="27"/>
    </row>
    <row r="226" ht="12.0" customHeight="1">
      <c r="A226" s="27" t="s">
        <v>470</v>
      </c>
      <c r="B226" s="27" t="e">
        <v>#N/A</v>
      </c>
      <c r="C226" s="91" t="s">
        <v>46</v>
      </c>
      <c r="D226" s="51" t="s">
        <v>471</v>
      </c>
      <c r="E226" s="88">
        <v>41583.0</v>
      </c>
      <c r="F226" s="27">
        <v>5.0</v>
      </c>
      <c r="G226" s="27" t="s">
        <v>27</v>
      </c>
      <c r="H226" s="27" t="s">
        <v>27</v>
      </c>
      <c r="I226" s="89"/>
      <c r="J226" s="90"/>
      <c r="K226" s="16"/>
      <c r="L226" s="27"/>
      <c r="M226" s="27"/>
    </row>
    <row r="227" ht="12.0" customHeight="1">
      <c r="A227" s="114" t="s">
        <v>472</v>
      </c>
      <c r="B227" s="115" t="e">
        <v>#N/A</v>
      </c>
      <c r="C227" s="116" t="s">
        <v>24</v>
      </c>
      <c r="D227" s="117" t="s">
        <v>270</v>
      </c>
      <c r="E227" s="114">
        <v>200.0</v>
      </c>
      <c r="F227" s="114" t="s">
        <v>26</v>
      </c>
      <c r="G227" s="114" t="s">
        <v>27</v>
      </c>
      <c r="H227" s="114" t="s">
        <v>26</v>
      </c>
      <c r="I227" s="118"/>
      <c r="J227" s="119"/>
      <c r="K227" s="16"/>
      <c r="L227" s="120">
        <v>59.19</v>
      </c>
      <c r="M227" s="121"/>
    </row>
    <row r="228" ht="12.0" customHeight="1">
      <c r="A228" s="100" t="s">
        <v>473</v>
      </c>
      <c r="B228" s="27"/>
      <c r="C228" s="100" t="s">
        <v>474</v>
      </c>
      <c r="D228" s="51" t="s">
        <v>475</v>
      </c>
      <c r="E228" s="103"/>
      <c r="F228" s="100"/>
      <c r="G228" s="100" t="s">
        <v>27</v>
      </c>
      <c r="H228" s="100" t="s">
        <v>26</v>
      </c>
      <c r="I228" s="104"/>
      <c r="J228" s="100"/>
      <c r="K228" s="16"/>
      <c r="L228" s="100" t="s">
        <v>476</v>
      </c>
      <c r="M228" s="23"/>
    </row>
    <row r="229" ht="12.0" customHeight="1">
      <c r="A229" s="100" t="s">
        <v>477</v>
      </c>
      <c r="B229" s="27"/>
      <c r="C229" s="100" t="s">
        <v>46</v>
      </c>
      <c r="D229" s="122">
        <v>655076.0</v>
      </c>
      <c r="E229" s="88"/>
      <c r="F229" s="27">
        <v>1.0</v>
      </c>
      <c r="G229" s="27" t="s">
        <v>27</v>
      </c>
      <c r="H229" s="100" t="s">
        <v>26</v>
      </c>
      <c r="I229" s="104">
        <v>100.0</v>
      </c>
      <c r="J229" s="100">
        <v>313.44</v>
      </c>
      <c r="K229" s="16">
        <f t="shared" ref="K229:K232" si="16">J229/I229</f>
        <v>3.1344</v>
      </c>
      <c r="L229" s="27"/>
      <c r="M229" s="100" t="s">
        <v>407</v>
      </c>
    </row>
    <row r="230" ht="12.0" customHeight="1">
      <c r="A230" s="100" t="s">
        <v>121</v>
      </c>
      <c r="B230" s="27"/>
      <c r="C230" s="100" t="s">
        <v>53</v>
      </c>
      <c r="D230" s="122">
        <v>655076.0</v>
      </c>
      <c r="E230" s="88"/>
      <c r="F230" s="27">
        <v>1.0</v>
      </c>
      <c r="G230" s="27" t="s">
        <v>27</v>
      </c>
      <c r="H230" s="100" t="s">
        <v>26</v>
      </c>
      <c r="I230" s="104">
        <v>40.0</v>
      </c>
      <c r="J230" s="100">
        <v>152.19</v>
      </c>
      <c r="K230" s="16">
        <f t="shared" si="16"/>
        <v>3.80475</v>
      </c>
      <c r="L230" s="27"/>
      <c r="M230" s="100" t="s">
        <v>407</v>
      </c>
    </row>
    <row r="231" ht="12.0" customHeight="1">
      <c r="A231" s="100" t="s">
        <v>121</v>
      </c>
      <c r="B231" s="27"/>
      <c r="C231" s="100" t="s">
        <v>46</v>
      </c>
      <c r="D231" s="122">
        <v>655076.0</v>
      </c>
      <c r="E231" s="88"/>
      <c r="F231" s="27">
        <v>1.0</v>
      </c>
      <c r="G231" s="27" t="s">
        <v>27</v>
      </c>
      <c r="H231" s="100" t="s">
        <v>26</v>
      </c>
      <c r="I231" s="104">
        <v>40.0</v>
      </c>
      <c r="J231" s="100">
        <v>54.11</v>
      </c>
      <c r="K231" s="16">
        <f t="shared" si="16"/>
        <v>1.35275</v>
      </c>
      <c r="L231" s="27"/>
      <c r="M231" s="100" t="s">
        <v>407</v>
      </c>
    </row>
    <row r="232" ht="12.0" customHeight="1">
      <c r="A232" s="100" t="s">
        <v>478</v>
      </c>
      <c r="B232" s="27"/>
      <c r="C232" s="100" t="s">
        <v>46</v>
      </c>
      <c r="D232" s="122">
        <v>7605.0</v>
      </c>
      <c r="E232" s="88"/>
      <c r="F232" s="27">
        <v>1.0</v>
      </c>
      <c r="G232" s="27" t="s">
        <v>27</v>
      </c>
      <c r="H232" s="100" t="s">
        <v>26</v>
      </c>
      <c r="I232" s="104">
        <v>50.0</v>
      </c>
      <c r="J232" s="100">
        <v>182.38</v>
      </c>
      <c r="K232" s="16">
        <f t="shared" si="16"/>
        <v>3.6476</v>
      </c>
      <c r="L232" s="27"/>
      <c r="M232" s="100" t="s">
        <v>407</v>
      </c>
    </row>
    <row r="233" ht="12.0" customHeight="1">
      <c r="A233" s="115" t="s">
        <v>454</v>
      </c>
      <c r="B233" s="115">
        <v>1.0</v>
      </c>
      <c r="C233" s="123" t="s">
        <v>24</v>
      </c>
      <c r="D233" s="124" t="s">
        <v>479</v>
      </c>
      <c r="E233" s="125">
        <v>41576.0</v>
      </c>
      <c r="F233" s="115">
        <v>4.0</v>
      </c>
      <c r="G233" s="115" t="s">
        <v>27</v>
      </c>
      <c r="H233" s="114" t="s">
        <v>26</v>
      </c>
      <c r="I233" s="118"/>
      <c r="J233" s="119">
        <v>3.99</v>
      </c>
      <c r="K233" s="16"/>
      <c r="L233" s="100" t="s">
        <v>480</v>
      </c>
      <c r="M233" s="115" t="s">
        <v>77</v>
      </c>
    </row>
    <row r="234" ht="12.0" customHeight="1">
      <c r="A234" s="100"/>
      <c r="B234" s="27"/>
      <c r="C234" s="100"/>
      <c r="D234" s="49"/>
      <c r="E234" s="103"/>
      <c r="F234" s="100"/>
      <c r="G234" s="100"/>
      <c r="H234" s="100"/>
      <c r="I234" s="104"/>
      <c r="J234" s="100"/>
      <c r="K234" s="16"/>
      <c r="L234" s="27"/>
      <c r="M234" s="23"/>
    </row>
    <row r="235" ht="12.0" customHeight="1">
      <c r="A235" s="100"/>
      <c r="B235" s="27"/>
      <c r="C235" s="100"/>
      <c r="D235" s="49"/>
      <c r="E235" s="103"/>
      <c r="F235" s="100"/>
      <c r="G235" s="100"/>
      <c r="H235" s="100"/>
      <c r="I235" s="104"/>
      <c r="J235" s="100"/>
      <c r="K235" s="16"/>
      <c r="L235" s="27"/>
      <c r="M235" s="23"/>
    </row>
    <row r="236" ht="12.0" customHeight="1">
      <c r="A236" s="100"/>
      <c r="B236" s="27"/>
      <c r="C236" s="100"/>
      <c r="D236" s="49"/>
      <c r="E236" s="103"/>
      <c r="F236" s="100"/>
      <c r="G236" s="100"/>
      <c r="H236" s="100"/>
      <c r="I236" s="104"/>
      <c r="J236" s="100"/>
      <c r="K236" s="16"/>
      <c r="L236" s="27"/>
      <c r="M236" s="23"/>
    </row>
  </sheetData>
  <conditionalFormatting sqref="H:H">
    <cfRule type="containsText" dxfId="0" priority="1" operator="containsText" text="Y">
      <formula>NOT(ISERROR(SEARCH(("Y"),(H1))))</formula>
    </cfRule>
  </conditionalFormatting>
  <hyperlinks>
    <hyperlink r:id="rId1" ref="D36"/>
    <hyperlink r:id="rId2" ref="D72"/>
    <hyperlink r:id="rId3" ref="D83"/>
    <hyperlink r:id="rId4" ref="D9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9" t="s">
        <v>19</v>
      </c>
      <c r="B3" s="15">
        <f t="array" ref="B3">index(Inventory!K:K, MATCH($A3,Inventory!$A:$A,0))</f>
        <v>2.675494792</v>
      </c>
      <c r="C3" s="18">
        <v>1.0</v>
      </c>
      <c r="D3" s="18"/>
      <c r="E3" s="18">
        <f t="shared" ref="E3:E12" si="1">ceiling((C3*$E$1)+(D3*($E$1/96)))</f>
        <v>732</v>
      </c>
      <c r="F3" s="15">
        <f t="shared" ref="F3:F12" si="2">E3*B3</f>
        <v>1958.462188</v>
      </c>
    </row>
    <row r="4">
      <c r="A4" s="22" t="s">
        <v>35</v>
      </c>
      <c r="B4" s="15">
        <f t="array" ref="B4">index(Inventory!K:K, MATCH($A4,Inventory!$A:$A,0))</f>
        <v>0.1269583333</v>
      </c>
      <c r="C4" s="18">
        <v>0.0</v>
      </c>
      <c r="D4" s="18">
        <v>1.0</v>
      </c>
      <c r="E4" s="18">
        <f t="shared" si="1"/>
        <v>8</v>
      </c>
      <c r="F4" s="15">
        <f t="shared" si="2"/>
        <v>1.015666667</v>
      </c>
    </row>
    <row r="5">
      <c r="A5" s="22" t="s">
        <v>34</v>
      </c>
      <c r="B5" s="15">
        <f t="array" ref="B5">index(Inventory!K:K, MATCH($A5,Inventory!$A:$A,0))</f>
        <v>0.02689583333</v>
      </c>
      <c r="C5" s="18">
        <v>0.0</v>
      </c>
      <c r="D5" s="18">
        <v>1.0</v>
      </c>
      <c r="E5" s="18">
        <f t="shared" si="1"/>
        <v>8</v>
      </c>
      <c r="F5" s="15">
        <f t="shared" si="2"/>
        <v>0.2151666667</v>
      </c>
    </row>
    <row r="6">
      <c r="A6" s="22" t="s">
        <v>49</v>
      </c>
      <c r="B6" s="15">
        <f t="array" ref="B6">index(Inventory!K:K, MATCH($A6,Inventory!$A:$A,0))</f>
        <v>0.33965</v>
      </c>
      <c r="C6" s="18">
        <v>0.0</v>
      </c>
      <c r="D6" s="17">
        <v>5.0</v>
      </c>
      <c r="E6" s="18">
        <f t="shared" si="1"/>
        <v>39</v>
      </c>
      <c r="F6" s="15">
        <f t="shared" si="2"/>
        <v>13.24635</v>
      </c>
    </row>
    <row r="7">
      <c r="A7" s="22" t="s">
        <v>55</v>
      </c>
      <c r="B7" s="15">
        <f t="array" ref="B7">index(Inventory!K:K, MATCH($A7,Inventory!$A:$A,0))</f>
        <v>0.1269583333</v>
      </c>
      <c r="C7" s="17">
        <v>6.0</v>
      </c>
      <c r="D7" s="17">
        <v>0.0</v>
      </c>
      <c r="E7" s="18">
        <f t="shared" si="1"/>
        <v>4392</v>
      </c>
      <c r="F7" s="15">
        <f t="shared" si="2"/>
        <v>557.601</v>
      </c>
    </row>
    <row r="8">
      <c r="A8" s="22" t="s">
        <v>64</v>
      </c>
      <c r="B8" s="15">
        <f t="array" ref="B8">index(Inventory!K:K, MATCH($A8,Inventory!$A:$A,0))</f>
        <v>3.5472</v>
      </c>
      <c r="C8" s="17">
        <v>0.0</v>
      </c>
      <c r="D8" s="17">
        <v>1.0</v>
      </c>
      <c r="E8" s="18">
        <f t="shared" si="1"/>
        <v>8</v>
      </c>
      <c r="F8" s="15">
        <f t="shared" si="2"/>
        <v>28.3776</v>
      </c>
    </row>
    <row r="9">
      <c r="A9" s="1" t="s">
        <v>71</v>
      </c>
      <c r="B9" s="15">
        <f t="array" ref="B9">index(Inventory!K:K, MATCH($A9,Inventory!$A:$A,0))</f>
        <v>0.0199325</v>
      </c>
      <c r="C9" s="17">
        <v>0.0</v>
      </c>
      <c r="D9" s="17">
        <v>50.0</v>
      </c>
      <c r="E9" s="18">
        <f t="shared" si="1"/>
        <v>382</v>
      </c>
      <c r="F9" s="15">
        <f t="shared" si="2"/>
        <v>7.614215</v>
      </c>
    </row>
    <row r="10">
      <c r="A10" s="3" t="s">
        <v>72</v>
      </c>
      <c r="B10" s="15">
        <f t="array" ref="B10">index(Inventory!K:K, MATCH($A10,Inventory!$A:$A,0))</f>
        <v>0.38125</v>
      </c>
      <c r="C10" s="17">
        <v>0.0</v>
      </c>
      <c r="D10" s="17">
        <v>1.0</v>
      </c>
      <c r="E10" s="18">
        <f t="shared" si="1"/>
        <v>8</v>
      </c>
      <c r="F10" s="15">
        <f t="shared" si="2"/>
        <v>3.05</v>
      </c>
    </row>
    <row r="11">
      <c r="A11" s="22" t="s">
        <v>73</v>
      </c>
      <c r="B11" s="15">
        <f t="array" ref="B11">index(Inventory!K:K, MATCH($A11,Inventory!$A:$A,0))</f>
        <v>0.13066</v>
      </c>
      <c r="C11" s="17">
        <v>0.0</v>
      </c>
      <c r="D11" s="17">
        <v>1.0</v>
      </c>
      <c r="E11" s="18">
        <f t="shared" si="1"/>
        <v>8</v>
      </c>
      <c r="F11" s="15">
        <f t="shared" si="2"/>
        <v>1.04528</v>
      </c>
    </row>
    <row r="12">
      <c r="A12" s="9" t="s">
        <v>74</v>
      </c>
      <c r="B12" s="15">
        <f t="array" ref="B12">index(Inventory!K:K, MATCH($A12,Inventory!$A:$A,0))</f>
        <v>0.788</v>
      </c>
      <c r="C12" s="17">
        <v>0.0</v>
      </c>
      <c r="D12" s="17">
        <v>1.0</v>
      </c>
      <c r="E12" s="18">
        <f t="shared" si="1"/>
        <v>8</v>
      </c>
      <c r="F12" s="15">
        <f t="shared" si="2"/>
        <v>6.304</v>
      </c>
    </row>
    <row r="13">
      <c r="F13" s="28">
        <f>sum(F3:F12)</f>
        <v>2576.931466</v>
      </c>
      <c r="G13" s="29" t="s">
        <v>84</v>
      </c>
    </row>
    <row r="14">
      <c r="F14" s="31">
        <f>F13/E1</f>
        <v>3.520398177</v>
      </c>
      <c r="G14" s="32" t="s">
        <v>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8" t="s">
        <v>17</v>
      </c>
      <c r="B3" s="15">
        <f t="array" ref="B3">index(Inventory!K:K, MATCH($A3,Inventory!$A:$A,0))</f>
        <v>0.4296</v>
      </c>
      <c r="C3" s="17">
        <v>0.02232</v>
      </c>
      <c r="D3" s="17"/>
      <c r="E3" s="18">
        <f t="shared" ref="E3:E15" si="1">ceiling((C3*$E$1)+(D3*($E$1/96)))</f>
        <v>17</v>
      </c>
      <c r="F3" s="15">
        <f t="shared" ref="F3:F15" si="2">E3*B3</f>
        <v>7.3032</v>
      </c>
    </row>
    <row r="4">
      <c r="A4" s="8" t="s">
        <v>33</v>
      </c>
      <c r="B4" s="15">
        <f t="array" ref="B4">index(Inventory!K:K, MATCH($A4,Inventory!$A:$A,0))</f>
        <v>0.15748</v>
      </c>
      <c r="C4" s="17">
        <v>3.63E-4</v>
      </c>
      <c r="D4" s="17"/>
      <c r="E4" s="18">
        <f t="shared" si="1"/>
        <v>1</v>
      </c>
      <c r="F4" s="15">
        <f t="shared" si="2"/>
        <v>0.15748</v>
      </c>
    </row>
    <row r="5">
      <c r="A5" s="8" t="s">
        <v>39</v>
      </c>
      <c r="B5" s="15">
        <f t="array" ref="B5">index(Inventory!K:K, MATCH($A5,Inventory!$A:$A,0))</f>
        <v>0.3226</v>
      </c>
      <c r="C5" s="17">
        <v>0.0012</v>
      </c>
      <c r="D5" s="18"/>
      <c r="E5" s="18">
        <f t="shared" si="1"/>
        <v>1</v>
      </c>
      <c r="F5" s="15">
        <f t="shared" si="2"/>
        <v>0.3226</v>
      </c>
    </row>
    <row r="6">
      <c r="A6" s="8" t="s">
        <v>43</v>
      </c>
      <c r="B6" s="15">
        <f t="array" ref="B6">index(Inventory!K:K, MATCH($A6,Inventory!$A:$A,0))</f>
        <v>0.002945</v>
      </c>
      <c r="C6" s="17">
        <v>10.0</v>
      </c>
      <c r="D6" s="18"/>
      <c r="E6" s="18">
        <f t="shared" si="1"/>
        <v>7320</v>
      </c>
      <c r="F6" s="15">
        <f t="shared" si="2"/>
        <v>21.5574</v>
      </c>
    </row>
    <row r="7">
      <c r="A7" s="22" t="s">
        <v>47</v>
      </c>
      <c r="B7" s="15">
        <f t="array" ref="B7">index(Inventory!K:K, MATCH($A7,Inventory!$A:$A,0))</f>
        <v>0.04008</v>
      </c>
      <c r="C7" s="17">
        <v>0.00584</v>
      </c>
      <c r="D7" s="18"/>
      <c r="E7" s="18">
        <f t="shared" si="1"/>
        <v>5</v>
      </c>
      <c r="F7" s="15">
        <f t="shared" si="2"/>
        <v>0.2004</v>
      </c>
    </row>
    <row r="8">
      <c r="A8" s="8" t="s">
        <v>50</v>
      </c>
      <c r="B8" s="15">
        <f t="array" ref="B8">index(Inventory!K:K, MATCH($A8,Inventory!$A:$A,0))</f>
        <v>0.2385</v>
      </c>
      <c r="C8" s="17">
        <v>0.008</v>
      </c>
      <c r="D8" s="18"/>
      <c r="E8" s="18">
        <f t="shared" si="1"/>
        <v>6</v>
      </c>
      <c r="F8" s="15">
        <f t="shared" si="2"/>
        <v>1.431</v>
      </c>
    </row>
    <row r="9">
      <c r="A9" s="26" t="s">
        <v>60</v>
      </c>
      <c r="B9" s="15">
        <f t="array" ref="B9">index(Inventory!K:K, MATCH($A9,Inventory!$A:$A,0))</f>
        <v>19.83333333</v>
      </c>
      <c r="C9" s="17">
        <v>0.015</v>
      </c>
      <c r="D9" s="17"/>
      <c r="E9" s="18">
        <f t="shared" si="1"/>
        <v>11</v>
      </c>
      <c r="F9" s="15">
        <f t="shared" si="2"/>
        <v>218.1666667</v>
      </c>
    </row>
    <row r="10">
      <c r="A10" s="8" t="s">
        <v>68</v>
      </c>
      <c r="B10" s="15">
        <f t="array" ref="B10">index(Inventory!K:K, MATCH($A10,Inventory!$A:$A,0))</f>
        <v>1.1574</v>
      </c>
      <c r="C10" s="17">
        <v>0.172</v>
      </c>
      <c r="D10" s="17"/>
      <c r="E10" s="18">
        <f t="shared" si="1"/>
        <v>126</v>
      </c>
      <c r="F10" s="15">
        <f t="shared" si="2"/>
        <v>145.8324</v>
      </c>
    </row>
    <row r="11">
      <c r="A11" s="22" t="s">
        <v>49</v>
      </c>
      <c r="B11" s="15">
        <f t="array" ref="B11">index(Inventory!K:K, MATCH($A11,Inventory!$A:$A,0))</f>
        <v>0.33965</v>
      </c>
      <c r="C11" s="17"/>
      <c r="D11" s="17">
        <v>6.0</v>
      </c>
      <c r="E11" s="18">
        <f t="shared" si="1"/>
        <v>46</v>
      </c>
      <c r="F11" s="15">
        <f t="shared" si="2"/>
        <v>15.6239</v>
      </c>
    </row>
    <row r="12">
      <c r="A12" s="22" t="s">
        <v>35</v>
      </c>
      <c r="B12" s="15">
        <f t="array" ref="B12">index(Inventory!K:K, MATCH($A12,Inventory!$A:$A,0))</f>
        <v>0.1269583333</v>
      </c>
      <c r="C12" s="17">
        <v>6.0</v>
      </c>
      <c r="D12" s="17"/>
      <c r="E12" s="18">
        <f t="shared" si="1"/>
        <v>4392</v>
      </c>
      <c r="F12" s="15">
        <f t="shared" si="2"/>
        <v>557.601</v>
      </c>
    </row>
    <row r="13">
      <c r="A13" s="22" t="s">
        <v>55</v>
      </c>
      <c r="B13" s="15">
        <f t="array" ref="B13">index(Inventory!K:K, MATCH($A13,Inventory!$A:$A,0))</f>
        <v>0.1269583333</v>
      </c>
      <c r="C13" s="17">
        <v>3.0</v>
      </c>
      <c r="D13" s="17">
        <v>4.0</v>
      </c>
      <c r="E13" s="18">
        <f t="shared" si="1"/>
        <v>2227</v>
      </c>
      <c r="F13" s="15">
        <f t="shared" si="2"/>
        <v>282.7362083</v>
      </c>
    </row>
    <row r="14">
      <c r="A14" s="22" t="s">
        <v>64</v>
      </c>
      <c r="B14" s="15">
        <f t="array" ref="B14">index(Inventory!K:K, MATCH($A14,Inventory!$A:$A,0))</f>
        <v>3.5472</v>
      </c>
      <c r="C14" s="17">
        <v>0.0</v>
      </c>
      <c r="D14" s="17">
        <v>1.0</v>
      </c>
      <c r="E14" s="18">
        <f t="shared" si="1"/>
        <v>8</v>
      </c>
      <c r="F14" s="15">
        <f t="shared" si="2"/>
        <v>28.3776</v>
      </c>
    </row>
    <row r="15">
      <c r="A15" s="9" t="s">
        <v>74</v>
      </c>
      <c r="B15" s="15">
        <f t="array" ref="B15">index(Inventory!K:K, MATCH($A15,Inventory!$A:$A,0))</f>
        <v>0.788</v>
      </c>
      <c r="C15" s="17">
        <v>0.0</v>
      </c>
      <c r="D15" s="17">
        <v>1.0</v>
      </c>
      <c r="E15" s="18">
        <f t="shared" si="1"/>
        <v>8</v>
      </c>
      <c r="F15" s="15">
        <f t="shared" si="2"/>
        <v>6.304</v>
      </c>
    </row>
    <row r="16">
      <c r="F16" s="28">
        <f>sum(F3:F15)</f>
        <v>1285.613855</v>
      </c>
      <c r="G16" s="29" t="s">
        <v>84</v>
      </c>
    </row>
    <row r="17">
      <c r="F17" s="31">
        <f>F16/E1</f>
        <v>1.756303081</v>
      </c>
      <c r="G17" s="32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47" t="s">
        <v>121</v>
      </c>
      <c r="B3" s="15">
        <f t="array" ref="B3">index(Inventory!K:K, MATCH($A3,Inventory!$A:$A,0))</f>
        <v>1.3055</v>
      </c>
      <c r="C3" s="18">
        <v>0.0</v>
      </c>
      <c r="D3" s="17">
        <v>2.0</v>
      </c>
      <c r="E3" s="18">
        <f t="shared" ref="E3:E11" si="1">ceiling((C3*$E$1)+(D3*($E$1/96)))</f>
        <v>16</v>
      </c>
      <c r="F3" s="15">
        <f t="shared" ref="F3:F11" si="2">E3*B3</f>
        <v>20.888</v>
      </c>
    </row>
    <row r="4">
      <c r="A4" s="9" t="s">
        <v>74</v>
      </c>
      <c r="B4" s="15">
        <f t="array" ref="B4">index(Inventory!K:K, MATCH($A4,Inventory!$A:$A,0))</f>
        <v>0.788</v>
      </c>
      <c r="C4" s="17">
        <v>0.0</v>
      </c>
      <c r="D4" s="17">
        <v>2.0</v>
      </c>
      <c r="E4" s="18">
        <f t="shared" si="1"/>
        <v>16</v>
      </c>
      <c r="F4" s="15">
        <f t="shared" si="2"/>
        <v>12.608</v>
      </c>
    </row>
    <row r="5">
      <c r="A5" s="22" t="s">
        <v>139</v>
      </c>
      <c r="B5" s="15">
        <f t="array" ref="B5">index(Inventory!K:K, MATCH($A5,Inventory!$A:$A,0))</f>
        <v>0.41097</v>
      </c>
      <c r="C5" s="17">
        <v>10.0</v>
      </c>
      <c r="D5" s="18"/>
      <c r="E5" s="18">
        <f t="shared" si="1"/>
        <v>7320</v>
      </c>
      <c r="F5" s="15">
        <f t="shared" si="2"/>
        <v>3008.3004</v>
      </c>
    </row>
    <row r="6">
      <c r="A6" s="22" t="s">
        <v>49</v>
      </c>
      <c r="B6" s="15">
        <f t="array" ref="B6">index(Inventory!K:K, MATCH($A6,Inventory!$A:$A,0))</f>
        <v>0.33965</v>
      </c>
      <c r="C6" s="18">
        <v>0.0</v>
      </c>
      <c r="D6" s="17">
        <v>4.0</v>
      </c>
      <c r="E6" s="18">
        <f t="shared" si="1"/>
        <v>31</v>
      </c>
      <c r="F6" s="15">
        <f t="shared" si="2"/>
        <v>10.52915</v>
      </c>
    </row>
    <row r="7">
      <c r="A7" s="22" t="s">
        <v>59</v>
      </c>
      <c r="B7" s="15">
        <f t="array" ref="B7">index(Inventory!K:K, MATCH($A7,Inventory!$A:$A,0))</f>
        <v>0.1316458333</v>
      </c>
      <c r="C7" s="17">
        <v>2.0</v>
      </c>
      <c r="D7" s="17">
        <v>10.0</v>
      </c>
      <c r="E7" s="18">
        <f t="shared" si="1"/>
        <v>1541</v>
      </c>
      <c r="F7" s="15">
        <f t="shared" si="2"/>
        <v>202.8662292</v>
      </c>
    </row>
    <row r="8">
      <c r="A8" s="22" t="s">
        <v>73</v>
      </c>
      <c r="B8" s="15">
        <f t="array" ref="B8">index(Inventory!K:K, MATCH($A8,Inventory!$A:$A,0))</f>
        <v>0.13066</v>
      </c>
      <c r="C8" s="17">
        <v>0.0</v>
      </c>
      <c r="D8" s="17">
        <v>2.0</v>
      </c>
      <c r="E8" s="18">
        <f t="shared" si="1"/>
        <v>16</v>
      </c>
      <c r="F8" s="15">
        <f t="shared" si="2"/>
        <v>2.09056</v>
      </c>
    </row>
    <row r="9">
      <c r="A9" s="22" t="s">
        <v>35</v>
      </c>
      <c r="B9" s="15">
        <f t="array" ref="B9">index(Inventory!K:K, MATCH($A9,Inventory!$A:$A,0))</f>
        <v>0.1269583333</v>
      </c>
      <c r="C9" s="17">
        <v>4.0</v>
      </c>
      <c r="D9" s="17">
        <v>24.0</v>
      </c>
      <c r="E9" s="18">
        <f t="shared" si="1"/>
        <v>3111</v>
      </c>
      <c r="F9" s="15">
        <f t="shared" si="2"/>
        <v>394.967375</v>
      </c>
    </row>
    <row r="10">
      <c r="A10" s="22" t="s">
        <v>34</v>
      </c>
      <c r="B10" s="15">
        <f t="array" ref="B10">index(Inventory!K:K, MATCH($A10,Inventory!$A:$A,0))</f>
        <v>0.02689583333</v>
      </c>
      <c r="C10" s="18">
        <v>0.0</v>
      </c>
      <c r="D10" s="17">
        <v>12.0</v>
      </c>
      <c r="E10" s="18">
        <f t="shared" si="1"/>
        <v>92</v>
      </c>
      <c r="F10" s="15">
        <f t="shared" si="2"/>
        <v>2.474416667</v>
      </c>
    </row>
    <row r="11">
      <c r="A11" s="22" t="s">
        <v>29</v>
      </c>
      <c r="B11" s="15">
        <f t="array" ref="B11">index(Inventory!K:K, MATCH($A11,Inventory!$A:$A,0))</f>
        <v>0.02062</v>
      </c>
      <c r="C11" s="17">
        <v>0.0</v>
      </c>
      <c r="D11" s="17">
        <v>12.0</v>
      </c>
      <c r="E11" s="18">
        <f t="shared" si="1"/>
        <v>92</v>
      </c>
      <c r="F11" s="15">
        <f t="shared" si="2"/>
        <v>1.89704</v>
      </c>
    </row>
    <row r="12">
      <c r="F12" s="28">
        <f>sum(F3:F11)</f>
        <v>3656.621171</v>
      </c>
      <c r="G12" s="29" t="s">
        <v>84</v>
      </c>
      <c r="H12" s="29"/>
    </row>
    <row r="13">
      <c r="F13" s="31">
        <f>F12/E1</f>
        <v>4.995384113</v>
      </c>
      <c r="G13" s="32" t="s">
        <v>87</v>
      </c>
      <c r="H13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9" t="s">
        <v>74</v>
      </c>
      <c r="B3" s="15">
        <f t="array" ref="B3">index(Inventory!K:K, MATCH($A3,Inventory!$A:$A,0))</f>
        <v>0.788</v>
      </c>
      <c r="C3" s="17">
        <v>0.0</v>
      </c>
      <c r="D3" s="17">
        <v>1.0</v>
      </c>
      <c r="E3" s="18">
        <f t="shared" ref="E3:E9" si="1">ceiling((C3*$E$1)+(D3*($E$1/96)))</f>
        <v>8</v>
      </c>
      <c r="F3" s="15">
        <f t="shared" ref="F3:F9" si="2">E3*B3</f>
        <v>6.304</v>
      </c>
    </row>
    <row r="4">
      <c r="A4" s="9" t="s">
        <v>122</v>
      </c>
      <c r="B4" s="15">
        <f t="array" ref="B4">index(Inventory!K:K, MATCH($A4,Inventory!$A:$A,0))</f>
        <v>0.16792</v>
      </c>
      <c r="C4" s="18">
        <v>0.0</v>
      </c>
      <c r="D4" s="17">
        <v>45.0</v>
      </c>
      <c r="E4" s="18">
        <f t="shared" si="1"/>
        <v>344</v>
      </c>
      <c r="F4" s="15">
        <f t="shared" si="2"/>
        <v>57.76448</v>
      </c>
    </row>
    <row r="5">
      <c r="A5" s="22" t="s">
        <v>89</v>
      </c>
      <c r="B5" s="15">
        <f t="array" ref="B5">index(Inventory!K:K, MATCH($A5,Inventory!$A:$A,0))</f>
        <v>0.61024</v>
      </c>
      <c r="C5" s="18">
        <v>0.0</v>
      </c>
      <c r="D5" s="17">
        <v>3.75</v>
      </c>
      <c r="E5" s="18">
        <f t="shared" si="1"/>
        <v>29</v>
      </c>
      <c r="F5" s="15">
        <f t="shared" si="2"/>
        <v>17.69696</v>
      </c>
    </row>
    <row r="6">
      <c r="A6" s="9" t="s">
        <v>124</v>
      </c>
      <c r="B6" s="15">
        <f t="array" ref="B6">index(Inventory!K:K, MATCH($A6,Inventory!$A:$A,0))</f>
        <v>0.208</v>
      </c>
      <c r="C6" s="18">
        <v>0.0</v>
      </c>
      <c r="D6" s="17">
        <v>25.0</v>
      </c>
      <c r="E6" s="18">
        <f t="shared" si="1"/>
        <v>191</v>
      </c>
      <c r="F6" s="15">
        <f t="shared" si="2"/>
        <v>39.728</v>
      </c>
    </row>
    <row r="7">
      <c r="A7" s="22" t="s">
        <v>64</v>
      </c>
      <c r="B7" s="15">
        <f t="array" ref="B7">index(Inventory!K:K, MATCH($A7,Inventory!$A:$A,0))</f>
        <v>3.5472</v>
      </c>
      <c r="C7" s="18">
        <v>0.0</v>
      </c>
      <c r="D7" s="17">
        <v>2.0</v>
      </c>
      <c r="E7" s="18">
        <f t="shared" si="1"/>
        <v>16</v>
      </c>
      <c r="F7" s="15">
        <f t="shared" si="2"/>
        <v>56.7552</v>
      </c>
    </row>
    <row r="8">
      <c r="A8" s="22" t="s">
        <v>59</v>
      </c>
      <c r="B8" s="15">
        <f t="array" ref="B8">index(Inventory!K:K, MATCH($A8,Inventory!$A:$A,0))</f>
        <v>0.1316458333</v>
      </c>
      <c r="C8" s="17">
        <v>2.0</v>
      </c>
      <c r="D8" s="17"/>
      <c r="E8" s="18">
        <f t="shared" si="1"/>
        <v>1464</v>
      </c>
      <c r="F8" s="15">
        <f t="shared" si="2"/>
        <v>192.7295</v>
      </c>
    </row>
    <row r="9">
      <c r="A9" s="22" t="s">
        <v>73</v>
      </c>
      <c r="B9" s="15">
        <f t="array" ref="B9">index(Inventory!K:K, MATCH($A9,Inventory!$A:$A,0))</f>
        <v>0.13066</v>
      </c>
      <c r="C9" s="17">
        <v>0.0</v>
      </c>
      <c r="D9" s="17">
        <v>1.0</v>
      </c>
      <c r="E9" s="18">
        <f t="shared" si="1"/>
        <v>8</v>
      </c>
      <c r="F9" s="15">
        <f t="shared" si="2"/>
        <v>1.04528</v>
      </c>
    </row>
    <row r="10">
      <c r="F10" s="28">
        <f>sum(F3:F9)</f>
        <v>372.02342</v>
      </c>
      <c r="G10" s="29" t="s">
        <v>84</v>
      </c>
    </row>
    <row r="11">
      <c r="F11" s="31">
        <f>F10/E1</f>
        <v>0.5082287158</v>
      </c>
      <c r="G11" s="32" t="s">
        <v>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9" t="s">
        <v>74</v>
      </c>
      <c r="B3" s="15">
        <f t="array" ref="B3">index(Inventory!K:K, MATCH($A3,Inventory!$A:$A,0))</f>
        <v>0.788</v>
      </c>
      <c r="C3" s="17">
        <v>0.0</v>
      </c>
      <c r="D3" s="17">
        <v>2.0</v>
      </c>
      <c r="E3" s="18">
        <f t="shared" ref="E3:E11" si="1">ceiling((C3*$E$1)+(D3*($E$1/96)))</f>
        <v>16</v>
      </c>
      <c r="F3" s="15">
        <f t="shared" ref="F3:F11" si="2">E3*B3</f>
        <v>12.608</v>
      </c>
    </row>
    <row r="4">
      <c r="A4" s="22" t="s">
        <v>29</v>
      </c>
      <c r="B4" s="15">
        <f t="array" ref="B4">index(Inventory!K:K, MATCH($A4,Inventory!$A:$A,0))</f>
        <v>0.02062</v>
      </c>
      <c r="C4" s="17">
        <v>0.0</v>
      </c>
      <c r="D4" s="17">
        <v>1.0</v>
      </c>
      <c r="E4" s="18">
        <f t="shared" si="1"/>
        <v>8</v>
      </c>
      <c r="F4" s="15">
        <f t="shared" si="2"/>
        <v>0.16496</v>
      </c>
    </row>
    <row r="5">
      <c r="A5" s="22" t="s">
        <v>35</v>
      </c>
      <c r="B5" s="15">
        <f t="array" ref="B5">index(Inventory!K:K, MATCH($A5,Inventory!$A:$A,0))</f>
        <v>0.1269583333</v>
      </c>
      <c r="C5" s="17">
        <v>2.0</v>
      </c>
      <c r="D5" s="17">
        <v>1.0</v>
      </c>
      <c r="E5" s="18">
        <f t="shared" si="1"/>
        <v>1472</v>
      </c>
      <c r="F5" s="15">
        <f t="shared" si="2"/>
        <v>186.8826667</v>
      </c>
    </row>
    <row r="6">
      <c r="A6" s="22" t="s">
        <v>59</v>
      </c>
      <c r="B6" s="15">
        <f t="array" ref="B6">index(Inventory!K:K, MATCH($A6,Inventory!$A:$A,0))</f>
        <v>0.1316458333</v>
      </c>
      <c r="C6" s="17"/>
      <c r="D6" s="17">
        <v>3.0</v>
      </c>
      <c r="E6" s="18">
        <f t="shared" si="1"/>
        <v>23</v>
      </c>
      <c r="F6" s="15">
        <f t="shared" si="2"/>
        <v>3.027854167</v>
      </c>
    </row>
    <row r="7">
      <c r="A7" s="9" t="s">
        <v>192</v>
      </c>
      <c r="B7" s="15">
        <f t="array" ref="B7">index(Inventory!K:K, MATCH($A7,Inventory!$A:$A,0))</f>
        <v>0.4662</v>
      </c>
      <c r="C7" s="17">
        <v>0.2</v>
      </c>
      <c r="D7" s="17"/>
      <c r="E7" s="18">
        <f t="shared" si="1"/>
        <v>147</v>
      </c>
      <c r="F7" s="15">
        <f t="shared" si="2"/>
        <v>68.5314</v>
      </c>
    </row>
    <row r="8">
      <c r="A8" s="9" t="s">
        <v>155</v>
      </c>
      <c r="B8" s="15">
        <f t="array" ref="B8">index(Inventory!K:K, MATCH($A8,Inventory!$A:$A,0))</f>
        <v>0.4662</v>
      </c>
      <c r="C8" s="17">
        <v>2.0</v>
      </c>
      <c r="D8" s="17"/>
      <c r="E8" s="18">
        <f t="shared" si="1"/>
        <v>1464</v>
      </c>
      <c r="F8" s="15">
        <f t="shared" si="2"/>
        <v>682.5168</v>
      </c>
    </row>
    <row r="9">
      <c r="A9" s="9" t="s">
        <v>240</v>
      </c>
      <c r="B9" s="15">
        <f t="array" ref="B9">index(Inventory!K:K, MATCH($A9,Inventory!$A:$A,0))</f>
        <v>0.00004545</v>
      </c>
      <c r="C9" s="17">
        <v>13.0</v>
      </c>
      <c r="D9" s="17"/>
      <c r="E9" s="18">
        <f t="shared" si="1"/>
        <v>9516</v>
      </c>
      <c r="F9" s="15">
        <f t="shared" si="2"/>
        <v>0.4325022</v>
      </c>
    </row>
    <row r="10">
      <c r="A10" s="22" t="s">
        <v>177</v>
      </c>
      <c r="B10" s="15">
        <f t="array" ref="B10">index(Inventory!K:K, MATCH($A10,Inventory!$A:$A,0))</f>
        <v>0.5</v>
      </c>
      <c r="C10" s="17"/>
      <c r="D10" s="17">
        <v>1.0</v>
      </c>
      <c r="E10" s="18">
        <f t="shared" si="1"/>
        <v>8</v>
      </c>
      <c r="F10" s="15">
        <f t="shared" si="2"/>
        <v>4</v>
      </c>
    </row>
    <row r="11">
      <c r="A11" s="22" t="s">
        <v>64</v>
      </c>
      <c r="B11" s="15">
        <f t="array" ref="B11">index(Inventory!K:K, MATCH($A11,Inventory!$A:$A,0))</f>
        <v>3.5472</v>
      </c>
      <c r="C11" s="18">
        <v>0.0</v>
      </c>
      <c r="D11" s="17">
        <v>1.0</v>
      </c>
      <c r="E11" s="18">
        <f t="shared" si="1"/>
        <v>8</v>
      </c>
      <c r="F11" s="15">
        <f t="shared" si="2"/>
        <v>28.3776</v>
      </c>
    </row>
    <row r="12">
      <c r="F12" s="28">
        <f>sum(F3:F11)</f>
        <v>986.541783</v>
      </c>
      <c r="G12" s="29" t="s">
        <v>84</v>
      </c>
    </row>
    <row r="13">
      <c r="F13" s="31">
        <f>F12/E1</f>
        <v>1.347734676</v>
      </c>
      <c r="G13" s="32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22" t="s">
        <v>63</v>
      </c>
      <c r="B3" s="15">
        <f t="array" ref="B3">index(Inventory!K:K, MATCH($A3,Inventory!$A:$A,0))</f>
        <v>0.10666</v>
      </c>
      <c r="C3" s="17">
        <v>0.0</v>
      </c>
      <c r="D3" s="17">
        <v>1.0</v>
      </c>
      <c r="E3" s="18">
        <f t="shared" ref="E3:E10" si="1">ceiling((C3*$E$1)+(D3*($E$1/96)))</f>
        <v>8</v>
      </c>
      <c r="F3" s="15">
        <f t="shared" ref="F3:F10" si="2">E3*B3</f>
        <v>0.85328</v>
      </c>
    </row>
    <row r="4">
      <c r="A4" s="9" t="s">
        <v>74</v>
      </c>
      <c r="B4" s="15">
        <f t="array" ref="B4">index(Inventory!K:K, MATCH($A4,Inventory!$A:$A,0))</f>
        <v>0.788</v>
      </c>
      <c r="C4" s="17">
        <v>0.0</v>
      </c>
      <c r="D4" s="17">
        <v>1.0</v>
      </c>
      <c r="E4" s="18">
        <f t="shared" si="1"/>
        <v>8</v>
      </c>
      <c r="F4" s="15">
        <f t="shared" si="2"/>
        <v>6.304</v>
      </c>
    </row>
    <row r="5">
      <c r="A5" s="22" t="s">
        <v>64</v>
      </c>
      <c r="B5" s="15">
        <f t="array" ref="B5">index(Inventory!K:K, MATCH($A5,Inventory!$A:$A,0))</f>
        <v>3.5472</v>
      </c>
      <c r="C5" s="18">
        <v>0.0</v>
      </c>
      <c r="D5" s="17">
        <v>1.0</v>
      </c>
      <c r="E5" s="18">
        <f t="shared" si="1"/>
        <v>8</v>
      </c>
      <c r="F5" s="15">
        <f t="shared" si="2"/>
        <v>28.3776</v>
      </c>
    </row>
    <row r="6">
      <c r="A6" s="26" t="s">
        <v>60</v>
      </c>
      <c r="B6" s="15">
        <f t="array" ref="B6">index(Inventory!K:K, MATCH($A6,Inventory!$A:$A,0))</f>
        <v>19.83333333</v>
      </c>
      <c r="C6" s="18">
        <v>0.0</v>
      </c>
      <c r="D6" s="17">
        <v>8.0</v>
      </c>
      <c r="E6" s="18">
        <f t="shared" si="1"/>
        <v>61</v>
      </c>
      <c r="F6" s="15">
        <f t="shared" si="2"/>
        <v>1209.833333</v>
      </c>
    </row>
    <row r="7">
      <c r="A7" s="22" t="s">
        <v>49</v>
      </c>
      <c r="B7" s="15">
        <f t="array" ref="B7">index(Inventory!K:K, MATCH($A7,Inventory!$A:$A,0))</f>
        <v>0.33965</v>
      </c>
      <c r="C7" s="18">
        <v>0.0</v>
      </c>
      <c r="D7" s="17">
        <v>3.0</v>
      </c>
      <c r="E7" s="18">
        <f t="shared" si="1"/>
        <v>23</v>
      </c>
      <c r="F7" s="15">
        <f t="shared" si="2"/>
        <v>7.81195</v>
      </c>
    </row>
    <row r="8">
      <c r="A8" s="9" t="s">
        <v>71</v>
      </c>
      <c r="B8" s="15">
        <f t="array" ref="B8">index(Inventory!K:K, MATCH($A8,Inventory!$A:$A,0))</f>
        <v>0.0199325</v>
      </c>
      <c r="C8" s="18">
        <v>0.0</v>
      </c>
      <c r="D8" s="17">
        <v>35.0</v>
      </c>
      <c r="E8" s="18">
        <f t="shared" si="1"/>
        <v>267</v>
      </c>
      <c r="F8" s="15">
        <f t="shared" si="2"/>
        <v>5.3219775</v>
      </c>
    </row>
    <row r="9">
      <c r="A9" s="22" t="s">
        <v>35</v>
      </c>
      <c r="B9" s="15">
        <f t="array" ref="B9">index(Inventory!K:K, MATCH($A9,Inventory!$A:$A,0))</f>
        <v>0.1269583333</v>
      </c>
      <c r="C9" s="17">
        <v>4.0</v>
      </c>
      <c r="D9" s="17"/>
      <c r="E9" s="18">
        <f t="shared" si="1"/>
        <v>2928</v>
      </c>
      <c r="F9" s="15">
        <f t="shared" si="2"/>
        <v>371.734</v>
      </c>
    </row>
    <row r="10">
      <c r="A10" s="22" t="s">
        <v>55</v>
      </c>
      <c r="B10" s="15">
        <f t="array" ref="B10">index(Inventory!K:K, MATCH($A10,Inventory!$A:$A,0))</f>
        <v>0.1269583333</v>
      </c>
      <c r="C10" s="17">
        <v>5.0</v>
      </c>
      <c r="D10" s="17"/>
      <c r="E10" s="18">
        <f t="shared" si="1"/>
        <v>3660</v>
      </c>
      <c r="F10" s="15">
        <f t="shared" si="2"/>
        <v>464.6675</v>
      </c>
    </row>
    <row r="11">
      <c r="F11" s="28">
        <f>sum(F3:F10)</f>
        <v>2094.903641</v>
      </c>
      <c r="G11" s="29" t="s">
        <v>84</v>
      </c>
    </row>
    <row r="12">
      <c r="F12" s="31">
        <f>F11/$E$1</f>
        <v>2.86189022</v>
      </c>
      <c r="G12" s="32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</row>
    <row r="3">
      <c r="A3" s="8" t="s">
        <v>301</v>
      </c>
      <c r="B3" s="15"/>
      <c r="C3" s="17"/>
      <c r="D3" s="17">
        <v>1.0</v>
      </c>
      <c r="E3" s="18">
        <f t="shared" ref="E3:E11" si="1">ceiling((C3*$E$1)+(D3*($E$1/96)))</f>
        <v>8</v>
      </c>
      <c r="F3" s="15">
        <f>50*E3</f>
        <v>400</v>
      </c>
    </row>
    <row r="4">
      <c r="A4" s="22" t="s">
        <v>64</v>
      </c>
      <c r="B4" s="15">
        <f t="array" ref="B4">index(Inventory!K:K, MATCH($A4,Inventory!$A:$A,0))</f>
        <v>3.5472</v>
      </c>
      <c r="C4" s="17">
        <v>0.0</v>
      </c>
      <c r="D4" s="17">
        <v>1.0</v>
      </c>
      <c r="E4" s="18">
        <f t="shared" si="1"/>
        <v>8</v>
      </c>
      <c r="F4" s="15">
        <f t="shared" ref="F4:F11" si="2">E4*B4</f>
        <v>28.3776</v>
      </c>
    </row>
    <row r="5">
      <c r="A5" s="9" t="s">
        <v>74</v>
      </c>
      <c r="B5" s="15">
        <f t="array" ref="B5">index(Inventory!K:K, MATCH($A5,Inventory!$A:$A,0))</f>
        <v>0.788</v>
      </c>
      <c r="C5" s="17">
        <v>0.0</v>
      </c>
      <c r="D5" s="17">
        <v>2.0</v>
      </c>
      <c r="E5" s="18">
        <f t="shared" si="1"/>
        <v>16</v>
      </c>
      <c r="F5" s="15">
        <f t="shared" si="2"/>
        <v>12.608</v>
      </c>
    </row>
    <row r="6">
      <c r="A6" s="9" t="s">
        <v>240</v>
      </c>
      <c r="B6" s="15">
        <f t="array" ref="B6">index(Inventory!K:K, MATCH($A6,Inventory!$A:$A,0))</f>
        <v>0.00004545</v>
      </c>
      <c r="C6" s="17">
        <v>22.2</v>
      </c>
      <c r="D6" s="17">
        <v>1.0</v>
      </c>
      <c r="E6" s="18">
        <f t="shared" si="1"/>
        <v>16259</v>
      </c>
      <c r="F6" s="15">
        <f t="shared" si="2"/>
        <v>0.73897155</v>
      </c>
    </row>
    <row r="7">
      <c r="A7" s="9" t="s">
        <v>172</v>
      </c>
      <c r="B7" s="15">
        <f t="array" ref="B7">index(Inventory!K:K, MATCH($A7,Inventory!$A:$A,0))</f>
        <v>0.081925</v>
      </c>
      <c r="C7" s="17">
        <v>2.0</v>
      </c>
      <c r="D7" s="17"/>
      <c r="E7" s="18">
        <f t="shared" si="1"/>
        <v>1464</v>
      </c>
      <c r="F7" s="15">
        <f t="shared" si="2"/>
        <v>119.9382</v>
      </c>
    </row>
    <row r="8">
      <c r="A8" s="1" t="s">
        <v>174</v>
      </c>
      <c r="B8" s="15">
        <f t="array" ref="B8">index(Inventory!K:K, MATCH($A8,Inventory!$A:$A,0))</f>
        <v>0.0684125</v>
      </c>
      <c r="C8" s="17">
        <v>2.0</v>
      </c>
      <c r="D8" s="17"/>
      <c r="E8" s="18">
        <f t="shared" si="1"/>
        <v>1464</v>
      </c>
      <c r="F8" s="15">
        <f t="shared" si="2"/>
        <v>100.1559</v>
      </c>
    </row>
    <row r="9">
      <c r="A9" s="22" t="s">
        <v>217</v>
      </c>
      <c r="B9" s="15">
        <f t="array" ref="B9">index(Inventory!K:K, MATCH($A9,Inventory!$A:$A,0))</f>
        <v>1.024</v>
      </c>
      <c r="C9" s="17">
        <v>0.8</v>
      </c>
      <c r="D9" s="17"/>
      <c r="E9" s="18">
        <f t="shared" si="1"/>
        <v>586</v>
      </c>
      <c r="F9" s="15">
        <f t="shared" si="2"/>
        <v>600.064</v>
      </c>
    </row>
    <row r="10">
      <c r="A10" s="22" t="s">
        <v>177</v>
      </c>
      <c r="B10" s="15">
        <f t="array" ref="B10">index(Inventory!K:K, MATCH($A10,Inventory!$A:$A,0))</f>
        <v>0.5</v>
      </c>
      <c r="C10" s="18">
        <v>0.0</v>
      </c>
      <c r="D10" s="17">
        <v>1.0</v>
      </c>
      <c r="E10" s="18">
        <f t="shared" si="1"/>
        <v>8</v>
      </c>
      <c r="F10" s="15">
        <f t="shared" si="2"/>
        <v>4</v>
      </c>
    </row>
    <row r="11">
      <c r="A11" s="22" t="s">
        <v>35</v>
      </c>
      <c r="B11" s="15">
        <f t="array" ref="B11">index(Inventory!K:K, MATCH($A11,Inventory!$A:$A,0))</f>
        <v>0.1269583333</v>
      </c>
      <c r="C11" s="17">
        <v>1.0</v>
      </c>
      <c r="D11" s="17"/>
      <c r="E11" s="18">
        <f t="shared" si="1"/>
        <v>732</v>
      </c>
      <c r="F11" s="15">
        <f t="shared" si="2"/>
        <v>92.9335</v>
      </c>
    </row>
    <row r="12">
      <c r="F12" s="28">
        <f>sum(F3:F11)</f>
        <v>1358.816172</v>
      </c>
      <c r="G12" s="29" t="s">
        <v>84</v>
      </c>
    </row>
    <row r="13">
      <c r="F13" s="31">
        <f>F12/$E$1</f>
        <v>1.856306245</v>
      </c>
      <c r="G13" s="32" t="s">
        <v>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305</v>
      </c>
      <c r="D2" s="6" t="s">
        <v>14</v>
      </c>
      <c r="E2" s="6" t="s">
        <v>15</v>
      </c>
      <c r="F2" s="6" t="s">
        <v>16</v>
      </c>
    </row>
    <row r="3">
      <c r="A3" s="22" t="s">
        <v>63</v>
      </c>
      <c r="B3" s="15">
        <f t="array" ref="B3">index(Inventory!K:K, MATCH($A3,Inventory!$A:$A,0))</f>
        <v>0.10666</v>
      </c>
      <c r="C3" s="17">
        <v>0.0</v>
      </c>
      <c r="D3" s="17">
        <v>3.0</v>
      </c>
      <c r="E3" s="18">
        <f t="shared" ref="E3:E10" si="1">ceiling(C3*$E$1/96*2)+CEILING(D3*($E$1/96))</f>
        <v>23</v>
      </c>
      <c r="F3" s="15">
        <f t="shared" ref="F3:F10" si="2">E3*B3</f>
        <v>2.45318</v>
      </c>
    </row>
    <row r="4">
      <c r="A4" s="9" t="s">
        <v>74</v>
      </c>
      <c r="B4" s="15">
        <f t="array" ref="B4">index(Inventory!K:K, MATCH($A4,Inventory!$A:$A,0))</f>
        <v>0.788</v>
      </c>
      <c r="C4" s="17">
        <v>0.0</v>
      </c>
      <c r="D4" s="17">
        <v>3.0</v>
      </c>
      <c r="E4" s="18">
        <f t="shared" si="1"/>
        <v>23</v>
      </c>
      <c r="F4" s="15">
        <f t="shared" si="2"/>
        <v>18.124</v>
      </c>
    </row>
    <row r="5">
      <c r="A5" s="9" t="s">
        <v>221</v>
      </c>
      <c r="B5" s="15">
        <f t="array" ref="B5">index(Inventory!K:K, MATCH($A5,Inventory!$A:$A,0))</f>
        <v>0.20672</v>
      </c>
      <c r="C5" s="17">
        <v>3.0</v>
      </c>
      <c r="D5" s="17">
        <v>0.0</v>
      </c>
      <c r="E5" s="18">
        <f t="shared" si="1"/>
        <v>46</v>
      </c>
      <c r="F5" s="15">
        <f t="shared" si="2"/>
        <v>9.50912</v>
      </c>
    </row>
    <row r="6">
      <c r="A6" s="22" t="s">
        <v>29</v>
      </c>
      <c r="B6" s="15">
        <f t="array" ref="B6">index(Inventory!K:K, MATCH($A6,Inventory!$A:$A,0))</f>
        <v>0.02062</v>
      </c>
      <c r="C6" s="17">
        <v>6.0</v>
      </c>
      <c r="D6" s="17">
        <v>0.0</v>
      </c>
      <c r="E6" s="18">
        <f t="shared" si="1"/>
        <v>92</v>
      </c>
      <c r="F6" s="15">
        <f t="shared" si="2"/>
        <v>1.89704</v>
      </c>
    </row>
    <row r="7">
      <c r="A7" s="26" t="s">
        <v>60</v>
      </c>
      <c r="B7" s="15">
        <f t="array" ref="B7">index(Inventory!K:K, MATCH($A7,Inventory!$A:$A,0))</f>
        <v>19.83333333</v>
      </c>
      <c r="C7" s="17">
        <v>12.0</v>
      </c>
      <c r="D7" s="17"/>
      <c r="E7" s="18">
        <f t="shared" si="1"/>
        <v>183</v>
      </c>
      <c r="F7" s="15">
        <f t="shared" si="2"/>
        <v>3629.5</v>
      </c>
    </row>
    <row r="8">
      <c r="A8" s="9" t="s">
        <v>71</v>
      </c>
      <c r="B8" s="15">
        <f t="array" ref="B8">index(Inventory!K:K, MATCH($A8,Inventory!$A:$A,0))</f>
        <v>0.0199325</v>
      </c>
      <c r="C8" s="17">
        <v>1.2</v>
      </c>
      <c r="D8" s="17">
        <v>0.0</v>
      </c>
      <c r="E8" s="18">
        <f t="shared" si="1"/>
        <v>19</v>
      </c>
      <c r="F8" s="15">
        <f t="shared" si="2"/>
        <v>0.3787175</v>
      </c>
    </row>
    <row r="9">
      <c r="A9" s="22" t="s">
        <v>35</v>
      </c>
      <c r="B9" s="15">
        <f t="array" ref="B9">index(Inventory!K:K, MATCH($A9,Inventory!$A:$A,0))</f>
        <v>0.1269583333</v>
      </c>
      <c r="C9" s="17">
        <v>12.0</v>
      </c>
      <c r="D9" s="17"/>
      <c r="E9" s="18">
        <f t="shared" si="1"/>
        <v>183</v>
      </c>
      <c r="F9" s="15">
        <f t="shared" si="2"/>
        <v>23.233375</v>
      </c>
    </row>
    <row r="10">
      <c r="A10" s="22" t="s">
        <v>55</v>
      </c>
      <c r="B10" s="15">
        <f t="array" ref="B10">index(Inventory!K:K, MATCH($A10,Inventory!$A:$A,0))</f>
        <v>0.1269583333</v>
      </c>
      <c r="C10" s="17">
        <v>15.0</v>
      </c>
      <c r="D10" s="17"/>
      <c r="E10" s="18">
        <f t="shared" si="1"/>
        <v>229</v>
      </c>
      <c r="F10" s="15">
        <f t="shared" si="2"/>
        <v>29.07345833</v>
      </c>
    </row>
    <row r="11">
      <c r="F11" s="28">
        <f>sum(F3:F10)</f>
        <v>3714.168891</v>
      </c>
      <c r="G11" s="29" t="s">
        <v>84</v>
      </c>
    </row>
    <row r="12">
      <c r="F12" s="31">
        <f>F11/$E$1</f>
        <v>5.074001217</v>
      </c>
      <c r="G12" s="32" t="s">
        <v>87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96.0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305</v>
      </c>
      <c r="D2" s="6" t="s">
        <v>14</v>
      </c>
      <c r="E2" s="6" t="s">
        <v>15</v>
      </c>
      <c r="F2" s="6" t="s">
        <v>16</v>
      </c>
    </row>
    <row r="3">
      <c r="A3" s="22" t="s">
        <v>59</v>
      </c>
      <c r="B3" s="15">
        <f t="array" ref="B3">index(Inventory!K:K, MATCH($A3,Inventory!$A:$A,0))</f>
        <v>0.1316458333</v>
      </c>
      <c r="C3" s="17">
        <v>1.0</v>
      </c>
      <c r="D3" s="17">
        <v>0.0</v>
      </c>
      <c r="E3" s="18">
        <f t="shared" ref="E3:E6" si="1">ceiling(C3*$E$1/96*2)+CEILING(D3*($E$1/96))</f>
        <v>16</v>
      </c>
      <c r="F3" s="15">
        <f t="shared" ref="F3:F6" si="2">E3*B3</f>
        <v>2.106333333</v>
      </c>
    </row>
    <row r="4">
      <c r="A4" s="1" t="s">
        <v>144</v>
      </c>
      <c r="B4" s="15">
        <f t="array" ref="B4">index(Inventory!K:K, MATCH($A4,Inventory!$A:$A,0))</f>
        <v>11.875</v>
      </c>
      <c r="C4" s="17">
        <v>1.0</v>
      </c>
      <c r="D4" s="17">
        <v>0.0</v>
      </c>
      <c r="E4" s="18">
        <f t="shared" si="1"/>
        <v>16</v>
      </c>
      <c r="F4" s="15">
        <f t="shared" si="2"/>
        <v>190</v>
      </c>
    </row>
    <row r="5">
      <c r="A5" s="22" t="s">
        <v>35</v>
      </c>
      <c r="B5" s="15">
        <f t="array" ref="B5">index(Inventory!K:K, MATCH($A5,Inventory!$A:$A,0))</f>
        <v>0.1269583333</v>
      </c>
      <c r="C5" s="17">
        <v>2.0</v>
      </c>
      <c r="D5" s="17">
        <v>0.0</v>
      </c>
      <c r="E5" s="18">
        <f t="shared" si="1"/>
        <v>31</v>
      </c>
      <c r="F5" s="15">
        <f t="shared" si="2"/>
        <v>3.935708333</v>
      </c>
    </row>
    <row r="6">
      <c r="A6" s="9" t="s">
        <v>221</v>
      </c>
      <c r="B6" s="15">
        <f t="array" ref="B6">index(Inventory!K:K, MATCH($A6,Inventory!$A:$A,0))</f>
        <v>0.20672</v>
      </c>
      <c r="C6" s="17">
        <f>(30*1.5*48*2)/1000</f>
        <v>4.32</v>
      </c>
      <c r="D6" s="17"/>
      <c r="E6" s="18">
        <f t="shared" si="1"/>
        <v>66</v>
      </c>
      <c r="F6" s="15">
        <f t="shared" si="2"/>
        <v>13.64352</v>
      </c>
    </row>
    <row r="7">
      <c r="F7" s="28">
        <f>sum(F3:F6)</f>
        <v>209.6855617</v>
      </c>
      <c r="G7" s="29" t="s">
        <v>84</v>
      </c>
    </row>
    <row r="8">
      <c r="F8" s="31">
        <f>F7/$E$1</f>
        <v>0.2864556853</v>
      </c>
      <c r="G8" s="32" t="s">
        <v>87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16.0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305</v>
      </c>
      <c r="D2" s="6" t="s">
        <v>14</v>
      </c>
      <c r="E2" s="6" t="s">
        <v>15</v>
      </c>
      <c r="F2" s="6" t="s">
        <v>16</v>
      </c>
    </row>
    <row r="3">
      <c r="A3" s="22" t="s">
        <v>177</v>
      </c>
      <c r="B3" s="15">
        <f t="array" ref="B3">index(Inventory!K:K, MATCH($A3,Inventory!$A:$A,0))</f>
        <v>0.5</v>
      </c>
      <c r="C3" s="17">
        <v>0.5</v>
      </c>
      <c r="D3" s="17">
        <v>0.0</v>
      </c>
      <c r="E3" s="18">
        <f t="shared" ref="E3:E10" si="1">ceiling(C3*$E$1/96*2)+CEILING(D3*($E$1/96))</f>
        <v>8</v>
      </c>
      <c r="F3" s="15">
        <f t="shared" ref="F3:F10" si="2">E3*B3</f>
        <v>4</v>
      </c>
    </row>
    <row r="4">
      <c r="A4" s="22" t="s">
        <v>29</v>
      </c>
      <c r="B4" s="15">
        <f t="array" ref="B4">index(Inventory!K:K, MATCH($A4,Inventory!$A:$A,0))</f>
        <v>0.02062</v>
      </c>
      <c r="C4" s="17"/>
      <c r="D4" s="17">
        <v>1.0</v>
      </c>
      <c r="E4" s="18">
        <f t="shared" si="1"/>
        <v>8</v>
      </c>
      <c r="F4" s="15">
        <f t="shared" si="2"/>
        <v>0.16496</v>
      </c>
    </row>
    <row r="5">
      <c r="A5" s="22" t="s">
        <v>59</v>
      </c>
      <c r="B5" s="15">
        <f t="array" ref="B5">index(Inventory!K:K, MATCH($A5,Inventory!$A:$A,0))</f>
        <v>0.1316458333</v>
      </c>
      <c r="C5" s="17">
        <v>12.0</v>
      </c>
      <c r="D5" s="17">
        <v>3.0</v>
      </c>
      <c r="E5" s="18">
        <f t="shared" si="1"/>
        <v>206</v>
      </c>
      <c r="F5" s="15">
        <f t="shared" si="2"/>
        <v>27.11904167</v>
      </c>
    </row>
    <row r="6">
      <c r="A6" s="22" t="s">
        <v>35</v>
      </c>
      <c r="B6" s="15">
        <f t="array" ref="B6">index(Inventory!K:K, MATCH($A6,Inventory!$A:$A,0))</f>
        <v>0.1269583333</v>
      </c>
      <c r="C6" s="17">
        <v>0.0</v>
      </c>
      <c r="D6" s="17">
        <v>3.0</v>
      </c>
      <c r="E6" s="18">
        <f t="shared" si="1"/>
        <v>23</v>
      </c>
      <c r="F6" s="15">
        <f t="shared" si="2"/>
        <v>2.920041667</v>
      </c>
    </row>
    <row r="7">
      <c r="A7" s="9" t="s">
        <v>240</v>
      </c>
      <c r="B7" s="15">
        <f t="array" ref="B7">index(Inventory!K:K, MATCH($A7,Inventory!$A:$A,0))</f>
        <v>0.00004545</v>
      </c>
      <c r="C7" s="17">
        <f>(30*1.5*48*2)/1000</f>
        <v>4.32</v>
      </c>
      <c r="D7" s="17"/>
      <c r="E7" s="18">
        <f t="shared" si="1"/>
        <v>66</v>
      </c>
      <c r="F7" s="15">
        <f t="shared" si="2"/>
        <v>0.0029997</v>
      </c>
    </row>
    <row r="8">
      <c r="A8" s="1" t="s">
        <v>123</v>
      </c>
      <c r="B8" s="15">
        <f t="array" ref="B8">index(Inventory!K:K, MATCH($A8,Inventory!$A:$A,0))</f>
        <v>0.00785</v>
      </c>
      <c r="C8" s="17">
        <v>4.0</v>
      </c>
      <c r="D8" s="17"/>
      <c r="E8" s="18">
        <f t="shared" si="1"/>
        <v>61</v>
      </c>
      <c r="F8" s="15">
        <f t="shared" si="2"/>
        <v>0.47885</v>
      </c>
      <c r="G8" s="6"/>
    </row>
    <row r="9">
      <c r="A9" s="1" t="s">
        <v>203</v>
      </c>
      <c r="B9" s="15">
        <f t="array" ref="B9">index(Inventory!K:K, MATCH($A9,Inventory!$A:$A,0))</f>
        <v>0.008878125</v>
      </c>
      <c r="C9" s="17">
        <v>4.0</v>
      </c>
      <c r="D9" s="17"/>
      <c r="E9" s="18">
        <f t="shared" si="1"/>
        <v>61</v>
      </c>
      <c r="F9" s="15">
        <f t="shared" si="2"/>
        <v>0.541565625</v>
      </c>
      <c r="G9" s="6"/>
    </row>
    <row r="10">
      <c r="A10" s="1" t="s">
        <v>187</v>
      </c>
      <c r="B10" s="15">
        <f t="array" ref="B10">index(Inventory!K:K, MATCH($A10,Inventory!$A:$A,0))</f>
        <v>2.016</v>
      </c>
      <c r="C10" s="17">
        <f>0.2*4</f>
        <v>0.8</v>
      </c>
      <c r="D10" s="17"/>
      <c r="E10" s="18">
        <f t="shared" si="1"/>
        <v>13</v>
      </c>
      <c r="F10" s="15">
        <f t="shared" si="2"/>
        <v>26.208</v>
      </c>
      <c r="G10" s="6"/>
    </row>
    <row r="11">
      <c r="F11" s="28">
        <f>sum(F3:F10)</f>
        <v>61.43545866</v>
      </c>
      <c r="G11" s="29" t="s">
        <v>84</v>
      </c>
    </row>
    <row r="12">
      <c r="F12" s="31">
        <f>F11/$E$1</f>
        <v>0.08392822221</v>
      </c>
      <c r="G12" s="32" t="s">
        <v>87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>
      <c r="A1" s="2" t="s">
        <v>1</v>
      </c>
      <c r="B1" s="2">
        <v>4.0</v>
      </c>
      <c r="C1" s="4"/>
      <c r="D1" s="2" t="s">
        <v>5</v>
      </c>
      <c r="E1" s="2">
        <v>732.0</v>
      </c>
    </row>
    <row r="2">
      <c r="A2" s="6" t="s">
        <v>6</v>
      </c>
      <c r="B2" s="6" t="s">
        <v>12</v>
      </c>
      <c r="C2" s="6" t="s">
        <v>305</v>
      </c>
      <c r="D2" s="6" t="s">
        <v>14</v>
      </c>
      <c r="E2" s="6" t="s">
        <v>15</v>
      </c>
      <c r="F2" s="6" t="s">
        <v>16</v>
      </c>
    </row>
    <row r="3">
      <c r="A3" s="1" t="s">
        <v>201</v>
      </c>
      <c r="B3" s="15">
        <f t="array" ref="B3">index(Inventory!K:K, MATCH($A3,Inventory!$A:$A,0))</f>
        <v>0.132</v>
      </c>
      <c r="C3" s="17">
        <v>1.0</v>
      </c>
      <c r="D3" s="17">
        <v>0.0</v>
      </c>
      <c r="E3" s="18">
        <f t="shared" ref="E3:E8" si="1">ceiling(C3*$E$1/96*2)+CEILING(D3*($E$1/96))</f>
        <v>16</v>
      </c>
      <c r="F3" s="15">
        <f t="shared" ref="F3:F8" si="2">E3*B3</f>
        <v>2.112</v>
      </c>
    </row>
    <row r="4">
      <c r="A4" s="1" t="s">
        <v>199</v>
      </c>
      <c r="B4" s="15">
        <f t="array" ref="B4">index(Inventory!K:K, MATCH($A4,Inventory!$A:$A,0))</f>
        <v>0.0776</v>
      </c>
      <c r="C4" s="17"/>
      <c r="D4" s="17">
        <v>6.0</v>
      </c>
      <c r="E4" s="18">
        <f t="shared" si="1"/>
        <v>46</v>
      </c>
      <c r="F4" s="15">
        <f t="shared" si="2"/>
        <v>3.5696</v>
      </c>
    </row>
    <row r="5">
      <c r="A5" s="22" t="s">
        <v>59</v>
      </c>
      <c r="B5" s="15">
        <f t="array" ref="B5">index(Inventory!K:K, MATCH($A5,Inventory!$A:$A,0))</f>
        <v>0.1316458333</v>
      </c>
      <c r="C5" s="17">
        <v>1.0</v>
      </c>
      <c r="D5" s="17"/>
      <c r="E5" s="18">
        <f t="shared" si="1"/>
        <v>16</v>
      </c>
      <c r="F5" s="15">
        <f t="shared" si="2"/>
        <v>2.106333333</v>
      </c>
    </row>
    <row r="6">
      <c r="A6" s="22" t="s">
        <v>29</v>
      </c>
      <c r="B6" s="15">
        <f t="array" ref="B6">index(Inventory!K:K, MATCH($A6,Inventory!$A:$A,0))</f>
        <v>0.02062</v>
      </c>
      <c r="C6" s="17"/>
      <c r="D6" s="17">
        <v>1.0</v>
      </c>
      <c r="E6" s="18">
        <f t="shared" si="1"/>
        <v>8</v>
      </c>
      <c r="F6" s="15">
        <f t="shared" si="2"/>
        <v>0.16496</v>
      </c>
    </row>
    <row r="7">
      <c r="A7" s="22" t="s">
        <v>34</v>
      </c>
      <c r="B7" s="15">
        <f t="array" ref="B7">index(Inventory!K:K, MATCH($A7,Inventory!$A:$A,0))</f>
        <v>0.02689583333</v>
      </c>
      <c r="C7" s="17"/>
      <c r="D7" s="17">
        <v>1.0</v>
      </c>
      <c r="E7" s="18">
        <f t="shared" si="1"/>
        <v>8</v>
      </c>
      <c r="F7" s="15">
        <f t="shared" si="2"/>
        <v>0.2151666667</v>
      </c>
    </row>
    <row r="8">
      <c r="A8" s="22" t="s">
        <v>35</v>
      </c>
      <c r="B8" s="15">
        <f t="array" ref="B8">index(Inventory!K:K, MATCH($A8,Inventory!$A:$A,0))</f>
        <v>0.1269583333</v>
      </c>
      <c r="C8" s="17"/>
      <c r="D8" s="17">
        <v>1.0</v>
      </c>
      <c r="E8" s="18">
        <f t="shared" si="1"/>
        <v>8</v>
      </c>
      <c r="F8" s="15">
        <f t="shared" si="2"/>
        <v>1.015666667</v>
      </c>
    </row>
    <row r="9">
      <c r="F9" s="28">
        <f>sum(F3:F8)</f>
        <v>9.183726667</v>
      </c>
      <c r="G9" s="29" t="s">
        <v>84</v>
      </c>
    </row>
    <row r="10">
      <c r="F10" s="31">
        <f>F9/$E$1</f>
        <v>0.01254607468</v>
      </c>
      <c r="G10" s="32" t="s">
        <v>87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75"/>
  <cols>
    <col customWidth="1" min="1" max="1" width="14.71"/>
    <col customWidth="1" min="2" max="2" width="13.29"/>
    <col customWidth="1" min="3" max="3" width="16.57"/>
    <col customWidth="1" min="4" max="4" width="23.0"/>
  </cols>
  <sheetData>
    <row r="1" ht="36.0" customHeight="1">
      <c r="A1" s="126" t="s">
        <v>481</v>
      </c>
      <c r="B1" s="127" t="s">
        <v>482</v>
      </c>
      <c r="C1" s="128" t="s">
        <v>483</v>
      </c>
      <c r="D1" s="128" t="s">
        <v>484</v>
      </c>
    </row>
    <row r="2" ht="36.0" customHeight="1">
      <c r="A2" s="129" t="s">
        <v>485</v>
      </c>
      <c r="B2" s="130">
        <f>tube_clean!$F$11</f>
        <v>3714.168891</v>
      </c>
      <c r="C2" s="130">
        <f>tube_clean!$F$12</f>
        <v>5.074001217</v>
      </c>
      <c r="D2" s="133"/>
    </row>
    <row r="3" ht="36.0" customHeight="1">
      <c r="A3" s="129" t="s">
        <v>495</v>
      </c>
      <c r="B3" s="130">
        <f>picogreen_quantification!$F$12</f>
        <v>3656.621171</v>
      </c>
      <c r="C3" s="130">
        <f>picogreen_quantification!$F$13</f>
        <v>4.995384113</v>
      </c>
      <c r="D3" s="133"/>
    </row>
    <row r="4" ht="48.0" customHeight="1">
      <c r="A4" s="129" t="s">
        <v>106</v>
      </c>
      <c r="B4" s="130">
        <f>qiagen_extraction!F13</f>
        <v>2576.931466</v>
      </c>
      <c r="C4" s="130">
        <f>qiagen_extraction!F14</f>
        <v>3.520398177</v>
      </c>
      <c r="D4" s="142" t="s">
        <v>499</v>
      </c>
    </row>
    <row r="5" ht="48.0" customHeight="1">
      <c r="A5" s="143" t="s">
        <v>500</v>
      </c>
      <c r="B5" s="130">
        <f>plate_clean!F11</f>
        <v>2094.903641</v>
      </c>
      <c r="C5" s="130">
        <f>plate_clean!F12</f>
        <v>2.86189022</v>
      </c>
      <c r="D5" s="133"/>
    </row>
    <row r="6" ht="36.0" customHeight="1">
      <c r="A6" s="129" t="s">
        <v>501</v>
      </c>
      <c r="B6" s="130">
        <f>ligate!F12</f>
        <v>1358.816172</v>
      </c>
      <c r="C6" s="130">
        <f>ligate!F13</f>
        <v>1.856306245</v>
      </c>
      <c r="D6" s="133"/>
    </row>
    <row r="7" ht="36.0" customHeight="1">
      <c r="A7" s="129" t="s">
        <v>194</v>
      </c>
      <c r="B7" s="130">
        <f>digest!F12</f>
        <v>986.541783</v>
      </c>
      <c r="C7" s="130">
        <f>digest!F13</f>
        <v>1.347734676</v>
      </c>
      <c r="D7" s="133"/>
    </row>
    <row r="8" ht="36.0" customHeight="1">
      <c r="A8" s="129" t="s">
        <v>502</v>
      </c>
      <c r="B8" s="130">
        <f>gel!F10</f>
        <v>372.02342</v>
      </c>
      <c r="C8" s="130">
        <f>gel!F11</f>
        <v>0.5082287158</v>
      </c>
      <c r="D8" s="133"/>
    </row>
    <row r="9" ht="36.0" customHeight="1">
      <c r="A9" s="129" t="s">
        <v>148</v>
      </c>
      <c r="B9" s="130">
        <f>pippin!F7</f>
        <v>209.6855617</v>
      </c>
      <c r="C9" s="130">
        <f>pippin!F8</f>
        <v>0.2864556853</v>
      </c>
      <c r="D9" s="133"/>
    </row>
    <row r="10" ht="36.0" customHeight="1">
      <c r="A10" s="129" t="s">
        <v>503</v>
      </c>
      <c r="B10" s="130">
        <f>pcr!F11</f>
        <v>61.43545866</v>
      </c>
      <c r="C10" s="130">
        <f>pcr!F12</f>
        <v>0.08392822221</v>
      </c>
      <c r="D10" s="133"/>
    </row>
    <row r="11" ht="36.0" customHeight="1">
      <c r="A11" s="129" t="s">
        <v>504</v>
      </c>
      <c r="B11" s="130">
        <f>qubit!$F$9</f>
        <v>9.183726667</v>
      </c>
      <c r="C11" s="130">
        <f>qubit!$F$10</f>
        <v>0.01254607468</v>
      </c>
      <c r="D11" s="133"/>
    </row>
    <row r="12" ht="36.0" customHeight="1">
      <c r="A12" s="129" t="s">
        <v>505</v>
      </c>
      <c r="B12" s="130">
        <v>3500.0</v>
      </c>
      <c r="C12" s="130">
        <f t="shared" ref="C12:C13" si="1">B12/732</f>
        <v>4.781420765</v>
      </c>
      <c r="D12" s="133"/>
    </row>
    <row r="13" ht="36.0" customHeight="1">
      <c r="A13" s="129" t="s">
        <v>506</v>
      </c>
      <c r="B13" s="130">
        <f>2275*2</f>
        <v>4550</v>
      </c>
      <c r="C13" s="130">
        <f t="shared" si="1"/>
        <v>6.215846995</v>
      </c>
      <c r="D13" s="133"/>
    </row>
    <row r="14" ht="36.0" customHeight="1">
      <c r="A14" s="165"/>
      <c r="B14" s="133"/>
      <c r="C14" s="133"/>
      <c r="D14" s="133"/>
    </row>
    <row r="15" ht="36.0" customHeight="1">
      <c r="A15" s="166"/>
      <c r="B15" s="170">
        <f t="shared" ref="B15:C15" si="2">sum(B2:B13)</f>
        <v>23090.31129</v>
      </c>
      <c r="C15" s="170">
        <f t="shared" si="2"/>
        <v>31.54414111</v>
      </c>
      <c r="D15" s="170"/>
    </row>
    <row r="16" ht="36.0" customHeight="1">
      <c r="A16" s="165"/>
      <c r="B16" s="133"/>
      <c r="C16" s="133"/>
      <c r="D16" s="133"/>
    </row>
    <row r="17" ht="36.0" customHeight="1">
      <c r="A17" s="165"/>
      <c r="B17" s="133"/>
      <c r="C17" s="133"/>
      <c r="D17" s="133"/>
    </row>
    <row r="18" ht="36.0" customHeight="1">
      <c r="A18" s="165"/>
      <c r="B18" s="133"/>
      <c r="C18" s="133"/>
      <c r="D18" s="133"/>
    </row>
    <row r="19" ht="36.0" customHeight="1">
      <c r="A19" s="165"/>
      <c r="B19" s="133"/>
      <c r="C19" s="133"/>
      <c r="D19" s="133"/>
    </row>
    <row r="20" ht="36.0" customHeight="1">
      <c r="A20" s="165"/>
      <c r="B20" s="133"/>
      <c r="C20" s="133"/>
      <c r="D20" s="133"/>
    </row>
    <row r="21" ht="36.0" customHeight="1">
      <c r="A21" s="165"/>
      <c r="B21" s="133"/>
      <c r="C21" s="133"/>
      <c r="D21" s="133"/>
    </row>
    <row r="22" ht="36.0" customHeight="1">
      <c r="A22" s="165"/>
      <c r="B22" s="133"/>
      <c r="C22" s="133"/>
      <c r="D22" s="133"/>
    </row>
    <row r="23" ht="36.0" customHeight="1">
      <c r="A23" s="165"/>
      <c r="B23" s="133"/>
      <c r="C23" s="133"/>
      <c r="D23" s="13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75"/>
  <cols>
    <col customWidth="1" min="1" max="1" width="11.14"/>
    <col customWidth="1" min="2" max="2" width="49.43"/>
    <col customWidth="1" min="3" max="8" width="10.71"/>
    <col customWidth="1" min="9" max="10" width="10.86"/>
    <col customWidth="1" min="11" max="12" width="10.71"/>
    <col customWidth="1" min="13" max="13" width="11.0"/>
  </cols>
  <sheetData>
    <row r="1" ht="36.0" customHeight="1">
      <c r="A1" s="3" t="s">
        <v>481</v>
      </c>
      <c r="B1" s="3" t="s">
        <v>486</v>
      </c>
      <c r="C1" s="3" t="s">
        <v>3</v>
      </c>
      <c r="D1" s="3" t="s">
        <v>487</v>
      </c>
      <c r="E1" s="3" t="s">
        <v>488</v>
      </c>
      <c r="F1" s="3" t="s">
        <v>489</v>
      </c>
      <c r="G1" s="3" t="s">
        <v>490</v>
      </c>
      <c r="H1" s="16" t="s">
        <v>491</v>
      </c>
      <c r="I1" s="131" t="s">
        <v>492</v>
      </c>
      <c r="J1" s="132" t="s">
        <v>493</v>
      </c>
      <c r="K1" s="134" t="s">
        <v>494</v>
      </c>
      <c r="L1" s="135" t="s">
        <v>496</v>
      </c>
      <c r="M1" s="136" t="s">
        <v>497</v>
      </c>
    </row>
    <row r="2" ht="48.0" customHeight="1">
      <c r="A2" s="137" t="s">
        <v>498</v>
      </c>
      <c r="B2" s="137" t="s">
        <v>64</v>
      </c>
      <c r="C2" s="137" t="s">
        <v>24</v>
      </c>
      <c r="D2" s="137" t="s">
        <v>88</v>
      </c>
      <c r="E2" s="137">
        <v>1.0</v>
      </c>
      <c r="F2" s="137" t="s">
        <v>26</v>
      </c>
      <c r="G2" s="137" t="s">
        <v>27</v>
      </c>
      <c r="H2" s="138">
        <v>3.4236</v>
      </c>
      <c r="I2" s="139">
        <v>100.0</v>
      </c>
      <c r="J2" s="137">
        <v>342.36</v>
      </c>
      <c r="K2" s="138">
        <v>3.4236</v>
      </c>
      <c r="L2" s="140">
        <v>17.0</v>
      </c>
      <c r="M2" s="141">
        <v>342.36</v>
      </c>
    </row>
    <row r="3" ht="48.0" customHeight="1">
      <c r="A3" s="137" t="s">
        <v>498</v>
      </c>
      <c r="B3" s="137" t="s">
        <v>49</v>
      </c>
      <c r="C3" s="137" t="s">
        <v>24</v>
      </c>
      <c r="D3" s="137" t="s">
        <v>83</v>
      </c>
      <c r="E3" s="137">
        <v>3.0</v>
      </c>
      <c r="F3" s="137" t="s">
        <v>26</v>
      </c>
      <c r="G3" s="137" t="s">
        <v>27</v>
      </c>
      <c r="H3" s="138">
        <v>1.01895</v>
      </c>
      <c r="I3" s="139">
        <v>200.0</v>
      </c>
      <c r="J3" s="137">
        <v>67.93</v>
      </c>
      <c r="K3" s="138">
        <v>0.33965</v>
      </c>
      <c r="L3" s="140">
        <v>51.0</v>
      </c>
      <c r="M3" s="141">
        <v>67.93</v>
      </c>
    </row>
    <row r="4" ht="48.0" customHeight="1">
      <c r="A4" s="137" t="s">
        <v>498</v>
      </c>
      <c r="B4" s="137" t="s">
        <v>63</v>
      </c>
      <c r="C4" s="137" t="s">
        <v>24</v>
      </c>
      <c r="D4" s="137" t="s">
        <v>65</v>
      </c>
      <c r="E4" s="137">
        <v>1.0</v>
      </c>
      <c r="F4" s="137" t="s">
        <v>26</v>
      </c>
      <c r="G4" s="137" t="s">
        <v>27</v>
      </c>
      <c r="H4" s="138">
        <v>0.10665999999999999</v>
      </c>
      <c r="I4" s="137">
        <v>500.0</v>
      </c>
      <c r="J4" s="137">
        <v>53.33</v>
      </c>
      <c r="K4" s="138">
        <v>0.10665999999999999</v>
      </c>
      <c r="L4" s="140">
        <v>17.0</v>
      </c>
      <c r="M4" s="141">
        <v>53.33</v>
      </c>
    </row>
    <row r="5" ht="48.0" customHeight="1">
      <c r="A5" s="144" t="s">
        <v>106</v>
      </c>
      <c r="B5" s="144" t="s">
        <v>64</v>
      </c>
      <c r="C5" s="144" t="s">
        <v>24</v>
      </c>
      <c r="D5" s="144" t="s">
        <v>88</v>
      </c>
      <c r="E5" s="144">
        <v>1.0</v>
      </c>
      <c r="F5" s="144" t="s">
        <v>26</v>
      </c>
      <c r="G5" s="144" t="s">
        <v>27</v>
      </c>
      <c r="H5" s="145">
        <v>3.4236</v>
      </c>
      <c r="I5" s="146">
        <v>100.0</v>
      </c>
      <c r="J5" s="144">
        <v>342.36</v>
      </c>
      <c r="K5" s="145">
        <v>3.4236</v>
      </c>
      <c r="L5" s="147">
        <v>17.0</v>
      </c>
      <c r="M5" s="148">
        <v>342.36</v>
      </c>
    </row>
    <row r="6" ht="48.0" customHeight="1">
      <c r="A6" s="144" t="s">
        <v>106</v>
      </c>
      <c r="B6" s="144" t="s">
        <v>74</v>
      </c>
      <c r="C6" s="144" t="s">
        <v>46</v>
      </c>
      <c r="D6" s="144" t="s">
        <v>227</v>
      </c>
      <c r="E6" s="144">
        <v>1.0</v>
      </c>
      <c r="F6" s="144" t="s">
        <v>26</v>
      </c>
      <c r="G6" s="144" t="s">
        <v>27</v>
      </c>
      <c r="H6" s="145">
        <v>0.765</v>
      </c>
      <c r="I6" s="144">
        <v>100.0</v>
      </c>
      <c r="J6" s="144">
        <v>76.5</v>
      </c>
      <c r="K6" s="145">
        <v>0.765</v>
      </c>
      <c r="L6" s="147">
        <v>17.0</v>
      </c>
      <c r="M6" s="148">
        <v>76.5</v>
      </c>
    </row>
    <row r="7" ht="48.0" customHeight="1">
      <c r="A7" s="144" t="s">
        <v>106</v>
      </c>
      <c r="B7" s="144" t="s">
        <v>72</v>
      </c>
      <c r="C7" s="144" t="s">
        <v>24</v>
      </c>
      <c r="D7" s="144" t="s">
        <v>76</v>
      </c>
      <c r="E7" s="144">
        <v>1.0</v>
      </c>
      <c r="F7" s="144" t="s">
        <v>26</v>
      </c>
      <c r="G7" s="144" t="s">
        <v>27</v>
      </c>
      <c r="H7" s="145">
        <v>0.38125</v>
      </c>
      <c r="I7" s="144">
        <v>200.0</v>
      </c>
      <c r="J7" s="144">
        <v>76.25</v>
      </c>
      <c r="K7" s="145">
        <v>0.38125</v>
      </c>
      <c r="L7" s="147">
        <v>17.0</v>
      </c>
      <c r="M7" s="148">
        <v>76.25</v>
      </c>
    </row>
    <row r="8" ht="24.0" customHeight="1">
      <c r="A8" s="144" t="s">
        <v>106</v>
      </c>
      <c r="B8" s="144" t="s">
        <v>49</v>
      </c>
      <c r="C8" s="144" t="s">
        <v>24</v>
      </c>
      <c r="D8" s="144" t="s">
        <v>83</v>
      </c>
      <c r="E8" s="144">
        <v>5.0</v>
      </c>
      <c r="F8" s="144" t="s">
        <v>26</v>
      </c>
      <c r="G8" s="144" t="s">
        <v>27</v>
      </c>
      <c r="H8" s="145">
        <v>1.69825</v>
      </c>
      <c r="I8" s="144">
        <v>200.0</v>
      </c>
      <c r="J8" s="144">
        <v>67.93</v>
      </c>
      <c r="K8" s="145">
        <v>0.33965</v>
      </c>
      <c r="L8" s="147">
        <v>85.0</v>
      </c>
      <c r="M8" s="148">
        <v>67.93</v>
      </c>
    </row>
    <row r="9" ht="24.0" customHeight="1">
      <c r="A9" s="21" t="s">
        <v>148</v>
      </c>
      <c r="B9" s="12" t="s">
        <v>144</v>
      </c>
      <c r="C9" s="21" t="s">
        <v>145</v>
      </c>
      <c r="D9" s="21" t="s">
        <v>146</v>
      </c>
      <c r="E9" s="21">
        <v>4.0</v>
      </c>
      <c r="F9" s="12" t="s">
        <v>26</v>
      </c>
      <c r="G9" s="21" t="s">
        <v>27</v>
      </c>
      <c r="H9" s="149">
        <v>47.5</v>
      </c>
      <c r="I9" s="21">
        <v>40.0</v>
      </c>
      <c r="J9" s="21">
        <v>475.0</v>
      </c>
      <c r="K9" s="149">
        <v>11.875</v>
      </c>
      <c r="L9" s="150">
        <v>68.0</v>
      </c>
      <c r="M9" s="151">
        <v>950.0</v>
      </c>
    </row>
    <row r="10" ht="36.0" customHeight="1">
      <c r="A10" s="21" t="s">
        <v>148</v>
      </c>
      <c r="B10" s="152" t="s">
        <v>221</v>
      </c>
      <c r="C10" s="21" t="s">
        <v>24</v>
      </c>
      <c r="D10" s="21" t="s">
        <v>222</v>
      </c>
      <c r="E10" s="21">
        <v>10.0</v>
      </c>
      <c r="F10" s="12" t="s">
        <v>26</v>
      </c>
      <c r="G10" s="21" t="s">
        <v>27</v>
      </c>
      <c r="H10" s="149">
        <v>2.0671999999999997</v>
      </c>
      <c r="I10" s="21">
        <v>500.0</v>
      </c>
      <c r="J10" s="21">
        <v>103.36</v>
      </c>
      <c r="K10" s="149">
        <v>0.20672</v>
      </c>
      <c r="L10" s="150">
        <v>170.0</v>
      </c>
      <c r="M10" s="151">
        <v>103.36</v>
      </c>
    </row>
    <row r="11" ht="36.0" customHeight="1">
      <c r="A11" s="21" t="s">
        <v>148</v>
      </c>
      <c r="B11" s="152" t="s">
        <v>190</v>
      </c>
      <c r="C11" s="21" t="s">
        <v>145</v>
      </c>
      <c r="D11" s="21"/>
      <c r="E11" s="21">
        <v>40.0</v>
      </c>
      <c r="F11" s="21" t="s">
        <v>26</v>
      </c>
      <c r="G11" s="21" t="s">
        <v>27</v>
      </c>
      <c r="H11" s="149">
        <v>0.0</v>
      </c>
      <c r="I11" s="21">
        <v>500.0</v>
      </c>
      <c r="J11" s="21">
        <v>0.0</v>
      </c>
      <c r="K11" s="149">
        <v>0.0</v>
      </c>
      <c r="L11" s="150">
        <v>680.0</v>
      </c>
      <c r="M11" s="151">
        <v>0.0</v>
      </c>
    </row>
    <row r="12" ht="24.0" customHeight="1">
      <c r="A12" s="153" t="s">
        <v>28</v>
      </c>
      <c r="B12" s="153" t="s">
        <v>64</v>
      </c>
      <c r="C12" s="154" t="s">
        <v>24</v>
      </c>
      <c r="D12" s="154" t="s">
        <v>88</v>
      </c>
      <c r="E12" s="153">
        <v>1.02</v>
      </c>
      <c r="F12" s="154" t="s">
        <v>26</v>
      </c>
      <c r="G12" s="154" t="s">
        <v>27</v>
      </c>
      <c r="H12" s="155">
        <v>3.492072</v>
      </c>
      <c r="I12" s="156">
        <v>100.0</v>
      </c>
      <c r="J12" s="154">
        <v>342.36</v>
      </c>
      <c r="K12" s="155">
        <v>3.4236</v>
      </c>
      <c r="L12" s="157">
        <v>17.34</v>
      </c>
      <c r="M12" s="158">
        <v>342.36</v>
      </c>
    </row>
    <row r="13" ht="36.0" customHeight="1">
      <c r="A13" s="159" t="s">
        <v>28</v>
      </c>
      <c r="B13" s="159" t="s">
        <v>64</v>
      </c>
      <c r="C13" s="160" t="s">
        <v>24</v>
      </c>
      <c r="D13" s="160" t="s">
        <v>88</v>
      </c>
      <c r="E13" s="159">
        <v>1.02</v>
      </c>
      <c r="F13" s="160" t="s">
        <v>26</v>
      </c>
      <c r="G13" s="160" t="s">
        <v>27</v>
      </c>
      <c r="H13" s="161">
        <v>3.492072</v>
      </c>
      <c r="I13" s="162">
        <v>100.0</v>
      </c>
      <c r="J13" s="160">
        <v>342.36</v>
      </c>
      <c r="K13" s="161">
        <v>3.4236</v>
      </c>
      <c r="L13" s="163">
        <v>17.34</v>
      </c>
      <c r="M13" s="164">
        <v>342.36</v>
      </c>
    </row>
    <row r="14" ht="36.0" customHeight="1">
      <c r="A14" s="153" t="s">
        <v>28</v>
      </c>
      <c r="B14" s="153" t="s">
        <v>199</v>
      </c>
      <c r="C14" s="154" t="s">
        <v>46</v>
      </c>
      <c r="D14" s="154" t="s">
        <v>200</v>
      </c>
      <c r="E14" s="153">
        <v>98.0</v>
      </c>
      <c r="F14" s="154" t="s">
        <v>26</v>
      </c>
      <c r="G14" s="154" t="s">
        <v>27</v>
      </c>
      <c r="H14" s="155">
        <v>9.506</v>
      </c>
      <c r="I14" s="154">
        <v>1000.0</v>
      </c>
      <c r="J14" s="154">
        <v>97.0</v>
      </c>
      <c r="K14" s="155">
        <v>0.097</v>
      </c>
      <c r="L14" s="157">
        <v>1666.0</v>
      </c>
      <c r="M14" s="158">
        <v>194.0</v>
      </c>
    </row>
    <row r="15" ht="12.0" customHeight="1">
      <c r="A15" s="159" t="s">
        <v>28</v>
      </c>
      <c r="B15" s="159" t="s">
        <v>199</v>
      </c>
      <c r="C15" s="160" t="s">
        <v>46</v>
      </c>
      <c r="D15" s="160" t="s">
        <v>200</v>
      </c>
      <c r="E15" s="159">
        <v>98.0</v>
      </c>
      <c r="F15" s="160" t="s">
        <v>26</v>
      </c>
      <c r="G15" s="160" t="s">
        <v>27</v>
      </c>
      <c r="H15" s="161">
        <v>9.506</v>
      </c>
      <c r="I15" s="160">
        <v>1000.0</v>
      </c>
      <c r="J15" s="160">
        <v>97.0</v>
      </c>
      <c r="K15" s="161">
        <v>0.097</v>
      </c>
      <c r="L15" s="163">
        <v>1666.0</v>
      </c>
      <c r="M15" s="164">
        <v>194.0</v>
      </c>
    </row>
    <row r="16" ht="12.0" customHeight="1">
      <c r="A16" s="167" t="s">
        <v>506</v>
      </c>
      <c r="B16" s="163" t="s">
        <v>507</v>
      </c>
      <c r="C16" s="163" t="s">
        <v>161</v>
      </c>
      <c r="D16" s="163" t="s">
        <v>508</v>
      </c>
      <c r="E16" s="168">
        <v>1.0</v>
      </c>
      <c r="F16" s="168" t="s">
        <v>26</v>
      </c>
      <c r="G16" s="169" t="s">
        <v>27</v>
      </c>
      <c r="H16" s="161">
        <v>247.0</v>
      </c>
      <c r="I16" s="171">
        <v>1.0</v>
      </c>
      <c r="J16" s="172">
        <v>247.0</v>
      </c>
      <c r="K16" s="161">
        <v>247.0</v>
      </c>
      <c r="L16" s="168">
        <v>1.0</v>
      </c>
      <c r="M16" s="134">
        <v>247.0</v>
      </c>
    </row>
    <row r="17" ht="12.0" customHeight="1">
      <c r="A17" s="24" t="s">
        <v>509</v>
      </c>
      <c r="B17" s="173" t="s">
        <v>510</v>
      </c>
      <c r="C17" s="91"/>
      <c r="D17" s="91"/>
      <c r="E17" s="91"/>
      <c r="F17" s="91"/>
      <c r="G17" s="30"/>
      <c r="H17" s="174"/>
      <c r="I17" s="30"/>
      <c r="J17" s="175"/>
      <c r="K17" s="174"/>
      <c r="L17" s="176"/>
      <c r="M17" s="177"/>
    </row>
    <row r="18" ht="12.0" customHeight="1">
      <c r="A18" s="164"/>
      <c r="B18" s="178"/>
      <c r="C18" s="178"/>
      <c r="D18" s="178"/>
      <c r="E18" s="178"/>
      <c r="F18" s="178"/>
      <c r="G18" s="178"/>
      <c r="H18" s="179"/>
      <c r="I18" s="180"/>
      <c r="J18" s="179"/>
      <c r="K18" s="174"/>
      <c r="L18" s="178"/>
      <c r="M18" s="164"/>
    </row>
    <row r="19" ht="12.0" customHeight="1">
      <c r="A19" s="164"/>
      <c r="B19" s="178"/>
      <c r="C19" s="178"/>
      <c r="D19" s="178"/>
      <c r="E19" s="178"/>
      <c r="F19" s="178"/>
      <c r="G19" s="178"/>
      <c r="H19" s="179"/>
      <c r="I19" s="180"/>
      <c r="J19" s="179"/>
      <c r="K19" s="174"/>
      <c r="L19" s="178"/>
      <c r="M19" s="164">
        <v>39905.02000000002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2" max="2" width="26.14"/>
  </cols>
  <sheetData>
    <row r="1" ht="36.0" customHeight="1">
      <c r="A1" s="181" t="s">
        <v>481</v>
      </c>
      <c r="B1" s="181" t="s">
        <v>486</v>
      </c>
      <c r="C1" s="126" t="s">
        <v>3</v>
      </c>
      <c r="D1" s="126" t="s">
        <v>487</v>
      </c>
      <c r="E1" s="183" t="s">
        <v>492</v>
      </c>
      <c r="F1" s="185" t="s">
        <v>493</v>
      </c>
      <c r="G1" s="187" t="s">
        <v>494</v>
      </c>
      <c r="H1" s="189" t="s">
        <v>496</v>
      </c>
      <c r="I1" s="191" t="s">
        <v>497</v>
      </c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</row>
    <row r="2" ht="36.0" customHeight="1">
      <c r="A2" s="194" t="s">
        <v>506</v>
      </c>
      <c r="B2" s="196"/>
      <c r="C2" s="197"/>
      <c r="D2" s="197"/>
      <c r="E2" s="199">
        <v>576.0</v>
      </c>
      <c r="F2" s="130">
        <v>2275.0</v>
      </c>
      <c r="G2" s="201">
        <v>3.9496527777777777</v>
      </c>
      <c r="H2" s="203">
        <v>1632.0</v>
      </c>
      <c r="I2" s="206">
        <v>6825.0</v>
      </c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</row>
    <row r="3" ht="48.0" customHeight="1">
      <c r="A3" s="5" t="s">
        <v>106</v>
      </c>
      <c r="B3" s="5" t="s">
        <v>19</v>
      </c>
      <c r="C3" s="129" t="s">
        <v>105</v>
      </c>
      <c r="D3" s="129">
        <v>69582.0</v>
      </c>
      <c r="E3" s="129">
        <v>1152.0</v>
      </c>
      <c r="F3" s="129">
        <v>3082.17</v>
      </c>
      <c r="G3" s="201">
        <v>2.675494791666667</v>
      </c>
      <c r="H3" s="197">
        <v>1632.0</v>
      </c>
      <c r="I3" s="206">
        <v>6164.34</v>
      </c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</row>
    <row r="4" ht="24.0" customHeight="1">
      <c r="A4" s="212" t="s">
        <v>524</v>
      </c>
      <c r="B4" s="214" t="s">
        <v>526</v>
      </c>
      <c r="C4" s="203" t="s">
        <v>527</v>
      </c>
      <c r="D4" s="197"/>
      <c r="E4" s="199">
        <v>48.0</v>
      </c>
      <c r="F4" s="130">
        <v>5990.0</v>
      </c>
      <c r="G4" s="201">
        <v>124.79166666666667</v>
      </c>
      <c r="H4" s="203">
        <v>17.0</v>
      </c>
      <c r="I4" s="206">
        <v>5990.0</v>
      </c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</row>
    <row r="5" ht="12.0" customHeight="1">
      <c r="A5" s="5" t="s">
        <v>498</v>
      </c>
      <c r="B5" s="5" t="s">
        <v>91</v>
      </c>
      <c r="C5" s="129" t="s">
        <v>92</v>
      </c>
      <c r="D5" s="129" t="s">
        <v>93</v>
      </c>
      <c r="E5" s="215">
        <v>450.0</v>
      </c>
      <c r="F5" s="129">
        <v>5493.0</v>
      </c>
      <c r="G5" s="201">
        <v>12.206666666666667</v>
      </c>
      <c r="H5" s="197">
        <v>136.0</v>
      </c>
      <c r="I5" s="206">
        <v>5493.0</v>
      </c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</row>
    <row r="6" ht="12.0" customHeight="1">
      <c r="A6" s="13" t="s">
        <v>528</v>
      </c>
      <c r="B6" s="217" t="s">
        <v>131</v>
      </c>
      <c r="C6" s="129" t="s">
        <v>132</v>
      </c>
      <c r="D6" s="129" t="s">
        <v>133</v>
      </c>
      <c r="E6" s="219">
        <v>50.0</v>
      </c>
      <c r="F6" s="129">
        <v>126.0</v>
      </c>
      <c r="G6" s="201">
        <v>2.52</v>
      </c>
      <c r="H6" s="197">
        <v>1632.0</v>
      </c>
      <c r="I6" s="206">
        <v>4158.0</v>
      </c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</row>
    <row r="7">
      <c r="A7" s="221"/>
      <c r="B7" s="221" t="s">
        <v>529</v>
      </c>
      <c r="C7" s="223" t="s">
        <v>24</v>
      </c>
      <c r="D7" s="224"/>
      <c r="E7" s="224"/>
      <c r="F7" s="224"/>
      <c r="G7" s="224"/>
      <c r="H7" s="224">
        <v>44557.0</v>
      </c>
      <c r="I7" s="225">
        <v>7824.939999999999</v>
      </c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</row>
    <row r="8">
      <c r="A8" s="226"/>
      <c r="B8" s="221" t="s">
        <v>530</v>
      </c>
      <c r="C8" s="224"/>
      <c r="D8" s="224"/>
      <c r="E8" s="224"/>
      <c r="F8" s="224"/>
      <c r="G8" s="224"/>
      <c r="H8" s="224"/>
      <c r="I8" s="227">
        <v>3449.0</v>
      </c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</row>
    <row r="9">
      <c r="A9" s="229"/>
      <c r="B9" s="229"/>
      <c r="C9" s="224"/>
      <c r="D9" s="224"/>
      <c r="E9" s="224"/>
      <c r="F9" s="224"/>
      <c r="G9" s="224"/>
      <c r="H9" s="224"/>
      <c r="I9" s="225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</row>
    <row r="10">
      <c r="A10" s="229"/>
      <c r="B10" s="229"/>
      <c r="C10" s="224"/>
      <c r="D10" s="224"/>
      <c r="E10" s="224"/>
      <c r="F10" s="224"/>
      <c r="G10" s="224"/>
      <c r="H10" s="231" t="s">
        <v>531</v>
      </c>
      <c r="I10" s="225">
        <f>sum(I2:I8)</f>
        <v>39904.28</v>
      </c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</row>
    <row r="11">
      <c r="A11" s="208"/>
      <c r="B11" s="208"/>
      <c r="C11" s="208"/>
      <c r="D11" s="208"/>
      <c r="E11" s="208"/>
      <c r="F11" s="208"/>
      <c r="G11" s="208"/>
      <c r="H11" s="208"/>
      <c r="I11" s="234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</row>
    <row r="12">
      <c r="A12" s="208"/>
      <c r="B12" s="208"/>
      <c r="C12" s="208"/>
      <c r="D12" s="208"/>
      <c r="E12" s="208"/>
      <c r="F12" s="208"/>
      <c r="G12" s="208"/>
      <c r="H12" s="208"/>
      <c r="I12" s="234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</row>
    <row r="13">
      <c r="A13" s="208"/>
      <c r="B13" s="208"/>
      <c r="C13" s="208"/>
      <c r="D13" s="208"/>
      <c r="E13" s="208"/>
      <c r="F13" s="208"/>
      <c r="G13" s="208"/>
      <c r="H13" s="208"/>
      <c r="I13" s="234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</row>
    <row r="14">
      <c r="A14" s="208"/>
      <c r="B14" s="208"/>
      <c r="C14" s="208"/>
      <c r="D14" s="208"/>
      <c r="E14" s="208"/>
      <c r="F14" s="208"/>
      <c r="G14" s="208"/>
      <c r="H14" s="208"/>
      <c r="I14" s="234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</row>
    <row r="15">
      <c r="A15" s="208"/>
      <c r="B15" s="208"/>
      <c r="C15" s="208"/>
      <c r="D15" s="208"/>
      <c r="E15" s="208"/>
      <c r="F15" s="208"/>
      <c r="G15" s="208"/>
      <c r="H15" s="208"/>
      <c r="I15" s="234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</row>
    <row r="16">
      <c r="A16" s="208"/>
      <c r="B16" s="208"/>
      <c r="C16" s="208"/>
      <c r="D16" s="208"/>
      <c r="E16" s="208"/>
      <c r="F16" s="208"/>
      <c r="G16" s="208"/>
      <c r="H16" s="208"/>
      <c r="I16" s="234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</row>
    <row r="17">
      <c r="A17" s="208"/>
      <c r="B17" s="208"/>
      <c r="C17" s="208"/>
      <c r="D17" s="208"/>
      <c r="E17" s="208"/>
      <c r="F17" s="208"/>
      <c r="G17" s="208"/>
      <c r="H17" s="208"/>
      <c r="I17" s="234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</row>
    <row r="18">
      <c r="A18" s="208"/>
      <c r="B18" s="208"/>
      <c r="C18" s="208"/>
      <c r="D18" s="208"/>
      <c r="E18" s="208"/>
      <c r="F18" s="208"/>
      <c r="G18" s="208"/>
      <c r="H18" s="208"/>
      <c r="I18" s="234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</row>
    <row r="19">
      <c r="A19" s="208"/>
      <c r="B19" s="208"/>
      <c r="C19" s="208"/>
      <c r="D19" s="208"/>
      <c r="E19" s="208"/>
      <c r="F19" s="208"/>
      <c r="G19" s="208"/>
      <c r="H19" s="208"/>
      <c r="I19" s="234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</row>
    <row r="20">
      <c r="A20" s="208"/>
      <c r="B20" s="208"/>
      <c r="C20" s="208"/>
      <c r="D20" s="208"/>
      <c r="E20" s="208"/>
      <c r="F20" s="208"/>
      <c r="G20" s="208"/>
      <c r="H20" s="208"/>
      <c r="I20" s="234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</row>
    <row r="21">
      <c r="A21" s="208"/>
      <c r="B21" s="208"/>
      <c r="C21" s="208"/>
      <c r="D21" s="208"/>
      <c r="E21" s="208"/>
      <c r="F21" s="208"/>
      <c r="G21" s="208"/>
      <c r="H21" s="208"/>
      <c r="I21" s="234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</row>
    <row r="22">
      <c r="A22" s="208"/>
      <c r="B22" s="208"/>
      <c r="C22" s="208"/>
      <c r="D22" s="208"/>
      <c r="E22" s="208"/>
      <c r="F22" s="208"/>
      <c r="G22" s="208"/>
      <c r="H22" s="208"/>
      <c r="I22" s="234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</row>
    <row r="23">
      <c r="A23" s="208"/>
      <c r="B23" s="208"/>
      <c r="C23" s="208"/>
      <c r="D23" s="208"/>
      <c r="E23" s="208"/>
      <c r="F23" s="208"/>
      <c r="G23" s="208"/>
      <c r="H23" s="208"/>
      <c r="I23" s="234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</row>
    <row r="24">
      <c r="A24" s="208"/>
      <c r="B24" s="208"/>
      <c r="C24" s="208"/>
      <c r="D24" s="208"/>
      <c r="E24" s="208"/>
      <c r="F24" s="208"/>
      <c r="G24" s="208"/>
      <c r="H24" s="208"/>
      <c r="I24" s="234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</row>
    <row r="25">
      <c r="A25" s="208"/>
      <c r="B25" s="208"/>
      <c r="C25" s="208"/>
      <c r="D25" s="208"/>
      <c r="E25" s="208"/>
      <c r="F25" s="208"/>
      <c r="G25" s="208"/>
      <c r="H25" s="208"/>
      <c r="I25" s="234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</row>
    <row r="26">
      <c r="A26" s="208"/>
      <c r="B26" s="208"/>
      <c r="C26" s="208"/>
      <c r="D26" s="208"/>
      <c r="E26" s="208"/>
      <c r="F26" s="208"/>
      <c r="G26" s="208"/>
      <c r="H26" s="208"/>
      <c r="I26" s="234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</row>
    <row r="27">
      <c r="A27" s="208"/>
      <c r="B27" s="208"/>
      <c r="C27" s="208"/>
      <c r="D27" s="208"/>
      <c r="E27" s="208"/>
      <c r="F27" s="208"/>
      <c r="G27" s="208"/>
      <c r="H27" s="208"/>
      <c r="I27" s="234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</row>
    <row r="28">
      <c r="A28" s="208"/>
      <c r="B28" s="208"/>
      <c r="C28" s="208"/>
      <c r="D28" s="208"/>
      <c r="E28" s="208"/>
      <c r="F28" s="208"/>
      <c r="G28" s="208"/>
      <c r="H28" s="208"/>
      <c r="I28" s="234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</row>
    <row r="29">
      <c r="A29" s="208"/>
      <c r="B29" s="208"/>
      <c r="C29" s="208"/>
      <c r="D29" s="208"/>
      <c r="E29" s="208"/>
      <c r="F29" s="208"/>
      <c r="G29" s="208"/>
      <c r="H29" s="208"/>
      <c r="I29" s="234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</row>
    <row r="30">
      <c r="A30" s="208"/>
      <c r="B30" s="208"/>
      <c r="C30" s="208"/>
      <c r="D30" s="208"/>
      <c r="E30" s="208"/>
      <c r="F30" s="208"/>
      <c r="G30" s="208"/>
      <c r="H30" s="208"/>
      <c r="I30" s="234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</row>
    <row r="31">
      <c r="A31" s="208"/>
      <c r="B31" s="208"/>
      <c r="C31" s="208"/>
      <c r="D31" s="208"/>
      <c r="E31" s="208"/>
      <c r="F31" s="208"/>
      <c r="G31" s="208"/>
      <c r="H31" s="208"/>
      <c r="I31" s="234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</row>
    <row r="32">
      <c r="A32" s="208"/>
      <c r="B32" s="208"/>
      <c r="C32" s="208"/>
      <c r="D32" s="208"/>
      <c r="E32" s="208"/>
      <c r="F32" s="208"/>
      <c r="G32" s="208"/>
      <c r="H32" s="208"/>
      <c r="I32" s="234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</row>
    <row r="33">
      <c r="A33" s="208"/>
      <c r="B33" s="208"/>
      <c r="C33" s="208"/>
      <c r="D33" s="208"/>
      <c r="E33" s="208"/>
      <c r="F33" s="208"/>
      <c r="G33" s="208"/>
      <c r="H33" s="208"/>
      <c r="I33" s="234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</row>
    <row r="34">
      <c r="A34" s="208"/>
      <c r="B34" s="208"/>
      <c r="C34" s="208"/>
      <c r="D34" s="208"/>
      <c r="E34" s="208"/>
      <c r="F34" s="208"/>
      <c r="G34" s="208"/>
      <c r="H34" s="208"/>
      <c r="I34" s="234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</row>
    <row r="35">
      <c r="A35" s="208"/>
      <c r="B35" s="208"/>
      <c r="C35" s="208"/>
      <c r="D35" s="208"/>
      <c r="E35" s="208"/>
      <c r="F35" s="208"/>
      <c r="G35" s="208"/>
      <c r="H35" s="208"/>
      <c r="I35" s="234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</row>
    <row r="36">
      <c r="A36" s="208"/>
      <c r="B36" s="208"/>
      <c r="C36" s="208"/>
      <c r="D36" s="208"/>
      <c r="E36" s="208"/>
      <c r="F36" s="208"/>
      <c r="G36" s="208"/>
      <c r="H36" s="208"/>
      <c r="I36" s="234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</row>
    <row r="37">
      <c r="A37" s="208"/>
      <c r="B37" s="208"/>
      <c r="C37" s="208"/>
      <c r="D37" s="208"/>
      <c r="E37" s="208"/>
      <c r="F37" s="208"/>
      <c r="G37" s="208"/>
      <c r="H37" s="208"/>
      <c r="I37" s="234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</row>
    <row r="38">
      <c r="A38" s="208"/>
      <c r="B38" s="208"/>
      <c r="C38" s="208"/>
      <c r="D38" s="208"/>
      <c r="E38" s="208"/>
      <c r="F38" s="208"/>
      <c r="G38" s="208"/>
      <c r="H38" s="208"/>
      <c r="I38" s="234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</row>
    <row r="39">
      <c r="A39" s="208"/>
      <c r="B39" s="208"/>
      <c r="C39" s="208"/>
      <c r="D39" s="208"/>
      <c r="E39" s="208"/>
      <c r="F39" s="208"/>
      <c r="G39" s="208"/>
      <c r="H39" s="208"/>
      <c r="I39" s="234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</row>
    <row r="40">
      <c r="A40" s="208"/>
      <c r="B40" s="208"/>
      <c r="C40" s="208"/>
      <c r="D40" s="208"/>
      <c r="E40" s="208"/>
      <c r="F40" s="208"/>
      <c r="G40" s="208"/>
      <c r="H40" s="208"/>
      <c r="I40" s="234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</row>
    <row r="41">
      <c r="A41" s="208"/>
      <c r="B41" s="208"/>
      <c r="C41" s="208"/>
      <c r="D41" s="208"/>
      <c r="E41" s="208"/>
      <c r="F41" s="208"/>
      <c r="G41" s="208"/>
      <c r="H41" s="208"/>
      <c r="I41" s="234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</row>
    <row r="42">
      <c r="A42" s="208"/>
      <c r="B42" s="208"/>
      <c r="C42" s="208"/>
      <c r="D42" s="208"/>
      <c r="E42" s="208"/>
      <c r="F42" s="208"/>
      <c r="G42" s="208"/>
      <c r="H42" s="208"/>
      <c r="I42" s="234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</row>
    <row r="43">
      <c r="A43" s="208"/>
      <c r="B43" s="208"/>
      <c r="C43" s="208"/>
      <c r="D43" s="208"/>
      <c r="E43" s="208"/>
      <c r="F43" s="208"/>
      <c r="G43" s="208"/>
      <c r="H43" s="208"/>
      <c r="I43" s="234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</row>
    <row r="44">
      <c r="A44" s="208"/>
      <c r="B44" s="208"/>
      <c r="C44" s="208"/>
      <c r="D44" s="208"/>
      <c r="E44" s="208"/>
      <c r="F44" s="208"/>
      <c r="G44" s="208"/>
      <c r="H44" s="208"/>
      <c r="I44" s="234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</row>
    <row r="45">
      <c r="A45" s="208"/>
      <c r="B45" s="208"/>
      <c r="C45" s="208"/>
      <c r="D45" s="208"/>
      <c r="E45" s="208"/>
      <c r="F45" s="208"/>
      <c r="G45" s="208"/>
      <c r="H45" s="208"/>
      <c r="I45" s="234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</row>
    <row r="46">
      <c r="A46" s="208"/>
      <c r="B46" s="208"/>
      <c r="C46" s="208"/>
      <c r="D46" s="208"/>
      <c r="E46" s="208"/>
      <c r="F46" s="208"/>
      <c r="G46" s="208"/>
      <c r="H46" s="208"/>
      <c r="I46" s="234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</row>
    <row r="47">
      <c r="A47" s="208"/>
      <c r="B47" s="208"/>
      <c r="C47" s="208"/>
      <c r="D47" s="208"/>
      <c r="E47" s="208"/>
      <c r="F47" s="208"/>
      <c r="G47" s="208"/>
      <c r="H47" s="208"/>
      <c r="I47" s="234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</row>
    <row r="48">
      <c r="A48" s="208"/>
      <c r="B48" s="208"/>
      <c r="C48" s="208"/>
      <c r="D48" s="208"/>
      <c r="E48" s="208"/>
      <c r="F48" s="208"/>
      <c r="G48" s="208"/>
      <c r="H48" s="208"/>
      <c r="I48" s="234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</row>
    <row r="49">
      <c r="A49" s="208"/>
      <c r="B49" s="208"/>
      <c r="C49" s="208"/>
      <c r="D49" s="208"/>
      <c r="E49" s="208"/>
      <c r="F49" s="208"/>
      <c r="G49" s="208"/>
      <c r="H49" s="208"/>
      <c r="I49" s="234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</row>
    <row r="50">
      <c r="A50" s="208"/>
      <c r="B50" s="208"/>
      <c r="C50" s="208"/>
      <c r="D50" s="208"/>
      <c r="E50" s="208"/>
      <c r="F50" s="208"/>
      <c r="G50" s="208"/>
      <c r="H50" s="208"/>
      <c r="I50" s="234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</row>
    <row r="51">
      <c r="A51" s="208"/>
      <c r="B51" s="208"/>
      <c r="C51" s="208"/>
      <c r="D51" s="208"/>
      <c r="E51" s="208"/>
      <c r="F51" s="208"/>
      <c r="G51" s="208"/>
      <c r="H51" s="208"/>
      <c r="I51" s="234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</row>
    <row r="52">
      <c r="A52" s="208"/>
      <c r="B52" s="208"/>
      <c r="C52" s="208"/>
      <c r="D52" s="208"/>
      <c r="E52" s="208"/>
      <c r="F52" s="208"/>
      <c r="G52" s="208"/>
      <c r="H52" s="208"/>
      <c r="I52" s="234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</row>
    <row r="53">
      <c r="A53" s="208"/>
      <c r="B53" s="208"/>
      <c r="C53" s="208"/>
      <c r="D53" s="208"/>
      <c r="E53" s="208"/>
      <c r="F53" s="208"/>
      <c r="G53" s="208"/>
      <c r="H53" s="208"/>
      <c r="I53" s="234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</row>
    <row r="54">
      <c r="A54" s="208"/>
      <c r="B54" s="208"/>
      <c r="C54" s="208"/>
      <c r="D54" s="208"/>
      <c r="E54" s="208"/>
      <c r="F54" s="208"/>
      <c r="G54" s="208"/>
      <c r="H54" s="208"/>
      <c r="I54" s="234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</row>
    <row r="55">
      <c r="A55" s="208"/>
      <c r="B55" s="208"/>
      <c r="C55" s="208"/>
      <c r="D55" s="208"/>
      <c r="E55" s="208"/>
      <c r="F55" s="208"/>
      <c r="G55" s="208"/>
      <c r="H55" s="208"/>
      <c r="I55" s="234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</row>
    <row r="56">
      <c r="A56" s="208"/>
      <c r="B56" s="208"/>
      <c r="C56" s="208"/>
      <c r="D56" s="208"/>
      <c r="E56" s="208"/>
      <c r="F56" s="208"/>
      <c r="G56" s="208"/>
      <c r="H56" s="208"/>
      <c r="I56" s="234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</row>
    <row r="57">
      <c r="A57" s="208"/>
      <c r="B57" s="208"/>
      <c r="C57" s="208"/>
      <c r="D57" s="208"/>
      <c r="E57" s="208"/>
      <c r="F57" s="208"/>
      <c r="G57" s="208"/>
      <c r="H57" s="208"/>
      <c r="I57" s="234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</row>
    <row r="58">
      <c r="A58" s="208"/>
      <c r="B58" s="208"/>
      <c r="C58" s="208"/>
      <c r="D58" s="208"/>
      <c r="E58" s="208"/>
      <c r="F58" s="208"/>
      <c r="G58" s="208"/>
      <c r="H58" s="208"/>
      <c r="I58" s="234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</row>
    <row r="59">
      <c r="A59" s="208"/>
      <c r="B59" s="208"/>
      <c r="C59" s="208"/>
      <c r="D59" s="208"/>
      <c r="E59" s="208"/>
      <c r="F59" s="208"/>
      <c r="G59" s="208"/>
      <c r="H59" s="208"/>
      <c r="I59" s="234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</row>
    <row r="60">
      <c r="A60" s="208"/>
      <c r="B60" s="208"/>
      <c r="C60" s="208"/>
      <c r="D60" s="208"/>
      <c r="E60" s="208"/>
      <c r="F60" s="208"/>
      <c r="G60" s="208"/>
      <c r="H60" s="208"/>
      <c r="I60" s="234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</row>
    <row r="61">
      <c r="A61" s="208"/>
      <c r="B61" s="208"/>
      <c r="C61" s="208"/>
      <c r="D61" s="208"/>
      <c r="E61" s="208"/>
      <c r="F61" s="208"/>
      <c r="G61" s="208"/>
      <c r="H61" s="208"/>
      <c r="I61" s="234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</row>
    <row r="62">
      <c r="A62" s="208"/>
      <c r="B62" s="208"/>
      <c r="C62" s="208"/>
      <c r="D62" s="208"/>
      <c r="E62" s="208"/>
      <c r="F62" s="208"/>
      <c r="G62" s="208"/>
      <c r="H62" s="208"/>
      <c r="I62" s="234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</row>
    <row r="63">
      <c r="A63" s="208"/>
      <c r="B63" s="208"/>
      <c r="C63" s="208"/>
      <c r="D63" s="208"/>
      <c r="E63" s="208"/>
      <c r="F63" s="208"/>
      <c r="G63" s="208"/>
      <c r="H63" s="208"/>
      <c r="I63" s="234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</row>
    <row r="64">
      <c r="A64" s="208"/>
      <c r="B64" s="208"/>
      <c r="C64" s="208"/>
      <c r="D64" s="208"/>
      <c r="E64" s="208"/>
      <c r="F64" s="208"/>
      <c r="G64" s="208"/>
      <c r="H64" s="208"/>
      <c r="I64" s="234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</row>
    <row r="65">
      <c r="A65" s="208"/>
      <c r="B65" s="208"/>
      <c r="C65" s="208"/>
      <c r="D65" s="208"/>
      <c r="E65" s="208"/>
      <c r="F65" s="208"/>
      <c r="G65" s="208"/>
      <c r="H65" s="208"/>
      <c r="I65" s="234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</row>
    <row r="66">
      <c r="A66" s="208"/>
      <c r="B66" s="208"/>
      <c r="C66" s="208"/>
      <c r="D66" s="208"/>
      <c r="E66" s="208"/>
      <c r="F66" s="208"/>
      <c r="G66" s="208"/>
      <c r="H66" s="208"/>
      <c r="I66" s="234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</row>
    <row r="67">
      <c r="A67" s="208"/>
      <c r="B67" s="208"/>
      <c r="C67" s="208"/>
      <c r="D67" s="208"/>
      <c r="E67" s="208"/>
      <c r="F67" s="208"/>
      <c r="G67" s="208"/>
      <c r="H67" s="208"/>
      <c r="I67" s="234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</row>
    <row r="68">
      <c r="A68" s="208"/>
      <c r="B68" s="208"/>
      <c r="C68" s="208"/>
      <c r="D68" s="208"/>
      <c r="E68" s="208"/>
      <c r="F68" s="208"/>
      <c r="G68" s="208"/>
      <c r="H68" s="208"/>
      <c r="I68" s="234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</row>
    <row r="69">
      <c r="A69" s="208"/>
      <c r="B69" s="208"/>
      <c r="C69" s="208"/>
      <c r="D69" s="208"/>
      <c r="E69" s="208"/>
      <c r="F69" s="208"/>
      <c r="G69" s="208"/>
      <c r="H69" s="208"/>
      <c r="I69" s="234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</row>
    <row r="70">
      <c r="A70" s="208"/>
      <c r="B70" s="208"/>
      <c r="C70" s="208"/>
      <c r="D70" s="208"/>
      <c r="E70" s="208"/>
      <c r="F70" s="208"/>
      <c r="G70" s="208"/>
      <c r="H70" s="208"/>
      <c r="I70" s="234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</row>
    <row r="71">
      <c r="A71" s="208"/>
      <c r="B71" s="208"/>
      <c r="C71" s="208"/>
      <c r="D71" s="208"/>
      <c r="E71" s="208"/>
      <c r="F71" s="208"/>
      <c r="G71" s="208"/>
      <c r="H71" s="208"/>
      <c r="I71" s="234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</row>
    <row r="72">
      <c r="A72" s="208"/>
      <c r="B72" s="208"/>
      <c r="C72" s="208"/>
      <c r="D72" s="208"/>
      <c r="E72" s="208"/>
      <c r="F72" s="208"/>
      <c r="G72" s="208"/>
      <c r="H72" s="208"/>
      <c r="I72" s="234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</row>
    <row r="73">
      <c r="A73" s="208"/>
      <c r="B73" s="208"/>
      <c r="C73" s="208"/>
      <c r="D73" s="208"/>
      <c r="E73" s="208"/>
      <c r="F73" s="208"/>
      <c r="G73" s="208"/>
      <c r="H73" s="208"/>
      <c r="I73" s="234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</row>
    <row r="74">
      <c r="A74" s="208"/>
      <c r="B74" s="208"/>
      <c r="C74" s="208"/>
      <c r="D74" s="208"/>
      <c r="E74" s="208"/>
      <c r="F74" s="208"/>
      <c r="G74" s="208"/>
      <c r="H74" s="208"/>
      <c r="I74" s="234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</row>
    <row r="75">
      <c r="A75" s="208"/>
      <c r="B75" s="208"/>
      <c r="C75" s="208"/>
      <c r="D75" s="208"/>
      <c r="E75" s="208"/>
      <c r="F75" s="208"/>
      <c r="G75" s="208"/>
      <c r="H75" s="208"/>
      <c r="I75" s="234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</row>
    <row r="76">
      <c r="A76" s="208"/>
      <c r="B76" s="208"/>
      <c r="C76" s="208"/>
      <c r="D76" s="208"/>
      <c r="E76" s="208"/>
      <c r="F76" s="208"/>
      <c r="G76" s="208"/>
      <c r="H76" s="208"/>
      <c r="I76" s="234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</row>
    <row r="77">
      <c r="A77" s="208"/>
      <c r="B77" s="208"/>
      <c r="C77" s="208"/>
      <c r="D77" s="208"/>
      <c r="E77" s="208"/>
      <c r="F77" s="208"/>
      <c r="G77" s="208"/>
      <c r="H77" s="208"/>
      <c r="I77" s="234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</row>
    <row r="78">
      <c r="A78" s="208"/>
      <c r="B78" s="208"/>
      <c r="C78" s="208"/>
      <c r="D78" s="208"/>
      <c r="E78" s="208"/>
      <c r="F78" s="208"/>
      <c r="G78" s="208"/>
      <c r="H78" s="208"/>
      <c r="I78" s="234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</row>
    <row r="79">
      <c r="A79" s="208"/>
      <c r="B79" s="208"/>
      <c r="C79" s="208"/>
      <c r="D79" s="208"/>
      <c r="E79" s="208"/>
      <c r="F79" s="208"/>
      <c r="G79" s="208"/>
      <c r="H79" s="208"/>
      <c r="I79" s="234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</row>
    <row r="80">
      <c r="A80" s="208"/>
      <c r="B80" s="208"/>
      <c r="C80" s="208"/>
      <c r="D80" s="208"/>
      <c r="E80" s="208"/>
      <c r="F80" s="208"/>
      <c r="G80" s="208"/>
      <c r="H80" s="208"/>
      <c r="I80" s="234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</row>
    <row r="81">
      <c r="A81" s="208"/>
      <c r="B81" s="208"/>
      <c r="C81" s="208"/>
      <c r="D81" s="208"/>
      <c r="E81" s="208"/>
      <c r="F81" s="208"/>
      <c r="G81" s="208"/>
      <c r="H81" s="208"/>
      <c r="I81" s="234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</row>
    <row r="82">
      <c r="A82" s="208"/>
      <c r="B82" s="208"/>
      <c r="C82" s="208"/>
      <c r="D82" s="208"/>
      <c r="E82" s="208"/>
      <c r="F82" s="208"/>
      <c r="G82" s="208"/>
      <c r="H82" s="208"/>
      <c r="I82" s="234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</row>
    <row r="83">
      <c r="A83" s="208"/>
      <c r="B83" s="208"/>
      <c r="C83" s="208"/>
      <c r="D83" s="208"/>
      <c r="E83" s="208"/>
      <c r="F83" s="208"/>
      <c r="G83" s="208"/>
      <c r="H83" s="208"/>
      <c r="I83" s="234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</row>
    <row r="84">
      <c r="A84" s="208"/>
      <c r="B84" s="208"/>
      <c r="C84" s="208"/>
      <c r="D84" s="208"/>
      <c r="E84" s="208"/>
      <c r="F84" s="208"/>
      <c r="G84" s="208"/>
      <c r="H84" s="208"/>
      <c r="I84" s="234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</row>
    <row r="85">
      <c r="A85" s="208"/>
      <c r="B85" s="208"/>
      <c r="C85" s="208"/>
      <c r="D85" s="208"/>
      <c r="E85" s="208"/>
      <c r="F85" s="208"/>
      <c r="G85" s="208"/>
      <c r="H85" s="208"/>
      <c r="I85" s="234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</row>
    <row r="86">
      <c r="A86" s="208"/>
      <c r="B86" s="208"/>
      <c r="C86" s="208"/>
      <c r="D86" s="208"/>
      <c r="E86" s="208"/>
      <c r="F86" s="208"/>
      <c r="G86" s="208"/>
      <c r="H86" s="208"/>
      <c r="I86" s="234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</row>
    <row r="87">
      <c r="A87" s="208"/>
      <c r="B87" s="208"/>
      <c r="C87" s="208"/>
      <c r="D87" s="208"/>
      <c r="E87" s="208"/>
      <c r="F87" s="208"/>
      <c r="G87" s="208"/>
      <c r="H87" s="208"/>
      <c r="I87" s="234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</row>
    <row r="88">
      <c r="A88" s="208"/>
      <c r="B88" s="208"/>
      <c r="C88" s="208"/>
      <c r="D88" s="208"/>
      <c r="E88" s="208"/>
      <c r="F88" s="208"/>
      <c r="G88" s="208"/>
      <c r="H88" s="208"/>
      <c r="I88" s="234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</row>
    <row r="89">
      <c r="A89" s="208"/>
      <c r="B89" s="208"/>
      <c r="C89" s="208"/>
      <c r="D89" s="208"/>
      <c r="E89" s="208"/>
      <c r="F89" s="208"/>
      <c r="G89" s="208"/>
      <c r="H89" s="208"/>
      <c r="I89" s="234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</row>
    <row r="90">
      <c r="A90" s="208"/>
      <c r="B90" s="208"/>
      <c r="C90" s="208"/>
      <c r="D90" s="208"/>
      <c r="E90" s="208"/>
      <c r="F90" s="208"/>
      <c r="G90" s="208"/>
      <c r="H90" s="208"/>
      <c r="I90" s="234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</row>
    <row r="91">
      <c r="A91" s="208"/>
      <c r="B91" s="208"/>
      <c r="C91" s="208"/>
      <c r="D91" s="208"/>
      <c r="E91" s="208"/>
      <c r="F91" s="208"/>
      <c r="G91" s="208"/>
      <c r="H91" s="208"/>
      <c r="I91" s="234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</row>
    <row r="92">
      <c r="A92" s="208"/>
      <c r="B92" s="208"/>
      <c r="C92" s="208"/>
      <c r="D92" s="208"/>
      <c r="E92" s="208"/>
      <c r="F92" s="208"/>
      <c r="G92" s="208"/>
      <c r="H92" s="208"/>
      <c r="I92" s="234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</row>
    <row r="93">
      <c r="A93" s="208"/>
      <c r="B93" s="208"/>
      <c r="C93" s="208"/>
      <c r="D93" s="208"/>
      <c r="E93" s="208"/>
      <c r="F93" s="208"/>
      <c r="G93" s="208"/>
      <c r="H93" s="208"/>
      <c r="I93" s="234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</row>
    <row r="94">
      <c r="A94" s="208"/>
      <c r="B94" s="208"/>
      <c r="C94" s="208"/>
      <c r="D94" s="208"/>
      <c r="E94" s="208"/>
      <c r="F94" s="208"/>
      <c r="G94" s="208"/>
      <c r="H94" s="208"/>
      <c r="I94" s="234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</row>
    <row r="95">
      <c r="A95" s="208"/>
      <c r="B95" s="208"/>
      <c r="C95" s="208"/>
      <c r="D95" s="208"/>
      <c r="E95" s="208"/>
      <c r="F95" s="208"/>
      <c r="G95" s="208"/>
      <c r="H95" s="208"/>
      <c r="I95" s="234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</row>
    <row r="96">
      <c r="A96" s="208"/>
      <c r="B96" s="208"/>
      <c r="C96" s="208"/>
      <c r="D96" s="208"/>
      <c r="E96" s="208"/>
      <c r="F96" s="208"/>
      <c r="G96" s="208"/>
      <c r="H96" s="208"/>
      <c r="I96" s="234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</row>
    <row r="97">
      <c r="A97" s="208"/>
      <c r="B97" s="208"/>
      <c r="C97" s="208"/>
      <c r="D97" s="208"/>
      <c r="E97" s="208"/>
      <c r="F97" s="208"/>
      <c r="G97" s="208"/>
      <c r="H97" s="208"/>
      <c r="I97" s="234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</row>
    <row r="98">
      <c r="A98" s="208"/>
      <c r="B98" s="208"/>
      <c r="C98" s="208"/>
      <c r="D98" s="208"/>
      <c r="E98" s="208"/>
      <c r="F98" s="208"/>
      <c r="G98" s="208"/>
      <c r="H98" s="208"/>
      <c r="I98" s="234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</row>
    <row r="99">
      <c r="A99" s="208"/>
      <c r="B99" s="208"/>
      <c r="C99" s="208"/>
      <c r="D99" s="208"/>
      <c r="E99" s="208"/>
      <c r="F99" s="208"/>
      <c r="G99" s="208"/>
      <c r="H99" s="208"/>
      <c r="I99" s="234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</row>
    <row r="100">
      <c r="A100" s="208"/>
      <c r="B100" s="208"/>
      <c r="C100" s="208"/>
      <c r="D100" s="208"/>
      <c r="E100" s="208"/>
      <c r="F100" s="208"/>
      <c r="G100" s="208"/>
      <c r="H100" s="208"/>
      <c r="I100" s="234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</row>
    <row r="101">
      <c r="A101" s="208"/>
      <c r="B101" s="208"/>
      <c r="C101" s="208"/>
      <c r="D101" s="208"/>
      <c r="E101" s="208"/>
      <c r="F101" s="208"/>
      <c r="G101" s="208"/>
      <c r="H101" s="208"/>
      <c r="I101" s="234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</row>
    <row r="102">
      <c r="A102" s="208"/>
      <c r="B102" s="208"/>
      <c r="C102" s="208"/>
      <c r="D102" s="208"/>
      <c r="E102" s="208"/>
      <c r="F102" s="208"/>
      <c r="G102" s="208"/>
      <c r="H102" s="208"/>
      <c r="I102" s="234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</row>
    <row r="103">
      <c r="A103" s="208"/>
      <c r="B103" s="208"/>
      <c r="C103" s="208"/>
      <c r="D103" s="208"/>
      <c r="E103" s="208"/>
      <c r="F103" s="208"/>
      <c r="G103" s="208"/>
      <c r="H103" s="208"/>
      <c r="I103" s="234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</row>
    <row r="104">
      <c r="A104" s="208"/>
      <c r="B104" s="208"/>
      <c r="C104" s="208"/>
      <c r="D104" s="208"/>
      <c r="E104" s="208"/>
      <c r="F104" s="208"/>
      <c r="G104" s="208"/>
      <c r="H104" s="208"/>
      <c r="I104" s="234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</row>
    <row r="105">
      <c r="A105" s="208"/>
      <c r="B105" s="208"/>
      <c r="C105" s="208"/>
      <c r="D105" s="208"/>
      <c r="E105" s="208"/>
      <c r="F105" s="208"/>
      <c r="G105" s="208"/>
      <c r="H105" s="208"/>
      <c r="I105" s="234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</row>
    <row r="106">
      <c r="A106" s="208"/>
      <c r="B106" s="208"/>
      <c r="C106" s="208"/>
      <c r="D106" s="208"/>
      <c r="E106" s="208"/>
      <c r="F106" s="208"/>
      <c r="G106" s="208"/>
      <c r="H106" s="208"/>
      <c r="I106" s="234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</row>
    <row r="107">
      <c r="A107" s="208"/>
      <c r="B107" s="208"/>
      <c r="C107" s="208"/>
      <c r="D107" s="208"/>
      <c r="E107" s="208"/>
      <c r="F107" s="208"/>
      <c r="G107" s="208"/>
      <c r="H107" s="208"/>
      <c r="I107" s="234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</row>
    <row r="108">
      <c r="A108" s="208"/>
      <c r="B108" s="208"/>
      <c r="C108" s="208"/>
      <c r="D108" s="208"/>
      <c r="E108" s="208"/>
      <c r="F108" s="208"/>
      <c r="G108" s="208"/>
      <c r="H108" s="208"/>
      <c r="I108" s="234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</row>
    <row r="109">
      <c r="A109" s="208"/>
      <c r="B109" s="208"/>
      <c r="C109" s="208"/>
      <c r="D109" s="208"/>
      <c r="E109" s="208"/>
      <c r="F109" s="208"/>
      <c r="G109" s="208"/>
      <c r="H109" s="208"/>
      <c r="I109" s="234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</row>
    <row r="110">
      <c r="A110" s="208"/>
      <c r="B110" s="208"/>
      <c r="C110" s="208"/>
      <c r="D110" s="208"/>
      <c r="E110" s="208"/>
      <c r="F110" s="208"/>
      <c r="G110" s="208"/>
      <c r="H110" s="208"/>
      <c r="I110" s="234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</row>
    <row r="111">
      <c r="A111" s="208"/>
      <c r="B111" s="208"/>
      <c r="C111" s="208"/>
      <c r="D111" s="208"/>
      <c r="E111" s="208"/>
      <c r="F111" s="208"/>
      <c r="G111" s="208"/>
      <c r="H111" s="208"/>
      <c r="I111" s="234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</row>
    <row r="112">
      <c r="A112" s="208"/>
      <c r="B112" s="208"/>
      <c r="C112" s="208"/>
      <c r="D112" s="208"/>
      <c r="E112" s="208"/>
      <c r="F112" s="208"/>
      <c r="G112" s="208"/>
      <c r="H112" s="208"/>
      <c r="I112" s="234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</row>
    <row r="113">
      <c r="A113" s="208"/>
      <c r="B113" s="208"/>
      <c r="C113" s="208"/>
      <c r="D113" s="208"/>
      <c r="E113" s="208"/>
      <c r="F113" s="208"/>
      <c r="G113" s="208"/>
      <c r="H113" s="208"/>
      <c r="I113" s="234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</row>
    <row r="114">
      <c r="A114" s="208"/>
      <c r="B114" s="208"/>
      <c r="C114" s="208"/>
      <c r="D114" s="208"/>
      <c r="E114" s="208"/>
      <c r="F114" s="208"/>
      <c r="G114" s="208"/>
      <c r="H114" s="208"/>
      <c r="I114" s="234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</row>
    <row r="115">
      <c r="A115" s="208"/>
      <c r="B115" s="208"/>
      <c r="C115" s="208"/>
      <c r="D115" s="208"/>
      <c r="E115" s="208"/>
      <c r="F115" s="208"/>
      <c r="G115" s="208"/>
      <c r="H115" s="208"/>
      <c r="I115" s="234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</row>
    <row r="116">
      <c r="A116" s="208"/>
      <c r="B116" s="208"/>
      <c r="C116" s="208"/>
      <c r="D116" s="208"/>
      <c r="E116" s="208"/>
      <c r="F116" s="208"/>
      <c r="G116" s="208"/>
      <c r="H116" s="208"/>
      <c r="I116" s="234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</row>
    <row r="117">
      <c r="A117" s="208"/>
      <c r="B117" s="208"/>
      <c r="C117" s="208"/>
      <c r="D117" s="208"/>
      <c r="E117" s="208"/>
      <c r="F117" s="208"/>
      <c r="G117" s="208"/>
      <c r="H117" s="208"/>
      <c r="I117" s="234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</row>
    <row r="118">
      <c r="A118" s="208"/>
      <c r="B118" s="208"/>
      <c r="C118" s="208"/>
      <c r="D118" s="208"/>
      <c r="E118" s="208"/>
      <c r="F118" s="208"/>
      <c r="G118" s="208"/>
      <c r="H118" s="208"/>
      <c r="I118" s="234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</row>
    <row r="119">
      <c r="A119" s="208"/>
      <c r="B119" s="208"/>
      <c r="C119" s="208"/>
      <c r="D119" s="208"/>
      <c r="E119" s="208"/>
      <c r="F119" s="208"/>
      <c r="G119" s="208"/>
      <c r="H119" s="208"/>
      <c r="I119" s="234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</row>
    <row r="120">
      <c r="A120" s="208"/>
      <c r="B120" s="208"/>
      <c r="C120" s="208"/>
      <c r="D120" s="208"/>
      <c r="E120" s="208"/>
      <c r="F120" s="208"/>
      <c r="G120" s="208"/>
      <c r="H120" s="208"/>
      <c r="I120" s="234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</row>
    <row r="121">
      <c r="A121" s="208"/>
      <c r="B121" s="208"/>
      <c r="C121" s="208"/>
      <c r="D121" s="208"/>
      <c r="E121" s="208"/>
      <c r="F121" s="208"/>
      <c r="G121" s="208"/>
      <c r="H121" s="208"/>
      <c r="I121" s="234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</row>
    <row r="122">
      <c r="A122" s="208"/>
      <c r="B122" s="208"/>
      <c r="C122" s="208"/>
      <c r="D122" s="208"/>
      <c r="E122" s="208"/>
      <c r="F122" s="208"/>
      <c r="G122" s="208"/>
      <c r="H122" s="208"/>
      <c r="I122" s="234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</row>
    <row r="123">
      <c r="A123" s="208"/>
      <c r="B123" s="208"/>
      <c r="C123" s="208"/>
      <c r="D123" s="208"/>
      <c r="E123" s="208"/>
      <c r="F123" s="208"/>
      <c r="G123" s="208"/>
      <c r="H123" s="208"/>
      <c r="I123" s="234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</row>
    <row r="124">
      <c r="A124" s="208"/>
      <c r="B124" s="208"/>
      <c r="C124" s="208"/>
      <c r="D124" s="208"/>
      <c r="E124" s="208"/>
      <c r="F124" s="208"/>
      <c r="G124" s="208"/>
      <c r="H124" s="208"/>
      <c r="I124" s="234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</row>
    <row r="125">
      <c r="A125" s="208"/>
      <c r="B125" s="208"/>
      <c r="C125" s="208"/>
      <c r="D125" s="208"/>
      <c r="E125" s="208"/>
      <c r="F125" s="208"/>
      <c r="G125" s="208"/>
      <c r="H125" s="208"/>
      <c r="I125" s="234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</row>
    <row r="126">
      <c r="A126" s="208"/>
      <c r="B126" s="208"/>
      <c r="C126" s="208"/>
      <c r="D126" s="208"/>
      <c r="E126" s="208"/>
      <c r="F126" s="208"/>
      <c r="G126" s="208"/>
      <c r="H126" s="208"/>
      <c r="I126" s="234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</row>
    <row r="127">
      <c r="A127" s="208"/>
      <c r="B127" s="208"/>
      <c r="C127" s="208"/>
      <c r="D127" s="208"/>
      <c r="E127" s="208"/>
      <c r="F127" s="208"/>
      <c r="G127" s="208"/>
      <c r="H127" s="208"/>
      <c r="I127" s="234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</row>
    <row r="128">
      <c r="A128" s="208"/>
      <c r="B128" s="208"/>
      <c r="C128" s="208"/>
      <c r="D128" s="208"/>
      <c r="E128" s="208"/>
      <c r="F128" s="208"/>
      <c r="G128" s="208"/>
      <c r="H128" s="208"/>
      <c r="I128" s="234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</row>
    <row r="129">
      <c r="A129" s="208"/>
      <c r="B129" s="208"/>
      <c r="C129" s="208"/>
      <c r="D129" s="208"/>
      <c r="E129" s="208"/>
      <c r="F129" s="208"/>
      <c r="G129" s="208"/>
      <c r="H129" s="208"/>
      <c r="I129" s="234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</row>
    <row r="130">
      <c r="A130" s="208"/>
      <c r="B130" s="208"/>
      <c r="C130" s="208"/>
      <c r="D130" s="208"/>
      <c r="E130" s="208"/>
      <c r="F130" s="208"/>
      <c r="G130" s="208"/>
      <c r="H130" s="208"/>
      <c r="I130" s="234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</row>
    <row r="131">
      <c r="A131" s="208"/>
      <c r="B131" s="208"/>
      <c r="C131" s="208"/>
      <c r="D131" s="208"/>
      <c r="E131" s="208"/>
      <c r="F131" s="208"/>
      <c r="G131" s="208"/>
      <c r="H131" s="208"/>
      <c r="I131" s="234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</row>
    <row r="132">
      <c r="A132" s="208"/>
      <c r="B132" s="208"/>
      <c r="C132" s="208"/>
      <c r="D132" s="208"/>
      <c r="E132" s="208"/>
      <c r="F132" s="208"/>
      <c r="G132" s="208"/>
      <c r="H132" s="208"/>
      <c r="I132" s="234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</row>
    <row r="133">
      <c r="A133" s="208"/>
      <c r="B133" s="208"/>
      <c r="C133" s="208"/>
      <c r="D133" s="208"/>
      <c r="E133" s="208"/>
      <c r="F133" s="208"/>
      <c r="G133" s="208"/>
      <c r="H133" s="208"/>
      <c r="I133" s="234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</row>
    <row r="134">
      <c r="A134" s="208"/>
      <c r="B134" s="208"/>
      <c r="C134" s="208"/>
      <c r="D134" s="208"/>
      <c r="E134" s="208"/>
      <c r="F134" s="208"/>
      <c r="G134" s="208"/>
      <c r="H134" s="208"/>
      <c r="I134" s="234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</row>
    <row r="135">
      <c r="A135" s="208"/>
      <c r="B135" s="208"/>
      <c r="C135" s="208"/>
      <c r="D135" s="208"/>
      <c r="E135" s="208"/>
      <c r="F135" s="208"/>
      <c r="G135" s="208"/>
      <c r="H135" s="208"/>
      <c r="I135" s="234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</row>
    <row r="136">
      <c r="A136" s="208"/>
      <c r="B136" s="208"/>
      <c r="C136" s="208"/>
      <c r="D136" s="208"/>
      <c r="E136" s="208"/>
      <c r="F136" s="208"/>
      <c r="G136" s="208"/>
      <c r="H136" s="208"/>
      <c r="I136" s="234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</row>
    <row r="137">
      <c r="A137" s="208"/>
      <c r="B137" s="208"/>
      <c r="C137" s="208"/>
      <c r="D137" s="208"/>
      <c r="E137" s="208"/>
      <c r="F137" s="208"/>
      <c r="G137" s="208"/>
      <c r="H137" s="208"/>
      <c r="I137" s="234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</row>
    <row r="138">
      <c r="A138" s="208"/>
      <c r="B138" s="208"/>
      <c r="C138" s="208"/>
      <c r="D138" s="208"/>
      <c r="E138" s="208"/>
      <c r="F138" s="208"/>
      <c r="G138" s="208"/>
      <c r="H138" s="208"/>
      <c r="I138" s="234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</row>
    <row r="139">
      <c r="A139" s="208"/>
      <c r="B139" s="208"/>
      <c r="C139" s="208"/>
      <c r="D139" s="208"/>
      <c r="E139" s="208"/>
      <c r="F139" s="208"/>
      <c r="G139" s="208"/>
      <c r="H139" s="208"/>
      <c r="I139" s="234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</row>
    <row r="140">
      <c r="A140" s="208"/>
      <c r="B140" s="208"/>
      <c r="C140" s="208"/>
      <c r="D140" s="208"/>
      <c r="E140" s="208"/>
      <c r="F140" s="208"/>
      <c r="G140" s="208"/>
      <c r="H140" s="208"/>
      <c r="I140" s="234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</row>
    <row r="141">
      <c r="A141" s="208"/>
      <c r="B141" s="208"/>
      <c r="C141" s="208"/>
      <c r="D141" s="208"/>
      <c r="E141" s="208"/>
      <c r="F141" s="208"/>
      <c r="G141" s="208"/>
      <c r="H141" s="208"/>
      <c r="I141" s="234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</row>
    <row r="142">
      <c r="A142" s="208"/>
      <c r="B142" s="208"/>
      <c r="C142" s="208"/>
      <c r="D142" s="208"/>
      <c r="E142" s="208"/>
      <c r="F142" s="208"/>
      <c r="G142" s="208"/>
      <c r="H142" s="208"/>
      <c r="I142" s="234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</row>
    <row r="143">
      <c r="A143" s="208"/>
      <c r="B143" s="208"/>
      <c r="C143" s="208"/>
      <c r="D143" s="208"/>
      <c r="E143" s="208"/>
      <c r="F143" s="208"/>
      <c r="G143" s="208"/>
      <c r="H143" s="208"/>
      <c r="I143" s="234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</row>
    <row r="144">
      <c r="A144" s="208"/>
      <c r="B144" s="208"/>
      <c r="C144" s="208"/>
      <c r="D144" s="208"/>
      <c r="E144" s="208"/>
      <c r="F144" s="208"/>
      <c r="G144" s="208"/>
      <c r="H144" s="208"/>
      <c r="I144" s="234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</row>
    <row r="145">
      <c r="A145" s="208"/>
      <c r="B145" s="208"/>
      <c r="C145" s="208"/>
      <c r="D145" s="208"/>
      <c r="E145" s="208"/>
      <c r="F145" s="208"/>
      <c r="G145" s="208"/>
      <c r="H145" s="208"/>
      <c r="I145" s="234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</row>
    <row r="146">
      <c r="A146" s="208"/>
      <c r="B146" s="208"/>
      <c r="C146" s="208"/>
      <c r="D146" s="208"/>
      <c r="E146" s="208"/>
      <c r="F146" s="208"/>
      <c r="G146" s="208"/>
      <c r="H146" s="208"/>
      <c r="I146" s="234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</row>
    <row r="147">
      <c r="A147" s="208"/>
      <c r="B147" s="208"/>
      <c r="C147" s="208"/>
      <c r="D147" s="208"/>
      <c r="E147" s="208"/>
      <c r="F147" s="208"/>
      <c r="G147" s="208"/>
      <c r="H147" s="208"/>
      <c r="I147" s="234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</row>
    <row r="148">
      <c r="A148" s="208"/>
      <c r="B148" s="208"/>
      <c r="C148" s="208"/>
      <c r="D148" s="208"/>
      <c r="E148" s="208"/>
      <c r="F148" s="208"/>
      <c r="G148" s="208"/>
      <c r="H148" s="208"/>
      <c r="I148" s="234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</row>
    <row r="149">
      <c r="A149" s="208"/>
      <c r="B149" s="208"/>
      <c r="C149" s="208"/>
      <c r="D149" s="208"/>
      <c r="E149" s="208"/>
      <c r="F149" s="208"/>
      <c r="G149" s="208"/>
      <c r="H149" s="208"/>
      <c r="I149" s="234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</row>
    <row r="150">
      <c r="A150" s="208"/>
      <c r="B150" s="208"/>
      <c r="C150" s="208"/>
      <c r="D150" s="208"/>
      <c r="E150" s="208"/>
      <c r="F150" s="208"/>
      <c r="G150" s="208"/>
      <c r="H150" s="208"/>
      <c r="I150" s="234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</row>
    <row r="151">
      <c r="A151" s="208"/>
      <c r="B151" s="208"/>
      <c r="C151" s="208"/>
      <c r="D151" s="208"/>
      <c r="E151" s="208"/>
      <c r="F151" s="208"/>
      <c r="G151" s="208"/>
      <c r="H151" s="208"/>
      <c r="I151" s="234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</row>
    <row r="152">
      <c r="A152" s="208"/>
      <c r="B152" s="208"/>
      <c r="C152" s="208"/>
      <c r="D152" s="208"/>
      <c r="E152" s="208"/>
      <c r="F152" s="208"/>
      <c r="G152" s="208"/>
      <c r="H152" s="208"/>
      <c r="I152" s="234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</row>
    <row r="153">
      <c r="A153" s="208"/>
      <c r="B153" s="208"/>
      <c r="C153" s="208"/>
      <c r="D153" s="208"/>
      <c r="E153" s="208"/>
      <c r="F153" s="208"/>
      <c r="G153" s="208"/>
      <c r="H153" s="208"/>
      <c r="I153" s="234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</row>
    <row r="154">
      <c r="A154" s="208"/>
      <c r="B154" s="208"/>
      <c r="C154" s="208"/>
      <c r="D154" s="208"/>
      <c r="E154" s="208"/>
      <c r="F154" s="208"/>
      <c r="G154" s="208"/>
      <c r="H154" s="208"/>
      <c r="I154" s="234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</row>
    <row r="155">
      <c r="A155" s="208"/>
      <c r="B155" s="208"/>
      <c r="C155" s="208"/>
      <c r="D155" s="208"/>
      <c r="E155" s="208"/>
      <c r="F155" s="208"/>
      <c r="G155" s="208"/>
      <c r="H155" s="208"/>
      <c r="I155" s="234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</row>
    <row r="156">
      <c r="A156" s="208"/>
      <c r="B156" s="208"/>
      <c r="C156" s="208"/>
      <c r="D156" s="208"/>
      <c r="E156" s="208"/>
      <c r="F156" s="208"/>
      <c r="G156" s="208"/>
      <c r="H156" s="208"/>
      <c r="I156" s="234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</row>
    <row r="157">
      <c r="A157" s="208"/>
      <c r="B157" s="208"/>
      <c r="C157" s="208"/>
      <c r="D157" s="208"/>
      <c r="E157" s="208"/>
      <c r="F157" s="208"/>
      <c r="G157" s="208"/>
      <c r="H157" s="208"/>
      <c r="I157" s="234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</row>
    <row r="158">
      <c r="A158" s="208"/>
      <c r="B158" s="208"/>
      <c r="C158" s="208"/>
      <c r="D158" s="208"/>
      <c r="E158" s="208"/>
      <c r="F158" s="208"/>
      <c r="G158" s="208"/>
      <c r="H158" s="208"/>
      <c r="I158" s="234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</row>
    <row r="159">
      <c r="A159" s="208"/>
      <c r="B159" s="208"/>
      <c r="C159" s="208"/>
      <c r="D159" s="208"/>
      <c r="E159" s="208"/>
      <c r="F159" s="208"/>
      <c r="G159" s="208"/>
      <c r="H159" s="208"/>
      <c r="I159" s="234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</row>
    <row r="160">
      <c r="A160" s="208"/>
      <c r="B160" s="208"/>
      <c r="C160" s="208"/>
      <c r="D160" s="208"/>
      <c r="E160" s="208"/>
      <c r="F160" s="208"/>
      <c r="G160" s="208"/>
      <c r="H160" s="208"/>
      <c r="I160" s="234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</row>
    <row r="161">
      <c r="A161" s="208"/>
      <c r="B161" s="208"/>
      <c r="C161" s="208"/>
      <c r="D161" s="208"/>
      <c r="E161" s="208"/>
      <c r="F161" s="208"/>
      <c r="G161" s="208"/>
      <c r="H161" s="208"/>
      <c r="I161" s="234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</row>
    <row r="162">
      <c r="A162" s="208"/>
      <c r="B162" s="208"/>
      <c r="C162" s="208"/>
      <c r="D162" s="208"/>
      <c r="E162" s="208"/>
      <c r="F162" s="208"/>
      <c r="G162" s="208"/>
      <c r="H162" s="208"/>
      <c r="I162" s="234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</row>
    <row r="163">
      <c r="A163" s="208"/>
      <c r="B163" s="208"/>
      <c r="C163" s="208"/>
      <c r="D163" s="208"/>
      <c r="E163" s="208"/>
      <c r="F163" s="208"/>
      <c r="G163" s="208"/>
      <c r="H163" s="208"/>
      <c r="I163" s="234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</row>
    <row r="164">
      <c r="A164" s="208"/>
      <c r="B164" s="208"/>
      <c r="C164" s="208"/>
      <c r="D164" s="208"/>
      <c r="E164" s="208"/>
      <c r="F164" s="208"/>
      <c r="G164" s="208"/>
      <c r="H164" s="208"/>
      <c r="I164" s="234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</row>
    <row r="165">
      <c r="A165" s="208"/>
      <c r="B165" s="208"/>
      <c r="C165" s="208"/>
      <c r="D165" s="208"/>
      <c r="E165" s="208"/>
      <c r="F165" s="208"/>
      <c r="G165" s="208"/>
      <c r="H165" s="208"/>
      <c r="I165" s="234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</row>
    <row r="166">
      <c r="A166" s="208"/>
      <c r="B166" s="208"/>
      <c r="C166" s="208"/>
      <c r="D166" s="208"/>
      <c r="E166" s="208"/>
      <c r="F166" s="208"/>
      <c r="G166" s="208"/>
      <c r="H166" s="208"/>
      <c r="I166" s="234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</row>
    <row r="167">
      <c r="A167" s="208"/>
      <c r="B167" s="208"/>
      <c r="C167" s="208"/>
      <c r="D167" s="208"/>
      <c r="E167" s="208"/>
      <c r="F167" s="208"/>
      <c r="G167" s="208"/>
      <c r="H167" s="208"/>
      <c r="I167" s="234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</row>
    <row r="168">
      <c r="A168" s="208"/>
      <c r="B168" s="208"/>
      <c r="C168" s="208"/>
      <c r="D168" s="208"/>
      <c r="E168" s="208"/>
      <c r="F168" s="208"/>
      <c r="G168" s="208"/>
      <c r="H168" s="208"/>
      <c r="I168" s="234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</row>
    <row r="169">
      <c r="A169" s="208"/>
      <c r="B169" s="208"/>
      <c r="C169" s="208"/>
      <c r="D169" s="208"/>
      <c r="E169" s="208"/>
      <c r="F169" s="208"/>
      <c r="G169" s="208"/>
      <c r="H169" s="208"/>
      <c r="I169" s="234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</row>
    <row r="170">
      <c r="A170" s="208"/>
      <c r="B170" s="208"/>
      <c r="C170" s="208"/>
      <c r="D170" s="208"/>
      <c r="E170" s="208"/>
      <c r="F170" s="208"/>
      <c r="G170" s="208"/>
      <c r="H170" s="208"/>
      <c r="I170" s="234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</row>
    <row r="171">
      <c r="A171" s="208"/>
      <c r="B171" s="208"/>
      <c r="C171" s="208"/>
      <c r="D171" s="208"/>
      <c r="E171" s="208"/>
      <c r="F171" s="208"/>
      <c r="G171" s="208"/>
      <c r="H171" s="208"/>
      <c r="I171" s="234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</row>
    <row r="172">
      <c r="A172" s="208"/>
      <c r="B172" s="208"/>
      <c r="C172" s="208"/>
      <c r="D172" s="208"/>
      <c r="E172" s="208"/>
      <c r="F172" s="208"/>
      <c r="G172" s="208"/>
      <c r="H172" s="208"/>
      <c r="I172" s="234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</row>
    <row r="173">
      <c r="A173" s="208"/>
      <c r="B173" s="208"/>
      <c r="C173" s="208"/>
      <c r="D173" s="208"/>
      <c r="E173" s="208"/>
      <c r="F173" s="208"/>
      <c r="G173" s="208"/>
      <c r="H173" s="208"/>
      <c r="I173" s="234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</row>
    <row r="174">
      <c r="A174" s="208"/>
      <c r="B174" s="208"/>
      <c r="C174" s="208"/>
      <c r="D174" s="208"/>
      <c r="E174" s="208"/>
      <c r="F174" s="208"/>
      <c r="G174" s="208"/>
      <c r="H174" s="208"/>
      <c r="I174" s="234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</row>
    <row r="175">
      <c r="A175" s="208"/>
      <c r="B175" s="208"/>
      <c r="C175" s="208"/>
      <c r="D175" s="208"/>
      <c r="E175" s="208"/>
      <c r="F175" s="208"/>
      <c r="G175" s="208"/>
      <c r="H175" s="208"/>
      <c r="I175" s="234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</row>
    <row r="176">
      <c r="A176" s="208"/>
      <c r="B176" s="208"/>
      <c r="C176" s="208"/>
      <c r="D176" s="208"/>
      <c r="E176" s="208"/>
      <c r="F176" s="208"/>
      <c r="G176" s="208"/>
      <c r="H176" s="208"/>
      <c r="I176" s="234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</row>
    <row r="177">
      <c r="A177" s="208"/>
      <c r="B177" s="208"/>
      <c r="C177" s="208"/>
      <c r="D177" s="208"/>
      <c r="E177" s="208"/>
      <c r="F177" s="208"/>
      <c r="G177" s="208"/>
      <c r="H177" s="208"/>
      <c r="I177" s="234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</row>
    <row r="178">
      <c r="A178" s="208"/>
      <c r="B178" s="208"/>
      <c r="C178" s="208"/>
      <c r="D178" s="208"/>
      <c r="E178" s="208"/>
      <c r="F178" s="208"/>
      <c r="G178" s="208"/>
      <c r="H178" s="208"/>
      <c r="I178" s="234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</row>
    <row r="179">
      <c r="A179" s="208"/>
      <c r="B179" s="208"/>
      <c r="C179" s="208"/>
      <c r="D179" s="208"/>
      <c r="E179" s="208"/>
      <c r="F179" s="208"/>
      <c r="G179" s="208"/>
      <c r="H179" s="208"/>
      <c r="I179" s="234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</row>
    <row r="180">
      <c r="A180" s="208"/>
      <c r="B180" s="208"/>
      <c r="C180" s="208"/>
      <c r="D180" s="208"/>
      <c r="E180" s="208"/>
      <c r="F180" s="208"/>
      <c r="G180" s="208"/>
      <c r="H180" s="208"/>
      <c r="I180" s="234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</row>
    <row r="181">
      <c r="A181" s="208"/>
      <c r="B181" s="208"/>
      <c r="C181" s="208"/>
      <c r="D181" s="208"/>
      <c r="E181" s="208"/>
      <c r="F181" s="208"/>
      <c r="G181" s="208"/>
      <c r="H181" s="208"/>
      <c r="I181" s="234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</row>
    <row r="182">
      <c r="A182" s="208"/>
      <c r="B182" s="208"/>
      <c r="C182" s="208"/>
      <c r="D182" s="208"/>
      <c r="E182" s="208"/>
      <c r="F182" s="208"/>
      <c r="G182" s="208"/>
      <c r="H182" s="208"/>
      <c r="I182" s="234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</row>
    <row r="183">
      <c r="A183" s="208"/>
      <c r="B183" s="208"/>
      <c r="C183" s="208"/>
      <c r="D183" s="208"/>
      <c r="E183" s="208"/>
      <c r="F183" s="208"/>
      <c r="G183" s="208"/>
      <c r="H183" s="208"/>
      <c r="I183" s="234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</row>
    <row r="184">
      <c r="A184" s="208"/>
      <c r="B184" s="208"/>
      <c r="C184" s="208"/>
      <c r="D184" s="208"/>
      <c r="E184" s="208"/>
      <c r="F184" s="208"/>
      <c r="G184" s="208"/>
      <c r="H184" s="208"/>
      <c r="I184" s="234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</row>
    <row r="185">
      <c r="A185" s="208"/>
      <c r="B185" s="208"/>
      <c r="C185" s="208"/>
      <c r="D185" s="208"/>
      <c r="E185" s="208"/>
      <c r="F185" s="208"/>
      <c r="G185" s="208"/>
      <c r="H185" s="208"/>
      <c r="I185" s="234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</row>
    <row r="186">
      <c r="A186" s="208"/>
      <c r="B186" s="208"/>
      <c r="C186" s="208"/>
      <c r="D186" s="208"/>
      <c r="E186" s="208"/>
      <c r="F186" s="208"/>
      <c r="G186" s="208"/>
      <c r="H186" s="208"/>
      <c r="I186" s="234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</row>
    <row r="187">
      <c r="A187" s="208"/>
      <c r="B187" s="208"/>
      <c r="C187" s="208"/>
      <c r="D187" s="208"/>
      <c r="E187" s="208"/>
      <c r="F187" s="208"/>
      <c r="G187" s="208"/>
      <c r="H187" s="208"/>
      <c r="I187" s="234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</row>
    <row r="188">
      <c r="A188" s="208"/>
      <c r="B188" s="208"/>
      <c r="C188" s="208"/>
      <c r="D188" s="208"/>
      <c r="E188" s="208"/>
      <c r="F188" s="208"/>
      <c r="G188" s="208"/>
      <c r="H188" s="208"/>
      <c r="I188" s="234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</row>
    <row r="189">
      <c r="A189" s="208"/>
      <c r="B189" s="208"/>
      <c r="C189" s="208"/>
      <c r="D189" s="208"/>
      <c r="E189" s="208"/>
      <c r="F189" s="208"/>
      <c r="G189" s="208"/>
      <c r="H189" s="208"/>
      <c r="I189" s="234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</row>
    <row r="190">
      <c r="A190" s="208"/>
      <c r="B190" s="208"/>
      <c r="C190" s="208"/>
      <c r="D190" s="208"/>
      <c r="E190" s="208"/>
      <c r="F190" s="208"/>
      <c r="G190" s="208"/>
      <c r="H190" s="208"/>
      <c r="I190" s="234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</row>
    <row r="191">
      <c r="A191" s="208"/>
      <c r="B191" s="208"/>
      <c r="C191" s="208"/>
      <c r="D191" s="208"/>
      <c r="E191" s="208"/>
      <c r="F191" s="208"/>
      <c r="G191" s="208"/>
      <c r="H191" s="208"/>
      <c r="I191" s="234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</row>
    <row r="192">
      <c r="A192" s="208"/>
      <c r="B192" s="208"/>
      <c r="C192" s="208"/>
      <c r="D192" s="208"/>
      <c r="E192" s="208"/>
      <c r="F192" s="208"/>
      <c r="G192" s="208"/>
      <c r="H192" s="208"/>
      <c r="I192" s="234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</row>
    <row r="193">
      <c r="A193" s="208"/>
      <c r="B193" s="208"/>
      <c r="C193" s="208"/>
      <c r="D193" s="208"/>
      <c r="E193" s="208"/>
      <c r="F193" s="208"/>
      <c r="G193" s="208"/>
      <c r="H193" s="208"/>
      <c r="I193" s="234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</row>
    <row r="194">
      <c r="A194" s="208"/>
      <c r="B194" s="208"/>
      <c r="C194" s="208"/>
      <c r="D194" s="208"/>
      <c r="E194" s="208"/>
      <c r="F194" s="208"/>
      <c r="G194" s="208"/>
      <c r="H194" s="208"/>
      <c r="I194" s="234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</row>
    <row r="195">
      <c r="A195" s="208"/>
      <c r="B195" s="208"/>
      <c r="C195" s="208"/>
      <c r="D195" s="208"/>
      <c r="E195" s="208"/>
      <c r="F195" s="208"/>
      <c r="G195" s="208"/>
      <c r="H195" s="208"/>
      <c r="I195" s="234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</row>
    <row r="196">
      <c r="A196" s="208"/>
      <c r="B196" s="208"/>
      <c r="C196" s="208"/>
      <c r="D196" s="208"/>
      <c r="E196" s="208"/>
      <c r="F196" s="208"/>
      <c r="G196" s="208"/>
      <c r="H196" s="208"/>
      <c r="I196" s="234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</row>
    <row r="197">
      <c r="A197" s="208"/>
      <c r="B197" s="208"/>
      <c r="C197" s="208"/>
      <c r="D197" s="208"/>
      <c r="E197" s="208"/>
      <c r="F197" s="208"/>
      <c r="G197" s="208"/>
      <c r="H197" s="208"/>
      <c r="I197" s="234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</row>
    <row r="198">
      <c r="A198" s="208"/>
      <c r="B198" s="208"/>
      <c r="C198" s="208"/>
      <c r="D198" s="208"/>
      <c r="E198" s="208"/>
      <c r="F198" s="208"/>
      <c r="G198" s="208"/>
      <c r="H198" s="208"/>
      <c r="I198" s="234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</row>
    <row r="199">
      <c r="A199" s="208"/>
      <c r="B199" s="208"/>
      <c r="C199" s="208"/>
      <c r="D199" s="208"/>
      <c r="E199" s="208"/>
      <c r="F199" s="208"/>
      <c r="G199" s="208"/>
      <c r="H199" s="208"/>
      <c r="I199" s="234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</row>
    <row r="200">
      <c r="A200" s="208"/>
      <c r="B200" s="208"/>
      <c r="C200" s="208"/>
      <c r="D200" s="208"/>
      <c r="E200" s="208"/>
      <c r="F200" s="208"/>
      <c r="G200" s="208"/>
      <c r="H200" s="208"/>
      <c r="I200" s="234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</row>
    <row r="201">
      <c r="A201" s="208"/>
      <c r="B201" s="208"/>
      <c r="C201" s="208"/>
      <c r="D201" s="208"/>
      <c r="E201" s="208"/>
      <c r="F201" s="208"/>
      <c r="G201" s="208"/>
      <c r="H201" s="208"/>
      <c r="I201" s="234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</row>
    <row r="202">
      <c r="A202" s="208"/>
      <c r="B202" s="208"/>
      <c r="C202" s="208"/>
      <c r="D202" s="208"/>
      <c r="E202" s="208"/>
      <c r="F202" s="208"/>
      <c r="G202" s="208"/>
      <c r="H202" s="208"/>
      <c r="I202" s="234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</row>
    <row r="203">
      <c r="A203" s="208"/>
      <c r="B203" s="208"/>
      <c r="C203" s="208"/>
      <c r="D203" s="208"/>
      <c r="E203" s="208"/>
      <c r="F203" s="208"/>
      <c r="G203" s="208"/>
      <c r="H203" s="208"/>
      <c r="I203" s="234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</row>
    <row r="204">
      <c r="A204" s="208"/>
      <c r="B204" s="208"/>
      <c r="C204" s="208"/>
      <c r="D204" s="208"/>
      <c r="E204" s="208"/>
      <c r="F204" s="208"/>
      <c r="G204" s="208"/>
      <c r="H204" s="208"/>
      <c r="I204" s="234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</row>
    <row r="205">
      <c r="A205" s="208"/>
      <c r="B205" s="208"/>
      <c r="C205" s="208"/>
      <c r="D205" s="208"/>
      <c r="E205" s="208"/>
      <c r="F205" s="208"/>
      <c r="G205" s="208"/>
      <c r="H205" s="208"/>
      <c r="I205" s="234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</row>
    <row r="206">
      <c r="A206" s="208"/>
      <c r="B206" s="208"/>
      <c r="C206" s="208"/>
      <c r="D206" s="208"/>
      <c r="E206" s="208"/>
      <c r="F206" s="208"/>
      <c r="G206" s="208"/>
      <c r="H206" s="208"/>
      <c r="I206" s="234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</row>
    <row r="207">
      <c r="A207" s="208"/>
      <c r="B207" s="208"/>
      <c r="C207" s="208"/>
      <c r="D207" s="208"/>
      <c r="E207" s="208"/>
      <c r="F207" s="208"/>
      <c r="G207" s="208"/>
      <c r="H207" s="208"/>
      <c r="I207" s="234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</row>
    <row r="208">
      <c r="A208" s="208"/>
      <c r="B208" s="208"/>
      <c r="C208" s="208"/>
      <c r="D208" s="208"/>
      <c r="E208" s="208"/>
      <c r="F208" s="208"/>
      <c r="G208" s="208"/>
      <c r="H208" s="208"/>
      <c r="I208" s="234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</row>
    <row r="209">
      <c r="A209" s="208"/>
      <c r="B209" s="208"/>
      <c r="C209" s="208"/>
      <c r="D209" s="208"/>
      <c r="E209" s="208"/>
      <c r="F209" s="208"/>
      <c r="G209" s="208"/>
      <c r="H209" s="208"/>
      <c r="I209" s="234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</row>
    <row r="210">
      <c r="A210" s="208"/>
      <c r="B210" s="208"/>
      <c r="C210" s="208"/>
      <c r="D210" s="208"/>
      <c r="E210" s="208"/>
      <c r="F210" s="208"/>
      <c r="G210" s="208"/>
      <c r="H210" s="208"/>
      <c r="I210" s="234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</row>
    <row r="211">
      <c r="A211" s="208"/>
      <c r="B211" s="208"/>
      <c r="C211" s="208"/>
      <c r="D211" s="208"/>
      <c r="E211" s="208"/>
      <c r="F211" s="208"/>
      <c r="G211" s="208"/>
      <c r="H211" s="208"/>
      <c r="I211" s="234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</row>
    <row r="212">
      <c r="A212" s="208"/>
      <c r="B212" s="208"/>
      <c r="C212" s="208"/>
      <c r="D212" s="208"/>
      <c r="E212" s="208"/>
      <c r="F212" s="208"/>
      <c r="G212" s="208"/>
      <c r="H212" s="208"/>
      <c r="I212" s="234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</row>
    <row r="213">
      <c r="A213" s="208"/>
      <c r="B213" s="208"/>
      <c r="C213" s="208"/>
      <c r="D213" s="208"/>
      <c r="E213" s="208"/>
      <c r="F213" s="208"/>
      <c r="G213" s="208"/>
      <c r="H213" s="208"/>
      <c r="I213" s="234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</row>
    <row r="214">
      <c r="A214" s="208"/>
      <c r="B214" s="208"/>
      <c r="C214" s="208"/>
      <c r="D214" s="208"/>
      <c r="E214" s="208"/>
      <c r="F214" s="208"/>
      <c r="G214" s="208"/>
      <c r="H214" s="208"/>
      <c r="I214" s="234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</row>
    <row r="215">
      <c r="A215" s="208"/>
      <c r="B215" s="208"/>
      <c r="C215" s="208"/>
      <c r="D215" s="208"/>
      <c r="E215" s="208"/>
      <c r="F215" s="208"/>
      <c r="G215" s="208"/>
      <c r="H215" s="208"/>
      <c r="I215" s="234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</row>
    <row r="216">
      <c r="A216" s="208"/>
      <c r="B216" s="208"/>
      <c r="C216" s="208"/>
      <c r="D216" s="208"/>
      <c r="E216" s="208"/>
      <c r="F216" s="208"/>
      <c r="G216" s="208"/>
      <c r="H216" s="208"/>
      <c r="I216" s="234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</row>
    <row r="217">
      <c r="A217" s="208"/>
      <c r="B217" s="208"/>
      <c r="C217" s="208"/>
      <c r="D217" s="208"/>
      <c r="E217" s="208"/>
      <c r="F217" s="208"/>
      <c r="G217" s="208"/>
      <c r="H217" s="208"/>
      <c r="I217" s="234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</row>
    <row r="218">
      <c r="A218" s="208"/>
      <c r="B218" s="208"/>
      <c r="C218" s="208"/>
      <c r="D218" s="208"/>
      <c r="E218" s="208"/>
      <c r="F218" s="208"/>
      <c r="G218" s="208"/>
      <c r="H218" s="208"/>
      <c r="I218" s="234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</row>
    <row r="219">
      <c r="A219" s="208"/>
      <c r="B219" s="208"/>
      <c r="C219" s="208"/>
      <c r="D219" s="208"/>
      <c r="E219" s="208"/>
      <c r="F219" s="208"/>
      <c r="G219" s="208"/>
      <c r="H219" s="208"/>
      <c r="I219" s="234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</row>
    <row r="220">
      <c r="A220" s="208"/>
      <c r="B220" s="208"/>
      <c r="C220" s="208"/>
      <c r="D220" s="208"/>
      <c r="E220" s="208"/>
      <c r="F220" s="208"/>
      <c r="G220" s="208"/>
      <c r="H220" s="208"/>
      <c r="I220" s="234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</row>
    <row r="221">
      <c r="A221" s="208"/>
      <c r="B221" s="208"/>
      <c r="C221" s="208"/>
      <c r="D221" s="208"/>
      <c r="E221" s="208"/>
      <c r="F221" s="208"/>
      <c r="G221" s="208"/>
      <c r="H221" s="208"/>
      <c r="I221" s="234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</row>
    <row r="222">
      <c r="A222" s="208"/>
      <c r="B222" s="208"/>
      <c r="C222" s="208"/>
      <c r="D222" s="208"/>
      <c r="E222" s="208"/>
      <c r="F222" s="208"/>
      <c r="G222" s="208"/>
      <c r="H222" s="208"/>
      <c r="I222" s="234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</row>
    <row r="223">
      <c r="A223" s="208"/>
      <c r="B223" s="208"/>
      <c r="C223" s="208"/>
      <c r="D223" s="208"/>
      <c r="E223" s="208"/>
      <c r="F223" s="208"/>
      <c r="G223" s="208"/>
      <c r="H223" s="208"/>
      <c r="I223" s="234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</row>
    <row r="224">
      <c r="A224" s="208"/>
      <c r="B224" s="208"/>
      <c r="C224" s="208"/>
      <c r="D224" s="208"/>
      <c r="E224" s="208"/>
      <c r="F224" s="208"/>
      <c r="G224" s="208"/>
      <c r="H224" s="208"/>
      <c r="I224" s="234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</row>
    <row r="225">
      <c r="A225" s="208"/>
      <c r="B225" s="208"/>
      <c r="C225" s="208"/>
      <c r="D225" s="208"/>
      <c r="E225" s="208"/>
      <c r="F225" s="208"/>
      <c r="G225" s="208"/>
      <c r="H225" s="208"/>
      <c r="I225" s="234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</row>
    <row r="226">
      <c r="A226" s="208"/>
      <c r="B226" s="208"/>
      <c r="C226" s="208"/>
      <c r="D226" s="208"/>
      <c r="E226" s="208"/>
      <c r="F226" s="208"/>
      <c r="G226" s="208"/>
      <c r="H226" s="208"/>
      <c r="I226" s="234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</row>
    <row r="227">
      <c r="A227" s="208"/>
      <c r="B227" s="208"/>
      <c r="C227" s="208"/>
      <c r="D227" s="208"/>
      <c r="E227" s="208"/>
      <c r="F227" s="208"/>
      <c r="G227" s="208"/>
      <c r="H227" s="208"/>
      <c r="I227" s="234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</row>
    <row r="228">
      <c r="A228" s="208"/>
      <c r="B228" s="208"/>
      <c r="C228" s="208"/>
      <c r="D228" s="208"/>
      <c r="E228" s="208"/>
      <c r="F228" s="208"/>
      <c r="G228" s="208"/>
      <c r="H228" s="208"/>
      <c r="I228" s="234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</row>
    <row r="229">
      <c r="A229" s="208"/>
      <c r="B229" s="208"/>
      <c r="C229" s="208"/>
      <c r="D229" s="208"/>
      <c r="E229" s="208"/>
      <c r="F229" s="208"/>
      <c r="G229" s="208"/>
      <c r="H229" s="208"/>
      <c r="I229" s="234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</row>
    <row r="230">
      <c r="A230" s="208"/>
      <c r="B230" s="208"/>
      <c r="C230" s="208"/>
      <c r="D230" s="208"/>
      <c r="E230" s="208"/>
      <c r="F230" s="208"/>
      <c r="G230" s="208"/>
      <c r="H230" s="208"/>
      <c r="I230" s="234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</row>
    <row r="231">
      <c r="A231" s="208"/>
      <c r="B231" s="208"/>
      <c r="C231" s="208"/>
      <c r="D231" s="208"/>
      <c r="E231" s="208"/>
      <c r="F231" s="208"/>
      <c r="G231" s="208"/>
      <c r="H231" s="208"/>
      <c r="I231" s="234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</row>
    <row r="232">
      <c r="A232" s="208"/>
      <c r="B232" s="208"/>
      <c r="C232" s="208"/>
      <c r="D232" s="208"/>
      <c r="E232" s="208"/>
      <c r="F232" s="208"/>
      <c r="G232" s="208"/>
      <c r="H232" s="208"/>
      <c r="I232" s="234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</row>
    <row r="233">
      <c r="A233" s="208"/>
      <c r="B233" s="208"/>
      <c r="C233" s="208"/>
      <c r="D233" s="208"/>
      <c r="E233" s="208"/>
      <c r="F233" s="208"/>
      <c r="G233" s="208"/>
      <c r="H233" s="208"/>
      <c r="I233" s="234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</row>
    <row r="234">
      <c r="A234" s="208"/>
      <c r="B234" s="208"/>
      <c r="C234" s="208"/>
      <c r="D234" s="208"/>
      <c r="E234" s="208"/>
      <c r="F234" s="208"/>
      <c r="G234" s="208"/>
      <c r="H234" s="208"/>
      <c r="I234" s="234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</row>
    <row r="235">
      <c r="A235" s="208"/>
      <c r="B235" s="208"/>
      <c r="C235" s="208"/>
      <c r="D235" s="208"/>
      <c r="E235" s="208"/>
      <c r="F235" s="208"/>
      <c r="G235" s="208"/>
      <c r="H235" s="208"/>
      <c r="I235" s="234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</row>
    <row r="236">
      <c r="A236" s="208"/>
      <c r="B236" s="208"/>
      <c r="C236" s="208"/>
      <c r="D236" s="208"/>
      <c r="E236" s="208"/>
      <c r="F236" s="208"/>
      <c r="G236" s="208"/>
      <c r="H236" s="208"/>
      <c r="I236" s="234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</row>
    <row r="237">
      <c r="A237" s="208"/>
      <c r="B237" s="208"/>
      <c r="C237" s="208"/>
      <c r="D237" s="208"/>
      <c r="E237" s="208"/>
      <c r="F237" s="208"/>
      <c r="G237" s="208"/>
      <c r="H237" s="208"/>
      <c r="I237" s="234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</row>
    <row r="238">
      <c r="A238" s="208"/>
      <c r="B238" s="208"/>
      <c r="C238" s="208"/>
      <c r="D238" s="208"/>
      <c r="E238" s="208"/>
      <c r="F238" s="208"/>
      <c r="G238" s="208"/>
      <c r="H238" s="208"/>
      <c r="I238" s="234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</row>
    <row r="239">
      <c r="A239" s="208"/>
      <c r="B239" s="208"/>
      <c r="C239" s="208"/>
      <c r="D239" s="208"/>
      <c r="E239" s="208"/>
      <c r="F239" s="208"/>
      <c r="G239" s="208"/>
      <c r="H239" s="208"/>
      <c r="I239" s="234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</row>
    <row r="240">
      <c r="A240" s="208"/>
      <c r="B240" s="208"/>
      <c r="C240" s="208"/>
      <c r="D240" s="208"/>
      <c r="E240" s="208"/>
      <c r="F240" s="208"/>
      <c r="G240" s="208"/>
      <c r="H240" s="208"/>
      <c r="I240" s="234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</row>
    <row r="241">
      <c r="A241" s="208"/>
      <c r="B241" s="208"/>
      <c r="C241" s="208"/>
      <c r="D241" s="208"/>
      <c r="E241" s="208"/>
      <c r="F241" s="208"/>
      <c r="G241" s="208"/>
      <c r="H241" s="208"/>
      <c r="I241" s="234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</row>
    <row r="242">
      <c r="A242" s="208"/>
      <c r="B242" s="208"/>
      <c r="C242" s="208"/>
      <c r="D242" s="208"/>
      <c r="E242" s="208"/>
      <c r="F242" s="208"/>
      <c r="G242" s="208"/>
      <c r="H242" s="208"/>
      <c r="I242" s="234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</row>
    <row r="243">
      <c r="A243" s="208"/>
      <c r="B243" s="208"/>
      <c r="C243" s="208"/>
      <c r="D243" s="208"/>
      <c r="E243" s="208"/>
      <c r="F243" s="208"/>
      <c r="G243" s="208"/>
      <c r="H243" s="208"/>
      <c r="I243" s="234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</row>
    <row r="244">
      <c r="A244" s="208"/>
      <c r="B244" s="208"/>
      <c r="C244" s="208"/>
      <c r="D244" s="208"/>
      <c r="E244" s="208"/>
      <c r="F244" s="208"/>
      <c r="G244" s="208"/>
      <c r="H244" s="208"/>
      <c r="I244" s="234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</row>
    <row r="245">
      <c r="A245" s="208"/>
      <c r="B245" s="208"/>
      <c r="C245" s="208"/>
      <c r="D245" s="208"/>
      <c r="E245" s="208"/>
      <c r="F245" s="208"/>
      <c r="G245" s="208"/>
      <c r="H245" s="208"/>
      <c r="I245" s="234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</row>
    <row r="246">
      <c r="A246" s="208"/>
      <c r="B246" s="208"/>
      <c r="C246" s="208"/>
      <c r="D246" s="208"/>
      <c r="E246" s="208"/>
      <c r="F246" s="208"/>
      <c r="G246" s="208"/>
      <c r="H246" s="208"/>
      <c r="I246" s="234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</row>
    <row r="247">
      <c r="A247" s="208"/>
      <c r="B247" s="208"/>
      <c r="C247" s="208"/>
      <c r="D247" s="208"/>
      <c r="E247" s="208"/>
      <c r="F247" s="208"/>
      <c r="G247" s="208"/>
      <c r="H247" s="208"/>
      <c r="I247" s="234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</row>
    <row r="248">
      <c r="A248" s="208"/>
      <c r="B248" s="208"/>
      <c r="C248" s="208"/>
      <c r="D248" s="208"/>
      <c r="E248" s="208"/>
      <c r="F248" s="208"/>
      <c r="G248" s="208"/>
      <c r="H248" s="208"/>
      <c r="I248" s="234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</row>
    <row r="249">
      <c r="A249" s="208"/>
      <c r="B249" s="208"/>
      <c r="C249" s="208"/>
      <c r="D249" s="208"/>
      <c r="E249" s="208"/>
      <c r="F249" s="208"/>
      <c r="G249" s="208"/>
      <c r="H249" s="208"/>
      <c r="I249" s="234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</row>
    <row r="250">
      <c r="A250" s="208"/>
      <c r="B250" s="208"/>
      <c r="C250" s="208"/>
      <c r="D250" s="208"/>
      <c r="E250" s="208"/>
      <c r="F250" s="208"/>
      <c r="G250" s="208"/>
      <c r="H250" s="208"/>
      <c r="I250" s="234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</row>
    <row r="251">
      <c r="A251" s="208"/>
      <c r="B251" s="208"/>
      <c r="C251" s="208"/>
      <c r="D251" s="208"/>
      <c r="E251" s="208"/>
      <c r="F251" s="208"/>
      <c r="G251" s="208"/>
      <c r="H251" s="208"/>
      <c r="I251" s="234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</row>
    <row r="252">
      <c r="A252" s="208"/>
      <c r="B252" s="208"/>
      <c r="C252" s="208"/>
      <c r="D252" s="208"/>
      <c r="E252" s="208"/>
      <c r="F252" s="208"/>
      <c r="G252" s="208"/>
      <c r="H252" s="208"/>
      <c r="I252" s="234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</row>
    <row r="253">
      <c r="A253" s="208"/>
      <c r="B253" s="208"/>
      <c r="C253" s="208"/>
      <c r="D253" s="208"/>
      <c r="E253" s="208"/>
      <c r="F253" s="208"/>
      <c r="G253" s="208"/>
      <c r="H253" s="208"/>
      <c r="I253" s="234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</row>
    <row r="254">
      <c r="A254" s="208"/>
      <c r="B254" s="208"/>
      <c r="C254" s="208"/>
      <c r="D254" s="208"/>
      <c r="E254" s="208"/>
      <c r="F254" s="208"/>
      <c r="G254" s="208"/>
      <c r="H254" s="208"/>
      <c r="I254" s="234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</row>
    <row r="255">
      <c r="A255" s="208"/>
      <c r="B255" s="208"/>
      <c r="C255" s="208"/>
      <c r="D255" s="208"/>
      <c r="E255" s="208"/>
      <c r="F255" s="208"/>
      <c r="G255" s="208"/>
      <c r="H255" s="208"/>
      <c r="I255" s="234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</row>
    <row r="256">
      <c r="A256" s="208"/>
      <c r="B256" s="208"/>
      <c r="C256" s="208"/>
      <c r="D256" s="208"/>
      <c r="E256" s="208"/>
      <c r="F256" s="208"/>
      <c r="G256" s="208"/>
      <c r="H256" s="208"/>
      <c r="I256" s="234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</row>
    <row r="257">
      <c r="A257" s="208"/>
      <c r="B257" s="208"/>
      <c r="C257" s="208"/>
      <c r="D257" s="208"/>
      <c r="E257" s="208"/>
      <c r="F257" s="208"/>
      <c r="G257" s="208"/>
      <c r="H257" s="208"/>
      <c r="I257" s="234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</row>
    <row r="258">
      <c r="A258" s="208"/>
      <c r="B258" s="208"/>
      <c r="C258" s="208"/>
      <c r="D258" s="208"/>
      <c r="E258" s="208"/>
      <c r="F258" s="208"/>
      <c r="G258" s="208"/>
      <c r="H258" s="208"/>
      <c r="I258" s="234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</row>
    <row r="259">
      <c r="A259" s="208"/>
      <c r="B259" s="208"/>
      <c r="C259" s="208"/>
      <c r="D259" s="208"/>
      <c r="E259" s="208"/>
      <c r="F259" s="208"/>
      <c r="G259" s="208"/>
      <c r="H259" s="208"/>
      <c r="I259" s="234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</row>
    <row r="260">
      <c r="A260" s="208"/>
      <c r="B260" s="208"/>
      <c r="C260" s="208"/>
      <c r="D260" s="208"/>
      <c r="E260" s="208"/>
      <c r="F260" s="208"/>
      <c r="G260" s="208"/>
      <c r="H260" s="208"/>
      <c r="I260" s="234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</row>
    <row r="261">
      <c r="A261" s="208"/>
      <c r="B261" s="208"/>
      <c r="C261" s="208"/>
      <c r="D261" s="208"/>
      <c r="E261" s="208"/>
      <c r="F261" s="208"/>
      <c r="G261" s="208"/>
      <c r="H261" s="208"/>
      <c r="I261" s="234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</row>
    <row r="262">
      <c r="A262" s="208"/>
      <c r="B262" s="208"/>
      <c r="C262" s="208"/>
      <c r="D262" s="208"/>
      <c r="E262" s="208"/>
      <c r="F262" s="208"/>
      <c r="G262" s="208"/>
      <c r="H262" s="208"/>
      <c r="I262" s="234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</row>
    <row r="263">
      <c r="A263" s="208"/>
      <c r="B263" s="208"/>
      <c r="C263" s="208"/>
      <c r="D263" s="208"/>
      <c r="E263" s="208"/>
      <c r="F263" s="208"/>
      <c r="G263" s="208"/>
      <c r="H263" s="208"/>
      <c r="I263" s="234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</row>
    <row r="264">
      <c r="A264" s="208"/>
      <c r="B264" s="208"/>
      <c r="C264" s="208"/>
      <c r="D264" s="208"/>
      <c r="E264" s="208"/>
      <c r="F264" s="208"/>
      <c r="G264" s="208"/>
      <c r="H264" s="208"/>
      <c r="I264" s="234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</row>
    <row r="265">
      <c r="A265" s="208"/>
      <c r="B265" s="208"/>
      <c r="C265" s="208"/>
      <c r="D265" s="208"/>
      <c r="E265" s="208"/>
      <c r="F265" s="208"/>
      <c r="G265" s="208"/>
      <c r="H265" s="208"/>
      <c r="I265" s="234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</row>
    <row r="266">
      <c r="A266" s="208"/>
      <c r="B266" s="208"/>
      <c r="C266" s="208"/>
      <c r="D266" s="208"/>
      <c r="E266" s="208"/>
      <c r="F266" s="208"/>
      <c r="G266" s="208"/>
      <c r="H266" s="208"/>
      <c r="I266" s="234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</row>
    <row r="267">
      <c r="A267" s="208"/>
      <c r="B267" s="208"/>
      <c r="C267" s="208"/>
      <c r="D267" s="208"/>
      <c r="E267" s="208"/>
      <c r="F267" s="208"/>
      <c r="G267" s="208"/>
      <c r="H267" s="208"/>
      <c r="I267" s="234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</row>
    <row r="268">
      <c r="A268" s="208"/>
      <c r="B268" s="208"/>
      <c r="C268" s="208"/>
      <c r="D268" s="208"/>
      <c r="E268" s="208"/>
      <c r="F268" s="208"/>
      <c r="G268" s="208"/>
      <c r="H268" s="208"/>
      <c r="I268" s="234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</row>
    <row r="269">
      <c r="A269" s="208"/>
      <c r="B269" s="208"/>
      <c r="C269" s="208"/>
      <c r="D269" s="208"/>
      <c r="E269" s="208"/>
      <c r="F269" s="208"/>
      <c r="G269" s="208"/>
      <c r="H269" s="208"/>
      <c r="I269" s="234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</row>
    <row r="270">
      <c r="A270" s="208"/>
      <c r="B270" s="208"/>
      <c r="C270" s="208"/>
      <c r="D270" s="208"/>
      <c r="E270" s="208"/>
      <c r="F270" s="208"/>
      <c r="G270" s="208"/>
      <c r="H270" s="208"/>
      <c r="I270" s="234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</row>
    <row r="271">
      <c r="A271" s="208"/>
      <c r="B271" s="208"/>
      <c r="C271" s="208"/>
      <c r="D271" s="208"/>
      <c r="E271" s="208"/>
      <c r="F271" s="208"/>
      <c r="G271" s="208"/>
      <c r="H271" s="208"/>
      <c r="I271" s="234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</row>
    <row r="272">
      <c r="A272" s="208"/>
      <c r="B272" s="208"/>
      <c r="C272" s="208"/>
      <c r="D272" s="208"/>
      <c r="E272" s="208"/>
      <c r="F272" s="208"/>
      <c r="G272" s="208"/>
      <c r="H272" s="208"/>
      <c r="I272" s="234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</row>
    <row r="273">
      <c r="A273" s="208"/>
      <c r="B273" s="208"/>
      <c r="C273" s="208"/>
      <c r="D273" s="208"/>
      <c r="E273" s="208"/>
      <c r="F273" s="208"/>
      <c r="G273" s="208"/>
      <c r="H273" s="208"/>
      <c r="I273" s="234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</row>
    <row r="274">
      <c r="A274" s="208"/>
      <c r="B274" s="208"/>
      <c r="C274" s="208"/>
      <c r="D274" s="208"/>
      <c r="E274" s="208"/>
      <c r="F274" s="208"/>
      <c r="G274" s="208"/>
      <c r="H274" s="208"/>
      <c r="I274" s="234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</row>
    <row r="275">
      <c r="A275" s="208"/>
      <c r="B275" s="208"/>
      <c r="C275" s="208"/>
      <c r="D275" s="208"/>
      <c r="E275" s="208"/>
      <c r="F275" s="208"/>
      <c r="G275" s="208"/>
      <c r="H275" s="208"/>
      <c r="I275" s="234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</row>
    <row r="276">
      <c r="A276" s="208"/>
      <c r="B276" s="208"/>
      <c r="C276" s="208"/>
      <c r="D276" s="208"/>
      <c r="E276" s="208"/>
      <c r="F276" s="208"/>
      <c r="G276" s="208"/>
      <c r="H276" s="208"/>
      <c r="I276" s="234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</row>
    <row r="277">
      <c r="A277" s="208"/>
      <c r="B277" s="208"/>
      <c r="C277" s="208"/>
      <c r="D277" s="208"/>
      <c r="E277" s="208"/>
      <c r="F277" s="208"/>
      <c r="G277" s="208"/>
      <c r="H277" s="208"/>
      <c r="I277" s="234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</row>
    <row r="278">
      <c r="A278" s="208"/>
      <c r="B278" s="208"/>
      <c r="C278" s="208"/>
      <c r="D278" s="208"/>
      <c r="E278" s="208"/>
      <c r="F278" s="208"/>
      <c r="G278" s="208"/>
      <c r="H278" s="208"/>
      <c r="I278" s="234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</row>
    <row r="279">
      <c r="A279" s="208"/>
      <c r="B279" s="208"/>
      <c r="C279" s="208"/>
      <c r="D279" s="208"/>
      <c r="E279" s="208"/>
      <c r="F279" s="208"/>
      <c r="G279" s="208"/>
      <c r="H279" s="208"/>
      <c r="I279" s="234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</row>
    <row r="280">
      <c r="A280" s="208"/>
      <c r="B280" s="208"/>
      <c r="C280" s="208"/>
      <c r="D280" s="208"/>
      <c r="E280" s="208"/>
      <c r="F280" s="208"/>
      <c r="G280" s="208"/>
      <c r="H280" s="208"/>
      <c r="I280" s="234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</row>
    <row r="281">
      <c r="A281" s="208"/>
      <c r="B281" s="208"/>
      <c r="C281" s="208"/>
      <c r="D281" s="208"/>
      <c r="E281" s="208"/>
      <c r="F281" s="208"/>
      <c r="G281" s="208"/>
      <c r="H281" s="208"/>
      <c r="I281" s="234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</row>
    <row r="282">
      <c r="A282" s="208"/>
      <c r="B282" s="208"/>
      <c r="C282" s="208"/>
      <c r="D282" s="208"/>
      <c r="E282" s="208"/>
      <c r="F282" s="208"/>
      <c r="G282" s="208"/>
      <c r="H282" s="208"/>
      <c r="I282" s="234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</row>
    <row r="283">
      <c r="A283" s="208"/>
      <c r="B283" s="208"/>
      <c r="C283" s="208"/>
      <c r="D283" s="208"/>
      <c r="E283" s="208"/>
      <c r="F283" s="208"/>
      <c r="G283" s="208"/>
      <c r="H283" s="208"/>
      <c r="I283" s="234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</row>
    <row r="284">
      <c r="A284" s="208"/>
      <c r="B284" s="208"/>
      <c r="C284" s="208"/>
      <c r="D284" s="208"/>
      <c r="E284" s="208"/>
      <c r="F284" s="208"/>
      <c r="G284" s="208"/>
      <c r="H284" s="208"/>
      <c r="I284" s="234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</row>
    <row r="285">
      <c r="A285" s="208"/>
      <c r="B285" s="208"/>
      <c r="C285" s="208"/>
      <c r="D285" s="208"/>
      <c r="E285" s="208"/>
      <c r="F285" s="208"/>
      <c r="G285" s="208"/>
      <c r="H285" s="208"/>
      <c r="I285" s="234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</row>
    <row r="286">
      <c r="A286" s="208"/>
      <c r="B286" s="208"/>
      <c r="C286" s="208"/>
      <c r="D286" s="208"/>
      <c r="E286" s="208"/>
      <c r="F286" s="208"/>
      <c r="G286" s="208"/>
      <c r="H286" s="208"/>
      <c r="I286" s="234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</row>
    <row r="287">
      <c r="A287" s="208"/>
      <c r="B287" s="208"/>
      <c r="C287" s="208"/>
      <c r="D287" s="208"/>
      <c r="E287" s="208"/>
      <c r="F287" s="208"/>
      <c r="G287" s="208"/>
      <c r="H287" s="208"/>
      <c r="I287" s="234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</row>
    <row r="288">
      <c r="A288" s="208"/>
      <c r="B288" s="208"/>
      <c r="C288" s="208"/>
      <c r="D288" s="208"/>
      <c r="E288" s="208"/>
      <c r="F288" s="208"/>
      <c r="G288" s="208"/>
      <c r="H288" s="208"/>
      <c r="I288" s="234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</row>
    <row r="289">
      <c r="A289" s="208"/>
      <c r="B289" s="208"/>
      <c r="C289" s="208"/>
      <c r="D289" s="208"/>
      <c r="E289" s="208"/>
      <c r="F289" s="208"/>
      <c r="G289" s="208"/>
      <c r="H289" s="208"/>
      <c r="I289" s="234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</row>
    <row r="290">
      <c r="A290" s="208"/>
      <c r="B290" s="208"/>
      <c r="C290" s="208"/>
      <c r="D290" s="208"/>
      <c r="E290" s="208"/>
      <c r="F290" s="208"/>
      <c r="G290" s="208"/>
      <c r="H290" s="208"/>
      <c r="I290" s="234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</row>
    <row r="291">
      <c r="A291" s="208"/>
      <c r="B291" s="208"/>
      <c r="C291" s="208"/>
      <c r="D291" s="208"/>
      <c r="E291" s="208"/>
      <c r="F291" s="208"/>
      <c r="G291" s="208"/>
      <c r="H291" s="208"/>
      <c r="I291" s="234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</row>
    <row r="292">
      <c r="A292" s="208"/>
      <c r="B292" s="208"/>
      <c r="C292" s="208"/>
      <c r="D292" s="208"/>
      <c r="E292" s="208"/>
      <c r="F292" s="208"/>
      <c r="G292" s="208"/>
      <c r="H292" s="208"/>
      <c r="I292" s="234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</row>
    <row r="293">
      <c r="A293" s="208"/>
      <c r="B293" s="208"/>
      <c r="C293" s="208"/>
      <c r="D293" s="208"/>
      <c r="E293" s="208"/>
      <c r="F293" s="208"/>
      <c r="G293" s="208"/>
      <c r="H293" s="208"/>
      <c r="I293" s="234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</row>
    <row r="294">
      <c r="A294" s="208"/>
      <c r="B294" s="208"/>
      <c r="C294" s="208"/>
      <c r="D294" s="208"/>
      <c r="E294" s="208"/>
      <c r="F294" s="208"/>
      <c r="G294" s="208"/>
      <c r="H294" s="208"/>
      <c r="I294" s="234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</row>
    <row r="295">
      <c r="A295" s="208"/>
      <c r="B295" s="208"/>
      <c r="C295" s="208"/>
      <c r="D295" s="208"/>
      <c r="E295" s="208"/>
      <c r="F295" s="208"/>
      <c r="G295" s="208"/>
      <c r="H295" s="208"/>
      <c r="I295" s="234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</row>
    <row r="296">
      <c r="A296" s="208"/>
      <c r="B296" s="208"/>
      <c r="C296" s="208"/>
      <c r="D296" s="208"/>
      <c r="E296" s="208"/>
      <c r="F296" s="208"/>
      <c r="G296" s="208"/>
      <c r="H296" s="208"/>
      <c r="I296" s="234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</row>
    <row r="297">
      <c r="A297" s="208"/>
      <c r="B297" s="208"/>
      <c r="C297" s="208"/>
      <c r="D297" s="208"/>
      <c r="E297" s="208"/>
      <c r="F297" s="208"/>
      <c r="G297" s="208"/>
      <c r="H297" s="208"/>
      <c r="I297" s="234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</row>
    <row r="298">
      <c r="A298" s="208"/>
      <c r="B298" s="208"/>
      <c r="C298" s="208"/>
      <c r="D298" s="208"/>
      <c r="E298" s="208"/>
      <c r="F298" s="208"/>
      <c r="G298" s="208"/>
      <c r="H298" s="208"/>
      <c r="I298" s="234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</row>
    <row r="299">
      <c r="A299" s="208"/>
      <c r="B299" s="208"/>
      <c r="C299" s="208"/>
      <c r="D299" s="208"/>
      <c r="E299" s="208"/>
      <c r="F299" s="208"/>
      <c r="G299" s="208"/>
      <c r="H299" s="208"/>
      <c r="I299" s="234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</row>
    <row r="300">
      <c r="A300" s="208"/>
      <c r="B300" s="208"/>
      <c r="C300" s="208"/>
      <c r="D300" s="208"/>
      <c r="E300" s="208"/>
      <c r="F300" s="208"/>
      <c r="G300" s="208"/>
      <c r="H300" s="208"/>
      <c r="I300" s="234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</row>
    <row r="301">
      <c r="A301" s="208"/>
      <c r="B301" s="208"/>
      <c r="C301" s="208"/>
      <c r="D301" s="208"/>
      <c r="E301" s="208"/>
      <c r="F301" s="208"/>
      <c r="G301" s="208"/>
      <c r="H301" s="208"/>
      <c r="I301" s="234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</row>
    <row r="302">
      <c r="A302" s="208"/>
      <c r="B302" s="208"/>
      <c r="C302" s="208"/>
      <c r="D302" s="208"/>
      <c r="E302" s="208"/>
      <c r="F302" s="208"/>
      <c r="G302" s="208"/>
      <c r="H302" s="208"/>
      <c r="I302" s="234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</row>
    <row r="303">
      <c r="A303" s="208"/>
      <c r="B303" s="208"/>
      <c r="C303" s="208"/>
      <c r="D303" s="208"/>
      <c r="E303" s="208"/>
      <c r="F303" s="208"/>
      <c r="G303" s="208"/>
      <c r="H303" s="208"/>
      <c r="I303" s="234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</row>
    <row r="304">
      <c r="A304" s="208"/>
      <c r="B304" s="208"/>
      <c r="C304" s="208"/>
      <c r="D304" s="208"/>
      <c r="E304" s="208"/>
      <c r="F304" s="208"/>
      <c r="G304" s="208"/>
      <c r="H304" s="208"/>
      <c r="I304" s="234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</row>
    <row r="305">
      <c r="A305" s="208"/>
      <c r="B305" s="208"/>
      <c r="C305" s="208"/>
      <c r="D305" s="208"/>
      <c r="E305" s="208"/>
      <c r="F305" s="208"/>
      <c r="G305" s="208"/>
      <c r="H305" s="208"/>
      <c r="I305" s="234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</row>
    <row r="306">
      <c r="A306" s="208"/>
      <c r="B306" s="208"/>
      <c r="C306" s="208"/>
      <c r="D306" s="208"/>
      <c r="E306" s="208"/>
      <c r="F306" s="208"/>
      <c r="G306" s="208"/>
      <c r="H306" s="208"/>
      <c r="I306" s="234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</row>
    <row r="307">
      <c r="A307" s="208"/>
      <c r="B307" s="208"/>
      <c r="C307" s="208"/>
      <c r="D307" s="208"/>
      <c r="E307" s="208"/>
      <c r="F307" s="208"/>
      <c r="G307" s="208"/>
      <c r="H307" s="208"/>
      <c r="I307" s="234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</row>
    <row r="308">
      <c r="A308" s="208"/>
      <c r="B308" s="208"/>
      <c r="C308" s="208"/>
      <c r="D308" s="208"/>
      <c r="E308" s="208"/>
      <c r="F308" s="208"/>
      <c r="G308" s="208"/>
      <c r="H308" s="208"/>
      <c r="I308" s="234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</row>
    <row r="309">
      <c r="A309" s="208"/>
      <c r="B309" s="208"/>
      <c r="C309" s="208"/>
      <c r="D309" s="208"/>
      <c r="E309" s="208"/>
      <c r="F309" s="208"/>
      <c r="G309" s="208"/>
      <c r="H309" s="208"/>
      <c r="I309" s="234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</row>
    <row r="310">
      <c r="A310" s="208"/>
      <c r="B310" s="208"/>
      <c r="C310" s="208"/>
      <c r="D310" s="208"/>
      <c r="E310" s="208"/>
      <c r="F310" s="208"/>
      <c r="G310" s="208"/>
      <c r="H310" s="208"/>
      <c r="I310" s="234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</row>
    <row r="311">
      <c r="A311" s="208"/>
      <c r="B311" s="208"/>
      <c r="C311" s="208"/>
      <c r="D311" s="208"/>
      <c r="E311" s="208"/>
      <c r="F311" s="208"/>
      <c r="G311" s="208"/>
      <c r="H311" s="208"/>
      <c r="I311" s="234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</row>
    <row r="312">
      <c r="A312" s="208"/>
      <c r="B312" s="208"/>
      <c r="C312" s="208"/>
      <c r="D312" s="208"/>
      <c r="E312" s="208"/>
      <c r="F312" s="208"/>
      <c r="G312" s="208"/>
      <c r="H312" s="208"/>
      <c r="I312" s="234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</row>
    <row r="313">
      <c r="A313" s="208"/>
      <c r="B313" s="208"/>
      <c r="C313" s="208"/>
      <c r="D313" s="208"/>
      <c r="E313" s="208"/>
      <c r="F313" s="208"/>
      <c r="G313" s="208"/>
      <c r="H313" s="208"/>
      <c r="I313" s="234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</row>
    <row r="314">
      <c r="A314" s="208"/>
      <c r="B314" s="208"/>
      <c r="C314" s="208"/>
      <c r="D314" s="208"/>
      <c r="E314" s="208"/>
      <c r="F314" s="208"/>
      <c r="G314" s="208"/>
      <c r="H314" s="208"/>
      <c r="I314" s="234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</row>
    <row r="315">
      <c r="A315" s="208"/>
      <c r="B315" s="208"/>
      <c r="C315" s="208"/>
      <c r="D315" s="208"/>
      <c r="E315" s="208"/>
      <c r="F315" s="208"/>
      <c r="G315" s="208"/>
      <c r="H315" s="208"/>
      <c r="I315" s="234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</row>
    <row r="316">
      <c r="A316" s="208"/>
      <c r="B316" s="208"/>
      <c r="C316" s="208"/>
      <c r="D316" s="208"/>
      <c r="E316" s="208"/>
      <c r="F316" s="208"/>
      <c r="G316" s="208"/>
      <c r="H316" s="208"/>
      <c r="I316" s="234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</row>
    <row r="317">
      <c r="A317" s="208"/>
      <c r="B317" s="208"/>
      <c r="C317" s="208"/>
      <c r="D317" s="208"/>
      <c r="E317" s="208"/>
      <c r="F317" s="208"/>
      <c r="G317" s="208"/>
      <c r="H317" s="208"/>
      <c r="I317" s="234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</row>
    <row r="318">
      <c r="A318" s="208"/>
      <c r="B318" s="208"/>
      <c r="C318" s="208"/>
      <c r="D318" s="208"/>
      <c r="E318" s="208"/>
      <c r="F318" s="208"/>
      <c r="G318" s="208"/>
      <c r="H318" s="208"/>
      <c r="I318" s="234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</row>
    <row r="319">
      <c r="A319" s="208"/>
      <c r="B319" s="208"/>
      <c r="C319" s="208"/>
      <c r="D319" s="208"/>
      <c r="E319" s="208"/>
      <c r="F319" s="208"/>
      <c r="G319" s="208"/>
      <c r="H319" s="208"/>
      <c r="I319" s="234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</row>
    <row r="320">
      <c r="A320" s="208"/>
      <c r="B320" s="208"/>
      <c r="C320" s="208"/>
      <c r="D320" s="208"/>
      <c r="E320" s="208"/>
      <c r="F320" s="208"/>
      <c r="G320" s="208"/>
      <c r="H320" s="208"/>
      <c r="I320" s="234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</row>
    <row r="321">
      <c r="A321" s="208"/>
      <c r="B321" s="208"/>
      <c r="C321" s="208"/>
      <c r="D321" s="208"/>
      <c r="E321" s="208"/>
      <c r="F321" s="208"/>
      <c r="G321" s="208"/>
      <c r="H321" s="208"/>
      <c r="I321" s="234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</row>
    <row r="322">
      <c r="A322" s="208"/>
      <c r="B322" s="208"/>
      <c r="C322" s="208"/>
      <c r="D322" s="208"/>
      <c r="E322" s="208"/>
      <c r="F322" s="208"/>
      <c r="G322" s="208"/>
      <c r="H322" s="208"/>
      <c r="I322" s="234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</row>
    <row r="323">
      <c r="A323" s="208"/>
      <c r="B323" s="208"/>
      <c r="C323" s="208"/>
      <c r="D323" s="208"/>
      <c r="E323" s="208"/>
      <c r="F323" s="208"/>
      <c r="G323" s="208"/>
      <c r="H323" s="208"/>
      <c r="I323" s="234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</row>
    <row r="324">
      <c r="A324" s="208"/>
      <c r="B324" s="208"/>
      <c r="C324" s="208"/>
      <c r="D324" s="208"/>
      <c r="E324" s="208"/>
      <c r="F324" s="208"/>
      <c r="G324" s="208"/>
      <c r="H324" s="208"/>
      <c r="I324" s="234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</row>
    <row r="325">
      <c r="A325" s="208"/>
      <c r="B325" s="208"/>
      <c r="C325" s="208"/>
      <c r="D325" s="208"/>
      <c r="E325" s="208"/>
      <c r="F325" s="208"/>
      <c r="G325" s="208"/>
      <c r="H325" s="208"/>
      <c r="I325" s="234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</row>
    <row r="326">
      <c r="A326" s="208"/>
      <c r="B326" s="208"/>
      <c r="C326" s="208"/>
      <c r="D326" s="208"/>
      <c r="E326" s="208"/>
      <c r="F326" s="208"/>
      <c r="G326" s="208"/>
      <c r="H326" s="208"/>
      <c r="I326" s="234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</row>
    <row r="327">
      <c r="A327" s="208"/>
      <c r="B327" s="208"/>
      <c r="C327" s="208"/>
      <c r="D327" s="208"/>
      <c r="E327" s="208"/>
      <c r="F327" s="208"/>
      <c r="G327" s="208"/>
      <c r="H327" s="208"/>
      <c r="I327" s="234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</row>
    <row r="328">
      <c r="A328" s="208"/>
      <c r="B328" s="208"/>
      <c r="C328" s="208"/>
      <c r="D328" s="208"/>
      <c r="E328" s="208"/>
      <c r="F328" s="208"/>
      <c r="G328" s="208"/>
      <c r="H328" s="208"/>
      <c r="I328" s="234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</row>
    <row r="329">
      <c r="A329" s="208"/>
      <c r="B329" s="208"/>
      <c r="C329" s="208"/>
      <c r="D329" s="208"/>
      <c r="E329" s="208"/>
      <c r="F329" s="208"/>
      <c r="G329" s="208"/>
      <c r="H329" s="208"/>
      <c r="I329" s="234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</row>
    <row r="330">
      <c r="A330" s="208"/>
      <c r="B330" s="208"/>
      <c r="C330" s="208"/>
      <c r="D330" s="208"/>
      <c r="E330" s="208"/>
      <c r="F330" s="208"/>
      <c r="G330" s="208"/>
      <c r="H330" s="208"/>
      <c r="I330" s="234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</row>
    <row r="331">
      <c r="A331" s="208"/>
      <c r="B331" s="208"/>
      <c r="C331" s="208"/>
      <c r="D331" s="208"/>
      <c r="E331" s="208"/>
      <c r="F331" s="208"/>
      <c r="G331" s="208"/>
      <c r="H331" s="208"/>
      <c r="I331" s="234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</row>
    <row r="332">
      <c r="A332" s="208"/>
      <c r="B332" s="208"/>
      <c r="C332" s="208"/>
      <c r="D332" s="208"/>
      <c r="E332" s="208"/>
      <c r="F332" s="208"/>
      <c r="G332" s="208"/>
      <c r="H332" s="208"/>
      <c r="I332" s="234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</row>
    <row r="333">
      <c r="A333" s="208"/>
      <c r="B333" s="208"/>
      <c r="C333" s="208"/>
      <c r="D333" s="208"/>
      <c r="E333" s="208"/>
      <c r="F333" s="208"/>
      <c r="G333" s="208"/>
      <c r="H333" s="208"/>
      <c r="I333" s="234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</row>
    <row r="334">
      <c r="A334" s="208"/>
      <c r="B334" s="208"/>
      <c r="C334" s="208"/>
      <c r="D334" s="208"/>
      <c r="E334" s="208"/>
      <c r="F334" s="208"/>
      <c r="G334" s="208"/>
      <c r="H334" s="208"/>
      <c r="I334" s="234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</row>
    <row r="335">
      <c r="A335" s="208"/>
      <c r="B335" s="208"/>
      <c r="C335" s="208"/>
      <c r="D335" s="208"/>
      <c r="E335" s="208"/>
      <c r="F335" s="208"/>
      <c r="G335" s="208"/>
      <c r="H335" s="208"/>
      <c r="I335" s="234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</row>
    <row r="336">
      <c r="A336" s="208"/>
      <c r="B336" s="208"/>
      <c r="C336" s="208"/>
      <c r="D336" s="208"/>
      <c r="E336" s="208"/>
      <c r="F336" s="208"/>
      <c r="G336" s="208"/>
      <c r="H336" s="208"/>
      <c r="I336" s="234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</row>
    <row r="337">
      <c r="A337" s="208"/>
      <c r="B337" s="208"/>
      <c r="C337" s="208"/>
      <c r="D337" s="208"/>
      <c r="E337" s="208"/>
      <c r="F337" s="208"/>
      <c r="G337" s="208"/>
      <c r="H337" s="208"/>
      <c r="I337" s="234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</row>
    <row r="338">
      <c r="A338" s="208"/>
      <c r="B338" s="208"/>
      <c r="C338" s="208"/>
      <c r="D338" s="208"/>
      <c r="E338" s="208"/>
      <c r="F338" s="208"/>
      <c r="G338" s="208"/>
      <c r="H338" s="208"/>
      <c r="I338" s="234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</row>
    <row r="339">
      <c r="A339" s="208"/>
      <c r="B339" s="208"/>
      <c r="C339" s="208"/>
      <c r="D339" s="208"/>
      <c r="E339" s="208"/>
      <c r="F339" s="208"/>
      <c r="G339" s="208"/>
      <c r="H339" s="208"/>
      <c r="I339" s="234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</row>
    <row r="340">
      <c r="A340" s="208"/>
      <c r="B340" s="208"/>
      <c r="C340" s="208"/>
      <c r="D340" s="208"/>
      <c r="E340" s="208"/>
      <c r="F340" s="208"/>
      <c r="G340" s="208"/>
      <c r="H340" s="208"/>
      <c r="I340" s="234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</row>
    <row r="341">
      <c r="A341" s="208"/>
      <c r="B341" s="208"/>
      <c r="C341" s="208"/>
      <c r="D341" s="208"/>
      <c r="E341" s="208"/>
      <c r="F341" s="208"/>
      <c r="G341" s="208"/>
      <c r="H341" s="208"/>
      <c r="I341" s="234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</row>
    <row r="342">
      <c r="A342" s="208"/>
      <c r="B342" s="208"/>
      <c r="C342" s="208"/>
      <c r="D342" s="208"/>
      <c r="E342" s="208"/>
      <c r="F342" s="208"/>
      <c r="G342" s="208"/>
      <c r="H342" s="208"/>
      <c r="I342" s="234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</row>
    <row r="343">
      <c r="A343" s="208"/>
      <c r="B343" s="208"/>
      <c r="C343" s="208"/>
      <c r="D343" s="208"/>
      <c r="E343" s="208"/>
      <c r="F343" s="208"/>
      <c r="G343" s="208"/>
      <c r="H343" s="208"/>
      <c r="I343" s="234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</row>
    <row r="344">
      <c r="A344" s="208"/>
      <c r="B344" s="208"/>
      <c r="C344" s="208"/>
      <c r="D344" s="208"/>
      <c r="E344" s="208"/>
      <c r="F344" s="208"/>
      <c r="G344" s="208"/>
      <c r="H344" s="208"/>
      <c r="I344" s="234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</row>
    <row r="345">
      <c r="A345" s="208"/>
      <c r="B345" s="208"/>
      <c r="C345" s="208"/>
      <c r="D345" s="208"/>
      <c r="E345" s="208"/>
      <c r="F345" s="208"/>
      <c r="G345" s="208"/>
      <c r="H345" s="208"/>
      <c r="I345" s="234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</row>
    <row r="346">
      <c r="A346" s="208"/>
      <c r="B346" s="208"/>
      <c r="C346" s="208"/>
      <c r="D346" s="208"/>
      <c r="E346" s="208"/>
      <c r="F346" s="208"/>
      <c r="G346" s="208"/>
      <c r="H346" s="208"/>
      <c r="I346" s="234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</row>
    <row r="347">
      <c r="A347" s="208"/>
      <c r="B347" s="208"/>
      <c r="C347" s="208"/>
      <c r="D347" s="208"/>
      <c r="E347" s="208"/>
      <c r="F347" s="208"/>
      <c r="G347" s="208"/>
      <c r="H347" s="208"/>
      <c r="I347" s="234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</row>
    <row r="348">
      <c r="A348" s="208"/>
      <c r="B348" s="208"/>
      <c r="C348" s="208"/>
      <c r="D348" s="208"/>
      <c r="E348" s="208"/>
      <c r="F348" s="208"/>
      <c r="G348" s="208"/>
      <c r="H348" s="208"/>
      <c r="I348" s="234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</row>
    <row r="349">
      <c r="A349" s="208"/>
      <c r="B349" s="208"/>
      <c r="C349" s="208"/>
      <c r="D349" s="208"/>
      <c r="E349" s="208"/>
      <c r="F349" s="208"/>
      <c r="G349" s="208"/>
      <c r="H349" s="208"/>
      <c r="I349" s="234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</row>
    <row r="350">
      <c r="A350" s="208"/>
      <c r="B350" s="208"/>
      <c r="C350" s="208"/>
      <c r="D350" s="208"/>
      <c r="E350" s="208"/>
      <c r="F350" s="208"/>
      <c r="G350" s="208"/>
      <c r="H350" s="208"/>
      <c r="I350" s="234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</row>
    <row r="351">
      <c r="A351" s="208"/>
      <c r="B351" s="208"/>
      <c r="C351" s="208"/>
      <c r="D351" s="208"/>
      <c r="E351" s="208"/>
      <c r="F351" s="208"/>
      <c r="G351" s="208"/>
      <c r="H351" s="208"/>
      <c r="I351" s="234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</row>
    <row r="352">
      <c r="A352" s="208"/>
      <c r="B352" s="208"/>
      <c r="C352" s="208"/>
      <c r="D352" s="208"/>
      <c r="E352" s="208"/>
      <c r="F352" s="208"/>
      <c r="G352" s="208"/>
      <c r="H352" s="208"/>
      <c r="I352" s="234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</row>
    <row r="353">
      <c r="A353" s="208"/>
      <c r="B353" s="208"/>
      <c r="C353" s="208"/>
      <c r="D353" s="208"/>
      <c r="E353" s="208"/>
      <c r="F353" s="208"/>
      <c r="G353" s="208"/>
      <c r="H353" s="208"/>
      <c r="I353" s="234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</row>
    <row r="354">
      <c r="A354" s="208"/>
      <c r="B354" s="208"/>
      <c r="C354" s="208"/>
      <c r="D354" s="208"/>
      <c r="E354" s="208"/>
      <c r="F354" s="208"/>
      <c r="G354" s="208"/>
      <c r="H354" s="208"/>
      <c r="I354" s="234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</row>
    <row r="355">
      <c r="A355" s="208"/>
      <c r="B355" s="208"/>
      <c r="C355" s="208"/>
      <c r="D355" s="208"/>
      <c r="E355" s="208"/>
      <c r="F355" s="208"/>
      <c r="G355" s="208"/>
      <c r="H355" s="208"/>
      <c r="I355" s="234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</row>
    <row r="356">
      <c r="A356" s="208"/>
      <c r="B356" s="208"/>
      <c r="C356" s="208"/>
      <c r="D356" s="208"/>
      <c r="E356" s="208"/>
      <c r="F356" s="208"/>
      <c r="G356" s="208"/>
      <c r="H356" s="208"/>
      <c r="I356" s="234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</row>
    <row r="357">
      <c r="A357" s="208"/>
      <c r="B357" s="208"/>
      <c r="C357" s="208"/>
      <c r="D357" s="208"/>
      <c r="E357" s="208"/>
      <c r="F357" s="208"/>
      <c r="G357" s="208"/>
      <c r="H357" s="208"/>
      <c r="I357" s="234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</row>
    <row r="358">
      <c r="A358" s="208"/>
      <c r="B358" s="208"/>
      <c r="C358" s="208"/>
      <c r="D358" s="208"/>
      <c r="E358" s="208"/>
      <c r="F358" s="208"/>
      <c r="G358" s="208"/>
      <c r="H358" s="208"/>
      <c r="I358" s="234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</row>
    <row r="359">
      <c r="A359" s="208"/>
      <c r="B359" s="208"/>
      <c r="C359" s="208"/>
      <c r="D359" s="208"/>
      <c r="E359" s="208"/>
      <c r="F359" s="208"/>
      <c r="G359" s="208"/>
      <c r="H359" s="208"/>
      <c r="I359" s="234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</row>
    <row r="360">
      <c r="A360" s="208"/>
      <c r="B360" s="208"/>
      <c r="C360" s="208"/>
      <c r="D360" s="208"/>
      <c r="E360" s="208"/>
      <c r="F360" s="208"/>
      <c r="G360" s="208"/>
      <c r="H360" s="208"/>
      <c r="I360" s="234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</row>
    <row r="361">
      <c r="A361" s="208"/>
      <c r="B361" s="208"/>
      <c r="C361" s="208"/>
      <c r="D361" s="208"/>
      <c r="E361" s="208"/>
      <c r="F361" s="208"/>
      <c r="G361" s="208"/>
      <c r="H361" s="208"/>
      <c r="I361" s="234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</row>
    <row r="362">
      <c r="A362" s="208"/>
      <c r="B362" s="208"/>
      <c r="C362" s="208"/>
      <c r="D362" s="208"/>
      <c r="E362" s="208"/>
      <c r="F362" s="208"/>
      <c r="G362" s="208"/>
      <c r="H362" s="208"/>
      <c r="I362" s="234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</row>
    <row r="363">
      <c r="A363" s="208"/>
      <c r="B363" s="208"/>
      <c r="C363" s="208"/>
      <c r="D363" s="208"/>
      <c r="E363" s="208"/>
      <c r="F363" s="208"/>
      <c r="G363" s="208"/>
      <c r="H363" s="208"/>
      <c r="I363" s="234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</row>
    <row r="364">
      <c r="A364" s="208"/>
      <c r="B364" s="208"/>
      <c r="C364" s="208"/>
      <c r="D364" s="208"/>
      <c r="E364" s="208"/>
      <c r="F364" s="208"/>
      <c r="G364" s="208"/>
      <c r="H364" s="208"/>
      <c r="I364" s="234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</row>
    <row r="365">
      <c r="A365" s="208"/>
      <c r="B365" s="208"/>
      <c r="C365" s="208"/>
      <c r="D365" s="208"/>
      <c r="E365" s="208"/>
      <c r="F365" s="208"/>
      <c r="G365" s="208"/>
      <c r="H365" s="208"/>
      <c r="I365" s="234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</row>
    <row r="366">
      <c r="A366" s="208"/>
      <c r="B366" s="208"/>
      <c r="C366" s="208"/>
      <c r="D366" s="208"/>
      <c r="E366" s="208"/>
      <c r="F366" s="208"/>
      <c r="G366" s="208"/>
      <c r="H366" s="208"/>
      <c r="I366" s="234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</row>
    <row r="367">
      <c r="A367" s="208"/>
      <c r="B367" s="208"/>
      <c r="C367" s="208"/>
      <c r="D367" s="208"/>
      <c r="E367" s="208"/>
      <c r="F367" s="208"/>
      <c r="G367" s="208"/>
      <c r="H367" s="208"/>
      <c r="I367" s="234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</row>
    <row r="368">
      <c r="A368" s="208"/>
      <c r="B368" s="208"/>
      <c r="C368" s="208"/>
      <c r="D368" s="208"/>
      <c r="E368" s="208"/>
      <c r="F368" s="208"/>
      <c r="G368" s="208"/>
      <c r="H368" s="208"/>
      <c r="I368" s="234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</row>
    <row r="369">
      <c r="A369" s="208"/>
      <c r="B369" s="208"/>
      <c r="C369" s="208"/>
      <c r="D369" s="208"/>
      <c r="E369" s="208"/>
      <c r="F369" s="208"/>
      <c r="G369" s="208"/>
      <c r="H369" s="208"/>
      <c r="I369" s="234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</row>
    <row r="370">
      <c r="A370" s="208"/>
      <c r="B370" s="208"/>
      <c r="C370" s="208"/>
      <c r="D370" s="208"/>
      <c r="E370" s="208"/>
      <c r="F370" s="208"/>
      <c r="G370" s="208"/>
      <c r="H370" s="208"/>
      <c r="I370" s="234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</row>
    <row r="371">
      <c r="A371" s="208"/>
      <c r="B371" s="208"/>
      <c r="C371" s="208"/>
      <c r="D371" s="208"/>
      <c r="E371" s="208"/>
      <c r="F371" s="208"/>
      <c r="G371" s="208"/>
      <c r="H371" s="208"/>
      <c r="I371" s="234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</row>
    <row r="372">
      <c r="A372" s="208"/>
      <c r="B372" s="208"/>
      <c r="C372" s="208"/>
      <c r="D372" s="208"/>
      <c r="E372" s="208"/>
      <c r="F372" s="208"/>
      <c r="G372" s="208"/>
      <c r="H372" s="208"/>
      <c r="I372" s="234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</row>
    <row r="373">
      <c r="A373" s="208"/>
      <c r="B373" s="208"/>
      <c r="C373" s="208"/>
      <c r="D373" s="208"/>
      <c r="E373" s="208"/>
      <c r="F373" s="208"/>
      <c r="G373" s="208"/>
      <c r="H373" s="208"/>
      <c r="I373" s="234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</row>
    <row r="374">
      <c r="A374" s="208"/>
      <c r="B374" s="208"/>
      <c r="C374" s="208"/>
      <c r="D374" s="208"/>
      <c r="E374" s="208"/>
      <c r="F374" s="208"/>
      <c r="G374" s="208"/>
      <c r="H374" s="208"/>
      <c r="I374" s="234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</row>
    <row r="375">
      <c r="A375" s="208"/>
      <c r="B375" s="208"/>
      <c r="C375" s="208"/>
      <c r="D375" s="208"/>
      <c r="E375" s="208"/>
      <c r="F375" s="208"/>
      <c r="G375" s="208"/>
      <c r="H375" s="208"/>
      <c r="I375" s="234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</row>
    <row r="376">
      <c r="A376" s="208"/>
      <c r="B376" s="208"/>
      <c r="C376" s="208"/>
      <c r="D376" s="208"/>
      <c r="E376" s="208"/>
      <c r="F376" s="208"/>
      <c r="G376" s="208"/>
      <c r="H376" s="208"/>
      <c r="I376" s="234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</row>
    <row r="377">
      <c r="A377" s="208"/>
      <c r="B377" s="208"/>
      <c r="C377" s="208"/>
      <c r="D377" s="208"/>
      <c r="E377" s="208"/>
      <c r="F377" s="208"/>
      <c r="G377" s="208"/>
      <c r="H377" s="208"/>
      <c r="I377" s="234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</row>
    <row r="378">
      <c r="A378" s="208"/>
      <c r="B378" s="208"/>
      <c r="C378" s="208"/>
      <c r="D378" s="208"/>
      <c r="E378" s="208"/>
      <c r="F378" s="208"/>
      <c r="G378" s="208"/>
      <c r="H378" s="208"/>
      <c r="I378" s="234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</row>
    <row r="379">
      <c r="A379" s="208"/>
      <c r="B379" s="208"/>
      <c r="C379" s="208"/>
      <c r="D379" s="208"/>
      <c r="E379" s="208"/>
      <c r="F379" s="208"/>
      <c r="G379" s="208"/>
      <c r="H379" s="208"/>
      <c r="I379" s="234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</row>
    <row r="380">
      <c r="A380" s="208"/>
      <c r="B380" s="208"/>
      <c r="C380" s="208"/>
      <c r="D380" s="208"/>
      <c r="E380" s="208"/>
      <c r="F380" s="208"/>
      <c r="G380" s="208"/>
      <c r="H380" s="208"/>
      <c r="I380" s="234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</row>
    <row r="381">
      <c r="A381" s="208"/>
      <c r="B381" s="208"/>
      <c r="C381" s="208"/>
      <c r="D381" s="208"/>
      <c r="E381" s="208"/>
      <c r="F381" s="208"/>
      <c r="G381" s="208"/>
      <c r="H381" s="208"/>
      <c r="I381" s="234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</row>
    <row r="382">
      <c r="A382" s="208"/>
      <c r="B382" s="208"/>
      <c r="C382" s="208"/>
      <c r="D382" s="208"/>
      <c r="E382" s="208"/>
      <c r="F382" s="208"/>
      <c r="G382" s="208"/>
      <c r="H382" s="208"/>
      <c r="I382" s="234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</row>
    <row r="383">
      <c r="A383" s="208"/>
      <c r="B383" s="208"/>
      <c r="C383" s="208"/>
      <c r="D383" s="208"/>
      <c r="E383" s="208"/>
      <c r="F383" s="208"/>
      <c r="G383" s="208"/>
      <c r="H383" s="208"/>
      <c r="I383" s="234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</row>
    <row r="384">
      <c r="A384" s="208"/>
      <c r="B384" s="208"/>
      <c r="C384" s="208"/>
      <c r="D384" s="208"/>
      <c r="E384" s="208"/>
      <c r="F384" s="208"/>
      <c r="G384" s="208"/>
      <c r="H384" s="208"/>
      <c r="I384" s="234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</row>
    <row r="385">
      <c r="A385" s="208"/>
      <c r="B385" s="208"/>
      <c r="C385" s="208"/>
      <c r="D385" s="208"/>
      <c r="E385" s="208"/>
      <c r="F385" s="208"/>
      <c r="G385" s="208"/>
      <c r="H385" s="208"/>
      <c r="I385" s="234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</row>
    <row r="386">
      <c r="A386" s="208"/>
      <c r="B386" s="208"/>
      <c r="C386" s="208"/>
      <c r="D386" s="208"/>
      <c r="E386" s="208"/>
      <c r="F386" s="208"/>
      <c r="G386" s="208"/>
      <c r="H386" s="208"/>
      <c r="I386" s="234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</row>
    <row r="387">
      <c r="A387" s="208"/>
      <c r="B387" s="208"/>
      <c r="C387" s="208"/>
      <c r="D387" s="208"/>
      <c r="E387" s="208"/>
      <c r="F387" s="208"/>
      <c r="G387" s="208"/>
      <c r="H387" s="208"/>
      <c r="I387" s="234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</row>
    <row r="388">
      <c r="A388" s="208"/>
      <c r="B388" s="208"/>
      <c r="C388" s="208"/>
      <c r="D388" s="208"/>
      <c r="E388" s="208"/>
      <c r="F388" s="208"/>
      <c r="G388" s="208"/>
      <c r="H388" s="208"/>
      <c r="I388" s="234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</row>
    <row r="389">
      <c r="A389" s="208"/>
      <c r="B389" s="208"/>
      <c r="C389" s="208"/>
      <c r="D389" s="208"/>
      <c r="E389" s="208"/>
      <c r="F389" s="208"/>
      <c r="G389" s="208"/>
      <c r="H389" s="208"/>
      <c r="I389" s="234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</row>
    <row r="390">
      <c r="A390" s="208"/>
      <c r="B390" s="208"/>
      <c r="C390" s="208"/>
      <c r="D390" s="208"/>
      <c r="E390" s="208"/>
      <c r="F390" s="208"/>
      <c r="G390" s="208"/>
      <c r="H390" s="208"/>
      <c r="I390" s="234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</row>
    <row r="391">
      <c r="A391" s="208"/>
      <c r="B391" s="208"/>
      <c r="C391" s="208"/>
      <c r="D391" s="208"/>
      <c r="E391" s="208"/>
      <c r="F391" s="208"/>
      <c r="G391" s="208"/>
      <c r="H391" s="208"/>
      <c r="I391" s="234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</row>
    <row r="392">
      <c r="A392" s="208"/>
      <c r="B392" s="208"/>
      <c r="C392" s="208"/>
      <c r="D392" s="208"/>
      <c r="E392" s="208"/>
      <c r="F392" s="208"/>
      <c r="G392" s="208"/>
      <c r="H392" s="208"/>
      <c r="I392" s="234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</row>
    <row r="393">
      <c r="A393" s="208"/>
      <c r="B393" s="208"/>
      <c r="C393" s="208"/>
      <c r="D393" s="208"/>
      <c r="E393" s="208"/>
      <c r="F393" s="208"/>
      <c r="G393" s="208"/>
      <c r="H393" s="208"/>
      <c r="I393" s="234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</row>
    <row r="394">
      <c r="A394" s="208"/>
      <c r="B394" s="208"/>
      <c r="C394" s="208"/>
      <c r="D394" s="208"/>
      <c r="E394" s="208"/>
      <c r="F394" s="208"/>
      <c r="G394" s="208"/>
      <c r="H394" s="208"/>
      <c r="I394" s="234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</row>
    <row r="395">
      <c r="A395" s="208"/>
      <c r="B395" s="208"/>
      <c r="C395" s="208"/>
      <c r="D395" s="208"/>
      <c r="E395" s="208"/>
      <c r="F395" s="208"/>
      <c r="G395" s="208"/>
      <c r="H395" s="208"/>
      <c r="I395" s="234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</row>
    <row r="396">
      <c r="A396" s="208"/>
      <c r="B396" s="208"/>
      <c r="C396" s="208"/>
      <c r="D396" s="208"/>
      <c r="E396" s="208"/>
      <c r="F396" s="208"/>
      <c r="G396" s="208"/>
      <c r="H396" s="208"/>
      <c r="I396" s="234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</row>
    <row r="397">
      <c r="A397" s="208"/>
      <c r="B397" s="208"/>
      <c r="C397" s="208"/>
      <c r="D397" s="208"/>
      <c r="E397" s="208"/>
      <c r="F397" s="208"/>
      <c r="G397" s="208"/>
      <c r="H397" s="208"/>
      <c r="I397" s="234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</row>
    <row r="398">
      <c r="A398" s="208"/>
      <c r="B398" s="208"/>
      <c r="C398" s="208"/>
      <c r="D398" s="208"/>
      <c r="E398" s="208"/>
      <c r="F398" s="208"/>
      <c r="G398" s="208"/>
      <c r="H398" s="208"/>
      <c r="I398" s="234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</row>
    <row r="399">
      <c r="A399" s="208"/>
      <c r="B399" s="208"/>
      <c r="C399" s="208"/>
      <c r="D399" s="208"/>
      <c r="E399" s="208"/>
      <c r="F399" s="208"/>
      <c r="G399" s="208"/>
      <c r="H399" s="208"/>
      <c r="I399" s="234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</row>
    <row r="400">
      <c r="A400" s="208"/>
      <c r="B400" s="208"/>
      <c r="C400" s="208"/>
      <c r="D400" s="208"/>
      <c r="E400" s="208"/>
      <c r="F400" s="208"/>
      <c r="G400" s="208"/>
      <c r="H400" s="208"/>
      <c r="I400" s="234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</row>
    <row r="401">
      <c r="A401" s="208"/>
      <c r="B401" s="208"/>
      <c r="C401" s="208"/>
      <c r="D401" s="208"/>
      <c r="E401" s="208"/>
      <c r="F401" s="208"/>
      <c r="G401" s="208"/>
      <c r="H401" s="208"/>
      <c r="I401" s="234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</row>
    <row r="402">
      <c r="A402" s="208"/>
      <c r="B402" s="208"/>
      <c r="C402" s="208"/>
      <c r="D402" s="208"/>
      <c r="E402" s="208"/>
      <c r="F402" s="208"/>
      <c r="G402" s="208"/>
      <c r="H402" s="208"/>
      <c r="I402" s="234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</row>
    <row r="403">
      <c r="A403" s="208"/>
      <c r="B403" s="208"/>
      <c r="C403" s="208"/>
      <c r="D403" s="208"/>
      <c r="E403" s="208"/>
      <c r="F403" s="208"/>
      <c r="G403" s="208"/>
      <c r="H403" s="208"/>
      <c r="I403" s="234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</row>
    <row r="404">
      <c r="A404" s="208"/>
      <c r="B404" s="208"/>
      <c r="C404" s="208"/>
      <c r="D404" s="208"/>
      <c r="E404" s="208"/>
      <c r="F404" s="208"/>
      <c r="G404" s="208"/>
      <c r="H404" s="208"/>
      <c r="I404" s="234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</row>
    <row r="405">
      <c r="A405" s="208"/>
      <c r="B405" s="208"/>
      <c r="C405" s="208"/>
      <c r="D405" s="208"/>
      <c r="E405" s="208"/>
      <c r="F405" s="208"/>
      <c r="G405" s="208"/>
      <c r="H405" s="208"/>
      <c r="I405" s="234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</row>
    <row r="406">
      <c r="A406" s="208"/>
      <c r="B406" s="208"/>
      <c r="C406" s="208"/>
      <c r="D406" s="208"/>
      <c r="E406" s="208"/>
      <c r="F406" s="208"/>
      <c r="G406" s="208"/>
      <c r="H406" s="208"/>
      <c r="I406" s="234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</row>
    <row r="407">
      <c r="A407" s="208"/>
      <c r="B407" s="208"/>
      <c r="C407" s="208"/>
      <c r="D407" s="208"/>
      <c r="E407" s="208"/>
      <c r="F407" s="208"/>
      <c r="G407" s="208"/>
      <c r="H407" s="208"/>
      <c r="I407" s="234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</row>
    <row r="408">
      <c r="A408" s="208"/>
      <c r="B408" s="208"/>
      <c r="C408" s="208"/>
      <c r="D408" s="208"/>
      <c r="E408" s="208"/>
      <c r="F408" s="208"/>
      <c r="G408" s="208"/>
      <c r="H408" s="208"/>
      <c r="I408" s="234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</row>
    <row r="409">
      <c r="A409" s="208"/>
      <c r="B409" s="208"/>
      <c r="C409" s="208"/>
      <c r="D409" s="208"/>
      <c r="E409" s="208"/>
      <c r="F409" s="208"/>
      <c r="G409" s="208"/>
      <c r="H409" s="208"/>
      <c r="I409" s="234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</row>
    <row r="410">
      <c r="A410" s="208"/>
      <c r="B410" s="208"/>
      <c r="C410" s="208"/>
      <c r="D410" s="208"/>
      <c r="E410" s="208"/>
      <c r="F410" s="208"/>
      <c r="G410" s="208"/>
      <c r="H410" s="208"/>
      <c r="I410" s="234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</row>
    <row r="411">
      <c r="A411" s="208"/>
      <c r="B411" s="208"/>
      <c r="C411" s="208"/>
      <c r="D411" s="208"/>
      <c r="E411" s="208"/>
      <c r="F411" s="208"/>
      <c r="G411" s="208"/>
      <c r="H411" s="208"/>
      <c r="I411" s="234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</row>
    <row r="412">
      <c r="A412" s="208"/>
      <c r="B412" s="208"/>
      <c r="C412" s="208"/>
      <c r="D412" s="208"/>
      <c r="E412" s="208"/>
      <c r="F412" s="208"/>
      <c r="G412" s="208"/>
      <c r="H412" s="208"/>
      <c r="I412" s="234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</row>
    <row r="413">
      <c r="A413" s="208"/>
      <c r="B413" s="208"/>
      <c r="C413" s="208"/>
      <c r="D413" s="208"/>
      <c r="E413" s="208"/>
      <c r="F413" s="208"/>
      <c r="G413" s="208"/>
      <c r="H413" s="208"/>
      <c r="I413" s="234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</row>
    <row r="414">
      <c r="A414" s="208"/>
      <c r="B414" s="208"/>
      <c r="C414" s="208"/>
      <c r="D414" s="208"/>
      <c r="E414" s="208"/>
      <c r="F414" s="208"/>
      <c r="G414" s="208"/>
      <c r="H414" s="208"/>
      <c r="I414" s="234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</row>
    <row r="415">
      <c r="A415" s="208"/>
      <c r="B415" s="208"/>
      <c r="C415" s="208"/>
      <c r="D415" s="208"/>
      <c r="E415" s="208"/>
      <c r="F415" s="208"/>
      <c r="G415" s="208"/>
      <c r="H415" s="208"/>
      <c r="I415" s="234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</row>
    <row r="416">
      <c r="A416" s="208"/>
      <c r="B416" s="208"/>
      <c r="C416" s="208"/>
      <c r="D416" s="208"/>
      <c r="E416" s="208"/>
      <c r="F416" s="208"/>
      <c r="G416" s="208"/>
      <c r="H416" s="208"/>
      <c r="I416" s="234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</row>
    <row r="417">
      <c r="A417" s="208"/>
      <c r="B417" s="208"/>
      <c r="C417" s="208"/>
      <c r="D417" s="208"/>
      <c r="E417" s="208"/>
      <c r="F417" s="208"/>
      <c r="G417" s="208"/>
      <c r="H417" s="208"/>
      <c r="I417" s="234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</row>
    <row r="418">
      <c r="A418" s="208"/>
      <c r="B418" s="208"/>
      <c r="C418" s="208"/>
      <c r="D418" s="208"/>
      <c r="E418" s="208"/>
      <c r="F418" s="208"/>
      <c r="G418" s="208"/>
      <c r="H418" s="208"/>
      <c r="I418" s="234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</row>
    <row r="419">
      <c r="A419" s="208"/>
      <c r="B419" s="208"/>
      <c r="C419" s="208"/>
      <c r="D419" s="208"/>
      <c r="E419" s="208"/>
      <c r="F419" s="208"/>
      <c r="G419" s="208"/>
      <c r="H419" s="208"/>
      <c r="I419" s="234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</row>
    <row r="420">
      <c r="A420" s="208"/>
      <c r="B420" s="208"/>
      <c r="C420" s="208"/>
      <c r="D420" s="208"/>
      <c r="E420" s="208"/>
      <c r="F420" s="208"/>
      <c r="G420" s="208"/>
      <c r="H420" s="208"/>
      <c r="I420" s="234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</row>
    <row r="421">
      <c r="A421" s="208"/>
      <c r="B421" s="208"/>
      <c r="C421" s="208"/>
      <c r="D421" s="208"/>
      <c r="E421" s="208"/>
      <c r="F421" s="208"/>
      <c r="G421" s="208"/>
      <c r="H421" s="208"/>
      <c r="I421" s="234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</row>
    <row r="422">
      <c r="A422" s="208"/>
      <c r="B422" s="208"/>
      <c r="C422" s="208"/>
      <c r="D422" s="208"/>
      <c r="E422" s="208"/>
      <c r="F422" s="208"/>
      <c r="G422" s="208"/>
      <c r="H422" s="208"/>
      <c r="I422" s="234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</row>
    <row r="423">
      <c r="A423" s="208"/>
      <c r="B423" s="208"/>
      <c r="C423" s="208"/>
      <c r="D423" s="208"/>
      <c r="E423" s="208"/>
      <c r="F423" s="208"/>
      <c r="G423" s="208"/>
      <c r="H423" s="208"/>
      <c r="I423" s="234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</row>
    <row r="424">
      <c r="A424" s="208"/>
      <c r="B424" s="208"/>
      <c r="C424" s="208"/>
      <c r="D424" s="208"/>
      <c r="E424" s="208"/>
      <c r="F424" s="208"/>
      <c r="G424" s="208"/>
      <c r="H424" s="208"/>
      <c r="I424" s="234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</row>
    <row r="425">
      <c r="A425" s="208"/>
      <c r="B425" s="208"/>
      <c r="C425" s="208"/>
      <c r="D425" s="208"/>
      <c r="E425" s="208"/>
      <c r="F425" s="208"/>
      <c r="G425" s="208"/>
      <c r="H425" s="208"/>
      <c r="I425" s="234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</row>
    <row r="426">
      <c r="A426" s="208"/>
      <c r="B426" s="208"/>
      <c r="C426" s="208"/>
      <c r="D426" s="208"/>
      <c r="E426" s="208"/>
      <c r="F426" s="208"/>
      <c r="G426" s="208"/>
      <c r="H426" s="208"/>
      <c r="I426" s="234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</row>
    <row r="427">
      <c r="A427" s="208"/>
      <c r="B427" s="208"/>
      <c r="C427" s="208"/>
      <c r="D427" s="208"/>
      <c r="E427" s="208"/>
      <c r="F427" s="208"/>
      <c r="G427" s="208"/>
      <c r="H427" s="208"/>
      <c r="I427" s="234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</row>
    <row r="428">
      <c r="A428" s="208"/>
      <c r="B428" s="208"/>
      <c r="C428" s="208"/>
      <c r="D428" s="208"/>
      <c r="E428" s="208"/>
      <c r="F428" s="208"/>
      <c r="G428" s="208"/>
      <c r="H428" s="208"/>
      <c r="I428" s="234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</row>
    <row r="429">
      <c r="A429" s="208"/>
      <c r="B429" s="208"/>
      <c r="C429" s="208"/>
      <c r="D429" s="208"/>
      <c r="E429" s="208"/>
      <c r="F429" s="208"/>
      <c r="G429" s="208"/>
      <c r="H429" s="208"/>
      <c r="I429" s="234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</row>
    <row r="430">
      <c r="A430" s="208"/>
      <c r="B430" s="208"/>
      <c r="C430" s="208"/>
      <c r="D430" s="208"/>
      <c r="E430" s="208"/>
      <c r="F430" s="208"/>
      <c r="G430" s="208"/>
      <c r="H430" s="208"/>
      <c r="I430" s="234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</row>
    <row r="431">
      <c r="A431" s="208"/>
      <c r="B431" s="208"/>
      <c r="C431" s="208"/>
      <c r="D431" s="208"/>
      <c r="E431" s="208"/>
      <c r="F431" s="208"/>
      <c r="G431" s="208"/>
      <c r="H431" s="208"/>
      <c r="I431" s="234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</row>
    <row r="432">
      <c r="A432" s="208"/>
      <c r="B432" s="208"/>
      <c r="C432" s="208"/>
      <c r="D432" s="208"/>
      <c r="E432" s="208"/>
      <c r="F432" s="208"/>
      <c r="G432" s="208"/>
      <c r="H432" s="208"/>
      <c r="I432" s="234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</row>
    <row r="433">
      <c r="A433" s="208"/>
      <c r="B433" s="208"/>
      <c r="C433" s="208"/>
      <c r="D433" s="208"/>
      <c r="E433" s="208"/>
      <c r="F433" s="208"/>
      <c r="G433" s="208"/>
      <c r="H433" s="208"/>
      <c r="I433" s="234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</row>
    <row r="434">
      <c r="A434" s="208"/>
      <c r="B434" s="208"/>
      <c r="C434" s="208"/>
      <c r="D434" s="208"/>
      <c r="E434" s="208"/>
      <c r="F434" s="208"/>
      <c r="G434" s="208"/>
      <c r="H434" s="208"/>
      <c r="I434" s="234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</row>
    <row r="435">
      <c r="A435" s="208"/>
      <c r="B435" s="208"/>
      <c r="C435" s="208"/>
      <c r="D435" s="208"/>
      <c r="E435" s="208"/>
      <c r="F435" s="208"/>
      <c r="G435" s="208"/>
      <c r="H435" s="208"/>
      <c r="I435" s="234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</row>
    <row r="436">
      <c r="A436" s="208"/>
      <c r="B436" s="208"/>
      <c r="C436" s="208"/>
      <c r="D436" s="208"/>
      <c r="E436" s="208"/>
      <c r="F436" s="208"/>
      <c r="G436" s="208"/>
      <c r="H436" s="208"/>
      <c r="I436" s="234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</row>
    <row r="437">
      <c r="A437" s="208"/>
      <c r="B437" s="208"/>
      <c r="C437" s="208"/>
      <c r="D437" s="208"/>
      <c r="E437" s="208"/>
      <c r="F437" s="208"/>
      <c r="G437" s="208"/>
      <c r="H437" s="208"/>
      <c r="I437" s="234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</row>
    <row r="438">
      <c r="A438" s="208"/>
      <c r="B438" s="208"/>
      <c r="C438" s="208"/>
      <c r="D438" s="208"/>
      <c r="E438" s="208"/>
      <c r="F438" s="208"/>
      <c r="G438" s="208"/>
      <c r="H438" s="208"/>
      <c r="I438" s="234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</row>
    <row r="439">
      <c r="A439" s="208"/>
      <c r="B439" s="208"/>
      <c r="C439" s="208"/>
      <c r="D439" s="208"/>
      <c r="E439" s="208"/>
      <c r="F439" s="208"/>
      <c r="G439" s="208"/>
      <c r="H439" s="208"/>
      <c r="I439" s="234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</row>
    <row r="440">
      <c r="A440" s="208"/>
      <c r="B440" s="208"/>
      <c r="C440" s="208"/>
      <c r="D440" s="208"/>
      <c r="E440" s="208"/>
      <c r="F440" s="208"/>
      <c r="G440" s="208"/>
      <c r="H440" s="208"/>
      <c r="I440" s="234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</row>
    <row r="441">
      <c r="A441" s="208"/>
      <c r="B441" s="208"/>
      <c r="C441" s="208"/>
      <c r="D441" s="208"/>
      <c r="E441" s="208"/>
      <c r="F441" s="208"/>
      <c r="G441" s="208"/>
      <c r="H441" s="208"/>
      <c r="I441" s="234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</row>
    <row r="442">
      <c r="A442" s="208"/>
      <c r="B442" s="208"/>
      <c r="C442" s="208"/>
      <c r="D442" s="208"/>
      <c r="E442" s="208"/>
      <c r="F442" s="208"/>
      <c r="G442" s="208"/>
      <c r="H442" s="208"/>
      <c r="I442" s="234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</row>
    <row r="443">
      <c r="A443" s="208"/>
      <c r="B443" s="208"/>
      <c r="C443" s="208"/>
      <c r="D443" s="208"/>
      <c r="E443" s="208"/>
      <c r="F443" s="208"/>
      <c r="G443" s="208"/>
      <c r="H443" s="208"/>
      <c r="I443" s="234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</row>
    <row r="444">
      <c r="A444" s="208"/>
      <c r="B444" s="208"/>
      <c r="C444" s="208"/>
      <c r="D444" s="208"/>
      <c r="E444" s="208"/>
      <c r="F444" s="208"/>
      <c r="G444" s="208"/>
      <c r="H444" s="208"/>
      <c r="I444" s="234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</row>
    <row r="445">
      <c r="A445" s="208"/>
      <c r="B445" s="208"/>
      <c r="C445" s="208"/>
      <c r="D445" s="208"/>
      <c r="E445" s="208"/>
      <c r="F445" s="208"/>
      <c r="G445" s="208"/>
      <c r="H445" s="208"/>
      <c r="I445" s="234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</row>
    <row r="446">
      <c r="A446" s="208"/>
      <c r="B446" s="208"/>
      <c r="C446" s="208"/>
      <c r="D446" s="208"/>
      <c r="E446" s="208"/>
      <c r="F446" s="208"/>
      <c r="G446" s="208"/>
      <c r="H446" s="208"/>
      <c r="I446" s="234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</row>
    <row r="447">
      <c r="A447" s="208"/>
      <c r="B447" s="208"/>
      <c r="C447" s="208"/>
      <c r="D447" s="208"/>
      <c r="E447" s="208"/>
      <c r="F447" s="208"/>
      <c r="G447" s="208"/>
      <c r="H447" s="208"/>
      <c r="I447" s="234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</row>
    <row r="448">
      <c r="A448" s="208"/>
      <c r="B448" s="208"/>
      <c r="C448" s="208"/>
      <c r="D448" s="208"/>
      <c r="E448" s="208"/>
      <c r="F448" s="208"/>
      <c r="G448" s="208"/>
      <c r="H448" s="208"/>
      <c r="I448" s="234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</row>
    <row r="449">
      <c r="A449" s="208"/>
      <c r="B449" s="208"/>
      <c r="C449" s="208"/>
      <c r="D449" s="208"/>
      <c r="E449" s="208"/>
      <c r="F449" s="208"/>
      <c r="G449" s="208"/>
      <c r="H449" s="208"/>
      <c r="I449" s="234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</row>
    <row r="450">
      <c r="A450" s="208"/>
      <c r="B450" s="208"/>
      <c r="C450" s="208"/>
      <c r="D450" s="208"/>
      <c r="E450" s="208"/>
      <c r="F450" s="208"/>
      <c r="G450" s="208"/>
      <c r="H450" s="208"/>
      <c r="I450" s="234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</row>
    <row r="451">
      <c r="A451" s="208"/>
      <c r="B451" s="208"/>
      <c r="C451" s="208"/>
      <c r="D451" s="208"/>
      <c r="E451" s="208"/>
      <c r="F451" s="208"/>
      <c r="G451" s="208"/>
      <c r="H451" s="208"/>
      <c r="I451" s="234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</row>
    <row r="452">
      <c r="A452" s="208"/>
      <c r="B452" s="208"/>
      <c r="C452" s="208"/>
      <c r="D452" s="208"/>
      <c r="E452" s="208"/>
      <c r="F452" s="208"/>
      <c r="G452" s="208"/>
      <c r="H452" s="208"/>
      <c r="I452" s="234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</row>
    <row r="453">
      <c r="A453" s="208"/>
      <c r="B453" s="208"/>
      <c r="C453" s="208"/>
      <c r="D453" s="208"/>
      <c r="E453" s="208"/>
      <c r="F453" s="208"/>
      <c r="G453" s="208"/>
      <c r="H453" s="208"/>
      <c r="I453" s="234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</row>
    <row r="454">
      <c r="A454" s="208"/>
      <c r="B454" s="208"/>
      <c r="C454" s="208"/>
      <c r="D454" s="208"/>
      <c r="E454" s="208"/>
      <c r="F454" s="208"/>
      <c r="G454" s="208"/>
      <c r="H454" s="208"/>
      <c r="I454" s="234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</row>
    <row r="455">
      <c r="A455" s="208"/>
      <c r="B455" s="208"/>
      <c r="C455" s="208"/>
      <c r="D455" s="208"/>
      <c r="E455" s="208"/>
      <c r="F455" s="208"/>
      <c r="G455" s="208"/>
      <c r="H455" s="208"/>
      <c r="I455" s="234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</row>
    <row r="456">
      <c r="A456" s="208"/>
      <c r="B456" s="208"/>
      <c r="C456" s="208"/>
      <c r="D456" s="208"/>
      <c r="E456" s="208"/>
      <c r="F456" s="208"/>
      <c r="G456" s="208"/>
      <c r="H456" s="208"/>
      <c r="I456" s="234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</row>
    <row r="457">
      <c r="A457" s="208"/>
      <c r="B457" s="208"/>
      <c r="C457" s="208"/>
      <c r="D457" s="208"/>
      <c r="E457" s="208"/>
      <c r="F457" s="208"/>
      <c r="G457" s="208"/>
      <c r="H457" s="208"/>
      <c r="I457" s="234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</row>
    <row r="458">
      <c r="A458" s="208"/>
      <c r="B458" s="208"/>
      <c r="C458" s="208"/>
      <c r="D458" s="208"/>
      <c r="E458" s="208"/>
      <c r="F458" s="208"/>
      <c r="G458" s="208"/>
      <c r="H458" s="208"/>
      <c r="I458" s="234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</row>
    <row r="459">
      <c r="A459" s="208"/>
      <c r="B459" s="208"/>
      <c r="C459" s="208"/>
      <c r="D459" s="208"/>
      <c r="E459" s="208"/>
      <c r="F459" s="208"/>
      <c r="G459" s="208"/>
      <c r="H459" s="208"/>
      <c r="I459" s="234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</row>
    <row r="460">
      <c r="A460" s="208"/>
      <c r="B460" s="208"/>
      <c r="C460" s="208"/>
      <c r="D460" s="208"/>
      <c r="E460" s="208"/>
      <c r="F460" s="208"/>
      <c r="G460" s="208"/>
      <c r="H460" s="208"/>
      <c r="I460" s="234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</row>
    <row r="461">
      <c r="A461" s="208"/>
      <c r="B461" s="208"/>
      <c r="C461" s="208"/>
      <c r="D461" s="208"/>
      <c r="E461" s="208"/>
      <c r="F461" s="208"/>
      <c r="G461" s="208"/>
      <c r="H461" s="208"/>
      <c r="I461" s="234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</row>
    <row r="462">
      <c r="A462" s="208"/>
      <c r="B462" s="208"/>
      <c r="C462" s="208"/>
      <c r="D462" s="208"/>
      <c r="E462" s="208"/>
      <c r="F462" s="208"/>
      <c r="G462" s="208"/>
      <c r="H462" s="208"/>
      <c r="I462" s="234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</row>
    <row r="463">
      <c r="A463" s="208"/>
      <c r="B463" s="208"/>
      <c r="C463" s="208"/>
      <c r="D463" s="208"/>
      <c r="E463" s="208"/>
      <c r="F463" s="208"/>
      <c r="G463" s="208"/>
      <c r="H463" s="208"/>
      <c r="I463" s="234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</row>
    <row r="464">
      <c r="A464" s="208"/>
      <c r="B464" s="208"/>
      <c r="C464" s="208"/>
      <c r="D464" s="208"/>
      <c r="E464" s="208"/>
      <c r="F464" s="208"/>
      <c r="G464" s="208"/>
      <c r="H464" s="208"/>
      <c r="I464" s="234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</row>
    <row r="465">
      <c r="A465" s="208"/>
      <c r="B465" s="208"/>
      <c r="C465" s="208"/>
      <c r="D465" s="208"/>
      <c r="E465" s="208"/>
      <c r="F465" s="208"/>
      <c r="G465" s="208"/>
      <c r="H465" s="208"/>
      <c r="I465" s="234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</row>
    <row r="466">
      <c r="A466" s="208"/>
      <c r="B466" s="208"/>
      <c r="C466" s="208"/>
      <c r="D466" s="208"/>
      <c r="E466" s="208"/>
      <c r="F466" s="208"/>
      <c r="G466" s="208"/>
      <c r="H466" s="208"/>
      <c r="I466" s="234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</row>
    <row r="467">
      <c r="A467" s="208"/>
      <c r="B467" s="208"/>
      <c r="C467" s="208"/>
      <c r="D467" s="208"/>
      <c r="E467" s="208"/>
      <c r="F467" s="208"/>
      <c r="G467" s="208"/>
      <c r="H467" s="208"/>
      <c r="I467" s="234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</row>
    <row r="468">
      <c r="A468" s="208"/>
      <c r="B468" s="208"/>
      <c r="C468" s="208"/>
      <c r="D468" s="208"/>
      <c r="E468" s="208"/>
      <c r="F468" s="208"/>
      <c r="G468" s="208"/>
      <c r="H468" s="208"/>
      <c r="I468" s="234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</row>
    <row r="469">
      <c r="A469" s="208"/>
      <c r="B469" s="208"/>
      <c r="C469" s="208"/>
      <c r="D469" s="208"/>
      <c r="E469" s="208"/>
      <c r="F469" s="208"/>
      <c r="G469" s="208"/>
      <c r="H469" s="208"/>
      <c r="I469" s="234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</row>
    <row r="470">
      <c r="A470" s="208"/>
      <c r="B470" s="208"/>
      <c r="C470" s="208"/>
      <c r="D470" s="208"/>
      <c r="E470" s="208"/>
      <c r="F470" s="208"/>
      <c r="G470" s="208"/>
      <c r="H470" s="208"/>
      <c r="I470" s="234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</row>
    <row r="471">
      <c r="A471" s="208"/>
      <c r="B471" s="208"/>
      <c r="C471" s="208"/>
      <c r="D471" s="208"/>
      <c r="E471" s="208"/>
      <c r="F471" s="208"/>
      <c r="G471" s="208"/>
      <c r="H471" s="208"/>
      <c r="I471" s="234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</row>
    <row r="472">
      <c r="A472" s="208"/>
      <c r="B472" s="208"/>
      <c r="C472" s="208"/>
      <c r="D472" s="208"/>
      <c r="E472" s="208"/>
      <c r="F472" s="208"/>
      <c r="G472" s="208"/>
      <c r="H472" s="208"/>
      <c r="I472" s="234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</row>
    <row r="473">
      <c r="A473" s="208"/>
      <c r="B473" s="208"/>
      <c r="C473" s="208"/>
      <c r="D473" s="208"/>
      <c r="E473" s="208"/>
      <c r="F473" s="208"/>
      <c r="G473" s="208"/>
      <c r="H473" s="208"/>
      <c r="I473" s="234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</row>
    <row r="474">
      <c r="A474" s="208"/>
      <c r="B474" s="208"/>
      <c r="C474" s="208"/>
      <c r="D474" s="208"/>
      <c r="E474" s="208"/>
      <c r="F474" s="208"/>
      <c r="G474" s="208"/>
      <c r="H474" s="208"/>
      <c r="I474" s="234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</row>
    <row r="475">
      <c r="A475" s="208"/>
      <c r="B475" s="208"/>
      <c r="C475" s="208"/>
      <c r="D475" s="208"/>
      <c r="E475" s="208"/>
      <c r="F475" s="208"/>
      <c r="G475" s="208"/>
      <c r="H475" s="208"/>
      <c r="I475" s="234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</row>
    <row r="476">
      <c r="A476" s="208"/>
      <c r="B476" s="208"/>
      <c r="C476" s="208"/>
      <c r="D476" s="208"/>
      <c r="E476" s="208"/>
      <c r="F476" s="208"/>
      <c r="G476" s="208"/>
      <c r="H476" s="208"/>
      <c r="I476" s="234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</row>
    <row r="477">
      <c r="A477" s="208"/>
      <c r="B477" s="208"/>
      <c r="C477" s="208"/>
      <c r="D477" s="208"/>
      <c r="E477" s="208"/>
      <c r="F477" s="208"/>
      <c r="G477" s="208"/>
      <c r="H477" s="208"/>
      <c r="I477" s="234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</row>
    <row r="478">
      <c r="A478" s="208"/>
      <c r="B478" s="208"/>
      <c r="C478" s="208"/>
      <c r="D478" s="208"/>
      <c r="E478" s="208"/>
      <c r="F478" s="208"/>
      <c r="G478" s="208"/>
      <c r="H478" s="208"/>
      <c r="I478" s="234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</row>
    <row r="479">
      <c r="A479" s="208"/>
      <c r="B479" s="208"/>
      <c r="C479" s="208"/>
      <c r="D479" s="208"/>
      <c r="E479" s="208"/>
      <c r="F479" s="208"/>
      <c r="G479" s="208"/>
      <c r="H479" s="208"/>
      <c r="I479" s="234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</row>
    <row r="480">
      <c r="A480" s="208"/>
      <c r="B480" s="208"/>
      <c r="C480" s="208"/>
      <c r="D480" s="208"/>
      <c r="E480" s="208"/>
      <c r="F480" s="208"/>
      <c r="G480" s="208"/>
      <c r="H480" s="208"/>
      <c r="I480" s="234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</row>
    <row r="481">
      <c r="A481" s="208"/>
      <c r="B481" s="208"/>
      <c r="C481" s="208"/>
      <c r="D481" s="208"/>
      <c r="E481" s="208"/>
      <c r="F481" s="208"/>
      <c r="G481" s="208"/>
      <c r="H481" s="208"/>
      <c r="I481" s="234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</row>
    <row r="482">
      <c r="A482" s="208"/>
      <c r="B482" s="208"/>
      <c r="C482" s="208"/>
      <c r="D482" s="208"/>
      <c r="E482" s="208"/>
      <c r="F482" s="208"/>
      <c r="G482" s="208"/>
      <c r="H482" s="208"/>
      <c r="I482" s="234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</row>
    <row r="483">
      <c r="A483" s="208"/>
      <c r="B483" s="208"/>
      <c r="C483" s="208"/>
      <c r="D483" s="208"/>
      <c r="E483" s="208"/>
      <c r="F483" s="208"/>
      <c r="G483" s="208"/>
      <c r="H483" s="208"/>
      <c r="I483" s="234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</row>
    <row r="484">
      <c r="A484" s="208"/>
      <c r="B484" s="208"/>
      <c r="C484" s="208"/>
      <c r="D484" s="208"/>
      <c r="E484" s="208"/>
      <c r="F484" s="208"/>
      <c r="G484" s="208"/>
      <c r="H484" s="208"/>
      <c r="I484" s="234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</row>
    <row r="485">
      <c r="A485" s="208"/>
      <c r="B485" s="208"/>
      <c r="C485" s="208"/>
      <c r="D485" s="208"/>
      <c r="E485" s="208"/>
      <c r="F485" s="208"/>
      <c r="G485" s="208"/>
      <c r="H485" s="208"/>
      <c r="I485" s="234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</row>
    <row r="486">
      <c r="A486" s="208"/>
      <c r="B486" s="208"/>
      <c r="C486" s="208"/>
      <c r="D486" s="208"/>
      <c r="E486" s="208"/>
      <c r="F486" s="208"/>
      <c r="G486" s="208"/>
      <c r="H486" s="208"/>
      <c r="I486" s="234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</row>
    <row r="487">
      <c r="A487" s="208"/>
      <c r="B487" s="208"/>
      <c r="C487" s="208"/>
      <c r="D487" s="208"/>
      <c r="E487" s="208"/>
      <c r="F487" s="208"/>
      <c r="G487" s="208"/>
      <c r="H487" s="208"/>
      <c r="I487" s="234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</row>
    <row r="488">
      <c r="A488" s="208"/>
      <c r="B488" s="208"/>
      <c r="C488" s="208"/>
      <c r="D488" s="208"/>
      <c r="E488" s="208"/>
      <c r="F488" s="208"/>
      <c r="G488" s="208"/>
      <c r="H488" s="208"/>
      <c r="I488" s="234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</row>
    <row r="489">
      <c r="A489" s="208"/>
      <c r="B489" s="208"/>
      <c r="C489" s="208"/>
      <c r="D489" s="208"/>
      <c r="E489" s="208"/>
      <c r="F489" s="208"/>
      <c r="G489" s="208"/>
      <c r="H489" s="208"/>
      <c r="I489" s="234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</row>
    <row r="490">
      <c r="A490" s="208"/>
      <c r="B490" s="208"/>
      <c r="C490" s="208"/>
      <c r="D490" s="208"/>
      <c r="E490" s="208"/>
      <c r="F490" s="208"/>
      <c r="G490" s="208"/>
      <c r="H490" s="208"/>
      <c r="I490" s="234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</row>
    <row r="491">
      <c r="A491" s="208"/>
      <c r="B491" s="208"/>
      <c r="C491" s="208"/>
      <c r="D491" s="208"/>
      <c r="E491" s="208"/>
      <c r="F491" s="208"/>
      <c r="G491" s="208"/>
      <c r="H491" s="208"/>
      <c r="I491" s="234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</row>
    <row r="492">
      <c r="A492" s="208"/>
      <c r="B492" s="208"/>
      <c r="C492" s="208"/>
      <c r="D492" s="208"/>
      <c r="E492" s="208"/>
      <c r="F492" s="208"/>
      <c r="G492" s="208"/>
      <c r="H492" s="208"/>
      <c r="I492" s="234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</row>
    <row r="493">
      <c r="A493" s="208"/>
      <c r="B493" s="208"/>
      <c r="C493" s="208"/>
      <c r="D493" s="208"/>
      <c r="E493" s="208"/>
      <c r="F493" s="208"/>
      <c r="G493" s="208"/>
      <c r="H493" s="208"/>
      <c r="I493" s="234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</row>
    <row r="494">
      <c r="A494" s="208"/>
      <c r="B494" s="208"/>
      <c r="C494" s="208"/>
      <c r="D494" s="208"/>
      <c r="E494" s="208"/>
      <c r="F494" s="208"/>
      <c r="G494" s="208"/>
      <c r="H494" s="208"/>
      <c r="I494" s="234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</row>
    <row r="495">
      <c r="A495" s="208"/>
      <c r="B495" s="208"/>
      <c r="C495" s="208"/>
      <c r="D495" s="208"/>
      <c r="E495" s="208"/>
      <c r="F495" s="208"/>
      <c r="G495" s="208"/>
      <c r="H495" s="208"/>
      <c r="I495" s="234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</row>
    <row r="496">
      <c r="A496" s="208"/>
      <c r="B496" s="208"/>
      <c r="C496" s="208"/>
      <c r="D496" s="208"/>
      <c r="E496" s="208"/>
      <c r="F496" s="208"/>
      <c r="G496" s="208"/>
      <c r="H496" s="208"/>
      <c r="I496" s="234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</row>
    <row r="497">
      <c r="A497" s="208"/>
      <c r="B497" s="208"/>
      <c r="C497" s="208"/>
      <c r="D497" s="208"/>
      <c r="E497" s="208"/>
      <c r="F497" s="208"/>
      <c r="G497" s="208"/>
      <c r="H497" s="208"/>
      <c r="I497" s="234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</row>
    <row r="498">
      <c r="A498" s="208"/>
      <c r="B498" s="208"/>
      <c r="C498" s="208"/>
      <c r="D498" s="208"/>
      <c r="E498" s="208"/>
      <c r="F498" s="208"/>
      <c r="G498" s="208"/>
      <c r="H498" s="208"/>
      <c r="I498" s="234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</row>
    <row r="499">
      <c r="A499" s="208"/>
      <c r="B499" s="208"/>
      <c r="C499" s="208"/>
      <c r="D499" s="208"/>
      <c r="E499" s="208"/>
      <c r="F499" s="208"/>
      <c r="G499" s="208"/>
      <c r="H499" s="208"/>
      <c r="I499" s="234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</row>
    <row r="500">
      <c r="A500" s="208"/>
      <c r="B500" s="208"/>
      <c r="C500" s="208"/>
      <c r="D500" s="208"/>
      <c r="E500" s="208"/>
      <c r="F500" s="208"/>
      <c r="G500" s="208"/>
      <c r="H500" s="208"/>
      <c r="I500" s="234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</row>
    <row r="501">
      <c r="A501" s="208"/>
      <c r="B501" s="208"/>
      <c r="C501" s="208"/>
      <c r="D501" s="208"/>
      <c r="E501" s="208"/>
      <c r="F501" s="208"/>
      <c r="G501" s="208"/>
      <c r="H501" s="208"/>
      <c r="I501" s="234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</row>
    <row r="502">
      <c r="A502" s="208"/>
      <c r="B502" s="208"/>
      <c r="C502" s="208"/>
      <c r="D502" s="208"/>
      <c r="E502" s="208"/>
      <c r="F502" s="208"/>
      <c r="G502" s="208"/>
      <c r="H502" s="208"/>
      <c r="I502" s="234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</row>
    <row r="503">
      <c r="A503" s="208"/>
      <c r="B503" s="208"/>
      <c r="C503" s="208"/>
      <c r="D503" s="208"/>
      <c r="E503" s="208"/>
      <c r="F503" s="208"/>
      <c r="G503" s="208"/>
      <c r="H503" s="208"/>
      <c r="I503" s="234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</row>
    <row r="504">
      <c r="A504" s="208"/>
      <c r="B504" s="208"/>
      <c r="C504" s="208"/>
      <c r="D504" s="208"/>
      <c r="E504" s="208"/>
      <c r="F504" s="208"/>
      <c r="G504" s="208"/>
      <c r="H504" s="208"/>
      <c r="I504" s="234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</row>
    <row r="505">
      <c r="A505" s="208"/>
      <c r="B505" s="208"/>
      <c r="C505" s="208"/>
      <c r="D505" s="208"/>
      <c r="E505" s="208"/>
      <c r="F505" s="208"/>
      <c r="G505" s="208"/>
      <c r="H505" s="208"/>
      <c r="I505" s="234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</row>
    <row r="506">
      <c r="A506" s="208"/>
      <c r="B506" s="208"/>
      <c r="C506" s="208"/>
      <c r="D506" s="208"/>
      <c r="E506" s="208"/>
      <c r="F506" s="208"/>
      <c r="G506" s="208"/>
      <c r="H506" s="208"/>
      <c r="I506" s="234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</row>
    <row r="507">
      <c r="A507" s="208"/>
      <c r="B507" s="208"/>
      <c r="C507" s="208"/>
      <c r="D507" s="208"/>
      <c r="E507" s="208"/>
      <c r="F507" s="208"/>
      <c r="G507" s="208"/>
      <c r="H507" s="208"/>
      <c r="I507" s="234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</row>
    <row r="508">
      <c r="A508" s="208"/>
      <c r="B508" s="208"/>
      <c r="C508" s="208"/>
      <c r="D508" s="208"/>
      <c r="E508" s="208"/>
      <c r="F508" s="208"/>
      <c r="G508" s="208"/>
      <c r="H508" s="208"/>
      <c r="I508" s="234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</row>
    <row r="509">
      <c r="A509" s="208"/>
      <c r="B509" s="208"/>
      <c r="C509" s="208"/>
      <c r="D509" s="208"/>
      <c r="E509" s="208"/>
      <c r="F509" s="208"/>
      <c r="G509" s="208"/>
      <c r="H509" s="208"/>
      <c r="I509" s="234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</row>
    <row r="510">
      <c r="A510" s="208"/>
      <c r="B510" s="208"/>
      <c r="C510" s="208"/>
      <c r="D510" s="208"/>
      <c r="E510" s="208"/>
      <c r="F510" s="208"/>
      <c r="G510" s="208"/>
      <c r="H510" s="208"/>
      <c r="I510" s="234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</row>
    <row r="511">
      <c r="A511" s="208"/>
      <c r="B511" s="208"/>
      <c r="C511" s="208"/>
      <c r="D511" s="208"/>
      <c r="E511" s="208"/>
      <c r="F511" s="208"/>
      <c r="G511" s="208"/>
      <c r="H511" s="208"/>
      <c r="I511" s="234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</row>
    <row r="512">
      <c r="A512" s="208"/>
      <c r="B512" s="208"/>
      <c r="C512" s="208"/>
      <c r="D512" s="208"/>
      <c r="E512" s="208"/>
      <c r="F512" s="208"/>
      <c r="G512" s="208"/>
      <c r="H512" s="208"/>
      <c r="I512" s="234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</row>
    <row r="513">
      <c r="A513" s="208"/>
      <c r="B513" s="208"/>
      <c r="C513" s="208"/>
      <c r="D513" s="208"/>
      <c r="E513" s="208"/>
      <c r="F513" s="208"/>
      <c r="G513" s="208"/>
      <c r="H513" s="208"/>
      <c r="I513" s="234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</row>
    <row r="514">
      <c r="A514" s="208"/>
      <c r="B514" s="208"/>
      <c r="C514" s="208"/>
      <c r="D514" s="208"/>
      <c r="E514" s="208"/>
      <c r="F514" s="208"/>
      <c r="G514" s="208"/>
      <c r="H514" s="208"/>
      <c r="I514" s="234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</row>
    <row r="515">
      <c r="A515" s="208"/>
      <c r="B515" s="208"/>
      <c r="C515" s="208"/>
      <c r="D515" s="208"/>
      <c r="E515" s="208"/>
      <c r="F515" s="208"/>
      <c r="G515" s="208"/>
      <c r="H515" s="208"/>
      <c r="I515" s="234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</row>
    <row r="516">
      <c r="A516" s="208"/>
      <c r="B516" s="208"/>
      <c r="C516" s="208"/>
      <c r="D516" s="208"/>
      <c r="E516" s="208"/>
      <c r="F516" s="208"/>
      <c r="G516" s="208"/>
      <c r="H516" s="208"/>
      <c r="I516" s="234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</row>
    <row r="517">
      <c r="A517" s="208"/>
      <c r="B517" s="208"/>
      <c r="C517" s="208"/>
      <c r="D517" s="208"/>
      <c r="E517" s="208"/>
      <c r="F517" s="208"/>
      <c r="G517" s="208"/>
      <c r="H517" s="208"/>
      <c r="I517" s="234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</row>
    <row r="518">
      <c r="A518" s="208"/>
      <c r="B518" s="208"/>
      <c r="C518" s="208"/>
      <c r="D518" s="208"/>
      <c r="E518" s="208"/>
      <c r="F518" s="208"/>
      <c r="G518" s="208"/>
      <c r="H518" s="208"/>
      <c r="I518" s="234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</row>
    <row r="519">
      <c r="A519" s="208"/>
      <c r="B519" s="208"/>
      <c r="C519" s="208"/>
      <c r="D519" s="208"/>
      <c r="E519" s="208"/>
      <c r="F519" s="208"/>
      <c r="G519" s="208"/>
      <c r="H519" s="208"/>
      <c r="I519" s="234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</row>
    <row r="520">
      <c r="A520" s="208"/>
      <c r="B520" s="208"/>
      <c r="C520" s="208"/>
      <c r="D520" s="208"/>
      <c r="E520" s="208"/>
      <c r="F520" s="208"/>
      <c r="G520" s="208"/>
      <c r="H520" s="208"/>
      <c r="I520" s="234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</row>
    <row r="521">
      <c r="A521" s="208"/>
      <c r="B521" s="208"/>
      <c r="C521" s="208"/>
      <c r="D521" s="208"/>
      <c r="E521" s="208"/>
      <c r="F521" s="208"/>
      <c r="G521" s="208"/>
      <c r="H521" s="208"/>
      <c r="I521" s="234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</row>
    <row r="522">
      <c r="A522" s="208"/>
      <c r="B522" s="208"/>
      <c r="C522" s="208"/>
      <c r="D522" s="208"/>
      <c r="E522" s="208"/>
      <c r="F522" s="208"/>
      <c r="G522" s="208"/>
      <c r="H522" s="208"/>
      <c r="I522" s="234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</row>
    <row r="523">
      <c r="A523" s="208"/>
      <c r="B523" s="208"/>
      <c r="C523" s="208"/>
      <c r="D523" s="208"/>
      <c r="E523" s="208"/>
      <c r="F523" s="208"/>
      <c r="G523" s="208"/>
      <c r="H523" s="208"/>
      <c r="I523" s="234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</row>
    <row r="524">
      <c r="A524" s="208"/>
      <c r="B524" s="208"/>
      <c r="C524" s="208"/>
      <c r="D524" s="208"/>
      <c r="E524" s="208"/>
      <c r="F524" s="208"/>
      <c r="G524" s="208"/>
      <c r="H524" s="208"/>
      <c r="I524" s="234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</row>
    <row r="525">
      <c r="A525" s="208"/>
      <c r="B525" s="208"/>
      <c r="C525" s="208"/>
      <c r="D525" s="208"/>
      <c r="E525" s="208"/>
      <c r="F525" s="208"/>
      <c r="G525" s="208"/>
      <c r="H525" s="208"/>
      <c r="I525" s="234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</row>
    <row r="526">
      <c r="A526" s="208"/>
      <c r="B526" s="208"/>
      <c r="C526" s="208"/>
      <c r="D526" s="208"/>
      <c r="E526" s="208"/>
      <c r="F526" s="208"/>
      <c r="G526" s="208"/>
      <c r="H526" s="208"/>
      <c r="I526" s="234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</row>
    <row r="527">
      <c r="A527" s="208"/>
      <c r="B527" s="208"/>
      <c r="C527" s="208"/>
      <c r="D527" s="208"/>
      <c r="E527" s="208"/>
      <c r="F527" s="208"/>
      <c r="G527" s="208"/>
      <c r="H527" s="208"/>
      <c r="I527" s="234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</row>
    <row r="528">
      <c r="A528" s="208"/>
      <c r="B528" s="208"/>
      <c r="C528" s="208"/>
      <c r="D528" s="208"/>
      <c r="E528" s="208"/>
      <c r="F528" s="208"/>
      <c r="G528" s="208"/>
      <c r="H528" s="208"/>
      <c r="I528" s="234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</row>
    <row r="529">
      <c r="A529" s="208"/>
      <c r="B529" s="208"/>
      <c r="C529" s="208"/>
      <c r="D529" s="208"/>
      <c r="E529" s="208"/>
      <c r="F529" s="208"/>
      <c r="G529" s="208"/>
      <c r="H529" s="208"/>
      <c r="I529" s="234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</row>
    <row r="530">
      <c r="A530" s="208"/>
      <c r="B530" s="208"/>
      <c r="C530" s="208"/>
      <c r="D530" s="208"/>
      <c r="E530" s="208"/>
      <c r="F530" s="208"/>
      <c r="G530" s="208"/>
      <c r="H530" s="208"/>
      <c r="I530" s="234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</row>
    <row r="531">
      <c r="A531" s="208"/>
      <c r="B531" s="208"/>
      <c r="C531" s="208"/>
      <c r="D531" s="208"/>
      <c r="E531" s="208"/>
      <c r="F531" s="208"/>
      <c r="G531" s="208"/>
      <c r="H531" s="208"/>
      <c r="I531" s="234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</row>
    <row r="532">
      <c r="A532" s="208"/>
      <c r="B532" s="208"/>
      <c r="C532" s="208"/>
      <c r="D532" s="208"/>
      <c r="E532" s="208"/>
      <c r="F532" s="208"/>
      <c r="G532" s="208"/>
      <c r="H532" s="208"/>
      <c r="I532" s="234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</row>
    <row r="533">
      <c r="A533" s="208"/>
      <c r="B533" s="208"/>
      <c r="C533" s="208"/>
      <c r="D533" s="208"/>
      <c r="E533" s="208"/>
      <c r="F533" s="208"/>
      <c r="G533" s="208"/>
      <c r="H533" s="208"/>
      <c r="I533" s="234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</row>
    <row r="534">
      <c r="A534" s="208"/>
      <c r="B534" s="208"/>
      <c r="C534" s="208"/>
      <c r="D534" s="208"/>
      <c r="E534" s="208"/>
      <c r="F534" s="208"/>
      <c r="G534" s="208"/>
      <c r="H534" s="208"/>
      <c r="I534" s="234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</row>
    <row r="535">
      <c r="A535" s="208"/>
      <c r="B535" s="208"/>
      <c r="C535" s="208"/>
      <c r="D535" s="208"/>
      <c r="E535" s="208"/>
      <c r="F535" s="208"/>
      <c r="G535" s="208"/>
      <c r="H535" s="208"/>
      <c r="I535" s="234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</row>
    <row r="536">
      <c r="A536" s="208"/>
      <c r="B536" s="208"/>
      <c r="C536" s="208"/>
      <c r="D536" s="208"/>
      <c r="E536" s="208"/>
      <c r="F536" s="208"/>
      <c r="G536" s="208"/>
      <c r="H536" s="208"/>
      <c r="I536" s="234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</row>
    <row r="537">
      <c r="A537" s="208"/>
      <c r="B537" s="208"/>
      <c r="C537" s="208"/>
      <c r="D537" s="208"/>
      <c r="E537" s="208"/>
      <c r="F537" s="208"/>
      <c r="G537" s="208"/>
      <c r="H537" s="208"/>
      <c r="I537" s="234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</row>
    <row r="538">
      <c r="A538" s="208"/>
      <c r="B538" s="208"/>
      <c r="C538" s="208"/>
      <c r="D538" s="208"/>
      <c r="E538" s="208"/>
      <c r="F538" s="208"/>
      <c r="G538" s="208"/>
      <c r="H538" s="208"/>
      <c r="I538" s="234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</row>
    <row r="539">
      <c r="A539" s="208"/>
      <c r="B539" s="208"/>
      <c r="C539" s="208"/>
      <c r="D539" s="208"/>
      <c r="E539" s="208"/>
      <c r="F539" s="208"/>
      <c r="G539" s="208"/>
      <c r="H539" s="208"/>
      <c r="I539" s="234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</row>
    <row r="540">
      <c r="A540" s="208"/>
      <c r="B540" s="208"/>
      <c r="C540" s="208"/>
      <c r="D540" s="208"/>
      <c r="E540" s="208"/>
      <c r="F540" s="208"/>
      <c r="G540" s="208"/>
      <c r="H540" s="208"/>
      <c r="I540" s="234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</row>
    <row r="541">
      <c r="A541" s="208"/>
      <c r="B541" s="208"/>
      <c r="C541" s="208"/>
      <c r="D541" s="208"/>
      <c r="E541" s="208"/>
      <c r="F541" s="208"/>
      <c r="G541" s="208"/>
      <c r="H541" s="208"/>
      <c r="I541" s="234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</row>
    <row r="542">
      <c r="A542" s="208"/>
      <c r="B542" s="208"/>
      <c r="C542" s="208"/>
      <c r="D542" s="208"/>
      <c r="E542" s="208"/>
      <c r="F542" s="208"/>
      <c r="G542" s="208"/>
      <c r="H542" s="208"/>
      <c r="I542" s="234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</row>
    <row r="543">
      <c r="A543" s="208"/>
      <c r="B543" s="208"/>
      <c r="C543" s="208"/>
      <c r="D543" s="208"/>
      <c r="E543" s="208"/>
      <c r="F543" s="208"/>
      <c r="G543" s="208"/>
      <c r="H543" s="208"/>
      <c r="I543" s="234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</row>
    <row r="544">
      <c r="A544" s="208"/>
      <c r="B544" s="208"/>
      <c r="C544" s="208"/>
      <c r="D544" s="208"/>
      <c r="E544" s="208"/>
      <c r="F544" s="208"/>
      <c r="G544" s="208"/>
      <c r="H544" s="208"/>
      <c r="I544" s="234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</row>
    <row r="545">
      <c r="A545" s="208"/>
      <c r="B545" s="208"/>
      <c r="C545" s="208"/>
      <c r="D545" s="208"/>
      <c r="E545" s="208"/>
      <c r="F545" s="208"/>
      <c r="G545" s="208"/>
      <c r="H545" s="208"/>
      <c r="I545" s="234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</row>
    <row r="546">
      <c r="A546" s="208"/>
      <c r="B546" s="208"/>
      <c r="C546" s="208"/>
      <c r="D546" s="208"/>
      <c r="E546" s="208"/>
      <c r="F546" s="208"/>
      <c r="G546" s="208"/>
      <c r="H546" s="208"/>
      <c r="I546" s="234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</row>
    <row r="547">
      <c r="A547" s="208"/>
      <c r="B547" s="208"/>
      <c r="C547" s="208"/>
      <c r="D547" s="208"/>
      <c r="E547" s="208"/>
      <c r="F547" s="208"/>
      <c r="G547" s="208"/>
      <c r="H547" s="208"/>
      <c r="I547" s="234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</row>
    <row r="548">
      <c r="A548" s="208"/>
      <c r="B548" s="208"/>
      <c r="C548" s="208"/>
      <c r="D548" s="208"/>
      <c r="E548" s="208"/>
      <c r="F548" s="208"/>
      <c r="G548" s="208"/>
      <c r="H548" s="208"/>
      <c r="I548" s="234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</row>
    <row r="549">
      <c r="A549" s="208"/>
      <c r="B549" s="208"/>
      <c r="C549" s="208"/>
      <c r="D549" s="208"/>
      <c r="E549" s="208"/>
      <c r="F549" s="208"/>
      <c r="G549" s="208"/>
      <c r="H549" s="208"/>
      <c r="I549" s="234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</row>
    <row r="550">
      <c r="A550" s="208"/>
      <c r="B550" s="208"/>
      <c r="C550" s="208"/>
      <c r="D550" s="208"/>
      <c r="E550" s="208"/>
      <c r="F550" s="208"/>
      <c r="G550" s="208"/>
      <c r="H550" s="208"/>
      <c r="I550" s="234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</row>
    <row r="551">
      <c r="A551" s="208"/>
      <c r="B551" s="208"/>
      <c r="C551" s="208"/>
      <c r="D551" s="208"/>
      <c r="E551" s="208"/>
      <c r="F551" s="208"/>
      <c r="G551" s="208"/>
      <c r="H551" s="208"/>
      <c r="I551" s="234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</row>
    <row r="552">
      <c r="A552" s="208"/>
      <c r="B552" s="208"/>
      <c r="C552" s="208"/>
      <c r="D552" s="208"/>
      <c r="E552" s="208"/>
      <c r="F552" s="208"/>
      <c r="G552" s="208"/>
      <c r="H552" s="208"/>
      <c r="I552" s="234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</row>
    <row r="553">
      <c r="A553" s="208"/>
      <c r="B553" s="208"/>
      <c r="C553" s="208"/>
      <c r="D553" s="208"/>
      <c r="E553" s="208"/>
      <c r="F553" s="208"/>
      <c r="G553" s="208"/>
      <c r="H553" s="208"/>
      <c r="I553" s="234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</row>
    <row r="554">
      <c r="A554" s="208"/>
      <c r="B554" s="208"/>
      <c r="C554" s="208"/>
      <c r="D554" s="208"/>
      <c r="E554" s="208"/>
      <c r="F554" s="208"/>
      <c r="G554" s="208"/>
      <c r="H554" s="208"/>
      <c r="I554" s="234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</row>
    <row r="555">
      <c r="A555" s="208"/>
      <c r="B555" s="208"/>
      <c r="C555" s="208"/>
      <c r="D555" s="208"/>
      <c r="E555" s="208"/>
      <c r="F555" s="208"/>
      <c r="G555" s="208"/>
      <c r="H555" s="208"/>
      <c r="I555" s="234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</row>
    <row r="556">
      <c r="A556" s="208"/>
      <c r="B556" s="208"/>
      <c r="C556" s="208"/>
      <c r="D556" s="208"/>
      <c r="E556" s="208"/>
      <c r="F556" s="208"/>
      <c r="G556" s="208"/>
      <c r="H556" s="208"/>
      <c r="I556" s="234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</row>
    <row r="557">
      <c r="A557" s="208"/>
      <c r="B557" s="208"/>
      <c r="C557" s="208"/>
      <c r="D557" s="208"/>
      <c r="E557" s="208"/>
      <c r="F557" s="208"/>
      <c r="G557" s="208"/>
      <c r="H557" s="208"/>
      <c r="I557" s="234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</row>
    <row r="558">
      <c r="A558" s="208"/>
      <c r="B558" s="208"/>
      <c r="C558" s="208"/>
      <c r="D558" s="208"/>
      <c r="E558" s="208"/>
      <c r="F558" s="208"/>
      <c r="G558" s="208"/>
      <c r="H558" s="208"/>
      <c r="I558" s="234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</row>
    <row r="559">
      <c r="A559" s="208"/>
      <c r="B559" s="208"/>
      <c r="C559" s="208"/>
      <c r="D559" s="208"/>
      <c r="E559" s="208"/>
      <c r="F559" s="208"/>
      <c r="G559" s="208"/>
      <c r="H559" s="208"/>
      <c r="I559" s="234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</row>
    <row r="560">
      <c r="A560" s="208"/>
      <c r="B560" s="208"/>
      <c r="C560" s="208"/>
      <c r="D560" s="208"/>
      <c r="E560" s="208"/>
      <c r="F560" s="208"/>
      <c r="G560" s="208"/>
      <c r="H560" s="208"/>
      <c r="I560" s="234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</row>
    <row r="561">
      <c r="A561" s="208"/>
      <c r="B561" s="208"/>
      <c r="C561" s="208"/>
      <c r="D561" s="208"/>
      <c r="E561" s="208"/>
      <c r="F561" s="208"/>
      <c r="G561" s="208"/>
      <c r="H561" s="208"/>
      <c r="I561" s="234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</row>
    <row r="562">
      <c r="A562" s="208"/>
      <c r="B562" s="208"/>
      <c r="C562" s="208"/>
      <c r="D562" s="208"/>
      <c r="E562" s="208"/>
      <c r="F562" s="208"/>
      <c r="G562" s="208"/>
      <c r="H562" s="208"/>
      <c r="I562" s="234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</row>
    <row r="563">
      <c r="A563" s="208"/>
      <c r="B563" s="208"/>
      <c r="C563" s="208"/>
      <c r="D563" s="208"/>
      <c r="E563" s="208"/>
      <c r="F563" s="208"/>
      <c r="G563" s="208"/>
      <c r="H563" s="208"/>
      <c r="I563" s="234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</row>
    <row r="564">
      <c r="A564" s="208"/>
      <c r="B564" s="208"/>
      <c r="C564" s="208"/>
      <c r="D564" s="208"/>
      <c r="E564" s="208"/>
      <c r="F564" s="208"/>
      <c r="G564" s="208"/>
      <c r="H564" s="208"/>
      <c r="I564" s="234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</row>
    <row r="565">
      <c r="A565" s="208"/>
      <c r="B565" s="208"/>
      <c r="C565" s="208"/>
      <c r="D565" s="208"/>
      <c r="E565" s="208"/>
      <c r="F565" s="208"/>
      <c r="G565" s="208"/>
      <c r="H565" s="208"/>
      <c r="I565" s="234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</row>
    <row r="566">
      <c r="A566" s="208"/>
      <c r="B566" s="208"/>
      <c r="C566" s="208"/>
      <c r="D566" s="208"/>
      <c r="E566" s="208"/>
      <c r="F566" s="208"/>
      <c r="G566" s="208"/>
      <c r="H566" s="208"/>
      <c r="I566" s="234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</row>
    <row r="567">
      <c r="A567" s="208"/>
      <c r="B567" s="208"/>
      <c r="C567" s="208"/>
      <c r="D567" s="208"/>
      <c r="E567" s="208"/>
      <c r="F567" s="208"/>
      <c r="G567" s="208"/>
      <c r="H567" s="208"/>
      <c r="I567" s="234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</row>
    <row r="568">
      <c r="A568" s="208"/>
      <c r="B568" s="208"/>
      <c r="C568" s="208"/>
      <c r="D568" s="208"/>
      <c r="E568" s="208"/>
      <c r="F568" s="208"/>
      <c r="G568" s="208"/>
      <c r="H568" s="208"/>
      <c r="I568" s="234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</row>
    <row r="569">
      <c r="A569" s="208"/>
      <c r="B569" s="208"/>
      <c r="C569" s="208"/>
      <c r="D569" s="208"/>
      <c r="E569" s="208"/>
      <c r="F569" s="208"/>
      <c r="G569" s="208"/>
      <c r="H569" s="208"/>
      <c r="I569" s="234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</row>
    <row r="570">
      <c r="A570" s="208"/>
      <c r="B570" s="208"/>
      <c r="C570" s="208"/>
      <c r="D570" s="208"/>
      <c r="E570" s="208"/>
      <c r="F570" s="208"/>
      <c r="G570" s="208"/>
      <c r="H570" s="208"/>
      <c r="I570" s="234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</row>
    <row r="571">
      <c r="A571" s="208"/>
      <c r="B571" s="208"/>
      <c r="C571" s="208"/>
      <c r="D571" s="208"/>
      <c r="E571" s="208"/>
      <c r="F571" s="208"/>
      <c r="G571" s="208"/>
      <c r="H571" s="208"/>
      <c r="I571" s="234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</row>
    <row r="572">
      <c r="A572" s="208"/>
      <c r="B572" s="208"/>
      <c r="C572" s="208"/>
      <c r="D572" s="208"/>
      <c r="E572" s="208"/>
      <c r="F572" s="208"/>
      <c r="G572" s="208"/>
      <c r="H572" s="208"/>
      <c r="I572" s="234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</row>
    <row r="573">
      <c r="A573" s="208"/>
      <c r="B573" s="208"/>
      <c r="C573" s="208"/>
      <c r="D573" s="208"/>
      <c r="E573" s="208"/>
      <c r="F573" s="208"/>
      <c r="G573" s="208"/>
      <c r="H573" s="208"/>
      <c r="I573" s="234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</row>
    <row r="574">
      <c r="A574" s="208"/>
      <c r="B574" s="208"/>
      <c r="C574" s="208"/>
      <c r="D574" s="208"/>
      <c r="E574" s="208"/>
      <c r="F574" s="208"/>
      <c r="G574" s="208"/>
      <c r="H574" s="208"/>
      <c r="I574" s="234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</row>
    <row r="575">
      <c r="A575" s="208"/>
      <c r="B575" s="208"/>
      <c r="C575" s="208"/>
      <c r="D575" s="208"/>
      <c r="E575" s="208"/>
      <c r="F575" s="208"/>
      <c r="G575" s="208"/>
      <c r="H575" s="208"/>
      <c r="I575" s="234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</row>
    <row r="576">
      <c r="A576" s="208"/>
      <c r="B576" s="208"/>
      <c r="C576" s="208"/>
      <c r="D576" s="208"/>
      <c r="E576" s="208"/>
      <c r="F576" s="208"/>
      <c r="G576" s="208"/>
      <c r="H576" s="208"/>
      <c r="I576" s="234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</row>
    <row r="577">
      <c r="A577" s="208"/>
      <c r="B577" s="208"/>
      <c r="C577" s="208"/>
      <c r="D577" s="208"/>
      <c r="E577" s="208"/>
      <c r="F577" s="208"/>
      <c r="G577" s="208"/>
      <c r="H577" s="208"/>
      <c r="I577" s="234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</row>
    <row r="578">
      <c r="A578" s="208"/>
      <c r="B578" s="208"/>
      <c r="C578" s="208"/>
      <c r="D578" s="208"/>
      <c r="E578" s="208"/>
      <c r="F578" s="208"/>
      <c r="G578" s="208"/>
      <c r="H578" s="208"/>
      <c r="I578" s="234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</row>
    <row r="579">
      <c r="A579" s="208"/>
      <c r="B579" s="208"/>
      <c r="C579" s="208"/>
      <c r="D579" s="208"/>
      <c r="E579" s="208"/>
      <c r="F579" s="208"/>
      <c r="G579" s="208"/>
      <c r="H579" s="208"/>
      <c r="I579" s="234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</row>
    <row r="580">
      <c r="A580" s="208"/>
      <c r="B580" s="208"/>
      <c r="C580" s="208"/>
      <c r="D580" s="208"/>
      <c r="E580" s="208"/>
      <c r="F580" s="208"/>
      <c r="G580" s="208"/>
      <c r="H580" s="208"/>
      <c r="I580" s="234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</row>
    <row r="581">
      <c r="A581" s="208"/>
      <c r="B581" s="208"/>
      <c r="C581" s="208"/>
      <c r="D581" s="208"/>
      <c r="E581" s="208"/>
      <c r="F581" s="208"/>
      <c r="G581" s="208"/>
      <c r="H581" s="208"/>
      <c r="I581" s="234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</row>
    <row r="582">
      <c r="A582" s="208"/>
      <c r="B582" s="208"/>
      <c r="C582" s="208"/>
      <c r="D582" s="208"/>
      <c r="E582" s="208"/>
      <c r="F582" s="208"/>
      <c r="G582" s="208"/>
      <c r="H582" s="208"/>
      <c r="I582" s="234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</row>
    <row r="583">
      <c r="A583" s="208"/>
      <c r="B583" s="208"/>
      <c r="C583" s="208"/>
      <c r="D583" s="208"/>
      <c r="E583" s="208"/>
      <c r="F583" s="208"/>
      <c r="G583" s="208"/>
      <c r="H583" s="208"/>
      <c r="I583" s="234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</row>
    <row r="584">
      <c r="A584" s="208"/>
      <c r="B584" s="208"/>
      <c r="C584" s="208"/>
      <c r="D584" s="208"/>
      <c r="E584" s="208"/>
      <c r="F584" s="208"/>
      <c r="G584" s="208"/>
      <c r="H584" s="208"/>
      <c r="I584" s="234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</row>
    <row r="585">
      <c r="A585" s="208"/>
      <c r="B585" s="208"/>
      <c r="C585" s="208"/>
      <c r="D585" s="208"/>
      <c r="E585" s="208"/>
      <c r="F585" s="208"/>
      <c r="G585" s="208"/>
      <c r="H585" s="208"/>
      <c r="I585" s="234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</row>
    <row r="586">
      <c r="A586" s="208"/>
      <c r="B586" s="208"/>
      <c r="C586" s="208"/>
      <c r="D586" s="208"/>
      <c r="E586" s="208"/>
      <c r="F586" s="208"/>
      <c r="G586" s="208"/>
      <c r="H586" s="208"/>
      <c r="I586" s="234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</row>
    <row r="587">
      <c r="A587" s="208"/>
      <c r="B587" s="208"/>
      <c r="C587" s="208"/>
      <c r="D587" s="208"/>
      <c r="E587" s="208"/>
      <c r="F587" s="208"/>
      <c r="G587" s="208"/>
      <c r="H587" s="208"/>
      <c r="I587" s="234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</row>
    <row r="588">
      <c r="A588" s="208"/>
      <c r="B588" s="208"/>
      <c r="C588" s="208"/>
      <c r="D588" s="208"/>
      <c r="E588" s="208"/>
      <c r="F588" s="208"/>
      <c r="G588" s="208"/>
      <c r="H588" s="208"/>
      <c r="I588" s="234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</row>
    <row r="589">
      <c r="A589" s="208"/>
      <c r="B589" s="208"/>
      <c r="C589" s="208"/>
      <c r="D589" s="208"/>
      <c r="E589" s="208"/>
      <c r="F589" s="208"/>
      <c r="G589" s="208"/>
      <c r="H589" s="208"/>
      <c r="I589" s="234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</row>
    <row r="590">
      <c r="A590" s="208"/>
      <c r="B590" s="208"/>
      <c r="C590" s="208"/>
      <c r="D590" s="208"/>
      <c r="E590" s="208"/>
      <c r="F590" s="208"/>
      <c r="G590" s="208"/>
      <c r="H590" s="208"/>
      <c r="I590" s="234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</row>
    <row r="591">
      <c r="A591" s="208"/>
      <c r="B591" s="208"/>
      <c r="C591" s="208"/>
      <c r="D591" s="208"/>
      <c r="E591" s="208"/>
      <c r="F591" s="208"/>
      <c r="G591" s="208"/>
      <c r="H591" s="208"/>
      <c r="I591" s="234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</row>
    <row r="592">
      <c r="A592" s="208"/>
      <c r="B592" s="208"/>
      <c r="C592" s="208"/>
      <c r="D592" s="208"/>
      <c r="E592" s="208"/>
      <c r="F592" s="208"/>
      <c r="G592" s="208"/>
      <c r="H592" s="208"/>
      <c r="I592" s="234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</row>
    <row r="593">
      <c r="A593" s="208"/>
      <c r="B593" s="208"/>
      <c r="C593" s="208"/>
      <c r="D593" s="208"/>
      <c r="E593" s="208"/>
      <c r="F593" s="208"/>
      <c r="G593" s="208"/>
      <c r="H593" s="208"/>
      <c r="I593" s="234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</row>
    <row r="594">
      <c r="A594" s="208"/>
      <c r="B594" s="208"/>
      <c r="C594" s="208"/>
      <c r="D594" s="208"/>
      <c r="E594" s="208"/>
      <c r="F594" s="208"/>
      <c r="G594" s="208"/>
      <c r="H594" s="208"/>
      <c r="I594" s="234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</row>
    <row r="595">
      <c r="A595" s="208"/>
      <c r="B595" s="208"/>
      <c r="C595" s="208"/>
      <c r="D595" s="208"/>
      <c r="E595" s="208"/>
      <c r="F595" s="208"/>
      <c r="G595" s="208"/>
      <c r="H595" s="208"/>
      <c r="I595" s="234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</row>
    <row r="596">
      <c r="A596" s="208"/>
      <c r="B596" s="208"/>
      <c r="C596" s="208"/>
      <c r="D596" s="208"/>
      <c r="E596" s="208"/>
      <c r="F596" s="208"/>
      <c r="G596" s="208"/>
      <c r="H596" s="208"/>
      <c r="I596" s="234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</row>
    <row r="597">
      <c r="A597" s="208"/>
      <c r="B597" s="208"/>
      <c r="C597" s="208"/>
      <c r="D597" s="208"/>
      <c r="E597" s="208"/>
      <c r="F597" s="208"/>
      <c r="G597" s="208"/>
      <c r="H597" s="208"/>
      <c r="I597" s="234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</row>
    <row r="598">
      <c r="A598" s="208"/>
      <c r="B598" s="208"/>
      <c r="C598" s="208"/>
      <c r="D598" s="208"/>
      <c r="E598" s="208"/>
      <c r="F598" s="208"/>
      <c r="G598" s="208"/>
      <c r="H598" s="208"/>
      <c r="I598" s="234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</row>
    <row r="599">
      <c r="A599" s="208"/>
      <c r="B599" s="208"/>
      <c r="C599" s="208"/>
      <c r="D599" s="208"/>
      <c r="E599" s="208"/>
      <c r="F599" s="208"/>
      <c r="G599" s="208"/>
      <c r="H599" s="208"/>
      <c r="I599" s="234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</row>
    <row r="600">
      <c r="A600" s="208"/>
      <c r="B600" s="208"/>
      <c r="C600" s="208"/>
      <c r="D600" s="208"/>
      <c r="E600" s="208"/>
      <c r="F600" s="208"/>
      <c r="G600" s="208"/>
      <c r="H600" s="208"/>
      <c r="I600" s="234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</row>
    <row r="601">
      <c r="A601" s="208"/>
      <c r="B601" s="208"/>
      <c r="C601" s="208"/>
      <c r="D601" s="208"/>
      <c r="E601" s="208"/>
      <c r="F601" s="208"/>
      <c r="G601" s="208"/>
      <c r="H601" s="208"/>
      <c r="I601" s="234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</row>
    <row r="602">
      <c r="A602" s="208"/>
      <c r="B602" s="208"/>
      <c r="C602" s="208"/>
      <c r="D602" s="208"/>
      <c r="E602" s="208"/>
      <c r="F602" s="208"/>
      <c r="G602" s="208"/>
      <c r="H602" s="208"/>
      <c r="I602" s="234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</row>
    <row r="603">
      <c r="A603" s="208"/>
      <c r="B603" s="208"/>
      <c r="C603" s="208"/>
      <c r="D603" s="208"/>
      <c r="E603" s="208"/>
      <c r="F603" s="208"/>
      <c r="G603" s="208"/>
      <c r="H603" s="208"/>
      <c r="I603" s="234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</row>
    <row r="604">
      <c r="A604" s="208"/>
      <c r="B604" s="208"/>
      <c r="C604" s="208"/>
      <c r="D604" s="208"/>
      <c r="E604" s="208"/>
      <c r="F604" s="208"/>
      <c r="G604" s="208"/>
      <c r="H604" s="208"/>
      <c r="I604" s="234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</row>
    <row r="605">
      <c r="A605" s="208"/>
      <c r="B605" s="208"/>
      <c r="C605" s="208"/>
      <c r="D605" s="208"/>
      <c r="E605" s="208"/>
      <c r="F605" s="208"/>
      <c r="G605" s="208"/>
      <c r="H605" s="208"/>
      <c r="I605" s="234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</row>
    <row r="606">
      <c r="A606" s="208"/>
      <c r="B606" s="208"/>
      <c r="C606" s="208"/>
      <c r="D606" s="208"/>
      <c r="E606" s="208"/>
      <c r="F606" s="208"/>
      <c r="G606" s="208"/>
      <c r="H606" s="208"/>
      <c r="I606" s="234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</row>
    <row r="607">
      <c r="A607" s="208"/>
      <c r="B607" s="208"/>
      <c r="C607" s="208"/>
      <c r="D607" s="208"/>
      <c r="E607" s="208"/>
      <c r="F607" s="208"/>
      <c r="G607" s="208"/>
      <c r="H607" s="208"/>
      <c r="I607" s="234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</row>
    <row r="608">
      <c r="A608" s="208"/>
      <c r="B608" s="208"/>
      <c r="C608" s="208"/>
      <c r="D608" s="208"/>
      <c r="E608" s="208"/>
      <c r="F608" s="208"/>
      <c r="G608" s="208"/>
      <c r="H608" s="208"/>
      <c r="I608" s="234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</row>
    <row r="609">
      <c r="A609" s="208"/>
      <c r="B609" s="208"/>
      <c r="C609" s="208"/>
      <c r="D609" s="208"/>
      <c r="E609" s="208"/>
      <c r="F609" s="208"/>
      <c r="G609" s="208"/>
      <c r="H609" s="208"/>
      <c r="I609" s="234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</row>
    <row r="610">
      <c r="A610" s="208"/>
      <c r="B610" s="208"/>
      <c r="C610" s="208"/>
      <c r="D610" s="208"/>
      <c r="E610" s="208"/>
      <c r="F610" s="208"/>
      <c r="G610" s="208"/>
      <c r="H610" s="208"/>
      <c r="I610" s="234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</row>
    <row r="611">
      <c r="A611" s="208"/>
      <c r="B611" s="208"/>
      <c r="C611" s="208"/>
      <c r="D611" s="208"/>
      <c r="E611" s="208"/>
      <c r="F611" s="208"/>
      <c r="G611" s="208"/>
      <c r="H611" s="208"/>
      <c r="I611" s="234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</row>
    <row r="612">
      <c r="A612" s="208"/>
      <c r="B612" s="208"/>
      <c r="C612" s="208"/>
      <c r="D612" s="208"/>
      <c r="E612" s="208"/>
      <c r="F612" s="208"/>
      <c r="G612" s="208"/>
      <c r="H612" s="208"/>
      <c r="I612" s="234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</row>
    <row r="613">
      <c r="A613" s="208"/>
      <c r="B613" s="208"/>
      <c r="C613" s="208"/>
      <c r="D613" s="208"/>
      <c r="E613" s="208"/>
      <c r="F613" s="208"/>
      <c r="G613" s="208"/>
      <c r="H613" s="208"/>
      <c r="I613" s="234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</row>
    <row r="614">
      <c r="A614" s="208"/>
      <c r="B614" s="208"/>
      <c r="C614" s="208"/>
      <c r="D614" s="208"/>
      <c r="E614" s="208"/>
      <c r="F614" s="208"/>
      <c r="G614" s="208"/>
      <c r="H614" s="208"/>
      <c r="I614" s="234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</row>
    <row r="615">
      <c r="A615" s="208"/>
      <c r="B615" s="208"/>
      <c r="C615" s="208"/>
      <c r="D615" s="208"/>
      <c r="E615" s="208"/>
      <c r="F615" s="208"/>
      <c r="G615" s="208"/>
      <c r="H615" s="208"/>
      <c r="I615" s="234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</row>
    <row r="616">
      <c r="A616" s="208"/>
      <c r="B616" s="208"/>
      <c r="C616" s="208"/>
      <c r="D616" s="208"/>
      <c r="E616" s="208"/>
      <c r="F616" s="208"/>
      <c r="G616" s="208"/>
      <c r="H616" s="208"/>
      <c r="I616" s="234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</row>
    <row r="617">
      <c r="A617" s="208"/>
      <c r="B617" s="208"/>
      <c r="C617" s="208"/>
      <c r="D617" s="208"/>
      <c r="E617" s="208"/>
      <c r="F617" s="208"/>
      <c r="G617" s="208"/>
      <c r="H617" s="208"/>
      <c r="I617" s="234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</row>
    <row r="618">
      <c r="A618" s="208"/>
      <c r="B618" s="208"/>
      <c r="C618" s="208"/>
      <c r="D618" s="208"/>
      <c r="E618" s="208"/>
      <c r="F618" s="208"/>
      <c r="G618" s="208"/>
      <c r="H618" s="208"/>
      <c r="I618" s="234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</row>
    <row r="619">
      <c r="A619" s="208"/>
      <c r="B619" s="208"/>
      <c r="C619" s="208"/>
      <c r="D619" s="208"/>
      <c r="E619" s="208"/>
      <c r="F619" s="208"/>
      <c r="G619" s="208"/>
      <c r="H619" s="208"/>
      <c r="I619" s="234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</row>
    <row r="620">
      <c r="A620" s="208"/>
      <c r="B620" s="208"/>
      <c r="C620" s="208"/>
      <c r="D620" s="208"/>
      <c r="E620" s="208"/>
      <c r="F620" s="208"/>
      <c r="G620" s="208"/>
      <c r="H620" s="208"/>
      <c r="I620" s="234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</row>
    <row r="621">
      <c r="A621" s="208"/>
      <c r="B621" s="208"/>
      <c r="C621" s="208"/>
      <c r="D621" s="208"/>
      <c r="E621" s="208"/>
      <c r="F621" s="208"/>
      <c r="G621" s="208"/>
      <c r="H621" s="208"/>
      <c r="I621" s="234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</row>
    <row r="622">
      <c r="A622" s="208"/>
      <c r="B622" s="208"/>
      <c r="C622" s="208"/>
      <c r="D622" s="208"/>
      <c r="E622" s="208"/>
      <c r="F622" s="208"/>
      <c r="G622" s="208"/>
      <c r="H622" s="208"/>
      <c r="I622" s="234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</row>
    <row r="623">
      <c r="A623" s="208"/>
      <c r="B623" s="208"/>
      <c r="C623" s="208"/>
      <c r="D623" s="208"/>
      <c r="E623" s="208"/>
      <c r="F623" s="208"/>
      <c r="G623" s="208"/>
      <c r="H623" s="208"/>
      <c r="I623" s="234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</row>
    <row r="624">
      <c r="A624" s="208"/>
      <c r="B624" s="208"/>
      <c r="C624" s="208"/>
      <c r="D624" s="208"/>
      <c r="E624" s="208"/>
      <c r="F624" s="208"/>
      <c r="G624" s="208"/>
      <c r="H624" s="208"/>
      <c r="I624" s="234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</row>
    <row r="625">
      <c r="A625" s="208"/>
      <c r="B625" s="208"/>
      <c r="C625" s="208"/>
      <c r="D625" s="208"/>
      <c r="E625" s="208"/>
      <c r="F625" s="208"/>
      <c r="G625" s="208"/>
      <c r="H625" s="208"/>
      <c r="I625" s="234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</row>
    <row r="626">
      <c r="A626" s="208"/>
      <c r="B626" s="208"/>
      <c r="C626" s="208"/>
      <c r="D626" s="208"/>
      <c r="E626" s="208"/>
      <c r="F626" s="208"/>
      <c r="G626" s="208"/>
      <c r="H626" s="208"/>
      <c r="I626" s="234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</row>
    <row r="627">
      <c r="A627" s="208"/>
      <c r="B627" s="208"/>
      <c r="C627" s="208"/>
      <c r="D627" s="208"/>
      <c r="E627" s="208"/>
      <c r="F627" s="208"/>
      <c r="G627" s="208"/>
      <c r="H627" s="208"/>
      <c r="I627" s="234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</row>
    <row r="628">
      <c r="A628" s="208"/>
      <c r="B628" s="208"/>
      <c r="C628" s="208"/>
      <c r="D628" s="208"/>
      <c r="E628" s="208"/>
      <c r="F628" s="208"/>
      <c r="G628" s="208"/>
      <c r="H628" s="208"/>
      <c r="I628" s="234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</row>
    <row r="629">
      <c r="A629" s="208"/>
      <c r="B629" s="208"/>
      <c r="C629" s="208"/>
      <c r="D629" s="208"/>
      <c r="E629" s="208"/>
      <c r="F629" s="208"/>
      <c r="G629" s="208"/>
      <c r="H629" s="208"/>
      <c r="I629" s="234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</row>
    <row r="630">
      <c r="A630" s="208"/>
      <c r="B630" s="208"/>
      <c r="C630" s="208"/>
      <c r="D630" s="208"/>
      <c r="E630" s="208"/>
      <c r="F630" s="208"/>
      <c r="G630" s="208"/>
      <c r="H630" s="208"/>
      <c r="I630" s="234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</row>
    <row r="631">
      <c r="A631" s="208"/>
      <c r="B631" s="208"/>
      <c r="C631" s="208"/>
      <c r="D631" s="208"/>
      <c r="E631" s="208"/>
      <c r="F631" s="208"/>
      <c r="G631" s="208"/>
      <c r="H631" s="208"/>
      <c r="I631" s="234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</row>
    <row r="632">
      <c r="A632" s="208"/>
      <c r="B632" s="208"/>
      <c r="C632" s="208"/>
      <c r="D632" s="208"/>
      <c r="E632" s="208"/>
      <c r="F632" s="208"/>
      <c r="G632" s="208"/>
      <c r="H632" s="208"/>
      <c r="I632" s="234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</row>
    <row r="633">
      <c r="A633" s="208"/>
      <c r="B633" s="208"/>
      <c r="C633" s="208"/>
      <c r="D633" s="208"/>
      <c r="E633" s="208"/>
      <c r="F633" s="208"/>
      <c r="G633" s="208"/>
      <c r="H633" s="208"/>
      <c r="I633" s="234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</row>
    <row r="634">
      <c r="A634" s="208"/>
      <c r="B634" s="208"/>
      <c r="C634" s="208"/>
      <c r="D634" s="208"/>
      <c r="E634" s="208"/>
      <c r="F634" s="208"/>
      <c r="G634" s="208"/>
      <c r="H634" s="208"/>
      <c r="I634" s="234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</row>
    <row r="635">
      <c r="A635" s="208"/>
      <c r="B635" s="208"/>
      <c r="C635" s="208"/>
      <c r="D635" s="208"/>
      <c r="E635" s="208"/>
      <c r="F635" s="208"/>
      <c r="G635" s="208"/>
      <c r="H635" s="208"/>
      <c r="I635" s="234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</row>
    <row r="636">
      <c r="A636" s="208"/>
      <c r="B636" s="208"/>
      <c r="C636" s="208"/>
      <c r="D636" s="208"/>
      <c r="E636" s="208"/>
      <c r="F636" s="208"/>
      <c r="G636" s="208"/>
      <c r="H636" s="208"/>
      <c r="I636" s="234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</row>
    <row r="637">
      <c r="A637" s="208"/>
      <c r="B637" s="208"/>
      <c r="C637" s="208"/>
      <c r="D637" s="208"/>
      <c r="E637" s="208"/>
      <c r="F637" s="208"/>
      <c r="G637" s="208"/>
      <c r="H637" s="208"/>
      <c r="I637" s="234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</row>
    <row r="638">
      <c r="A638" s="208"/>
      <c r="B638" s="208"/>
      <c r="C638" s="208"/>
      <c r="D638" s="208"/>
      <c r="E638" s="208"/>
      <c r="F638" s="208"/>
      <c r="G638" s="208"/>
      <c r="H638" s="208"/>
      <c r="I638" s="234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</row>
    <row r="639">
      <c r="A639" s="208"/>
      <c r="B639" s="208"/>
      <c r="C639" s="208"/>
      <c r="D639" s="208"/>
      <c r="E639" s="208"/>
      <c r="F639" s="208"/>
      <c r="G639" s="208"/>
      <c r="H639" s="208"/>
      <c r="I639" s="234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</row>
    <row r="640">
      <c r="A640" s="208"/>
      <c r="B640" s="208"/>
      <c r="C640" s="208"/>
      <c r="D640" s="208"/>
      <c r="E640" s="208"/>
      <c r="F640" s="208"/>
      <c r="G640" s="208"/>
      <c r="H640" s="208"/>
      <c r="I640" s="234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</row>
    <row r="641">
      <c r="A641" s="208"/>
      <c r="B641" s="208"/>
      <c r="C641" s="208"/>
      <c r="D641" s="208"/>
      <c r="E641" s="208"/>
      <c r="F641" s="208"/>
      <c r="G641" s="208"/>
      <c r="H641" s="208"/>
      <c r="I641" s="234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</row>
    <row r="642">
      <c r="A642" s="208"/>
      <c r="B642" s="208"/>
      <c r="C642" s="208"/>
      <c r="D642" s="208"/>
      <c r="E642" s="208"/>
      <c r="F642" s="208"/>
      <c r="G642" s="208"/>
      <c r="H642" s="208"/>
      <c r="I642" s="234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</row>
    <row r="643">
      <c r="A643" s="208"/>
      <c r="B643" s="208"/>
      <c r="C643" s="208"/>
      <c r="D643" s="208"/>
      <c r="E643" s="208"/>
      <c r="F643" s="208"/>
      <c r="G643" s="208"/>
      <c r="H643" s="208"/>
      <c r="I643" s="234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</row>
    <row r="644">
      <c r="A644" s="208"/>
      <c r="B644" s="208"/>
      <c r="C644" s="208"/>
      <c r="D644" s="208"/>
      <c r="E644" s="208"/>
      <c r="F644" s="208"/>
      <c r="G644" s="208"/>
      <c r="H644" s="208"/>
      <c r="I644" s="234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</row>
    <row r="645">
      <c r="A645" s="208"/>
      <c r="B645" s="208"/>
      <c r="C645" s="208"/>
      <c r="D645" s="208"/>
      <c r="E645" s="208"/>
      <c r="F645" s="208"/>
      <c r="G645" s="208"/>
      <c r="H645" s="208"/>
      <c r="I645" s="234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</row>
    <row r="646">
      <c r="A646" s="208"/>
      <c r="B646" s="208"/>
      <c r="C646" s="208"/>
      <c r="D646" s="208"/>
      <c r="E646" s="208"/>
      <c r="F646" s="208"/>
      <c r="G646" s="208"/>
      <c r="H646" s="208"/>
      <c r="I646" s="234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</row>
    <row r="647">
      <c r="A647" s="208"/>
      <c r="B647" s="208"/>
      <c r="C647" s="208"/>
      <c r="D647" s="208"/>
      <c r="E647" s="208"/>
      <c r="F647" s="208"/>
      <c r="G647" s="208"/>
      <c r="H647" s="208"/>
      <c r="I647" s="234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</row>
    <row r="648">
      <c r="A648" s="208"/>
      <c r="B648" s="208"/>
      <c r="C648" s="208"/>
      <c r="D648" s="208"/>
      <c r="E648" s="208"/>
      <c r="F648" s="208"/>
      <c r="G648" s="208"/>
      <c r="H648" s="208"/>
      <c r="I648" s="234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</row>
    <row r="649">
      <c r="A649" s="208"/>
      <c r="B649" s="208"/>
      <c r="C649" s="208"/>
      <c r="D649" s="208"/>
      <c r="E649" s="208"/>
      <c r="F649" s="208"/>
      <c r="G649" s="208"/>
      <c r="H649" s="208"/>
      <c r="I649" s="234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</row>
    <row r="650">
      <c r="A650" s="208"/>
      <c r="B650" s="208"/>
      <c r="C650" s="208"/>
      <c r="D650" s="208"/>
      <c r="E650" s="208"/>
      <c r="F650" s="208"/>
      <c r="G650" s="208"/>
      <c r="H650" s="208"/>
      <c r="I650" s="234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</row>
    <row r="651">
      <c r="A651" s="208"/>
      <c r="B651" s="208"/>
      <c r="C651" s="208"/>
      <c r="D651" s="208"/>
      <c r="E651" s="208"/>
      <c r="F651" s="208"/>
      <c r="G651" s="208"/>
      <c r="H651" s="208"/>
      <c r="I651" s="234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</row>
    <row r="652">
      <c r="A652" s="208"/>
      <c r="B652" s="208"/>
      <c r="C652" s="208"/>
      <c r="D652" s="208"/>
      <c r="E652" s="208"/>
      <c r="F652" s="208"/>
      <c r="G652" s="208"/>
      <c r="H652" s="208"/>
      <c r="I652" s="234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</row>
    <row r="653">
      <c r="A653" s="208"/>
      <c r="B653" s="208"/>
      <c r="C653" s="208"/>
      <c r="D653" s="208"/>
      <c r="E653" s="208"/>
      <c r="F653" s="208"/>
      <c r="G653" s="208"/>
      <c r="H653" s="208"/>
      <c r="I653" s="234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</row>
    <row r="654">
      <c r="A654" s="208"/>
      <c r="B654" s="208"/>
      <c r="C654" s="208"/>
      <c r="D654" s="208"/>
      <c r="E654" s="208"/>
      <c r="F654" s="208"/>
      <c r="G654" s="208"/>
      <c r="H654" s="208"/>
      <c r="I654" s="234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</row>
    <row r="655">
      <c r="A655" s="208"/>
      <c r="B655" s="208"/>
      <c r="C655" s="208"/>
      <c r="D655" s="208"/>
      <c r="E655" s="208"/>
      <c r="F655" s="208"/>
      <c r="G655" s="208"/>
      <c r="H655" s="208"/>
      <c r="I655" s="234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</row>
    <row r="656">
      <c r="A656" s="208"/>
      <c r="B656" s="208"/>
      <c r="C656" s="208"/>
      <c r="D656" s="208"/>
      <c r="E656" s="208"/>
      <c r="F656" s="208"/>
      <c r="G656" s="208"/>
      <c r="H656" s="208"/>
      <c r="I656" s="234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</row>
    <row r="657">
      <c r="A657" s="208"/>
      <c r="B657" s="208"/>
      <c r="C657" s="208"/>
      <c r="D657" s="208"/>
      <c r="E657" s="208"/>
      <c r="F657" s="208"/>
      <c r="G657" s="208"/>
      <c r="H657" s="208"/>
      <c r="I657" s="234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</row>
    <row r="658">
      <c r="A658" s="208"/>
      <c r="B658" s="208"/>
      <c r="C658" s="208"/>
      <c r="D658" s="208"/>
      <c r="E658" s="208"/>
      <c r="F658" s="208"/>
      <c r="G658" s="208"/>
      <c r="H658" s="208"/>
      <c r="I658" s="234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</row>
    <row r="659">
      <c r="A659" s="208"/>
      <c r="B659" s="208"/>
      <c r="C659" s="208"/>
      <c r="D659" s="208"/>
      <c r="E659" s="208"/>
      <c r="F659" s="208"/>
      <c r="G659" s="208"/>
      <c r="H659" s="208"/>
      <c r="I659" s="234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</row>
    <row r="660">
      <c r="A660" s="208"/>
      <c r="B660" s="208"/>
      <c r="C660" s="208"/>
      <c r="D660" s="208"/>
      <c r="E660" s="208"/>
      <c r="F660" s="208"/>
      <c r="G660" s="208"/>
      <c r="H660" s="208"/>
      <c r="I660" s="234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</row>
    <row r="661">
      <c r="A661" s="208"/>
      <c r="B661" s="208"/>
      <c r="C661" s="208"/>
      <c r="D661" s="208"/>
      <c r="E661" s="208"/>
      <c r="F661" s="208"/>
      <c r="G661" s="208"/>
      <c r="H661" s="208"/>
      <c r="I661" s="234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</row>
    <row r="662">
      <c r="A662" s="208"/>
      <c r="B662" s="208"/>
      <c r="C662" s="208"/>
      <c r="D662" s="208"/>
      <c r="E662" s="208"/>
      <c r="F662" s="208"/>
      <c r="G662" s="208"/>
      <c r="H662" s="208"/>
      <c r="I662" s="234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</row>
    <row r="663">
      <c r="A663" s="208"/>
      <c r="B663" s="208"/>
      <c r="C663" s="208"/>
      <c r="D663" s="208"/>
      <c r="E663" s="208"/>
      <c r="F663" s="208"/>
      <c r="G663" s="208"/>
      <c r="H663" s="208"/>
      <c r="I663" s="234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</row>
    <row r="664">
      <c r="A664" s="208"/>
      <c r="B664" s="208"/>
      <c r="C664" s="208"/>
      <c r="D664" s="208"/>
      <c r="E664" s="208"/>
      <c r="F664" s="208"/>
      <c r="G664" s="208"/>
      <c r="H664" s="208"/>
      <c r="I664" s="234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</row>
    <row r="665">
      <c r="A665" s="208"/>
      <c r="B665" s="208"/>
      <c r="C665" s="208"/>
      <c r="D665" s="208"/>
      <c r="E665" s="208"/>
      <c r="F665" s="208"/>
      <c r="G665" s="208"/>
      <c r="H665" s="208"/>
      <c r="I665" s="234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</row>
    <row r="666">
      <c r="A666" s="208"/>
      <c r="B666" s="208"/>
      <c r="C666" s="208"/>
      <c r="D666" s="208"/>
      <c r="E666" s="208"/>
      <c r="F666" s="208"/>
      <c r="G666" s="208"/>
      <c r="H666" s="208"/>
      <c r="I666" s="234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</row>
    <row r="667">
      <c r="A667" s="208"/>
      <c r="B667" s="208"/>
      <c r="C667" s="208"/>
      <c r="D667" s="208"/>
      <c r="E667" s="208"/>
      <c r="F667" s="208"/>
      <c r="G667" s="208"/>
      <c r="H667" s="208"/>
      <c r="I667" s="234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</row>
    <row r="668">
      <c r="A668" s="208"/>
      <c r="B668" s="208"/>
      <c r="C668" s="208"/>
      <c r="D668" s="208"/>
      <c r="E668" s="208"/>
      <c r="F668" s="208"/>
      <c r="G668" s="208"/>
      <c r="H668" s="208"/>
      <c r="I668" s="234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</row>
    <row r="669">
      <c r="A669" s="208"/>
      <c r="B669" s="208"/>
      <c r="C669" s="208"/>
      <c r="D669" s="208"/>
      <c r="E669" s="208"/>
      <c r="F669" s="208"/>
      <c r="G669" s="208"/>
      <c r="H669" s="208"/>
      <c r="I669" s="234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</row>
    <row r="670">
      <c r="A670" s="208"/>
      <c r="B670" s="208"/>
      <c r="C670" s="208"/>
      <c r="D670" s="208"/>
      <c r="E670" s="208"/>
      <c r="F670" s="208"/>
      <c r="G670" s="208"/>
      <c r="H670" s="208"/>
      <c r="I670" s="234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</row>
    <row r="671">
      <c r="A671" s="208"/>
      <c r="B671" s="208"/>
      <c r="C671" s="208"/>
      <c r="D671" s="208"/>
      <c r="E671" s="208"/>
      <c r="F671" s="208"/>
      <c r="G671" s="208"/>
      <c r="H671" s="208"/>
      <c r="I671" s="234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</row>
    <row r="672">
      <c r="A672" s="208"/>
      <c r="B672" s="208"/>
      <c r="C672" s="208"/>
      <c r="D672" s="208"/>
      <c r="E672" s="208"/>
      <c r="F672" s="208"/>
      <c r="G672" s="208"/>
      <c r="H672" s="208"/>
      <c r="I672" s="234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</row>
    <row r="673">
      <c r="A673" s="208"/>
      <c r="B673" s="208"/>
      <c r="C673" s="208"/>
      <c r="D673" s="208"/>
      <c r="E673" s="208"/>
      <c r="F673" s="208"/>
      <c r="G673" s="208"/>
      <c r="H673" s="208"/>
      <c r="I673" s="234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</row>
    <row r="674">
      <c r="A674" s="208"/>
      <c r="B674" s="208"/>
      <c r="C674" s="208"/>
      <c r="D674" s="208"/>
      <c r="E674" s="208"/>
      <c r="F674" s="208"/>
      <c r="G674" s="208"/>
      <c r="H674" s="208"/>
      <c r="I674" s="234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</row>
    <row r="675">
      <c r="A675" s="208"/>
      <c r="B675" s="208"/>
      <c r="C675" s="208"/>
      <c r="D675" s="208"/>
      <c r="E675" s="208"/>
      <c r="F675" s="208"/>
      <c r="G675" s="208"/>
      <c r="H675" s="208"/>
      <c r="I675" s="234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</row>
    <row r="676">
      <c r="A676" s="208"/>
      <c r="B676" s="208"/>
      <c r="C676" s="208"/>
      <c r="D676" s="208"/>
      <c r="E676" s="208"/>
      <c r="F676" s="208"/>
      <c r="G676" s="208"/>
      <c r="H676" s="208"/>
      <c r="I676" s="234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</row>
    <row r="677">
      <c r="A677" s="208"/>
      <c r="B677" s="208"/>
      <c r="C677" s="208"/>
      <c r="D677" s="208"/>
      <c r="E677" s="208"/>
      <c r="F677" s="208"/>
      <c r="G677" s="208"/>
      <c r="H677" s="208"/>
      <c r="I677" s="234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</row>
    <row r="678">
      <c r="A678" s="208"/>
      <c r="B678" s="208"/>
      <c r="C678" s="208"/>
      <c r="D678" s="208"/>
      <c r="E678" s="208"/>
      <c r="F678" s="208"/>
      <c r="G678" s="208"/>
      <c r="H678" s="208"/>
      <c r="I678" s="234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</row>
    <row r="679">
      <c r="A679" s="208"/>
      <c r="B679" s="208"/>
      <c r="C679" s="208"/>
      <c r="D679" s="208"/>
      <c r="E679" s="208"/>
      <c r="F679" s="208"/>
      <c r="G679" s="208"/>
      <c r="H679" s="208"/>
      <c r="I679" s="234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</row>
    <row r="680">
      <c r="A680" s="208"/>
      <c r="B680" s="208"/>
      <c r="C680" s="208"/>
      <c r="D680" s="208"/>
      <c r="E680" s="208"/>
      <c r="F680" s="208"/>
      <c r="G680" s="208"/>
      <c r="H680" s="208"/>
      <c r="I680" s="234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</row>
    <row r="681">
      <c r="A681" s="208"/>
      <c r="B681" s="208"/>
      <c r="C681" s="208"/>
      <c r="D681" s="208"/>
      <c r="E681" s="208"/>
      <c r="F681" s="208"/>
      <c r="G681" s="208"/>
      <c r="H681" s="208"/>
      <c r="I681" s="234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</row>
    <row r="682">
      <c r="A682" s="208"/>
      <c r="B682" s="208"/>
      <c r="C682" s="208"/>
      <c r="D682" s="208"/>
      <c r="E682" s="208"/>
      <c r="F682" s="208"/>
      <c r="G682" s="208"/>
      <c r="H682" s="208"/>
      <c r="I682" s="234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</row>
    <row r="683">
      <c r="A683" s="208"/>
      <c r="B683" s="208"/>
      <c r="C683" s="208"/>
      <c r="D683" s="208"/>
      <c r="E683" s="208"/>
      <c r="F683" s="208"/>
      <c r="G683" s="208"/>
      <c r="H683" s="208"/>
      <c r="I683" s="234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</row>
    <row r="684">
      <c r="A684" s="208"/>
      <c r="B684" s="208"/>
      <c r="C684" s="208"/>
      <c r="D684" s="208"/>
      <c r="E684" s="208"/>
      <c r="F684" s="208"/>
      <c r="G684" s="208"/>
      <c r="H684" s="208"/>
      <c r="I684" s="234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</row>
    <row r="685">
      <c r="A685" s="208"/>
      <c r="B685" s="208"/>
      <c r="C685" s="208"/>
      <c r="D685" s="208"/>
      <c r="E685" s="208"/>
      <c r="F685" s="208"/>
      <c r="G685" s="208"/>
      <c r="H685" s="208"/>
      <c r="I685" s="234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</row>
    <row r="686">
      <c r="A686" s="208"/>
      <c r="B686" s="208"/>
      <c r="C686" s="208"/>
      <c r="D686" s="208"/>
      <c r="E686" s="208"/>
      <c r="F686" s="208"/>
      <c r="G686" s="208"/>
      <c r="H686" s="208"/>
      <c r="I686" s="234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</row>
    <row r="687">
      <c r="A687" s="208"/>
      <c r="B687" s="208"/>
      <c r="C687" s="208"/>
      <c r="D687" s="208"/>
      <c r="E687" s="208"/>
      <c r="F687" s="208"/>
      <c r="G687" s="208"/>
      <c r="H687" s="208"/>
      <c r="I687" s="234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</row>
    <row r="688">
      <c r="A688" s="208"/>
      <c r="B688" s="208"/>
      <c r="C688" s="208"/>
      <c r="D688" s="208"/>
      <c r="E688" s="208"/>
      <c r="F688" s="208"/>
      <c r="G688" s="208"/>
      <c r="H688" s="208"/>
      <c r="I688" s="234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</row>
    <row r="689">
      <c r="A689" s="208"/>
      <c r="B689" s="208"/>
      <c r="C689" s="208"/>
      <c r="D689" s="208"/>
      <c r="E689" s="208"/>
      <c r="F689" s="208"/>
      <c r="G689" s="208"/>
      <c r="H689" s="208"/>
      <c r="I689" s="234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</row>
    <row r="690">
      <c r="A690" s="208"/>
      <c r="B690" s="208"/>
      <c r="C690" s="208"/>
      <c r="D690" s="208"/>
      <c r="E690" s="208"/>
      <c r="F690" s="208"/>
      <c r="G690" s="208"/>
      <c r="H690" s="208"/>
      <c r="I690" s="234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</row>
    <row r="691">
      <c r="A691" s="208"/>
      <c r="B691" s="208"/>
      <c r="C691" s="208"/>
      <c r="D691" s="208"/>
      <c r="E691" s="208"/>
      <c r="F691" s="208"/>
      <c r="G691" s="208"/>
      <c r="H691" s="208"/>
      <c r="I691" s="234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</row>
    <row r="692">
      <c r="A692" s="208"/>
      <c r="B692" s="208"/>
      <c r="C692" s="208"/>
      <c r="D692" s="208"/>
      <c r="E692" s="208"/>
      <c r="F692" s="208"/>
      <c r="G692" s="208"/>
      <c r="H692" s="208"/>
      <c r="I692" s="234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</row>
    <row r="693">
      <c r="A693" s="208"/>
      <c r="B693" s="208"/>
      <c r="C693" s="208"/>
      <c r="D693" s="208"/>
      <c r="E693" s="208"/>
      <c r="F693" s="208"/>
      <c r="G693" s="208"/>
      <c r="H693" s="208"/>
      <c r="I693" s="234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</row>
    <row r="694">
      <c r="A694" s="208"/>
      <c r="B694" s="208"/>
      <c r="C694" s="208"/>
      <c r="D694" s="208"/>
      <c r="E694" s="208"/>
      <c r="F694" s="208"/>
      <c r="G694" s="208"/>
      <c r="H694" s="208"/>
      <c r="I694" s="234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</row>
    <row r="695">
      <c r="A695" s="208"/>
      <c r="B695" s="208"/>
      <c r="C695" s="208"/>
      <c r="D695" s="208"/>
      <c r="E695" s="208"/>
      <c r="F695" s="208"/>
      <c r="G695" s="208"/>
      <c r="H695" s="208"/>
      <c r="I695" s="234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</row>
    <row r="696">
      <c r="A696" s="208"/>
      <c r="B696" s="208"/>
      <c r="C696" s="208"/>
      <c r="D696" s="208"/>
      <c r="E696" s="208"/>
      <c r="F696" s="208"/>
      <c r="G696" s="208"/>
      <c r="H696" s="208"/>
      <c r="I696" s="234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</row>
    <row r="697">
      <c r="A697" s="208"/>
      <c r="B697" s="208"/>
      <c r="C697" s="208"/>
      <c r="D697" s="208"/>
      <c r="E697" s="208"/>
      <c r="F697" s="208"/>
      <c r="G697" s="208"/>
      <c r="H697" s="208"/>
      <c r="I697" s="234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</row>
    <row r="698">
      <c r="A698" s="208"/>
      <c r="B698" s="208"/>
      <c r="C698" s="208"/>
      <c r="D698" s="208"/>
      <c r="E698" s="208"/>
      <c r="F698" s="208"/>
      <c r="G698" s="208"/>
      <c r="H698" s="208"/>
      <c r="I698" s="234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</row>
    <row r="699">
      <c r="A699" s="208"/>
      <c r="B699" s="208"/>
      <c r="C699" s="208"/>
      <c r="D699" s="208"/>
      <c r="E699" s="208"/>
      <c r="F699" s="208"/>
      <c r="G699" s="208"/>
      <c r="H699" s="208"/>
      <c r="I699" s="234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</row>
    <row r="700">
      <c r="A700" s="208"/>
      <c r="B700" s="208"/>
      <c r="C700" s="208"/>
      <c r="D700" s="208"/>
      <c r="E700" s="208"/>
      <c r="F700" s="208"/>
      <c r="G700" s="208"/>
      <c r="H700" s="208"/>
      <c r="I700" s="234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</row>
    <row r="701">
      <c r="A701" s="208"/>
      <c r="B701" s="208"/>
      <c r="C701" s="208"/>
      <c r="D701" s="208"/>
      <c r="E701" s="208"/>
      <c r="F701" s="208"/>
      <c r="G701" s="208"/>
      <c r="H701" s="208"/>
      <c r="I701" s="234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</row>
    <row r="702">
      <c r="A702" s="208"/>
      <c r="B702" s="208"/>
      <c r="C702" s="208"/>
      <c r="D702" s="208"/>
      <c r="E702" s="208"/>
      <c r="F702" s="208"/>
      <c r="G702" s="208"/>
      <c r="H702" s="208"/>
      <c r="I702" s="234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</row>
    <row r="703">
      <c r="A703" s="208"/>
      <c r="B703" s="208"/>
      <c r="C703" s="208"/>
      <c r="D703" s="208"/>
      <c r="E703" s="208"/>
      <c r="F703" s="208"/>
      <c r="G703" s="208"/>
      <c r="H703" s="208"/>
      <c r="I703" s="234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</row>
    <row r="704">
      <c r="A704" s="208"/>
      <c r="B704" s="208"/>
      <c r="C704" s="208"/>
      <c r="D704" s="208"/>
      <c r="E704" s="208"/>
      <c r="F704" s="208"/>
      <c r="G704" s="208"/>
      <c r="H704" s="208"/>
      <c r="I704" s="234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</row>
    <row r="705">
      <c r="A705" s="208"/>
      <c r="B705" s="208"/>
      <c r="C705" s="208"/>
      <c r="D705" s="208"/>
      <c r="E705" s="208"/>
      <c r="F705" s="208"/>
      <c r="G705" s="208"/>
      <c r="H705" s="208"/>
      <c r="I705" s="234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</row>
    <row r="706">
      <c r="A706" s="208"/>
      <c r="B706" s="208"/>
      <c r="C706" s="208"/>
      <c r="D706" s="208"/>
      <c r="E706" s="208"/>
      <c r="F706" s="208"/>
      <c r="G706" s="208"/>
      <c r="H706" s="208"/>
      <c r="I706" s="234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</row>
    <row r="707">
      <c r="A707" s="208"/>
      <c r="B707" s="208"/>
      <c r="C707" s="208"/>
      <c r="D707" s="208"/>
      <c r="E707" s="208"/>
      <c r="F707" s="208"/>
      <c r="G707" s="208"/>
      <c r="H707" s="208"/>
      <c r="I707" s="234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</row>
    <row r="708">
      <c r="A708" s="208"/>
      <c r="B708" s="208"/>
      <c r="C708" s="208"/>
      <c r="D708" s="208"/>
      <c r="E708" s="208"/>
      <c r="F708" s="208"/>
      <c r="G708" s="208"/>
      <c r="H708" s="208"/>
      <c r="I708" s="234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</row>
    <row r="709">
      <c r="A709" s="208"/>
      <c r="B709" s="208"/>
      <c r="C709" s="208"/>
      <c r="D709" s="208"/>
      <c r="E709" s="208"/>
      <c r="F709" s="208"/>
      <c r="G709" s="208"/>
      <c r="H709" s="208"/>
      <c r="I709" s="234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</row>
    <row r="710">
      <c r="A710" s="208"/>
      <c r="B710" s="208"/>
      <c r="C710" s="208"/>
      <c r="D710" s="208"/>
      <c r="E710" s="208"/>
      <c r="F710" s="208"/>
      <c r="G710" s="208"/>
      <c r="H710" s="208"/>
      <c r="I710" s="234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</row>
    <row r="711">
      <c r="A711" s="208"/>
      <c r="B711" s="208"/>
      <c r="C711" s="208"/>
      <c r="D711" s="208"/>
      <c r="E711" s="208"/>
      <c r="F711" s="208"/>
      <c r="G711" s="208"/>
      <c r="H711" s="208"/>
      <c r="I711" s="234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</row>
    <row r="712">
      <c r="A712" s="208"/>
      <c r="B712" s="208"/>
      <c r="C712" s="208"/>
      <c r="D712" s="208"/>
      <c r="E712" s="208"/>
      <c r="F712" s="208"/>
      <c r="G712" s="208"/>
      <c r="H712" s="208"/>
      <c r="I712" s="234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</row>
    <row r="713">
      <c r="A713" s="208"/>
      <c r="B713" s="208"/>
      <c r="C713" s="208"/>
      <c r="D713" s="208"/>
      <c r="E713" s="208"/>
      <c r="F713" s="208"/>
      <c r="G713" s="208"/>
      <c r="H713" s="208"/>
      <c r="I713" s="234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</row>
    <row r="714">
      <c r="A714" s="208"/>
      <c r="B714" s="208"/>
      <c r="C714" s="208"/>
      <c r="D714" s="208"/>
      <c r="E714" s="208"/>
      <c r="F714" s="208"/>
      <c r="G714" s="208"/>
      <c r="H714" s="208"/>
      <c r="I714" s="234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</row>
    <row r="715">
      <c r="A715" s="208"/>
      <c r="B715" s="208"/>
      <c r="C715" s="208"/>
      <c r="D715" s="208"/>
      <c r="E715" s="208"/>
      <c r="F715" s="208"/>
      <c r="G715" s="208"/>
      <c r="H715" s="208"/>
      <c r="I715" s="234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</row>
    <row r="716">
      <c r="A716" s="208"/>
      <c r="B716" s="208"/>
      <c r="C716" s="208"/>
      <c r="D716" s="208"/>
      <c r="E716" s="208"/>
      <c r="F716" s="208"/>
      <c r="G716" s="208"/>
      <c r="H716" s="208"/>
      <c r="I716" s="234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</row>
    <row r="717">
      <c r="A717" s="208"/>
      <c r="B717" s="208"/>
      <c r="C717" s="208"/>
      <c r="D717" s="208"/>
      <c r="E717" s="208"/>
      <c r="F717" s="208"/>
      <c r="G717" s="208"/>
      <c r="H717" s="208"/>
      <c r="I717" s="234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</row>
    <row r="718">
      <c r="A718" s="208"/>
      <c r="B718" s="208"/>
      <c r="C718" s="208"/>
      <c r="D718" s="208"/>
      <c r="E718" s="208"/>
      <c r="F718" s="208"/>
      <c r="G718" s="208"/>
      <c r="H718" s="208"/>
      <c r="I718" s="234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</row>
    <row r="719">
      <c r="A719" s="208"/>
      <c r="B719" s="208"/>
      <c r="C719" s="208"/>
      <c r="D719" s="208"/>
      <c r="E719" s="208"/>
      <c r="F719" s="208"/>
      <c r="G719" s="208"/>
      <c r="H719" s="208"/>
      <c r="I719" s="234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</row>
    <row r="720">
      <c r="A720" s="208"/>
      <c r="B720" s="208"/>
      <c r="C720" s="208"/>
      <c r="D720" s="208"/>
      <c r="E720" s="208"/>
      <c r="F720" s="208"/>
      <c r="G720" s="208"/>
      <c r="H720" s="208"/>
      <c r="I720" s="234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</row>
    <row r="721">
      <c r="A721" s="208"/>
      <c r="B721" s="208"/>
      <c r="C721" s="208"/>
      <c r="D721" s="208"/>
      <c r="E721" s="208"/>
      <c r="F721" s="208"/>
      <c r="G721" s="208"/>
      <c r="H721" s="208"/>
      <c r="I721" s="234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</row>
    <row r="722">
      <c r="A722" s="208"/>
      <c r="B722" s="208"/>
      <c r="C722" s="208"/>
      <c r="D722" s="208"/>
      <c r="E722" s="208"/>
      <c r="F722" s="208"/>
      <c r="G722" s="208"/>
      <c r="H722" s="208"/>
      <c r="I722" s="234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</row>
    <row r="723">
      <c r="A723" s="208"/>
      <c r="B723" s="208"/>
      <c r="C723" s="208"/>
      <c r="D723" s="208"/>
      <c r="E723" s="208"/>
      <c r="F723" s="208"/>
      <c r="G723" s="208"/>
      <c r="H723" s="208"/>
      <c r="I723" s="234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</row>
    <row r="724">
      <c r="A724" s="208"/>
      <c r="B724" s="208"/>
      <c r="C724" s="208"/>
      <c r="D724" s="208"/>
      <c r="E724" s="208"/>
      <c r="F724" s="208"/>
      <c r="G724" s="208"/>
      <c r="H724" s="208"/>
      <c r="I724" s="234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</row>
    <row r="725">
      <c r="A725" s="208"/>
      <c r="B725" s="208"/>
      <c r="C725" s="208"/>
      <c r="D725" s="208"/>
      <c r="E725" s="208"/>
      <c r="F725" s="208"/>
      <c r="G725" s="208"/>
      <c r="H725" s="208"/>
      <c r="I725" s="234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</row>
    <row r="726">
      <c r="A726" s="208"/>
      <c r="B726" s="208"/>
      <c r="C726" s="208"/>
      <c r="D726" s="208"/>
      <c r="E726" s="208"/>
      <c r="F726" s="208"/>
      <c r="G726" s="208"/>
      <c r="H726" s="208"/>
      <c r="I726" s="234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</row>
    <row r="727">
      <c r="A727" s="208"/>
      <c r="B727" s="208"/>
      <c r="C727" s="208"/>
      <c r="D727" s="208"/>
      <c r="E727" s="208"/>
      <c r="F727" s="208"/>
      <c r="G727" s="208"/>
      <c r="H727" s="208"/>
      <c r="I727" s="234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</row>
    <row r="728">
      <c r="A728" s="208"/>
      <c r="B728" s="208"/>
      <c r="C728" s="208"/>
      <c r="D728" s="208"/>
      <c r="E728" s="208"/>
      <c r="F728" s="208"/>
      <c r="G728" s="208"/>
      <c r="H728" s="208"/>
      <c r="I728" s="234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</row>
    <row r="729">
      <c r="A729" s="208"/>
      <c r="B729" s="208"/>
      <c r="C729" s="208"/>
      <c r="D729" s="208"/>
      <c r="E729" s="208"/>
      <c r="F729" s="208"/>
      <c r="G729" s="208"/>
      <c r="H729" s="208"/>
      <c r="I729" s="234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</row>
    <row r="730">
      <c r="A730" s="208"/>
      <c r="B730" s="208"/>
      <c r="C730" s="208"/>
      <c r="D730" s="208"/>
      <c r="E730" s="208"/>
      <c r="F730" s="208"/>
      <c r="G730" s="208"/>
      <c r="H730" s="208"/>
      <c r="I730" s="234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</row>
    <row r="731">
      <c r="A731" s="208"/>
      <c r="B731" s="208"/>
      <c r="C731" s="208"/>
      <c r="D731" s="208"/>
      <c r="E731" s="208"/>
      <c r="F731" s="208"/>
      <c r="G731" s="208"/>
      <c r="H731" s="208"/>
      <c r="I731" s="234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</row>
    <row r="732">
      <c r="A732" s="208"/>
      <c r="B732" s="208"/>
      <c r="C732" s="208"/>
      <c r="D732" s="208"/>
      <c r="E732" s="208"/>
      <c r="F732" s="208"/>
      <c r="G732" s="208"/>
      <c r="H732" s="208"/>
      <c r="I732" s="234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</row>
    <row r="733">
      <c r="A733" s="208"/>
      <c r="B733" s="208"/>
      <c r="C733" s="208"/>
      <c r="D733" s="208"/>
      <c r="E733" s="208"/>
      <c r="F733" s="208"/>
      <c r="G733" s="208"/>
      <c r="H733" s="208"/>
      <c r="I733" s="234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</row>
    <row r="734">
      <c r="A734" s="208"/>
      <c r="B734" s="208"/>
      <c r="C734" s="208"/>
      <c r="D734" s="208"/>
      <c r="E734" s="208"/>
      <c r="F734" s="208"/>
      <c r="G734" s="208"/>
      <c r="H734" s="208"/>
      <c r="I734" s="234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</row>
    <row r="735">
      <c r="A735" s="208"/>
      <c r="B735" s="208"/>
      <c r="C735" s="208"/>
      <c r="D735" s="208"/>
      <c r="E735" s="208"/>
      <c r="F735" s="208"/>
      <c r="G735" s="208"/>
      <c r="H735" s="208"/>
      <c r="I735" s="234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</row>
    <row r="736">
      <c r="A736" s="208"/>
      <c r="B736" s="208"/>
      <c r="C736" s="208"/>
      <c r="D736" s="208"/>
      <c r="E736" s="208"/>
      <c r="F736" s="208"/>
      <c r="G736" s="208"/>
      <c r="H736" s="208"/>
      <c r="I736" s="234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</row>
    <row r="737">
      <c r="A737" s="208"/>
      <c r="B737" s="208"/>
      <c r="C737" s="208"/>
      <c r="D737" s="208"/>
      <c r="E737" s="208"/>
      <c r="F737" s="208"/>
      <c r="G737" s="208"/>
      <c r="H737" s="208"/>
      <c r="I737" s="234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</row>
    <row r="738">
      <c r="A738" s="208"/>
      <c r="B738" s="208"/>
      <c r="C738" s="208"/>
      <c r="D738" s="208"/>
      <c r="E738" s="208"/>
      <c r="F738" s="208"/>
      <c r="G738" s="208"/>
      <c r="H738" s="208"/>
      <c r="I738" s="234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</row>
    <row r="739">
      <c r="A739" s="208"/>
      <c r="B739" s="208"/>
      <c r="C739" s="208"/>
      <c r="D739" s="208"/>
      <c r="E739" s="208"/>
      <c r="F739" s="208"/>
      <c r="G739" s="208"/>
      <c r="H739" s="208"/>
      <c r="I739" s="234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</row>
    <row r="740">
      <c r="A740" s="208"/>
      <c r="B740" s="208"/>
      <c r="C740" s="208"/>
      <c r="D740" s="208"/>
      <c r="E740" s="208"/>
      <c r="F740" s="208"/>
      <c r="G740" s="208"/>
      <c r="H740" s="208"/>
      <c r="I740" s="234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</row>
    <row r="741">
      <c r="A741" s="208"/>
      <c r="B741" s="208"/>
      <c r="C741" s="208"/>
      <c r="D741" s="208"/>
      <c r="E741" s="208"/>
      <c r="F741" s="208"/>
      <c r="G741" s="208"/>
      <c r="H741" s="208"/>
      <c r="I741" s="234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</row>
    <row r="742">
      <c r="A742" s="208"/>
      <c r="B742" s="208"/>
      <c r="C742" s="208"/>
      <c r="D742" s="208"/>
      <c r="E742" s="208"/>
      <c r="F742" s="208"/>
      <c r="G742" s="208"/>
      <c r="H742" s="208"/>
      <c r="I742" s="234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</row>
    <row r="743">
      <c r="A743" s="208"/>
      <c r="B743" s="208"/>
      <c r="C743" s="208"/>
      <c r="D743" s="208"/>
      <c r="E743" s="208"/>
      <c r="F743" s="208"/>
      <c r="G743" s="208"/>
      <c r="H743" s="208"/>
      <c r="I743" s="234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</row>
    <row r="744">
      <c r="A744" s="208"/>
      <c r="B744" s="208"/>
      <c r="C744" s="208"/>
      <c r="D744" s="208"/>
      <c r="E744" s="208"/>
      <c r="F744" s="208"/>
      <c r="G744" s="208"/>
      <c r="H744" s="208"/>
      <c r="I744" s="234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</row>
    <row r="745">
      <c r="A745" s="208"/>
      <c r="B745" s="208"/>
      <c r="C745" s="208"/>
      <c r="D745" s="208"/>
      <c r="E745" s="208"/>
      <c r="F745" s="208"/>
      <c r="G745" s="208"/>
      <c r="H745" s="208"/>
      <c r="I745" s="234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</row>
    <row r="746">
      <c r="A746" s="208"/>
      <c r="B746" s="208"/>
      <c r="C746" s="208"/>
      <c r="D746" s="208"/>
      <c r="E746" s="208"/>
      <c r="F746" s="208"/>
      <c r="G746" s="208"/>
      <c r="H746" s="208"/>
      <c r="I746" s="234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</row>
    <row r="747">
      <c r="A747" s="208"/>
      <c r="B747" s="208"/>
      <c r="C747" s="208"/>
      <c r="D747" s="208"/>
      <c r="E747" s="208"/>
      <c r="F747" s="208"/>
      <c r="G747" s="208"/>
      <c r="H747" s="208"/>
      <c r="I747" s="234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</row>
    <row r="748">
      <c r="A748" s="208"/>
      <c r="B748" s="208"/>
      <c r="C748" s="208"/>
      <c r="D748" s="208"/>
      <c r="E748" s="208"/>
      <c r="F748" s="208"/>
      <c r="G748" s="208"/>
      <c r="H748" s="208"/>
      <c r="I748" s="234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</row>
    <row r="749">
      <c r="A749" s="208"/>
      <c r="B749" s="208"/>
      <c r="C749" s="208"/>
      <c r="D749" s="208"/>
      <c r="E749" s="208"/>
      <c r="F749" s="208"/>
      <c r="G749" s="208"/>
      <c r="H749" s="208"/>
      <c r="I749" s="234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</row>
    <row r="750">
      <c r="A750" s="208"/>
      <c r="B750" s="208"/>
      <c r="C750" s="208"/>
      <c r="D750" s="208"/>
      <c r="E750" s="208"/>
      <c r="F750" s="208"/>
      <c r="G750" s="208"/>
      <c r="H750" s="208"/>
      <c r="I750" s="234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</row>
    <row r="751">
      <c r="A751" s="208"/>
      <c r="B751" s="208"/>
      <c r="C751" s="208"/>
      <c r="D751" s="208"/>
      <c r="E751" s="208"/>
      <c r="F751" s="208"/>
      <c r="G751" s="208"/>
      <c r="H751" s="208"/>
      <c r="I751" s="234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</row>
    <row r="752">
      <c r="A752" s="208"/>
      <c r="B752" s="208"/>
      <c r="C752" s="208"/>
      <c r="D752" s="208"/>
      <c r="E752" s="208"/>
      <c r="F752" s="208"/>
      <c r="G752" s="208"/>
      <c r="H752" s="208"/>
      <c r="I752" s="234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</row>
    <row r="753">
      <c r="A753" s="208"/>
      <c r="B753" s="208"/>
      <c r="C753" s="208"/>
      <c r="D753" s="208"/>
      <c r="E753" s="208"/>
      <c r="F753" s="208"/>
      <c r="G753" s="208"/>
      <c r="H753" s="208"/>
      <c r="I753" s="234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</row>
    <row r="754">
      <c r="A754" s="208"/>
      <c r="B754" s="208"/>
      <c r="C754" s="208"/>
      <c r="D754" s="208"/>
      <c r="E754" s="208"/>
      <c r="F754" s="208"/>
      <c r="G754" s="208"/>
      <c r="H754" s="208"/>
      <c r="I754" s="234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</row>
    <row r="755">
      <c r="A755" s="208"/>
      <c r="B755" s="208"/>
      <c r="C755" s="208"/>
      <c r="D755" s="208"/>
      <c r="E755" s="208"/>
      <c r="F755" s="208"/>
      <c r="G755" s="208"/>
      <c r="H755" s="208"/>
      <c r="I755" s="234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</row>
    <row r="756">
      <c r="A756" s="208"/>
      <c r="B756" s="208"/>
      <c r="C756" s="208"/>
      <c r="D756" s="208"/>
      <c r="E756" s="208"/>
      <c r="F756" s="208"/>
      <c r="G756" s="208"/>
      <c r="H756" s="208"/>
      <c r="I756" s="234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</row>
    <row r="757">
      <c r="A757" s="208"/>
      <c r="B757" s="208"/>
      <c r="C757" s="208"/>
      <c r="D757" s="208"/>
      <c r="E757" s="208"/>
      <c r="F757" s="208"/>
      <c r="G757" s="208"/>
      <c r="H757" s="208"/>
      <c r="I757" s="234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</row>
    <row r="758">
      <c r="A758" s="208"/>
      <c r="B758" s="208"/>
      <c r="C758" s="208"/>
      <c r="D758" s="208"/>
      <c r="E758" s="208"/>
      <c r="F758" s="208"/>
      <c r="G758" s="208"/>
      <c r="H758" s="208"/>
      <c r="I758" s="234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</row>
    <row r="759">
      <c r="A759" s="208"/>
      <c r="B759" s="208"/>
      <c r="C759" s="208"/>
      <c r="D759" s="208"/>
      <c r="E759" s="208"/>
      <c r="F759" s="208"/>
      <c r="G759" s="208"/>
      <c r="H759" s="208"/>
      <c r="I759" s="234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</row>
    <row r="760">
      <c r="A760" s="208"/>
      <c r="B760" s="208"/>
      <c r="C760" s="208"/>
      <c r="D760" s="208"/>
      <c r="E760" s="208"/>
      <c r="F760" s="208"/>
      <c r="G760" s="208"/>
      <c r="H760" s="208"/>
      <c r="I760" s="234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</row>
    <row r="761">
      <c r="A761" s="208"/>
      <c r="B761" s="208"/>
      <c r="C761" s="208"/>
      <c r="D761" s="208"/>
      <c r="E761" s="208"/>
      <c r="F761" s="208"/>
      <c r="G761" s="208"/>
      <c r="H761" s="208"/>
      <c r="I761" s="234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</row>
    <row r="762">
      <c r="A762" s="208"/>
      <c r="B762" s="208"/>
      <c r="C762" s="208"/>
      <c r="D762" s="208"/>
      <c r="E762" s="208"/>
      <c r="F762" s="208"/>
      <c r="G762" s="208"/>
      <c r="H762" s="208"/>
      <c r="I762" s="234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</row>
    <row r="763">
      <c r="A763" s="208"/>
      <c r="B763" s="208"/>
      <c r="C763" s="208"/>
      <c r="D763" s="208"/>
      <c r="E763" s="208"/>
      <c r="F763" s="208"/>
      <c r="G763" s="208"/>
      <c r="H763" s="208"/>
      <c r="I763" s="234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</row>
    <row r="764">
      <c r="A764" s="208"/>
      <c r="B764" s="208"/>
      <c r="C764" s="208"/>
      <c r="D764" s="208"/>
      <c r="E764" s="208"/>
      <c r="F764" s="208"/>
      <c r="G764" s="208"/>
      <c r="H764" s="208"/>
      <c r="I764" s="234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</row>
    <row r="765">
      <c r="A765" s="208"/>
      <c r="B765" s="208"/>
      <c r="C765" s="208"/>
      <c r="D765" s="208"/>
      <c r="E765" s="208"/>
      <c r="F765" s="208"/>
      <c r="G765" s="208"/>
      <c r="H765" s="208"/>
      <c r="I765" s="234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</row>
    <row r="766">
      <c r="A766" s="208"/>
      <c r="B766" s="208"/>
      <c r="C766" s="208"/>
      <c r="D766" s="208"/>
      <c r="E766" s="208"/>
      <c r="F766" s="208"/>
      <c r="G766" s="208"/>
      <c r="H766" s="208"/>
      <c r="I766" s="234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</row>
    <row r="767">
      <c r="A767" s="208"/>
      <c r="B767" s="208"/>
      <c r="C767" s="208"/>
      <c r="D767" s="208"/>
      <c r="E767" s="208"/>
      <c r="F767" s="208"/>
      <c r="G767" s="208"/>
      <c r="H767" s="208"/>
      <c r="I767" s="234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</row>
    <row r="768">
      <c r="A768" s="208"/>
      <c r="B768" s="208"/>
      <c r="C768" s="208"/>
      <c r="D768" s="208"/>
      <c r="E768" s="208"/>
      <c r="F768" s="208"/>
      <c r="G768" s="208"/>
      <c r="H768" s="208"/>
      <c r="I768" s="234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</row>
    <row r="769">
      <c r="A769" s="208"/>
      <c r="B769" s="208"/>
      <c r="C769" s="208"/>
      <c r="D769" s="208"/>
      <c r="E769" s="208"/>
      <c r="F769" s="208"/>
      <c r="G769" s="208"/>
      <c r="H769" s="208"/>
      <c r="I769" s="234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</row>
    <row r="770">
      <c r="A770" s="208"/>
      <c r="B770" s="208"/>
      <c r="C770" s="208"/>
      <c r="D770" s="208"/>
      <c r="E770" s="208"/>
      <c r="F770" s="208"/>
      <c r="G770" s="208"/>
      <c r="H770" s="208"/>
      <c r="I770" s="234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</row>
    <row r="771">
      <c r="A771" s="208"/>
      <c r="B771" s="208"/>
      <c r="C771" s="208"/>
      <c r="D771" s="208"/>
      <c r="E771" s="208"/>
      <c r="F771" s="208"/>
      <c r="G771" s="208"/>
      <c r="H771" s="208"/>
      <c r="I771" s="234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</row>
    <row r="772">
      <c r="A772" s="208"/>
      <c r="B772" s="208"/>
      <c r="C772" s="208"/>
      <c r="D772" s="208"/>
      <c r="E772" s="208"/>
      <c r="F772" s="208"/>
      <c r="G772" s="208"/>
      <c r="H772" s="208"/>
      <c r="I772" s="234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</row>
    <row r="773">
      <c r="A773" s="208"/>
      <c r="B773" s="208"/>
      <c r="C773" s="208"/>
      <c r="D773" s="208"/>
      <c r="E773" s="208"/>
      <c r="F773" s="208"/>
      <c r="G773" s="208"/>
      <c r="H773" s="208"/>
      <c r="I773" s="234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</row>
    <row r="774">
      <c r="A774" s="208"/>
      <c r="B774" s="208"/>
      <c r="C774" s="208"/>
      <c r="D774" s="208"/>
      <c r="E774" s="208"/>
      <c r="F774" s="208"/>
      <c r="G774" s="208"/>
      <c r="H774" s="208"/>
      <c r="I774" s="234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</row>
    <row r="775">
      <c r="A775" s="208"/>
      <c r="B775" s="208"/>
      <c r="C775" s="208"/>
      <c r="D775" s="208"/>
      <c r="E775" s="208"/>
      <c r="F775" s="208"/>
      <c r="G775" s="208"/>
      <c r="H775" s="208"/>
      <c r="I775" s="234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</row>
    <row r="776">
      <c r="A776" s="208"/>
      <c r="B776" s="208"/>
      <c r="C776" s="208"/>
      <c r="D776" s="208"/>
      <c r="E776" s="208"/>
      <c r="F776" s="208"/>
      <c r="G776" s="208"/>
      <c r="H776" s="208"/>
      <c r="I776" s="234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</row>
    <row r="777">
      <c r="A777" s="208"/>
      <c r="B777" s="208"/>
      <c r="C777" s="208"/>
      <c r="D777" s="208"/>
      <c r="E777" s="208"/>
      <c r="F777" s="208"/>
      <c r="G777" s="208"/>
      <c r="H777" s="208"/>
      <c r="I777" s="234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</row>
    <row r="778">
      <c r="A778" s="208"/>
      <c r="B778" s="208"/>
      <c r="C778" s="208"/>
      <c r="D778" s="208"/>
      <c r="E778" s="208"/>
      <c r="F778" s="208"/>
      <c r="G778" s="208"/>
      <c r="H778" s="208"/>
      <c r="I778" s="234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</row>
    <row r="779">
      <c r="A779" s="208"/>
      <c r="B779" s="208"/>
      <c r="C779" s="208"/>
      <c r="D779" s="208"/>
      <c r="E779" s="208"/>
      <c r="F779" s="208"/>
      <c r="G779" s="208"/>
      <c r="H779" s="208"/>
      <c r="I779" s="234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</row>
    <row r="780">
      <c r="A780" s="208"/>
      <c r="B780" s="208"/>
      <c r="C780" s="208"/>
      <c r="D780" s="208"/>
      <c r="E780" s="208"/>
      <c r="F780" s="208"/>
      <c r="G780" s="208"/>
      <c r="H780" s="208"/>
      <c r="I780" s="234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</row>
    <row r="781">
      <c r="A781" s="208"/>
      <c r="B781" s="208"/>
      <c r="C781" s="208"/>
      <c r="D781" s="208"/>
      <c r="E781" s="208"/>
      <c r="F781" s="208"/>
      <c r="G781" s="208"/>
      <c r="H781" s="208"/>
      <c r="I781" s="234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</row>
    <row r="782">
      <c r="A782" s="208"/>
      <c r="B782" s="208"/>
      <c r="C782" s="208"/>
      <c r="D782" s="208"/>
      <c r="E782" s="208"/>
      <c r="F782" s="208"/>
      <c r="G782" s="208"/>
      <c r="H782" s="208"/>
      <c r="I782" s="234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</row>
    <row r="783">
      <c r="A783" s="208"/>
      <c r="B783" s="208"/>
      <c r="C783" s="208"/>
      <c r="D783" s="208"/>
      <c r="E783" s="208"/>
      <c r="F783" s="208"/>
      <c r="G783" s="208"/>
      <c r="H783" s="208"/>
      <c r="I783" s="234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</row>
    <row r="784">
      <c r="A784" s="208"/>
      <c r="B784" s="208"/>
      <c r="C784" s="208"/>
      <c r="D784" s="208"/>
      <c r="E784" s="208"/>
      <c r="F784" s="208"/>
      <c r="G784" s="208"/>
      <c r="H784" s="208"/>
      <c r="I784" s="234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</row>
    <row r="785">
      <c r="A785" s="208"/>
      <c r="B785" s="208"/>
      <c r="C785" s="208"/>
      <c r="D785" s="208"/>
      <c r="E785" s="208"/>
      <c r="F785" s="208"/>
      <c r="G785" s="208"/>
      <c r="H785" s="208"/>
      <c r="I785" s="234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</row>
    <row r="786">
      <c r="A786" s="208"/>
      <c r="B786" s="208"/>
      <c r="C786" s="208"/>
      <c r="D786" s="208"/>
      <c r="E786" s="208"/>
      <c r="F786" s="208"/>
      <c r="G786" s="208"/>
      <c r="H786" s="208"/>
      <c r="I786" s="234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</row>
    <row r="787">
      <c r="A787" s="208"/>
      <c r="B787" s="208"/>
      <c r="C787" s="208"/>
      <c r="D787" s="208"/>
      <c r="E787" s="208"/>
      <c r="F787" s="208"/>
      <c r="G787" s="208"/>
      <c r="H787" s="208"/>
      <c r="I787" s="234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</row>
    <row r="788">
      <c r="A788" s="208"/>
      <c r="B788" s="208"/>
      <c r="C788" s="208"/>
      <c r="D788" s="208"/>
      <c r="E788" s="208"/>
      <c r="F788" s="208"/>
      <c r="G788" s="208"/>
      <c r="H788" s="208"/>
      <c r="I788" s="234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</row>
    <row r="789">
      <c r="A789" s="208"/>
      <c r="B789" s="208"/>
      <c r="C789" s="208"/>
      <c r="D789" s="208"/>
      <c r="E789" s="208"/>
      <c r="F789" s="208"/>
      <c r="G789" s="208"/>
      <c r="H789" s="208"/>
      <c r="I789" s="234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</row>
    <row r="790">
      <c r="A790" s="208"/>
      <c r="B790" s="208"/>
      <c r="C790" s="208"/>
      <c r="D790" s="208"/>
      <c r="E790" s="208"/>
      <c r="F790" s="208"/>
      <c r="G790" s="208"/>
      <c r="H790" s="208"/>
      <c r="I790" s="234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</row>
    <row r="791">
      <c r="A791" s="208"/>
      <c r="B791" s="208"/>
      <c r="C791" s="208"/>
      <c r="D791" s="208"/>
      <c r="E791" s="208"/>
      <c r="F791" s="208"/>
      <c r="G791" s="208"/>
      <c r="H791" s="208"/>
      <c r="I791" s="234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</row>
    <row r="792">
      <c r="A792" s="208"/>
      <c r="B792" s="208"/>
      <c r="C792" s="208"/>
      <c r="D792" s="208"/>
      <c r="E792" s="208"/>
      <c r="F792" s="208"/>
      <c r="G792" s="208"/>
      <c r="H792" s="208"/>
      <c r="I792" s="234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</row>
    <row r="793">
      <c r="A793" s="208"/>
      <c r="B793" s="208"/>
      <c r="C793" s="208"/>
      <c r="D793" s="208"/>
      <c r="E793" s="208"/>
      <c r="F793" s="208"/>
      <c r="G793" s="208"/>
      <c r="H793" s="208"/>
      <c r="I793" s="234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</row>
    <row r="794">
      <c r="A794" s="208"/>
      <c r="B794" s="208"/>
      <c r="C794" s="208"/>
      <c r="D794" s="208"/>
      <c r="E794" s="208"/>
      <c r="F794" s="208"/>
      <c r="G794" s="208"/>
      <c r="H794" s="208"/>
      <c r="I794" s="234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</row>
    <row r="795">
      <c r="A795" s="208"/>
      <c r="B795" s="208"/>
      <c r="C795" s="208"/>
      <c r="D795" s="208"/>
      <c r="E795" s="208"/>
      <c r="F795" s="208"/>
      <c r="G795" s="208"/>
      <c r="H795" s="208"/>
      <c r="I795" s="234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</row>
    <row r="796">
      <c r="A796" s="208"/>
      <c r="B796" s="208"/>
      <c r="C796" s="208"/>
      <c r="D796" s="208"/>
      <c r="E796" s="208"/>
      <c r="F796" s="208"/>
      <c r="G796" s="208"/>
      <c r="H796" s="208"/>
      <c r="I796" s="234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</row>
    <row r="797">
      <c r="A797" s="208"/>
      <c r="B797" s="208"/>
      <c r="C797" s="208"/>
      <c r="D797" s="208"/>
      <c r="E797" s="208"/>
      <c r="F797" s="208"/>
      <c r="G797" s="208"/>
      <c r="H797" s="208"/>
      <c r="I797" s="234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</row>
    <row r="798">
      <c r="A798" s="208"/>
      <c r="B798" s="208"/>
      <c r="C798" s="208"/>
      <c r="D798" s="208"/>
      <c r="E798" s="208"/>
      <c r="F798" s="208"/>
      <c r="G798" s="208"/>
      <c r="H798" s="208"/>
      <c r="I798" s="234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</row>
    <row r="799">
      <c r="A799" s="208"/>
      <c r="B799" s="208"/>
      <c r="C799" s="208"/>
      <c r="D799" s="208"/>
      <c r="E799" s="208"/>
      <c r="F799" s="208"/>
      <c r="G799" s="208"/>
      <c r="H799" s="208"/>
      <c r="I799" s="234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</row>
    <row r="800">
      <c r="A800" s="208"/>
      <c r="B800" s="208"/>
      <c r="C800" s="208"/>
      <c r="D800" s="208"/>
      <c r="E800" s="208"/>
      <c r="F800" s="208"/>
      <c r="G800" s="208"/>
      <c r="H800" s="208"/>
      <c r="I800" s="234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</row>
    <row r="801">
      <c r="A801" s="208"/>
      <c r="B801" s="208"/>
      <c r="C801" s="208"/>
      <c r="D801" s="208"/>
      <c r="E801" s="208"/>
      <c r="F801" s="208"/>
      <c r="G801" s="208"/>
      <c r="H801" s="208"/>
      <c r="I801" s="234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</row>
    <row r="802">
      <c r="A802" s="208"/>
      <c r="B802" s="208"/>
      <c r="C802" s="208"/>
      <c r="D802" s="208"/>
      <c r="E802" s="208"/>
      <c r="F802" s="208"/>
      <c r="G802" s="208"/>
      <c r="H802" s="208"/>
      <c r="I802" s="234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</row>
    <row r="803">
      <c r="A803" s="208"/>
      <c r="B803" s="208"/>
      <c r="C803" s="208"/>
      <c r="D803" s="208"/>
      <c r="E803" s="208"/>
      <c r="F803" s="208"/>
      <c r="G803" s="208"/>
      <c r="H803" s="208"/>
      <c r="I803" s="234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</row>
    <row r="804">
      <c r="A804" s="208"/>
      <c r="B804" s="208"/>
      <c r="C804" s="208"/>
      <c r="D804" s="208"/>
      <c r="E804" s="208"/>
      <c r="F804" s="208"/>
      <c r="G804" s="208"/>
      <c r="H804" s="208"/>
      <c r="I804" s="234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</row>
    <row r="805">
      <c r="A805" s="208"/>
      <c r="B805" s="208"/>
      <c r="C805" s="208"/>
      <c r="D805" s="208"/>
      <c r="E805" s="208"/>
      <c r="F805" s="208"/>
      <c r="G805" s="208"/>
      <c r="H805" s="208"/>
      <c r="I805" s="234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</row>
    <row r="806">
      <c r="A806" s="208"/>
      <c r="B806" s="208"/>
      <c r="C806" s="208"/>
      <c r="D806" s="208"/>
      <c r="E806" s="208"/>
      <c r="F806" s="208"/>
      <c r="G806" s="208"/>
      <c r="H806" s="208"/>
      <c r="I806" s="234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</row>
    <row r="807">
      <c r="A807" s="208"/>
      <c r="B807" s="208"/>
      <c r="C807" s="208"/>
      <c r="D807" s="208"/>
      <c r="E807" s="208"/>
      <c r="F807" s="208"/>
      <c r="G807" s="208"/>
      <c r="H807" s="208"/>
      <c r="I807" s="234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</row>
    <row r="808">
      <c r="A808" s="208"/>
      <c r="B808" s="208"/>
      <c r="C808" s="208"/>
      <c r="D808" s="208"/>
      <c r="E808" s="208"/>
      <c r="F808" s="208"/>
      <c r="G808" s="208"/>
      <c r="H808" s="208"/>
      <c r="I808" s="234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</row>
    <row r="809">
      <c r="A809" s="208"/>
      <c r="B809" s="208"/>
      <c r="C809" s="208"/>
      <c r="D809" s="208"/>
      <c r="E809" s="208"/>
      <c r="F809" s="208"/>
      <c r="G809" s="208"/>
      <c r="H809" s="208"/>
      <c r="I809" s="234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</row>
    <row r="810">
      <c r="A810" s="208"/>
      <c r="B810" s="208"/>
      <c r="C810" s="208"/>
      <c r="D810" s="208"/>
      <c r="E810" s="208"/>
      <c r="F810" s="208"/>
      <c r="G810" s="208"/>
      <c r="H810" s="208"/>
      <c r="I810" s="234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</row>
    <row r="811">
      <c r="A811" s="208"/>
      <c r="B811" s="208"/>
      <c r="C811" s="208"/>
      <c r="D811" s="208"/>
      <c r="E811" s="208"/>
      <c r="F811" s="208"/>
      <c r="G811" s="208"/>
      <c r="H811" s="208"/>
      <c r="I811" s="234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</row>
    <row r="812">
      <c r="A812" s="208"/>
      <c r="B812" s="208"/>
      <c r="C812" s="208"/>
      <c r="D812" s="208"/>
      <c r="E812" s="208"/>
      <c r="F812" s="208"/>
      <c r="G812" s="208"/>
      <c r="H812" s="208"/>
      <c r="I812" s="234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</row>
    <row r="813">
      <c r="A813" s="208"/>
      <c r="B813" s="208"/>
      <c r="C813" s="208"/>
      <c r="D813" s="208"/>
      <c r="E813" s="208"/>
      <c r="F813" s="208"/>
      <c r="G813" s="208"/>
      <c r="H813" s="208"/>
      <c r="I813" s="234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</row>
    <row r="814">
      <c r="A814" s="208"/>
      <c r="B814" s="208"/>
      <c r="C814" s="208"/>
      <c r="D814" s="208"/>
      <c r="E814" s="208"/>
      <c r="F814" s="208"/>
      <c r="G814" s="208"/>
      <c r="H814" s="208"/>
      <c r="I814" s="234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</row>
    <row r="815">
      <c r="A815" s="208"/>
      <c r="B815" s="208"/>
      <c r="C815" s="208"/>
      <c r="D815" s="208"/>
      <c r="E815" s="208"/>
      <c r="F815" s="208"/>
      <c r="G815" s="208"/>
      <c r="H815" s="208"/>
      <c r="I815" s="234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</row>
    <row r="816">
      <c r="A816" s="208"/>
      <c r="B816" s="208"/>
      <c r="C816" s="208"/>
      <c r="D816" s="208"/>
      <c r="E816" s="208"/>
      <c r="F816" s="208"/>
      <c r="G816" s="208"/>
      <c r="H816" s="208"/>
      <c r="I816" s="234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</row>
    <row r="817">
      <c r="A817" s="208"/>
      <c r="B817" s="208"/>
      <c r="C817" s="208"/>
      <c r="D817" s="208"/>
      <c r="E817" s="208"/>
      <c r="F817" s="208"/>
      <c r="G817" s="208"/>
      <c r="H817" s="208"/>
      <c r="I817" s="234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</row>
    <row r="818">
      <c r="A818" s="208"/>
      <c r="B818" s="208"/>
      <c r="C818" s="208"/>
      <c r="D818" s="208"/>
      <c r="E818" s="208"/>
      <c r="F818" s="208"/>
      <c r="G818" s="208"/>
      <c r="H818" s="208"/>
      <c r="I818" s="234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</row>
    <row r="819">
      <c r="A819" s="208"/>
      <c r="B819" s="208"/>
      <c r="C819" s="208"/>
      <c r="D819" s="208"/>
      <c r="E819" s="208"/>
      <c r="F819" s="208"/>
      <c r="G819" s="208"/>
      <c r="H819" s="208"/>
      <c r="I819" s="234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</row>
    <row r="820">
      <c r="A820" s="208"/>
      <c r="B820" s="208"/>
      <c r="C820" s="208"/>
      <c r="D820" s="208"/>
      <c r="E820" s="208"/>
      <c r="F820" s="208"/>
      <c r="G820" s="208"/>
      <c r="H820" s="208"/>
      <c r="I820" s="234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</row>
    <row r="821">
      <c r="A821" s="208"/>
      <c r="B821" s="208"/>
      <c r="C821" s="208"/>
      <c r="D821" s="208"/>
      <c r="E821" s="208"/>
      <c r="F821" s="208"/>
      <c r="G821" s="208"/>
      <c r="H821" s="208"/>
      <c r="I821" s="234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</row>
    <row r="822">
      <c r="A822" s="208"/>
      <c r="B822" s="208"/>
      <c r="C822" s="208"/>
      <c r="D822" s="208"/>
      <c r="E822" s="208"/>
      <c r="F822" s="208"/>
      <c r="G822" s="208"/>
      <c r="H822" s="208"/>
      <c r="I822" s="234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</row>
    <row r="823">
      <c r="A823" s="208"/>
      <c r="B823" s="208"/>
      <c r="C823" s="208"/>
      <c r="D823" s="208"/>
      <c r="E823" s="208"/>
      <c r="F823" s="208"/>
      <c r="G823" s="208"/>
      <c r="H823" s="208"/>
      <c r="I823" s="234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</row>
    <row r="824">
      <c r="A824" s="208"/>
      <c r="B824" s="208"/>
      <c r="C824" s="208"/>
      <c r="D824" s="208"/>
      <c r="E824" s="208"/>
      <c r="F824" s="208"/>
      <c r="G824" s="208"/>
      <c r="H824" s="208"/>
      <c r="I824" s="234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</row>
    <row r="825">
      <c r="A825" s="208"/>
      <c r="B825" s="208"/>
      <c r="C825" s="208"/>
      <c r="D825" s="208"/>
      <c r="E825" s="208"/>
      <c r="F825" s="208"/>
      <c r="G825" s="208"/>
      <c r="H825" s="208"/>
      <c r="I825" s="234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</row>
    <row r="826">
      <c r="A826" s="208"/>
      <c r="B826" s="208"/>
      <c r="C826" s="208"/>
      <c r="D826" s="208"/>
      <c r="E826" s="208"/>
      <c r="F826" s="208"/>
      <c r="G826" s="208"/>
      <c r="H826" s="208"/>
      <c r="I826" s="234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</row>
    <row r="827">
      <c r="A827" s="208"/>
      <c r="B827" s="208"/>
      <c r="C827" s="208"/>
      <c r="D827" s="208"/>
      <c r="E827" s="208"/>
      <c r="F827" s="208"/>
      <c r="G827" s="208"/>
      <c r="H827" s="208"/>
      <c r="I827" s="234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</row>
    <row r="828">
      <c r="A828" s="208"/>
      <c r="B828" s="208"/>
      <c r="C828" s="208"/>
      <c r="D828" s="208"/>
      <c r="E828" s="208"/>
      <c r="F828" s="208"/>
      <c r="G828" s="208"/>
      <c r="H828" s="208"/>
      <c r="I828" s="234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</row>
    <row r="829">
      <c r="A829" s="208"/>
      <c r="B829" s="208"/>
      <c r="C829" s="208"/>
      <c r="D829" s="208"/>
      <c r="E829" s="208"/>
      <c r="F829" s="208"/>
      <c r="G829" s="208"/>
      <c r="H829" s="208"/>
      <c r="I829" s="234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</row>
    <row r="830">
      <c r="A830" s="208"/>
      <c r="B830" s="208"/>
      <c r="C830" s="208"/>
      <c r="D830" s="208"/>
      <c r="E830" s="208"/>
      <c r="F830" s="208"/>
      <c r="G830" s="208"/>
      <c r="H830" s="208"/>
      <c r="I830" s="234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</row>
    <row r="831">
      <c r="A831" s="208"/>
      <c r="B831" s="208"/>
      <c r="C831" s="208"/>
      <c r="D831" s="208"/>
      <c r="E831" s="208"/>
      <c r="F831" s="208"/>
      <c r="G831" s="208"/>
      <c r="H831" s="208"/>
      <c r="I831" s="234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</row>
    <row r="832">
      <c r="A832" s="208"/>
      <c r="B832" s="208"/>
      <c r="C832" s="208"/>
      <c r="D832" s="208"/>
      <c r="E832" s="208"/>
      <c r="F832" s="208"/>
      <c r="G832" s="208"/>
      <c r="H832" s="208"/>
      <c r="I832" s="234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</row>
    <row r="833">
      <c r="A833" s="208"/>
      <c r="B833" s="208"/>
      <c r="C833" s="208"/>
      <c r="D833" s="208"/>
      <c r="E833" s="208"/>
      <c r="F833" s="208"/>
      <c r="G833" s="208"/>
      <c r="H833" s="208"/>
      <c r="I833" s="234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</row>
    <row r="834">
      <c r="A834" s="208"/>
      <c r="B834" s="208"/>
      <c r="C834" s="208"/>
      <c r="D834" s="208"/>
      <c r="E834" s="208"/>
      <c r="F834" s="208"/>
      <c r="G834" s="208"/>
      <c r="H834" s="208"/>
      <c r="I834" s="234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</row>
    <row r="835">
      <c r="A835" s="208"/>
      <c r="B835" s="208"/>
      <c r="C835" s="208"/>
      <c r="D835" s="208"/>
      <c r="E835" s="208"/>
      <c r="F835" s="208"/>
      <c r="G835" s="208"/>
      <c r="H835" s="208"/>
      <c r="I835" s="234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</row>
    <row r="836">
      <c r="A836" s="208"/>
      <c r="B836" s="208"/>
      <c r="C836" s="208"/>
      <c r="D836" s="208"/>
      <c r="E836" s="208"/>
      <c r="F836" s="208"/>
      <c r="G836" s="208"/>
      <c r="H836" s="208"/>
      <c r="I836" s="234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</row>
    <row r="837">
      <c r="A837" s="208"/>
      <c r="B837" s="208"/>
      <c r="C837" s="208"/>
      <c r="D837" s="208"/>
      <c r="E837" s="208"/>
      <c r="F837" s="208"/>
      <c r="G837" s="208"/>
      <c r="H837" s="208"/>
      <c r="I837" s="234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</row>
    <row r="838">
      <c r="A838" s="208"/>
      <c r="B838" s="208"/>
      <c r="C838" s="208"/>
      <c r="D838" s="208"/>
      <c r="E838" s="208"/>
      <c r="F838" s="208"/>
      <c r="G838" s="208"/>
      <c r="H838" s="208"/>
      <c r="I838" s="234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</row>
    <row r="839">
      <c r="A839" s="208"/>
      <c r="B839" s="208"/>
      <c r="C839" s="208"/>
      <c r="D839" s="208"/>
      <c r="E839" s="208"/>
      <c r="F839" s="208"/>
      <c r="G839" s="208"/>
      <c r="H839" s="208"/>
      <c r="I839" s="234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</row>
    <row r="840">
      <c r="A840" s="208"/>
      <c r="B840" s="208"/>
      <c r="C840" s="208"/>
      <c r="D840" s="208"/>
      <c r="E840" s="208"/>
      <c r="F840" s="208"/>
      <c r="G840" s="208"/>
      <c r="H840" s="208"/>
      <c r="I840" s="234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</row>
    <row r="841">
      <c r="A841" s="208"/>
      <c r="B841" s="208"/>
      <c r="C841" s="208"/>
      <c r="D841" s="208"/>
      <c r="E841" s="208"/>
      <c r="F841" s="208"/>
      <c r="G841" s="208"/>
      <c r="H841" s="208"/>
      <c r="I841" s="234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</row>
    <row r="842">
      <c r="A842" s="208"/>
      <c r="B842" s="208"/>
      <c r="C842" s="208"/>
      <c r="D842" s="208"/>
      <c r="E842" s="208"/>
      <c r="F842" s="208"/>
      <c r="G842" s="208"/>
      <c r="H842" s="208"/>
      <c r="I842" s="234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</row>
    <row r="843">
      <c r="A843" s="208"/>
      <c r="B843" s="208"/>
      <c r="C843" s="208"/>
      <c r="D843" s="208"/>
      <c r="E843" s="208"/>
      <c r="F843" s="208"/>
      <c r="G843" s="208"/>
      <c r="H843" s="208"/>
      <c r="I843" s="234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</row>
    <row r="844">
      <c r="A844" s="208"/>
      <c r="B844" s="208"/>
      <c r="C844" s="208"/>
      <c r="D844" s="208"/>
      <c r="E844" s="208"/>
      <c r="F844" s="208"/>
      <c r="G844" s="208"/>
      <c r="H844" s="208"/>
      <c r="I844" s="234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</row>
    <row r="845">
      <c r="A845" s="208"/>
      <c r="B845" s="208"/>
      <c r="C845" s="208"/>
      <c r="D845" s="208"/>
      <c r="E845" s="208"/>
      <c r="F845" s="208"/>
      <c r="G845" s="208"/>
      <c r="H845" s="208"/>
      <c r="I845" s="234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</row>
    <row r="846">
      <c r="A846" s="208"/>
      <c r="B846" s="208"/>
      <c r="C846" s="208"/>
      <c r="D846" s="208"/>
      <c r="E846" s="208"/>
      <c r="F846" s="208"/>
      <c r="G846" s="208"/>
      <c r="H846" s="208"/>
      <c r="I846" s="234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</row>
    <row r="847">
      <c r="A847" s="208"/>
      <c r="B847" s="208"/>
      <c r="C847" s="208"/>
      <c r="D847" s="208"/>
      <c r="E847" s="208"/>
      <c r="F847" s="208"/>
      <c r="G847" s="208"/>
      <c r="H847" s="208"/>
      <c r="I847" s="234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</row>
    <row r="848">
      <c r="A848" s="208"/>
      <c r="B848" s="208"/>
      <c r="C848" s="208"/>
      <c r="D848" s="208"/>
      <c r="E848" s="208"/>
      <c r="F848" s="208"/>
      <c r="G848" s="208"/>
      <c r="H848" s="208"/>
      <c r="I848" s="234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</row>
    <row r="849">
      <c r="A849" s="208"/>
      <c r="B849" s="208"/>
      <c r="C849" s="208"/>
      <c r="D849" s="208"/>
      <c r="E849" s="208"/>
      <c r="F849" s="208"/>
      <c r="G849" s="208"/>
      <c r="H849" s="208"/>
      <c r="I849" s="234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</row>
    <row r="850">
      <c r="A850" s="208"/>
      <c r="B850" s="208"/>
      <c r="C850" s="208"/>
      <c r="D850" s="208"/>
      <c r="E850" s="208"/>
      <c r="F850" s="208"/>
      <c r="G850" s="208"/>
      <c r="H850" s="208"/>
      <c r="I850" s="234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</row>
    <row r="851">
      <c r="A851" s="208"/>
      <c r="B851" s="208"/>
      <c r="C851" s="208"/>
      <c r="D851" s="208"/>
      <c r="E851" s="208"/>
      <c r="F851" s="208"/>
      <c r="G851" s="208"/>
      <c r="H851" s="208"/>
      <c r="I851" s="234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</row>
    <row r="852">
      <c r="A852" s="208"/>
      <c r="B852" s="208"/>
      <c r="C852" s="208"/>
      <c r="D852" s="208"/>
      <c r="E852" s="208"/>
      <c r="F852" s="208"/>
      <c r="G852" s="208"/>
      <c r="H852" s="208"/>
      <c r="I852" s="234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</row>
    <row r="853">
      <c r="A853" s="208"/>
      <c r="B853" s="208"/>
      <c r="C853" s="208"/>
      <c r="D853" s="208"/>
      <c r="E853" s="208"/>
      <c r="F853" s="208"/>
      <c r="G853" s="208"/>
      <c r="H853" s="208"/>
      <c r="I853" s="234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</row>
    <row r="854">
      <c r="A854" s="208"/>
      <c r="B854" s="208"/>
      <c r="C854" s="208"/>
      <c r="D854" s="208"/>
      <c r="E854" s="208"/>
      <c r="F854" s="208"/>
      <c r="G854" s="208"/>
      <c r="H854" s="208"/>
      <c r="I854" s="234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</row>
    <row r="855">
      <c r="A855" s="208"/>
      <c r="B855" s="208"/>
      <c r="C855" s="208"/>
      <c r="D855" s="208"/>
      <c r="E855" s="208"/>
      <c r="F855" s="208"/>
      <c r="G855" s="208"/>
      <c r="H855" s="208"/>
      <c r="I855" s="234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</row>
    <row r="856">
      <c r="A856" s="208"/>
      <c r="B856" s="208"/>
      <c r="C856" s="208"/>
      <c r="D856" s="208"/>
      <c r="E856" s="208"/>
      <c r="F856" s="208"/>
      <c r="G856" s="208"/>
      <c r="H856" s="208"/>
      <c r="I856" s="234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</row>
    <row r="857">
      <c r="A857" s="208"/>
      <c r="B857" s="208"/>
      <c r="C857" s="208"/>
      <c r="D857" s="208"/>
      <c r="E857" s="208"/>
      <c r="F857" s="208"/>
      <c r="G857" s="208"/>
      <c r="H857" s="208"/>
      <c r="I857" s="234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</row>
    <row r="858">
      <c r="A858" s="208"/>
      <c r="B858" s="208"/>
      <c r="C858" s="208"/>
      <c r="D858" s="208"/>
      <c r="E858" s="208"/>
      <c r="F858" s="208"/>
      <c r="G858" s="208"/>
      <c r="H858" s="208"/>
      <c r="I858" s="234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</row>
    <row r="859">
      <c r="A859" s="208"/>
      <c r="B859" s="208"/>
      <c r="C859" s="208"/>
      <c r="D859" s="208"/>
      <c r="E859" s="208"/>
      <c r="F859" s="208"/>
      <c r="G859" s="208"/>
      <c r="H859" s="208"/>
      <c r="I859" s="234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</row>
    <row r="860">
      <c r="A860" s="208"/>
      <c r="B860" s="208"/>
      <c r="C860" s="208"/>
      <c r="D860" s="208"/>
      <c r="E860" s="208"/>
      <c r="F860" s="208"/>
      <c r="G860" s="208"/>
      <c r="H860" s="208"/>
      <c r="I860" s="234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</row>
    <row r="861">
      <c r="A861" s="208"/>
      <c r="B861" s="208"/>
      <c r="C861" s="208"/>
      <c r="D861" s="208"/>
      <c r="E861" s="208"/>
      <c r="F861" s="208"/>
      <c r="G861" s="208"/>
      <c r="H861" s="208"/>
      <c r="I861" s="234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</row>
    <row r="862">
      <c r="A862" s="208"/>
      <c r="B862" s="208"/>
      <c r="C862" s="208"/>
      <c r="D862" s="208"/>
      <c r="E862" s="208"/>
      <c r="F862" s="208"/>
      <c r="G862" s="208"/>
      <c r="H862" s="208"/>
      <c r="I862" s="234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</row>
    <row r="863">
      <c r="A863" s="208"/>
      <c r="B863" s="208"/>
      <c r="C863" s="208"/>
      <c r="D863" s="208"/>
      <c r="E863" s="208"/>
      <c r="F863" s="208"/>
      <c r="G863" s="208"/>
      <c r="H863" s="208"/>
      <c r="I863" s="234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</row>
    <row r="864">
      <c r="A864" s="208"/>
      <c r="B864" s="208"/>
      <c r="C864" s="208"/>
      <c r="D864" s="208"/>
      <c r="E864" s="208"/>
      <c r="F864" s="208"/>
      <c r="G864" s="208"/>
      <c r="H864" s="208"/>
      <c r="I864" s="234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</row>
    <row r="865">
      <c r="A865" s="208"/>
      <c r="B865" s="208"/>
      <c r="C865" s="208"/>
      <c r="D865" s="208"/>
      <c r="E865" s="208"/>
      <c r="F865" s="208"/>
      <c r="G865" s="208"/>
      <c r="H865" s="208"/>
      <c r="I865" s="234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</row>
    <row r="866">
      <c r="A866" s="208"/>
      <c r="B866" s="208"/>
      <c r="C866" s="208"/>
      <c r="D866" s="208"/>
      <c r="E866" s="208"/>
      <c r="F866" s="208"/>
      <c r="G866" s="208"/>
      <c r="H866" s="208"/>
      <c r="I866" s="234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</row>
    <row r="867">
      <c r="A867" s="208"/>
      <c r="B867" s="208"/>
      <c r="C867" s="208"/>
      <c r="D867" s="208"/>
      <c r="E867" s="208"/>
      <c r="F867" s="208"/>
      <c r="G867" s="208"/>
      <c r="H867" s="208"/>
      <c r="I867" s="234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</row>
    <row r="868">
      <c r="A868" s="208"/>
      <c r="B868" s="208"/>
      <c r="C868" s="208"/>
      <c r="D868" s="208"/>
      <c r="E868" s="208"/>
      <c r="F868" s="208"/>
      <c r="G868" s="208"/>
      <c r="H868" s="208"/>
      <c r="I868" s="234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</row>
    <row r="869">
      <c r="A869" s="208"/>
      <c r="B869" s="208"/>
      <c r="C869" s="208"/>
      <c r="D869" s="208"/>
      <c r="E869" s="208"/>
      <c r="F869" s="208"/>
      <c r="G869" s="208"/>
      <c r="H869" s="208"/>
      <c r="I869" s="234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</row>
    <row r="870">
      <c r="A870" s="208"/>
      <c r="B870" s="208"/>
      <c r="C870" s="208"/>
      <c r="D870" s="208"/>
      <c r="E870" s="208"/>
      <c r="F870" s="208"/>
      <c r="G870" s="208"/>
      <c r="H870" s="208"/>
      <c r="I870" s="234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</row>
    <row r="871">
      <c r="A871" s="208"/>
      <c r="B871" s="208"/>
      <c r="C871" s="208"/>
      <c r="D871" s="208"/>
      <c r="E871" s="208"/>
      <c r="F871" s="208"/>
      <c r="G871" s="208"/>
      <c r="H871" s="208"/>
      <c r="I871" s="234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</row>
    <row r="872">
      <c r="A872" s="208"/>
      <c r="B872" s="208"/>
      <c r="C872" s="208"/>
      <c r="D872" s="208"/>
      <c r="E872" s="208"/>
      <c r="F872" s="208"/>
      <c r="G872" s="208"/>
      <c r="H872" s="208"/>
      <c r="I872" s="234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</row>
    <row r="873">
      <c r="A873" s="208"/>
      <c r="B873" s="208"/>
      <c r="C873" s="208"/>
      <c r="D873" s="208"/>
      <c r="E873" s="208"/>
      <c r="F873" s="208"/>
      <c r="G873" s="208"/>
      <c r="H873" s="208"/>
      <c r="I873" s="234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</row>
    <row r="874">
      <c r="A874" s="208"/>
      <c r="B874" s="208"/>
      <c r="C874" s="208"/>
      <c r="D874" s="208"/>
      <c r="E874" s="208"/>
      <c r="F874" s="208"/>
      <c r="G874" s="208"/>
      <c r="H874" s="208"/>
      <c r="I874" s="234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</row>
    <row r="875">
      <c r="A875" s="208"/>
      <c r="B875" s="208"/>
      <c r="C875" s="208"/>
      <c r="D875" s="208"/>
      <c r="E875" s="208"/>
      <c r="F875" s="208"/>
      <c r="G875" s="208"/>
      <c r="H875" s="208"/>
      <c r="I875" s="234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</row>
    <row r="876">
      <c r="A876" s="208"/>
      <c r="B876" s="208"/>
      <c r="C876" s="208"/>
      <c r="D876" s="208"/>
      <c r="E876" s="208"/>
      <c r="F876" s="208"/>
      <c r="G876" s="208"/>
      <c r="H876" s="208"/>
      <c r="I876" s="234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</row>
    <row r="877">
      <c r="A877" s="208"/>
      <c r="B877" s="208"/>
      <c r="C877" s="208"/>
      <c r="D877" s="208"/>
      <c r="E877" s="208"/>
      <c r="F877" s="208"/>
      <c r="G877" s="208"/>
      <c r="H877" s="208"/>
      <c r="I877" s="234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</row>
    <row r="878">
      <c r="A878" s="208"/>
      <c r="B878" s="208"/>
      <c r="C878" s="208"/>
      <c r="D878" s="208"/>
      <c r="E878" s="208"/>
      <c r="F878" s="208"/>
      <c r="G878" s="208"/>
      <c r="H878" s="208"/>
      <c r="I878" s="234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</row>
    <row r="879">
      <c r="A879" s="208"/>
      <c r="B879" s="208"/>
      <c r="C879" s="208"/>
      <c r="D879" s="208"/>
      <c r="E879" s="208"/>
      <c r="F879" s="208"/>
      <c r="G879" s="208"/>
      <c r="H879" s="208"/>
      <c r="I879" s="234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</row>
    <row r="880">
      <c r="A880" s="208"/>
      <c r="B880" s="208"/>
      <c r="C880" s="208"/>
      <c r="D880" s="208"/>
      <c r="E880" s="208"/>
      <c r="F880" s="208"/>
      <c r="G880" s="208"/>
      <c r="H880" s="208"/>
      <c r="I880" s="234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</row>
    <row r="881">
      <c r="A881" s="208"/>
      <c r="B881" s="208"/>
      <c r="C881" s="208"/>
      <c r="D881" s="208"/>
      <c r="E881" s="208"/>
      <c r="F881" s="208"/>
      <c r="G881" s="208"/>
      <c r="H881" s="208"/>
      <c r="I881" s="234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</row>
    <row r="882">
      <c r="A882" s="208"/>
      <c r="B882" s="208"/>
      <c r="C882" s="208"/>
      <c r="D882" s="208"/>
      <c r="E882" s="208"/>
      <c r="F882" s="208"/>
      <c r="G882" s="208"/>
      <c r="H882" s="208"/>
      <c r="I882" s="234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</row>
    <row r="883">
      <c r="A883" s="208"/>
      <c r="B883" s="208"/>
      <c r="C883" s="208"/>
      <c r="D883" s="208"/>
      <c r="E883" s="208"/>
      <c r="F883" s="208"/>
      <c r="G883" s="208"/>
      <c r="H883" s="208"/>
      <c r="I883" s="234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</row>
    <row r="884">
      <c r="A884" s="208"/>
      <c r="B884" s="208"/>
      <c r="C884" s="208"/>
      <c r="D884" s="208"/>
      <c r="E884" s="208"/>
      <c r="F884" s="208"/>
      <c r="G884" s="208"/>
      <c r="H884" s="208"/>
      <c r="I884" s="234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</row>
    <row r="885">
      <c r="A885" s="208"/>
      <c r="B885" s="208"/>
      <c r="C885" s="208"/>
      <c r="D885" s="208"/>
      <c r="E885" s="208"/>
      <c r="F885" s="208"/>
      <c r="G885" s="208"/>
      <c r="H885" s="208"/>
      <c r="I885" s="234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</row>
    <row r="886">
      <c r="A886" s="208"/>
      <c r="B886" s="208"/>
      <c r="C886" s="208"/>
      <c r="D886" s="208"/>
      <c r="E886" s="208"/>
      <c r="F886" s="208"/>
      <c r="G886" s="208"/>
      <c r="H886" s="208"/>
      <c r="I886" s="234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</row>
    <row r="887">
      <c r="A887" s="208"/>
      <c r="B887" s="208"/>
      <c r="C887" s="208"/>
      <c r="D887" s="208"/>
      <c r="E887" s="208"/>
      <c r="F887" s="208"/>
      <c r="G887" s="208"/>
      <c r="H887" s="208"/>
      <c r="I887" s="234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</row>
    <row r="888">
      <c r="A888" s="208"/>
      <c r="B888" s="208"/>
      <c r="C888" s="208"/>
      <c r="D888" s="208"/>
      <c r="E888" s="208"/>
      <c r="F888" s="208"/>
      <c r="G888" s="208"/>
      <c r="H888" s="208"/>
      <c r="I888" s="234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</row>
    <row r="889">
      <c r="A889" s="208"/>
      <c r="B889" s="208"/>
      <c r="C889" s="208"/>
      <c r="D889" s="208"/>
      <c r="E889" s="208"/>
      <c r="F889" s="208"/>
      <c r="G889" s="208"/>
      <c r="H889" s="208"/>
      <c r="I889" s="234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</row>
    <row r="890">
      <c r="A890" s="208"/>
      <c r="B890" s="208"/>
      <c r="C890" s="208"/>
      <c r="D890" s="208"/>
      <c r="E890" s="208"/>
      <c r="F890" s="208"/>
      <c r="G890" s="208"/>
      <c r="H890" s="208"/>
      <c r="I890" s="234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</row>
    <row r="891">
      <c r="A891" s="208"/>
      <c r="B891" s="208"/>
      <c r="C891" s="208"/>
      <c r="D891" s="208"/>
      <c r="E891" s="208"/>
      <c r="F891" s="208"/>
      <c r="G891" s="208"/>
      <c r="H891" s="208"/>
      <c r="I891" s="234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</row>
    <row r="892">
      <c r="A892" s="208"/>
      <c r="B892" s="208"/>
      <c r="C892" s="208"/>
      <c r="D892" s="208"/>
      <c r="E892" s="208"/>
      <c r="F892" s="208"/>
      <c r="G892" s="208"/>
      <c r="H892" s="208"/>
      <c r="I892" s="234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</row>
    <row r="893">
      <c r="A893" s="208"/>
      <c r="B893" s="208"/>
      <c r="C893" s="208"/>
      <c r="D893" s="208"/>
      <c r="E893" s="208"/>
      <c r="F893" s="208"/>
      <c r="G893" s="208"/>
      <c r="H893" s="208"/>
      <c r="I893" s="234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</row>
    <row r="894">
      <c r="A894" s="208"/>
      <c r="B894" s="208"/>
      <c r="C894" s="208"/>
      <c r="D894" s="208"/>
      <c r="E894" s="208"/>
      <c r="F894" s="208"/>
      <c r="G894" s="208"/>
      <c r="H894" s="208"/>
      <c r="I894" s="234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</row>
    <row r="895">
      <c r="A895" s="208"/>
      <c r="B895" s="208"/>
      <c r="C895" s="208"/>
      <c r="D895" s="208"/>
      <c r="E895" s="208"/>
      <c r="F895" s="208"/>
      <c r="G895" s="208"/>
      <c r="H895" s="208"/>
      <c r="I895" s="234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</row>
    <row r="896">
      <c r="A896" s="208"/>
      <c r="B896" s="208"/>
      <c r="C896" s="208"/>
      <c r="D896" s="208"/>
      <c r="E896" s="208"/>
      <c r="F896" s="208"/>
      <c r="G896" s="208"/>
      <c r="H896" s="208"/>
      <c r="I896" s="234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</row>
    <row r="897">
      <c r="A897" s="208"/>
      <c r="B897" s="208"/>
      <c r="C897" s="208"/>
      <c r="D897" s="208"/>
      <c r="E897" s="208"/>
      <c r="F897" s="208"/>
      <c r="G897" s="208"/>
      <c r="H897" s="208"/>
      <c r="I897" s="234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</row>
    <row r="898">
      <c r="A898" s="208"/>
      <c r="B898" s="208"/>
      <c r="C898" s="208"/>
      <c r="D898" s="208"/>
      <c r="E898" s="208"/>
      <c r="F898" s="208"/>
      <c r="G898" s="208"/>
      <c r="H898" s="208"/>
      <c r="I898" s="234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</row>
    <row r="899">
      <c r="A899" s="208"/>
      <c r="B899" s="208"/>
      <c r="C899" s="208"/>
      <c r="D899" s="208"/>
      <c r="E899" s="208"/>
      <c r="F899" s="208"/>
      <c r="G899" s="208"/>
      <c r="H899" s="208"/>
      <c r="I899" s="234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</row>
    <row r="900">
      <c r="A900" s="208"/>
      <c r="B900" s="208"/>
      <c r="C900" s="208"/>
      <c r="D900" s="208"/>
      <c r="E900" s="208"/>
      <c r="F900" s="208"/>
      <c r="G900" s="208"/>
      <c r="H900" s="208"/>
      <c r="I900" s="234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</row>
    <row r="901">
      <c r="A901" s="208"/>
      <c r="B901" s="208"/>
      <c r="C901" s="208"/>
      <c r="D901" s="208"/>
      <c r="E901" s="208"/>
      <c r="F901" s="208"/>
      <c r="G901" s="208"/>
      <c r="H901" s="208"/>
      <c r="I901" s="234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</row>
    <row r="902">
      <c r="A902" s="208"/>
      <c r="B902" s="208"/>
      <c r="C902" s="208"/>
      <c r="D902" s="208"/>
      <c r="E902" s="208"/>
      <c r="F902" s="208"/>
      <c r="G902" s="208"/>
      <c r="H902" s="208"/>
      <c r="I902" s="234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</row>
    <row r="903">
      <c r="A903" s="208"/>
      <c r="B903" s="208"/>
      <c r="C903" s="208"/>
      <c r="D903" s="208"/>
      <c r="E903" s="208"/>
      <c r="F903" s="208"/>
      <c r="G903" s="208"/>
      <c r="H903" s="208"/>
      <c r="I903" s="234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</row>
    <row r="904">
      <c r="A904" s="208"/>
      <c r="B904" s="208"/>
      <c r="C904" s="208"/>
      <c r="D904" s="208"/>
      <c r="E904" s="208"/>
      <c r="F904" s="208"/>
      <c r="G904" s="208"/>
      <c r="H904" s="208"/>
      <c r="I904" s="234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</row>
    <row r="905">
      <c r="A905" s="208"/>
      <c r="B905" s="208"/>
      <c r="C905" s="208"/>
      <c r="D905" s="208"/>
      <c r="E905" s="208"/>
      <c r="F905" s="208"/>
      <c r="G905" s="208"/>
      <c r="H905" s="208"/>
      <c r="I905" s="234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</row>
    <row r="906">
      <c r="A906" s="208"/>
      <c r="B906" s="208"/>
      <c r="C906" s="208"/>
      <c r="D906" s="208"/>
      <c r="E906" s="208"/>
      <c r="F906" s="208"/>
      <c r="G906" s="208"/>
      <c r="H906" s="208"/>
      <c r="I906" s="234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</row>
    <row r="907">
      <c r="A907" s="208"/>
      <c r="B907" s="208"/>
      <c r="C907" s="208"/>
      <c r="D907" s="208"/>
      <c r="E907" s="208"/>
      <c r="F907" s="208"/>
      <c r="G907" s="208"/>
      <c r="H907" s="208"/>
      <c r="I907" s="234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</row>
    <row r="908">
      <c r="A908" s="208"/>
      <c r="B908" s="208"/>
      <c r="C908" s="208"/>
      <c r="D908" s="208"/>
      <c r="E908" s="208"/>
      <c r="F908" s="208"/>
      <c r="G908" s="208"/>
      <c r="H908" s="208"/>
      <c r="I908" s="234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</row>
    <row r="909">
      <c r="A909" s="208"/>
      <c r="B909" s="208"/>
      <c r="C909" s="208"/>
      <c r="D909" s="208"/>
      <c r="E909" s="208"/>
      <c r="F909" s="208"/>
      <c r="G909" s="208"/>
      <c r="H909" s="208"/>
      <c r="I909" s="234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</row>
    <row r="910">
      <c r="A910" s="208"/>
      <c r="B910" s="208"/>
      <c r="C910" s="208"/>
      <c r="D910" s="208"/>
      <c r="E910" s="208"/>
      <c r="F910" s="208"/>
      <c r="G910" s="208"/>
      <c r="H910" s="208"/>
      <c r="I910" s="234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</row>
    <row r="911">
      <c r="A911" s="208"/>
      <c r="B911" s="208"/>
      <c r="C911" s="208"/>
      <c r="D911" s="208"/>
      <c r="E911" s="208"/>
      <c r="F911" s="208"/>
      <c r="G911" s="208"/>
      <c r="H911" s="208"/>
      <c r="I911" s="234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</row>
    <row r="912">
      <c r="A912" s="208"/>
      <c r="B912" s="208"/>
      <c r="C912" s="208"/>
      <c r="D912" s="208"/>
      <c r="E912" s="208"/>
      <c r="F912" s="208"/>
      <c r="G912" s="208"/>
      <c r="H912" s="208"/>
      <c r="I912" s="234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</row>
    <row r="913">
      <c r="A913" s="208"/>
      <c r="B913" s="208"/>
      <c r="C913" s="208"/>
      <c r="D913" s="208"/>
      <c r="E913" s="208"/>
      <c r="F913" s="208"/>
      <c r="G913" s="208"/>
      <c r="H913" s="208"/>
      <c r="I913" s="234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</row>
    <row r="914">
      <c r="A914" s="208"/>
      <c r="B914" s="208"/>
      <c r="C914" s="208"/>
      <c r="D914" s="208"/>
      <c r="E914" s="208"/>
      <c r="F914" s="208"/>
      <c r="G914" s="208"/>
      <c r="H914" s="208"/>
      <c r="I914" s="234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</row>
    <row r="915">
      <c r="A915" s="208"/>
      <c r="B915" s="208"/>
      <c r="C915" s="208"/>
      <c r="D915" s="208"/>
      <c r="E915" s="208"/>
      <c r="F915" s="208"/>
      <c r="G915" s="208"/>
      <c r="H915" s="208"/>
      <c r="I915" s="234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</row>
    <row r="916">
      <c r="A916" s="208"/>
      <c r="B916" s="208"/>
      <c r="C916" s="208"/>
      <c r="D916" s="208"/>
      <c r="E916" s="208"/>
      <c r="F916" s="208"/>
      <c r="G916" s="208"/>
      <c r="H916" s="208"/>
      <c r="I916" s="234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</row>
    <row r="917">
      <c r="A917" s="208"/>
      <c r="B917" s="208"/>
      <c r="C917" s="208"/>
      <c r="D917" s="208"/>
      <c r="E917" s="208"/>
      <c r="F917" s="208"/>
      <c r="G917" s="208"/>
      <c r="H917" s="208"/>
      <c r="I917" s="234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</row>
    <row r="918">
      <c r="A918" s="208"/>
      <c r="B918" s="208"/>
      <c r="C918" s="208"/>
      <c r="D918" s="208"/>
      <c r="E918" s="208"/>
      <c r="F918" s="208"/>
      <c r="G918" s="208"/>
      <c r="H918" s="208"/>
      <c r="I918" s="234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</row>
    <row r="919">
      <c r="A919" s="208"/>
      <c r="B919" s="208"/>
      <c r="C919" s="208"/>
      <c r="D919" s="208"/>
      <c r="E919" s="208"/>
      <c r="F919" s="208"/>
      <c r="G919" s="208"/>
      <c r="H919" s="208"/>
      <c r="I919" s="234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</row>
    <row r="920">
      <c r="A920" s="208"/>
      <c r="B920" s="208"/>
      <c r="C920" s="208"/>
      <c r="D920" s="208"/>
      <c r="E920" s="208"/>
      <c r="F920" s="208"/>
      <c r="G920" s="208"/>
      <c r="H920" s="208"/>
      <c r="I920" s="234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</row>
    <row r="921">
      <c r="A921" s="208"/>
      <c r="B921" s="208"/>
      <c r="C921" s="208"/>
      <c r="D921" s="208"/>
      <c r="E921" s="208"/>
      <c r="F921" s="208"/>
      <c r="G921" s="208"/>
      <c r="H921" s="208"/>
      <c r="I921" s="234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</row>
    <row r="922">
      <c r="A922" s="208"/>
      <c r="B922" s="208"/>
      <c r="C922" s="208"/>
      <c r="D922" s="208"/>
      <c r="E922" s="208"/>
      <c r="F922" s="208"/>
      <c r="G922" s="208"/>
      <c r="H922" s="208"/>
      <c r="I922" s="234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</row>
    <row r="923">
      <c r="A923" s="208"/>
      <c r="B923" s="208"/>
      <c r="C923" s="208"/>
      <c r="D923" s="208"/>
      <c r="E923" s="208"/>
      <c r="F923" s="208"/>
      <c r="G923" s="208"/>
      <c r="H923" s="208"/>
      <c r="I923" s="234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</row>
    <row r="924">
      <c r="A924" s="208"/>
      <c r="B924" s="208"/>
      <c r="C924" s="208"/>
      <c r="D924" s="208"/>
      <c r="E924" s="208"/>
      <c r="F924" s="208"/>
      <c r="G924" s="208"/>
      <c r="H924" s="208"/>
      <c r="I924" s="234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</row>
    <row r="925">
      <c r="A925" s="208"/>
      <c r="B925" s="208"/>
      <c r="C925" s="208"/>
      <c r="D925" s="208"/>
      <c r="E925" s="208"/>
      <c r="F925" s="208"/>
      <c r="G925" s="208"/>
      <c r="H925" s="208"/>
      <c r="I925" s="234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</row>
    <row r="926">
      <c r="A926" s="208"/>
      <c r="B926" s="208"/>
      <c r="C926" s="208"/>
      <c r="D926" s="208"/>
      <c r="E926" s="208"/>
      <c r="F926" s="208"/>
      <c r="G926" s="208"/>
      <c r="H926" s="208"/>
      <c r="I926" s="234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</row>
    <row r="927">
      <c r="A927" s="208"/>
      <c r="B927" s="208"/>
      <c r="C927" s="208"/>
      <c r="D927" s="208"/>
      <c r="E927" s="208"/>
      <c r="F927" s="208"/>
      <c r="G927" s="208"/>
      <c r="H927" s="208"/>
      <c r="I927" s="234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</row>
    <row r="928">
      <c r="A928" s="208"/>
      <c r="B928" s="208"/>
      <c r="C928" s="208"/>
      <c r="D928" s="208"/>
      <c r="E928" s="208"/>
      <c r="F928" s="208"/>
      <c r="G928" s="208"/>
      <c r="H928" s="208"/>
      <c r="I928" s="234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</row>
    <row r="929">
      <c r="A929" s="208"/>
      <c r="B929" s="208"/>
      <c r="C929" s="208"/>
      <c r="D929" s="208"/>
      <c r="E929" s="208"/>
      <c r="F929" s="208"/>
      <c r="G929" s="208"/>
      <c r="H929" s="208"/>
      <c r="I929" s="234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</row>
    <row r="930">
      <c r="A930" s="208"/>
      <c r="B930" s="208"/>
      <c r="C930" s="208"/>
      <c r="D930" s="208"/>
      <c r="E930" s="208"/>
      <c r="F930" s="208"/>
      <c r="G930" s="208"/>
      <c r="H930" s="208"/>
      <c r="I930" s="234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</row>
    <row r="931">
      <c r="A931" s="208"/>
      <c r="B931" s="208"/>
      <c r="C931" s="208"/>
      <c r="D931" s="208"/>
      <c r="E931" s="208"/>
      <c r="F931" s="208"/>
      <c r="G931" s="208"/>
      <c r="H931" s="208"/>
      <c r="I931" s="234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</row>
    <row r="932">
      <c r="A932" s="208"/>
      <c r="B932" s="208"/>
      <c r="C932" s="208"/>
      <c r="D932" s="208"/>
      <c r="E932" s="208"/>
      <c r="F932" s="208"/>
      <c r="G932" s="208"/>
      <c r="H932" s="208"/>
      <c r="I932" s="234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</row>
    <row r="933">
      <c r="A933" s="208"/>
      <c r="B933" s="208"/>
      <c r="C933" s="208"/>
      <c r="D933" s="208"/>
      <c r="E933" s="208"/>
      <c r="F933" s="208"/>
      <c r="G933" s="208"/>
      <c r="H933" s="208"/>
      <c r="I933" s="234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</row>
    <row r="934">
      <c r="A934" s="208"/>
      <c r="B934" s="208"/>
      <c r="C934" s="208"/>
      <c r="D934" s="208"/>
      <c r="E934" s="208"/>
      <c r="F934" s="208"/>
      <c r="G934" s="208"/>
      <c r="H934" s="208"/>
      <c r="I934" s="234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</row>
    <row r="935">
      <c r="A935" s="208"/>
      <c r="B935" s="208"/>
      <c r="C935" s="208"/>
      <c r="D935" s="208"/>
      <c r="E935" s="208"/>
      <c r="F935" s="208"/>
      <c r="G935" s="208"/>
      <c r="H935" s="208"/>
      <c r="I935" s="234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</row>
    <row r="936">
      <c r="A936" s="208"/>
      <c r="B936" s="208"/>
      <c r="C936" s="208"/>
      <c r="D936" s="208"/>
      <c r="E936" s="208"/>
      <c r="F936" s="208"/>
      <c r="G936" s="208"/>
      <c r="H936" s="208"/>
      <c r="I936" s="234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</row>
    <row r="937">
      <c r="A937" s="208"/>
      <c r="B937" s="208"/>
      <c r="C937" s="208"/>
      <c r="D937" s="208"/>
      <c r="E937" s="208"/>
      <c r="F937" s="208"/>
      <c r="G937" s="208"/>
      <c r="H937" s="208"/>
      <c r="I937" s="234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</row>
    <row r="938">
      <c r="A938" s="208"/>
      <c r="B938" s="208"/>
      <c r="C938" s="208"/>
      <c r="D938" s="208"/>
      <c r="E938" s="208"/>
      <c r="F938" s="208"/>
      <c r="G938" s="208"/>
      <c r="H938" s="208"/>
      <c r="I938" s="234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</row>
    <row r="939">
      <c r="A939" s="208"/>
      <c r="B939" s="208"/>
      <c r="C939" s="208"/>
      <c r="D939" s="208"/>
      <c r="E939" s="208"/>
      <c r="F939" s="208"/>
      <c r="G939" s="208"/>
      <c r="H939" s="208"/>
      <c r="I939" s="234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</row>
    <row r="940">
      <c r="A940" s="208"/>
      <c r="B940" s="208"/>
      <c r="C940" s="208"/>
      <c r="D940" s="208"/>
      <c r="E940" s="208"/>
      <c r="F940" s="208"/>
      <c r="G940" s="208"/>
      <c r="H940" s="208"/>
      <c r="I940" s="234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</row>
    <row r="941">
      <c r="A941" s="208"/>
      <c r="B941" s="208"/>
      <c r="C941" s="208"/>
      <c r="D941" s="208"/>
      <c r="E941" s="208"/>
      <c r="F941" s="208"/>
      <c r="G941" s="208"/>
      <c r="H941" s="208"/>
      <c r="I941" s="234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</row>
    <row r="942">
      <c r="A942" s="208"/>
      <c r="B942" s="208"/>
      <c r="C942" s="208"/>
      <c r="D942" s="208"/>
      <c r="E942" s="208"/>
      <c r="F942" s="208"/>
      <c r="G942" s="208"/>
      <c r="H942" s="208"/>
      <c r="I942" s="234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</row>
    <row r="943">
      <c r="A943" s="208"/>
      <c r="B943" s="208"/>
      <c r="C943" s="208"/>
      <c r="D943" s="208"/>
      <c r="E943" s="208"/>
      <c r="F943" s="208"/>
      <c r="G943" s="208"/>
      <c r="H943" s="208"/>
      <c r="I943" s="234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</row>
    <row r="944">
      <c r="A944" s="208"/>
      <c r="B944" s="208"/>
      <c r="C944" s="208"/>
      <c r="D944" s="208"/>
      <c r="E944" s="208"/>
      <c r="F944" s="208"/>
      <c r="G944" s="208"/>
      <c r="H944" s="208"/>
      <c r="I944" s="234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</row>
    <row r="945">
      <c r="A945" s="208"/>
      <c r="B945" s="208"/>
      <c r="C945" s="208"/>
      <c r="D945" s="208"/>
      <c r="E945" s="208"/>
      <c r="F945" s="208"/>
      <c r="G945" s="208"/>
      <c r="H945" s="208"/>
      <c r="I945" s="234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</row>
    <row r="946">
      <c r="A946" s="208"/>
      <c r="B946" s="208"/>
      <c r="C946" s="208"/>
      <c r="D946" s="208"/>
      <c r="E946" s="208"/>
      <c r="F946" s="208"/>
      <c r="G946" s="208"/>
      <c r="H946" s="208"/>
      <c r="I946" s="234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</row>
    <row r="947">
      <c r="A947" s="208"/>
      <c r="B947" s="208"/>
      <c r="C947" s="208"/>
      <c r="D947" s="208"/>
      <c r="E947" s="208"/>
      <c r="F947" s="208"/>
      <c r="G947" s="208"/>
      <c r="H947" s="208"/>
      <c r="I947" s="234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</row>
    <row r="948">
      <c r="A948" s="208"/>
      <c r="B948" s="208"/>
      <c r="C948" s="208"/>
      <c r="D948" s="208"/>
      <c r="E948" s="208"/>
      <c r="F948" s="208"/>
      <c r="G948" s="208"/>
      <c r="H948" s="208"/>
      <c r="I948" s="234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</row>
    <row r="949">
      <c r="A949" s="208"/>
      <c r="B949" s="208"/>
      <c r="C949" s="208"/>
      <c r="D949" s="208"/>
      <c r="E949" s="208"/>
      <c r="F949" s="208"/>
      <c r="G949" s="208"/>
      <c r="H949" s="208"/>
      <c r="I949" s="234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</row>
    <row r="950">
      <c r="A950" s="208"/>
      <c r="B950" s="208"/>
      <c r="C950" s="208"/>
      <c r="D950" s="208"/>
      <c r="E950" s="208"/>
      <c r="F950" s="208"/>
      <c r="G950" s="208"/>
      <c r="H950" s="208"/>
      <c r="I950" s="234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</row>
    <row r="951">
      <c r="A951" s="208"/>
      <c r="B951" s="208"/>
      <c r="C951" s="208"/>
      <c r="D951" s="208"/>
      <c r="E951" s="208"/>
      <c r="F951" s="208"/>
      <c r="G951" s="208"/>
      <c r="H951" s="208"/>
      <c r="I951" s="234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</row>
    <row r="952">
      <c r="A952" s="208"/>
      <c r="B952" s="208"/>
      <c r="C952" s="208"/>
      <c r="D952" s="208"/>
      <c r="E952" s="208"/>
      <c r="F952" s="208"/>
      <c r="G952" s="208"/>
      <c r="H952" s="208"/>
      <c r="I952" s="234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</row>
    <row r="953">
      <c r="A953" s="208"/>
      <c r="B953" s="208"/>
      <c r="C953" s="208"/>
      <c r="D953" s="208"/>
      <c r="E953" s="208"/>
      <c r="F953" s="208"/>
      <c r="G953" s="208"/>
      <c r="H953" s="208"/>
      <c r="I953" s="234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</row>
    <row r="954">
      <c r="A954" s="208"/>
      <c r="B954" s="208"/>
      <c r="C954" s="208"/>
      <c r="D954" s="208"/>
      <c r="E954" s="208"/>
      <c r="F954" s="208"/>
      <c r="G954" s="208"/>
      <c r="H954" s="208"/>
      <c r="I954" s="234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</row>
    <row r="955">
      <c r="A955" s="208"/>
      <c r="B955" s="208"/>
      <c r="C955" s="208"/>
      <c r="D955" s="208"/>
      <c r="E955" s="208"/>
      <c r="F955" s="208"/>
      <c r="G955" s="208"/>
      <c r="H955" s="208"/>
      <c r="I955" s="234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</row>
    <row r="956">
      <c r="A956" s="208"/>
      <c r="B956" s="208"/>
      <c r="C956" s="208"/>
      <c r="D956" s="208"/>
      <c r="E956" s="208"/>
      <c r="F956" s="208"/>
      <c r="G956" s="208"/>
      <c r="H956" s="208"/>
      <c r="I956" s="234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</row>
    <row r="957">
      <c r="A957" s="208"/>
      <c r="B957" s="208"/>
      <c r="C957" s="208"/>
      <c r="D957" s="208"/>
      <c r="E957" s="208"/>
      <c r="F957" s="208"/>
      <c r="G957" s="208"/>
      <c r="H957" s="208"/>
      <c r="I957" s="234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</row>
    <row r="958">
      <c r="A958" s="208"/>
      <c r="B958" s="208"/>
      <c r="C958" s="208"/>
      <c r="D958" s="208"/>
      <c r="E958" s="208"/>
      <c r="F958" s="208"/>
      <c r="G958" s="208"/>
      <c r="H958" s="208"/>
      <c r="I958" s="234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</row>
    <row r="959">
      <c r="A959" s="208"/>
      <c r="B959" s="208"/>
      <c r="C959" s="208"/>
      <c r="D959" s="208"/>
      <c r="E959" s="208"/>
      <c r="F959" s="208"/>
      <c r="G959" s="208"/>
      <c r="H959" s="208"/>
      <c r="I959" s="234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</row>
    <row r="960">
      <c r="A960" s="208"/>
      <c r="B960" s="208"/>
      <c r="C960" s="208"/>
      <c r="D960" s="208"/>
      <c r="E960" s="208"/>
      <c r="F960" s="208"/>
      <c r="G960" s="208"/>
      <c r="H960" s="208"/>
      <c r="I960" s="234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</row>
    <row r="961">
      <c r="A961" s="208"/>
      <c r="B961" s="208"/>
      <c r="C961" s="208"/>
      <c r="D961" s="208"/>
      <c r="E961" s="208"/>
      <c r="F961" s="208"/>
      <c r="G961" s="208"/>
      <c r="H961" s="208"/>
      <c r="I961" s="234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</row>
    <row r="962">
      <c r="A962" s="208"/>
      <c r="B962" s="208"/>
      <c r="C962" s="208"/>
      <c r="D962" s="208"/>
      <c r="E962" s="208"/>
      <c r="F962" s="208"/>
      <c r="G962" s="208"/>
      <c r="H962" s="208"/>
      <c r="I962" s="234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</row>
    <row r="963">
      <c r="A963" s="208"/>
      <c r="B963" s="208"/>
      <c r="C963" s="208"/>
      <c r="D963" s="208"/>
      <c r="E963" s="208"/>
      <c r="F963" s="208"/>
      <c r="G963" s="208"/>
      <c r="H963" s="208"/>
      <c r="I963" s="234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</row>
    <row r="964">
      <c r="A964" s="208"/>
      <c r="B964" s="208"/>
      <c r="C964" s="208"/>
      <c r="D964" s="208"/>
      <c r="E964" s="208"/>
      <c r="F964" s="208"/>
      <c r="G964" s="208"/>
      <c r="H964" s="208"/>
      <c r="I964" s="234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</row>
    <row r="965">
      <c r="A965" s="208"/>
      <c r="B965" s="208"/>
      <c r="C965" s="208"/>
      <c r="D965" s="208"/>
      <c r="E965" s="208"/>
      <c r="F965" s="208"/>
      <c r="G965" s="208"/>
      <c r="H965" s="208"/>
      <c r="I965" s="234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</row>
    <row r="966">
      <c r="A966" s="208"/>
      <c r="B966" s="208"/>
      <c r="C966" s="208"/>
      <c r="D966" s="208"/>
      <c r="E966" s="208"/>
      <c r="F966" s="208"/>
      <c r="G966" s="208"/>
      <c r="H966" s="208"/>
      <c r="I966" s="234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</row>
    <row r="967">
      <c r="A967" s="208"/>
      <c r="B967" s="208"/>
      <c r="C967" s="208"/>
      <c r="D967" s="208"/>
      <c r="E967" s="208"/>
      <c r="F967" s="208"/>
      <c r="G967" s="208"/>
      <c r="H967" s="208"/>
      <c r="I967" s="234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</row>
    <row r="968">
      <c r="A968" s="208"/>
      <c r="B968" s="208"/>
      <c r="C968" s="208"/>
      <c r="D968" s="208"/>
      <c r="E968" s="208"/>
      <c r="F968" s="208"/>
      <c r="G968" s="208"/>
      <c r="H968" s="208"/>
      <c r="I968" s="234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</row>
    <row r="969">
      <c r="A969" s="208"/>
      <c r="B969" s="208"/>
      <c r="C969" s="208"/>
      <c r="D969" s="208"/>
      <c r="E969" s="208"/>
      <c r="F969" s="208"/>
      <c r="G969" s="208"/>
      <c r="H969" s="208"/>
      <c r="I969" s="234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</row>
    <row r="970">
      <c r="A970" s="208"/>
      <c r="B970" s="208"/>
      <c r="C970" s="208"/>
      <c r="D970" s="208"/>
      <c r="E970" s="208"/>
      <c r="F970" s="208"/>
      <c r="G970" s="208"/>
      <c r="H970" s="208"/>
      <c r="I970" s="234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7.29" defaultRowHeight="15.75"/>
  <cols>
    <col customWidth="1" min="1" max="1" width="49.43"/>
    <col customWidth="1" min="9" max="9" width="7.43"/>
  </cols>
  <sheetData>
    <row r="1">
      <c r="A1" s="182"/>
      <c r="B1" s="184"/>
      <c r="C1" s="182" t="s">
        <v>511</v>
      </c>
      <c r="D1" s="186">
        <v>14.0</v>
      </c>
      <c r="E1" s="184"/>
      <c r="F1" s="184"/>
      <c r="G1" s="188"/>
      <c r="H1" s="188"/>
      <c r="I1" s="190"/>
      <c r="J1" s="184"/>
      <c r="K1" s="193"/>
      <c r="L1" s="182"/>
      <c r="M1" s="193"/>
      <c r="N1" s="193"/>
      <c r="O1" s="182" t="s">
        <v>513</v>
      </c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>
      <c r="A2" s="182" t="s">
        <v>486</v>
      </c>
      <c r="B2" s="184" t="s">
        <v>3</v>
      </c>
      <c r="C2" s="184" t="s">
        <v>514</v>
      </c>
      <c r="D2" s="195" t="s">
        <v>488</v>
      </c>
      <c r="E2" s="184" t="s">
        <v>489</v>
      </c>
      <c r="F2" s="184" t="s">
        <v>490</v>
      </c>
      <c r="G2" s="188" t="s">
        <v>483</v>
      </c>
      <c r="H2" s="188" t="s">
        <v>515</v>
      </c>
      <c r="I2" s="190" t="s">
        <v>516</v>
      </c>
      <c r="J2" s="184" t="s">
        <v>517</v>
      </c>
      <c r="K2" s="193"/>
      <c r="L2" s="182" t="s">
        <v>518</v>
      </c>
      <c r="M2" s="182" t="s">
        <v>519</v>
      </c>
      <c r="N2" s="182" t="s">
        <v>520</v>
      </c>
      <c r="O2" s="182" t="s">
        <v>513</v>
      </c>
      <c r="P2" s="182" t="s">
        <v>521</v>
      </c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>
      <c r="A3" s="205" t="str">
        <f>IFERROR(__xludf.DUMMYFUNCTION("UNIQUE(#REF!)"),"#REF!")</f>
        <v>#REF!</v>
      </c>
      <c r="B3" s="207"/>
      <c r="C3" s="207"/>
      <c r="D3" s="209"/>
      <c r="E3" s="207"/>
      <c r="F3" s="207"/>
      <c r="G3" s="188"/>
      <c r="H3" s="188"/>
      <c r="I3" s="211"/>
      <c r="J3" s="207"/>
      <c r="K3" s="193"/>
      <c r="L3" s="182"/>
      <c r="M3" s="213"/>
      <c r="N3" s="193"/>
      <c r="O3" s="193"/>
      <c r="P3" s="193"/>
      <c r="Q3" s="209"/>
      <c r="R3" s="193"/>
      <c r="S3" s="193"/>
      <c r="T3" s="193"/>
      <c r="U3" s="193"/>
      <c r="V3" s="209"/>
      <c r="W3" s="193"/>
      <c r="X3" s="193"/>
      <c r="Y3" s="193"/>
      <c r="Z3" s="193"/>
      <c r="AA3" s="193"/>
    </row>
    <row r="4">
      <c r="A4" s="205"/>
      <c r="B4" s="207" t="str">
        <f t="array" ref="B4">INDEX(Inventory!C:C, MATCH($A4,Inventory!$A:$A,0))</f>
        <v>#N/A</v>
      </c>
      <c r="C4" s="228" t="str">
        <f t="array" ref="C4">INDEX(Inventory!D:D, MATCH($A4,Inventory!$A:$A,0))</f>
        <v>#N/A</v>
      </c>
      <c r="D4" s="233" t="str">
        <f t="shared" ref="D4:D56" si="1">SUMIF(#REF!,A4,#REF!)</f>
        <v>#N/A</v>
      </c>
      <c r="E4" s="207" t="str">
        <f t="array" ref="E4">INDEX(Inventory!G:G, MATCH($A4,Inventory!$A:$A,0))</f>
        <v>#N/A</v>
      </c>
      <c r="F4" s="207" t="str">
        <f t="array" ref="F4">INDEX(Inventory!H:H, MATCH($A4,Inventory!$A:$A,0))</f>
        <v>#N/A</v>
      </c>
      <c r="G4" s="235" t="str">
        <f t="shared" ref="G4:G56" si="2">IF($E4="Y",$J4/$I4,)</f>
        <v>#N/A</v>
      </c>
      <c r="H4" s="236" t="str">
        <f t="shared" ref="H4:H56" si="3">IF(E4="Y",J4/I4*D4,)</f>
        <v>#N/A</v>
      </c>
      <c r="I4" s="237" t="str">
        <f t="shared" ref="I4:I56" si="4">INDEX(#REF!, MATCH(A4,#REF!,0))</f>
        <v>#N/A</v>
      </c>
      <c r="J4" s="239" t="str">
        <f t="array" ref="J4">INDEX(Inventory!J:J, MATCH($A4,Inventory!$A:$A,0))</f>
        <v>#N/A</v>
      </c>
      <c r="K4" s="193"/>
      <c r="L4" s="182" t="s">
        <v>536</v>
      </c>
      <c r="M4" s="241">
        <v>8.0</v>
      </c>
      <c r="N4" s="245" t="str">
        <f t="shared" ref="N4:N159" si="5">if(E4="Y",M4-(D4*$D$1),)</f>
        <v>#N/A</v>
      </c>
      <c r="O4" s="250" t="str">
        <f t="array" ref="O4">index(Inventory!E:E, match(A4, Inventory!A:A,0))</f>
        <v>#N/A</v>
      </c>
      <c r="P4" s="253" t="str">
        <f>ceiling(abs(N4/I4))</f>
        <v>#N/A</v>
      </c>
      <c r="Q4" s="255"/>
      <c r="R4" s="184" t="str">
        <f t="array" ref="R4">INDEX(Inventory!T:T, MATCH($A4,Inventory!$A:$A,0))</f>
        <v>#N/A</v>
      </c>
      <c r="S4" s="184" t="str">
        <f t="array" ref="S4">INDEX(Inventory!U:U, MATCH($A4,Inventory!$A:$A,0))</f>
        <v>#N/A</v>
      </c>
      <c r="T4" s="260" t="str">
        <f>IF($E4="Y",$J4/$I4,)</f>
        <v>#N/A</v>
      </c>
      <c r="U4" s="264" t="str">
        <f>IF(R4="Y",W4/V4*Q4,)</f>
        <v>#N/A</v>
      </c>
      <c r="V4" s="267" t="str">
        <f t="array" ref="V4">INDEX('Library creation'!M:M, MATCH(N4,'Library creation'!F:F,0))</f>
        <v>#N/A</v>
      </c>
      <c r="W4" s="268" t="str">
        <f t="array" ref="W4">INDEX(Inventory!W:W, MATCH($A4,Inventory!$A:$A,0))</f>
        <v>#N/A</v>
      </c>
      <c r="X4" s="193"/>
      <c r="Y4" s="193" t="s">
        <v>536</v>
      </c>
      <c r="Z4" s="269">
        <v>0.0</v>
      </c>
      <c r="AA4" s="193" t="str">
        <f>if(R4="Y",Z4-(Q4*$D$1),)</f>
        <v>#N/A</v>
      </c>
    </row>
    <row r="5">
      <c r="A5" s="205"/>
      <c r="B5" s="207" t="str">
        <f t="array" ref="B5">INDEX(Inventory!C:C, MATCH($A5,Inventory!$A:$A,0))</f>
        <v>#N/A</v>
      </c>
      <c r="C5" s="275" t="str">
        <f t="array" ref="C5">INDEX(Inventory!D:D, MATCH($A5,Inventory!$A:$A,0))</f>
        <v>#N/A</v>
      </c>
      <c r="D5" s="233" t="str">
        <f t="shared" si="1"/>
        <v>#N/A</v>
      </c>
      <c r="E5" s="207" t="str">
        <f t="array" ref="E5">INDEX(Inventory!G:G, MATCH($A5,Inventory!$A:$A,0))</f>
        <v>#N/A</v>
      </c>
      <c r="F5" s="207" t="str">
        <f t="array" ref="F5">INDEX(Inventory!H:H, MATCH($A5,Inventory!$A:$A,0))</f>
        <v>#N/A</v>
      </c>
      <c r="G5" s="188" t="str">
        <f t="shared" si="2"/>
        <v>#N/A</v>
      </c>
      <c r="H5" s="264" t="str">
        <f t="shared" si="3"/>
        <v>#N/A</v>
      </c>
      <c r="I5" s="281" t="str">
        <f t="shared" si="4"/>
        <v>#N/A</v>
      </c>
      <c r="J5" s="239" t="str">
        <f t="array" ref="J5">INDEX(Inventory!J:J, MATCH($A5,Inventory!$A:$A,0))</f>
        <v>#N/A</v>
      </c>
      <c r="K5" s="193"/>
      <c r="L5" s="182" t="s">
        <v>536</v>
      </c>
      <c r="M5" s="186" t="str">
        <f t="array" ref="M5">index(Inventory!B:B, MATCH(A5, Inventory!A:A, 0))</f>
        <v>#N/A</v>
      </c>
      <c r="N5" s="193" t="str">
        <f t="shared" si="5"/>
        <v>#N/A</v>
      </c>
      <c r="O5" s="285" t="str">
        <f t="array" ref="O5">index(Inventory!E:E, match(A5, Inventory!A:A,0))</f>
        <v>#N/A</v>
      </c>
      <c r="P5" s="286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</row>
    <row r="6">
      <c r="A6" s="205"/>
      <c r="B6" s="207" t="str">
        <f t="array" ref="B6">INDEX(Inventory!C:C, MATCH($A6,Inventory!$A:$A,0))</f>
        <v>#N/A</v>
      </c>
      <c r="C6" s="275" t="str">
        <f t="array" ref="C6">INDEX(Inventory!D:D, MATCH($A6,Inventory!$A:$A,0))</f>
        <v>#N/A</v>
      </c>
      <c r="D6" s="233" t="str">
        <f t="shared" si="1"/>
        <v>#N/A</v>
      </c>
      <c r="E6" s="207" t="str">
        <f t="array" ref="E6">INDEX(Inventory!G:G, MATCH($A6,Inventory!$A:$A,0))</f>
        <v>#N/A</v>
      </c>
      <c r="F6" s="207" t="str">
        <f t="array" ref="F6">INDEX(Inventory!H:H, MATCH($A6,Inventory!$A:$A,0))</f>
        <v>#N/A</v>
      </c>
      <c r="G6" s="235" t="str">
        <f t="shared" si="2"/>
        <v>#N/A</v>
      </c>
      <c r="H6" s="236" t="str">
        <f t="shared" si="3"/>
        <v>#N/A</v>
      </c>
      <c r="I6" s="237" t="str">
        <f t="shared" si="4"/>
        <v>#N/A</v>
      </c>
      <c r="J6" s="239" t="str">
        <f t="array" ref="J6">INDEX(Inventory!J:J, MATCH($A6,Inventory!$A:$A,0))</f>
        <v>#N/A</v>
      </c>
      <c r="K6" s="193"/>
      <c r="L6" s="182" t="s">
        <v>536</v>
      </c>
      <c r="M6" s="186">
        <v>300.0</v>
      </c>
      <c r="N6" s="269" t="str">
        <f t="shared" si="5"/>
        <v>#N/A</v>
      </c>
      <c r="O6" s="250" t="str">
        <f t="array" ref="O6">index(Inventory!E:E, match(A6, Inventory!A:A,0))</f>
        <v>#N/A</v>
      </c>
      <c r="P6" s="286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</row>
    <row r="7">
      <c r="A7" s="205"/>
      <c r="B7" s="207" t="str">
        <f t="array" ref="B7">INDEX(Inventory!C:C, MATCH($A7,Inventory!$A:$A,0))</f>
        <v>#N/A</v>
      </c>
      <c r="C7" s="275" t="str">
        <f t="array" ref="C7">INDEX(Inventory!D:D, MATCH($A7,Inventory!$A:$A,0))</f>
        <v>#N/A</v>
      </c>
      <c r="D7" s="233" t="str">
        <f t="shared" si="1"/>
        <v>#N/A</v>
      </c>
      <c r="E7" s="207" t="str">
        <f t="array" ref="E7">INDEX(Inventory!G:G, MATCH($A7,Inventory!$A:$A,0))</f>
        <v>#N/A</v>
      </c>
      <c r="F7" s="207" t="str">
        <f t="array" ref="F7">INDEX(Inventory!H:H, MATCH($A7,Inventory!$A:$A,0))</f>
        <v>#N/A</v>
      </c>
      <c r="G7" s="235" t="str">
        <f t="shared" si="2"/>
        <v>#N/A</v>
      </c>
      <c r="H7" s="236" t="str">
        <f t="shared" si="3"/>
        <v>#N/A</v>
      </c>
      <c r="I7" s="237" t="str">
        <f t="shared" si="4"/>
        <v>#N/A</v>
      </c>
      <c r="J7" s="303" t="str">
        <f t="array" ref="J7">INDEX(Inventory!J:J, MATCH($A7,Inventory!$A:$A,0))</f>
        <v>#N/A</v>
      </c>
      <c r="K7" s="193"/>
      <c r="L7" s="182" t="s">
        <v>536</v>
      </c>
      <c r="M7" s="186">
        <v>960.0</v>
      </c>
      <c r="N7" s="269" t="str">
        <f t="shared" si="5"/>
        <v>#N/A</v>
      </c>
      <c r="O7" s="250" t="str">
        <f t="array" ref="O7">index(Inventory!E:E, match(A7, Inventory!A:A,0))</f>
        <v>#N/A</v>
      </c>
      <c r="P7" s="286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</row>
    <row r="8">
      <c r="A8" s="205"/>
      <c r="B8" s="207" t="str">
        <f t="array" ref="B8">INDEX(Inventory!C:C, MATCH($A8,Inventory!$A:$A,0))</f>
        <v>#N/A</v>
      </c>
      <c r="C8" s="275" t="str">
        <f t="array" ref="C8">INDEX(Inventory!D:D, MATCH($A8,Inventory!$A:$A,0))</f>
        <v>#N/A</v>
      </c>
      <c r="D8" s="233" t="str">
        <f t="shared" si="1"/>
        <v>#N/A</v>
      </c>
      <c r="E8" s="207" t="str">
        <f t="array" ref="E8">INDEX(Inventory!G:G, MATCH($A8,Inventory!$A:$A,0))</f>
        <v>#N/A</v>
      </c>
      <c r="F8" s="207" t="str">
        <f t="array" ref="F8">INDEX(Inventory!H:H, MATCH($A8,Inventory!$A:$A,0))</f>
        <v>#N/A</v>
      </c>
      <c r="G8" s="235" t="str">
        <f t="shared" si="2"/>
        <v>#N/A</v>
      </c>
      <c r="H8" s="236" t="str">
        <f t="shared" si="3"/>
        <v>#N/A</v>
      </c>
      <c r="I8" s="237" t="str">
        <f t="shared" si="4"/>
        <v>#N/A</v>
      </c>
      <c r="J8" s="239" t="str">
        <f t="array" ref="J8">INDEX(Inventory!J:J, MATCH($A8,Inventory!$A:$A,0))</f>
        <v>#N/A</v>
      </c>
      <c r="K8" s="193"/>
      <c r="L8" s="182" t="s">
        <v>536</v>
      </c>
      <c r="M8" s="186">
        <v>200.0</v>
      </c>
      <c r="N8" s="269" t="str">
        <f t="shared" si="5"/>
        <v>#N/A</v>
      </c>
      <c r="O8" s="285" t="str">
        <f t="array" ref="O8">index(Inventory!E:E, match(A8, Inventory!A:A,0))</f>
        <v>#N/A</v>
      </c>
      <c r="P8" s="286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</row>
    <row r="9">
      <c r="A9" s="205"/>
      <c r="B9" s="313" t="str">
        <f t="array" ref="B9">INDEX(Inventory!C:C, MATCH($A9,Inventory!$A:$A,0))</f>
        <v>#N/A</v>
      </c>
      <c r="C9" s="315" t="str">
        <f t="array" ref="C9">INDEX(Inventory!D:D, MATCH($A9,Inventory!$A:$A,0))</f>
        <v>#N/A</v>
      </c>
      <c r="D9" s="233" t="str">
        <f t="shared" si="1"/>
        <v>#N/A</v>
      </c>
      <c r="E9" s="313" t="str">
        <f t="array" ref="E9">INDEX(Inventory!G:G, MATCH($A9,Inventory!$A:$A,0))</f>
        <v>#N/A</v>
      </c>
      <c r="F9" s="313" t="str">
        <f t="array" ref="F9">INDEX(Inventory!H:H, MATCH($A9,Inventory!$A:$A,0))</f>
        <v>#N/A</v>
      </c>
      <c r="G9" s="316" t="str">
        <f t="shared" si="2"/>
        <v>#N/A</v>
      </c>
      <c r="H9" s="318" t="str">
        <f t="shared" si="3"/>
        <v>#N/A</v>
      </c>
      <c r="I9" s="319" t="str">
        <f t="shared" si="4"/>
        <v>#N/A</v>
      </c>
      <c r="J9" s="313" t="str">
        <f t="array" ref="J9">INDEX(Inventory!J:J, MATCH($A9,Inventory!$A:$A,0))</f>
        <v>#N/A</v>
      </c>
      <c r="K9" s="193"/>
      <c r="L9" s="182" t="s">
        <v>536</v>
      </c>
      <c r="M9" s="325" t="str">
        <f t="array" ref="M9">index(Inventory!B:B, MATCH(A9, Inventory!A:A, 0))</f>
        <v>#N/A</v>
      </c>
      <c r="N9" s="326" t="str">
        <f t="shared" si="5"/>
        <v>#N/A</v>
      </c>
      <c r="O9" s="328" t="str">
        <f t="array" ref="O9">index(Inventory!E:E, match(A9, Inventory!A:A,0))</f>
        <v>#N/A</v>
      </c>
      <c r="P9" s="286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</row>
    <row r="10">
      <c r="A10" s="205"/>
      <c r="B10" s="207" t="str">
        <f t="array" ref="B10">INDEX(Inventory!C:C, MATCH($A10,Inventory!$A:$A,0))</f>
        <v>#N/A</v>
      </c>
      <c r="C10" s="275" t="str">
        <f t="array" ref="C10">INDEX(Inventory!D:D, MATCH($A10,Inventory!$A:$A,0))</f>
        <v>#N/A</v>
      </c>
      <c r="D10" s="233" t="str">
        <f t="shared" si="1"/>
        <v>#N/A</v>
      </c>
      <c r="E10" s="207" t="str">
        <f t="array" ref="E10">INDEX(Inventory!G:G, MATCH($A10,Inventory!$A:$A,0))</f>
        <v>#N/A</v>
      </c>
      <c r="F10" s="207" t="str">
        <f t="array" ref="F10">INDEX(Inventory!H:H, MATCH($A10,Inventory!$A:$A,0))</f>
        <v>#N/A</v>
      </c>
      <c r="G10" s="188" t="str">
        <f t="shared" si="2"/>
        <v>#N/A</v>
      </c>
      <c r="H10" s="264" t="str">
        <f t="shared" si="3"/>
        <v>#N/A</v>
      </c>
      <c r="I10" s="281" t="str">
        <f t="shared" si="4"/>
        <v>#N/A</v>
      </c>
      <c r="J10" s="268" t="str">
        <f t="array" ref="J10">INDEX(Inventory!J:J, MATCH($A10,Inventory!$A:$A,0))</f>
        <v>#N/A</v>
      </c>
      <c r="K10" s="193"/>
      <c r="L10" s="182" t="s">
        <v>536</v>
      </c>
      <c r="M10" s="186" t="str">
        <f t="array" ref="M10">index(Inventory!B:B, MATCH(A10, Inventory!A:A, 0))</f>
        <v>#N/A</v>
      </c>
      <c r="N10" s="193" t="str">
        <f t="shared" si="5"/>
        <v>#N/A</v>
      </c>
      <c r="O10" s="250" t="str">
        <f t="array" ref="O10">index(Inventory!E:E, match(A10, Inventory!A:A,0))</f>
        <v>#N/A</v>
      </c>
      <c r="P10" s="286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</row>
    <row r="11">
      <c r="A11" s="205"/>
      <c r="B11" s="207" t="str">
        <f t="array" ref="B11">INDEX(Inventory!C:C, MATCH($A11,Inventory!$A:$A,0))</f>
        <v>#N/A</v>
      </c>
      <c r="C11" s="275" t="str">
        <f t="array" ref="C11">INDEX(Inventory!D:D, MATCH($A11,Inventory!$A:$A,0))</f>
        <v>#N/A</v>
      </c>
      <c r="D11" s="233" t="str">
        <f t="shared" si="1"/>
        <v>#N/A</v>
      </c>
      <c r="E11" s="207" t="str">
        <f t="array" ref="E11">INDEX(Inventory!G:G, MATCH($A11,Inventory!$A:$A,0))</f>
        <v>#N/A</v>
      </c>
      <c r="F11" s="207" t="str">
        <f t="array" ref="F11">INDEX(Inventory!H:H, MATCH($A11,Inventory!$A:$A,0))</f>
        <v>#N/A</v>
      </c>
      <c r="G11" s="188" t="str">
        <f t="shared" si="2"/>
        <v>#N/A</v>
      </c>
      <c r="H11" s="264" t="str">
        <f t="shared" si="3"/>
        <v>#N/A</v>
      </c>
      <c r="I11" s="281" t="str">
        <f t="shared" si="4"/>
        <v>#N/A</v>
      </c>
      <c r="J11" s="268" t="str">
        <f t="array" ref="J11">INDEX(Inventory!J:J, MATCH($A11,Inventory!$A:$A,0))</f>
        <v>#N/A</v>
      </c>
      <c r="K11" s="193"/>
      <c r="L11" s="182" t="s">
        <v>536</v>
      </c>
      <c r="M11" s="186" t="str">
        <f t="array" ref="M11">index(Inventory!B:B, MATCH(A11, Inventory!A:A, 0))</f>
        <v>#N/A</v>
      </c>
      <c r="N11" s="193" t="str">
        <f t="shared" si="5"/>
        <v>#N/A</v>
      </c>
      <c r="O11" s="285" t="str">
        <f t="array" ref="O11">index(Inventory!E:E, match(A11, Inventory!A:A,0))</f>
        <v>#N/A</v>
      </c>
      <c r="P11" s="286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</row>
    <row r="12">
      <c r="A12" s="205"/>
      <c r="B12" s="207" t="str">
        <f t="array" ref="B12">INDEX(Inventory!C:C, MATCH($A12,Inventory!$A:$A,0))</f>
        <v>#N/A</v>
      </c>
      <c r="C12" s="275" t="str">
        <f t="array" ref="C12">INDEX(Inventory!D:D, MATCH($A12,Inventory!$A:$A,0))</f>
        <v>#N/A</v>
      </c>
      <c r="D12" s="233" t="str">
        <f t="shared" si="1"/>
        <v>#N/A</v>
      </c>
      <c r="E12" s="207" t="str">
        <f t="array" ref="E12">INDEX(Inventory!G:G, MATCH($A12,Inventory!$A:$A,0))</f>
        <v>#N/A</v>
      </c>
      <c r="F12" s="207" t="str">
        <f t="array" ref="F12">INDEX(Inventory!H:H, MATCH($A12,Inventory!$A:$A,0))</f>
        <v>#N/A</v>
      </c>
      <c r="G12" s="235" t="str">
        <f t="shared" si="2"/>
        <v>#N/A</v>
      </c>
      <c r="H12" s="236" t="str">
        <f t="shared" si="3"/>
        <v>#N/A</v>
      </c>
      <c r="I12" s="237" t="str">
        <f t="shared" si="4"/>
        <v>#N/A</v>
      </c>
      <c r="J12" s="303" t="str">
        <f t="array" ref="J12">INDEX(Inventory!J:J, MATCH($A12,Inventory!$A:$A,0))</f>
        <v>#N/A</v>
      </c>
      <c r="K12" s="193"/>
      <c r="L12" s="182" t="s">
        <v>536</v>
      </c>
      <c r="M12" s="213" t="str">
        <f t="array" ref="M12">index(Inventory!B:B, MATCH(A12, Inventory!A:A, 0))</f>
        <v>#N/A</v>
      </c>
      <c r="N12" s="367" t="str">
        <f t="shared" si="5"/>
        <v>#N/A</v>
      </c>
      <c r="O12" s="250" t="str">
        <f t="array" ref="O12">index(Inventory!E:E, match(A12, Inventory!A:A,0))</f>
        <v>#N/A</v>
      </c>
      <c r="P12" s="253" t="str">
        <f t="shared" ref="P12:P13" si="6">ceiling(abs(N12/I12))</f>
        <v>#N/A</v>
      </c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</row>
    <row r="13">
      <c r="A13" s="205"/>
      <c r="B13" s="207" t="str">
        <f t="array" ref="B13">INDEX(Inventory!C:C, MATCH($A13,Inventory!$A:$A,0))</f>
        <v>#N/A</v>
      </c>
      <c r="C13" s="275" t="str">
        <f t="array" ref="C13">INDEX(Inventory!D:D, MATCH($A13,Inventory!$A:$A,0))</f>
        <v>#N/A</v>
      </c>
      <c r="D13" s="233" t="str">
        <f t="shared" si="1"/>
        <v>#N/A</v>
      </c>
      <c r="E13" s="207" t="str">
        <f t="array" ref="E13">INDEX(Inventory!G:G, MATCH($A13,Inventory!$A:$A,0))</f>
        <v>#N/A</v>
      </c>
      <c r="F13" s="207" t="str">
        <f t="array" ref="F13">INDEX(Inventory!H:H, MATCH($A13,Inventory!$A:$A,0))</f>
        <v>#N/A</v>
      </c>
      <c r="G13" s="235" t="str">
        <f t="shared" si="2"/>
        <v>#N/A</v>
      </c>
      <c r="H13" s="236" t="str">
        <f t="shared" si="3"/>
        <v>#N/A</v>
      </c>
      <c r="I13" s="237" t="str">
        <f t="shared" si="4"/>
        <v>#N/A</v>
      </c>
      <c r="J13" s="303" t="str">
        <f t="array" ref="J13">INDEX(Inventory!J:J, MATCH($A13,Inventory!$A:$A,0))</f>
        <v>#N/A</v>
      </c>
      <c r="K13" s="193"/>
      <c r="L13" s="182" t="s">
        <v>536</v>
      </c>
      <c r="M13" s="186" t="str">
        <f t="array" ref="M13">index(Inventory!B:B, MATCH(A13, Inventory!A:A, 0))</f>
        <v>#N/A</v>
      </c>
      <c r="N13" s="367" t="str">
        <f t="shared" si="5"/>
        <v>#N/A</v>
      </c>
      <c r="O13" s="250" t="str">
        <f t="array" ref="O13">index(Inventory!E:E, match(A13, Inventory!A:A,0))</f>
        <v>#N/A</v>
      </c>
      <c r="P13" s="253" t="str">
        <f t="shared" si="6"/>
        <v>#N/A</v>
      </c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</row>
    <row r="14">
      <c r="A14" s="205"/>
      <c r="B14" s="207" t="str">
        <f t="array" ref="B14">INDEX(Inventory!C:C, MATCH($A14,Inventory!$A:$A,0))</f>
        <v>#N/A</v>
      </c>
      <c r="C14" s="275" t="str">
        <f t="array" ref="C14">INDEX(Inventory!D:D, MATCH($A14,Inventory!$A:$A,0))</f>
        <v>#N/A</v>
      </c>
      <c r="D14" s="233" t="str">
        <f t="shared" si="1"/>
        <v>#N/A</v>
      </c>
      <c r="E14" s="207" t="str">
        <f t="array" ref="E14">INDEX(Inventory!G:G, MATCH($A14,Inventory!$A:$A,0))</f>
        <v>#N/A</v>
      </c>
      <c r="F14" s="207" t="str">
        <f t="array" ref="F14">INDEX(Inventory!H:H, MATCH($A14,Inventory!$A:$A,0))</f>
        <v>#N/A</v>
      </c>
      <c r="G14" s="188" t="str">
        <f t="shared" si="2"/>
        <v>#N/A</v>
      </c>
      <c r="H14" s="264" t="str">
        <f t="shared" si="3"/>
        <v>#N/A</v>
      </c>
      <c r="I14" s="237" t="str">
        <f t="shared" si="4"/>
        <v>#N/A</v>
      </c>
      <c r="J14" s="239" t="str">
        <f t="array" ref="J14">INDEX(Inventory!J:J, MATCH($A14,Inventory!$A:$A,0))</f>
        <v>#N/A</v>
      </c>
      <c r="K14" s="193"/>
      <c r="L14" s="182" t="s">
        <v>536</v>
      </c>
      <c r="M14" s="186" t="str">
        <f t="array" ref="M14">index(Inventory!B:B, MATCH(A14, Inventory!A:A, 0))</f>
        <v>#N/A</v>
      </c>
      <c r="N14" s="193" t="str">
        <f t="shared" si="5"/>
        <v>#N/A</v>
      </c>
      <c r="O14" s="250" t="str">
        <f t="array" ref="O14">index(Inventory!E:E, match(A14, Inventory!A:A,0))</f>
        <v>#N/A</v>
      </c>
      <c r="P14" s="286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</row>
    <row r="15">
      <c r="A15" s="205"/>
      <c r="B15" s="207" t="str">
        <f t="array" ref="B15">INDEX(Inventory!C:C, MATCH($A15,Inventory!$A:$A,0))</f>
        <v>#N/A</v>
      </c>
      <c r="C15" s="275" t="str">
        <f t="array" ref="C15">INDEX(Inventory!D:D, MATCH($A15,Inventory!$A:$A,0))</f>
        <v>#N/A</v>
      </c>
      <c r="D15" s="233" t="str">
        <f t="shared" si="1"/>
        <v>#N/A</v>
      </c>
      <c r="E15" s="207" t="str">
        <f t="array" ref="E15">INDEX(Inventory!G:G, MATCH($A15,Inventory!$A:$A,0))</f>
        <v>#N/A</v>
      </c>
      <c r="F15" s="207" t="str">
        <f t="array" ref="F15">INDEX(Inventory!H:H, MATCH($A15,Inventory!$A:$A,0))</f>
        <v>#N/A</v>
      </c>
      <c r="G15" s="235" t="str">
        <f t="shared" si="2"/>
        <v>#N/A</v>
      </c>
      <c r="H15" s="236" t="str">
        <f t="shared" si="3"/>
        <v>#N/A</v>
      </c>
      <c r="I15" s="237" t="str">
        <f t="shared" si="4"/>
        <v>#N/A</v>
      </c>
      <c r="J15" s="235" t="str">
        <f t="array" ref="J15">INDEX(Inventory!J:J, MATCH($A15,Inventory!$A:$A,0))</f>
        <v>#N/A</v>
      </c>
      <c r="K15" s="193"/>
      <c r="L15" s="182" t="s">
        <v>536</v>
      </c>
      <c r="M15" s="186" t="str">
        <f t="array" ref="M15">index(Inventory!B:B, MATCH(A15, Inventory!A:A, 0))</f>
        <v>#N/A</v>
      </c>
      <c r="N15" s="367" t="str">
        <f t="shared" si="5"/>
        <v>#N/A</v>
      </c>
      <c r="O15" s="285" t="str">
        <f t="array" ref="O15">index(Inventory!E:E, match(A15, Inventory!A:A,0))</f>
        <v>#N/A</v>
      </c>
      <c r="P15" s="286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</row>
    <row r="16">
      <c r="A16" s="205"/>
      <c r="B16" s="207" t="str">
        <f t="array" ref="B16">INDEX(Inventory!C:C, MATCH($A16,Inventory!$A:$A,0))</f>
        <v>#N/A</v>
      </c>
      <c r="C16" s="275" t="str">
        <f t="array" ref="C16">INDEX(Inventory!D:D, MATCH($A16,Inventory!$A:$A,0))</f>
        <v>#N/A</v>
      </c>
      <c r="D16" s="233" t="str">
        <f t="shared" si="1"/>
        <v>#N/A</v>
      </c>
      <c r="E16" s="207" t="str">
        <f t="array" ref="E16">INDEX(Inventory!G:G, MATCH($A16,Inventory!$A:$A,0))</f>
        <v>#N/A</v>
      </c>
      <c r="F16" s="207" t="str">
        <f t="array" ref="F16">INDEX(Inventory!H:H, MATCH($A16,Inventory!$A:$A,0))</f>
        <v>#N/A</v>
      </c>
      <c r="G16" s="235" t="str">
        <f t="shared" si="2"/>
        <v>#N/A</v>
      </c>
      <c r="H16" s="236" t="str">
        <f t="shared" si="3"/>
        <v>#N/A</v>
      </c>
      <c r="I16" s="237" t="str">
        <f t="shared" si="4"/>
        <v>#N/A</v>
      </c>
      <c r="J16" s="239" t="str">
        <f t="array" ref="J16">INDEX(Inventory!J:J, MATCH($A16,Inventory!$A:$A,0))</f>
        <v>#N/A</v>
      </c>
      <c r="K16" s="193"/>
      <c r="L16" s="182" t="s">
        <v>536</v>
      </c>
      <c r="M16" s="186" t="str">
        <f t="array" ref="M16">index(Inventory!B:B, MATCH(A16, Inventory!A:A, 0))</f>
        <v>#N/A</v>
      </c>
      <c r="N16" s="269" t="str">
        <f t="shared" si="5"/>
        <v>#N/A</v>
      </c>
      <c r="O16" s="285" t="str">
        <f t="array" ref="O16">index(Inventory!E:E, match(A16, Inventory!A:A,0))</f>
        <v>#N/A</v>
      </c>
      <c r="P16" s="286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</row>
    <row r="17">
      <c r="A17" s="205"/>
      <c r="B17" s="207" t="str">
        <f t="array" ref="B17">INDEX(Inventory!C:C, MATCH($A17,Inventory!$A:$A,0))</f>
        <v>#N/A</v>
      </c>
      <c r="C17" s="275" t="str">
        <f t="array" ref="C17">INDEX(Inventory!D:D, MATCH($A17,Inventory!$A:$A,0))</f>
        <v>#N/A</v>
      </c>
      <c r="D17" s="233" t="str">
        <f t="shared" si="1"/>
        <v>#N/A</v>
      </c>
      <c r="E17" s="207" t="str">
        <f t="array" ref="E17">INDEX(Inventory!G:G, MATCH($A17,Inventory!$A:$A,0))</f>
        <v>#N/A</v>
      </c>
      <c r="F17" s="207" t="str">
        <f t="array" ref="F17">INDEX(Inventory!H:H, MATCH($A17,Inventory!$A:$A,0))</f>
        <v>#N/A</v>
      </c>
      <c r="G17" s="235" t="str">
        <f t="shared" si="2"/>
        <v>#N/A</v>
      </c>
      <c r="H17" s="236" t="str">
        <f t="shared" si="3"/>
        <v>#N/A</v>
      </c>
      <c r="I17" s="237" t="str">
        <f t="shared" si="4"/>
        <v>#N/A</v>
      </c>
      <c r="J17" s="239" t="str">
        <f t="array" ref="J17">INDEX(Inventory!J:J, MATCH($A17,Inventory!$A:$A,0))</f>
        <v>#N/A</v>
      </c>
      <c r="K17" s="193"/>
      <c r="L17" s="182" t="s">
        <v>536</v>
      </c>
      <c r="M17" s="186">
        <v>100.0</v>
      </c>
      <c r="N17" s="367" t="str">
        <f t="shared" si="5"/>
        <v>#N/A</v>
      </c>
      <c r="O17" s="250" t="str">
        <f t="array" ref="O17">index(Inventory!E:E, match(A17, Inventory!A:A,0))</f>
        <v>#N/A</v>
      </c>
      <c r="P17" s="253" t="str">
        <f>ceiling(abs(N17/I17))</f>
        <v>#N/A</v>
      </c>
      <c r="Q17" s="470"/>
      <c r="R17" s="470"/>
      <c r="S17" s="470"/>
      <c r="T17" s="470"/>
      <c r="U17" s="470"/>
      <c r="V17" s="470"/>
      <c r="W17" s="470"/>
      <c r="X17" s="470"/>
      <c r="Y17" s="470"/>
      <c r="Z17" s="470"/>
      <c r="AA17" s="470"/>
    </row>
    <row r="18">
      <c r="A18" s="205"/>
      <c r="B18" s="207" t="str">
        <f t="array" ref="B18">INDEX(Inventory!C:C, MATCH($A18,Inventory!$A:$A,0))</f>
        <v>#N/A</v>
      </c>
      <c r="C18" s="275" t="str">
        <f t="array" ref="C18">INDEX(Inventory!D:D, MATCH($A18,Inventory!$A:$A,0))</f>
        <v>#N/A</v>
      </c>
      <c r="D18" s="233" t="str">
        <f t="shared" si="1"/>
        <v>#N/A</v>
      </c>
      <c r="E18" s="207" t="str">
        <f t="array" ref="E18">INDEX(Inventory!G:G, MATCH($A18,Inventory!$A:$A,0))</f>
        <v>#N/A</v>
      </c>
      <c r="F18" s="207" t="str">
        <f t="array" ref="F18">INDEX(Inventory!H:H, MATCH($A18,Inventory!$A:$A,0))</f>
        <v>#N/A</v>
      </c>
      <c r="G18" s="235" t="str">
        <f t="shared" si="2"/>
        <v>#N/A</v>
      </c>
      <c r="H18" s="236" t="str">
        <f t="shared" si="3"/>
        <v>#N/A</v>
      </c>
      <c r="I18" s="237" t="str">
        <f t="shared" si="4"/>
        <v>#N/A</v>
      </c>
      <c r="J18" s="239" t="str">
        <f t="array" ref="J18">INDEX(Inventory!J:J, MATCH($A18,Inventory!$A:$A,0))</f>
        <v>#N/A</v>
      </c>
      <c r="K18" s="193"/>
      <c r="L18" s="182" t="s">
        <v>536</v>
      </c>
      <c r="M18" s="186" t="str">
        <f t="array" ref="M18">index(Inventory!B:B, MATCH(A18, Inventory!A:A, 0))</f>
        <v>#N/A</v>
      </c>
      <c r="N18" s="269" t="str">
        <f t="shared" si="5"/>
        <v>#N/A</v>
      </c>
      <c r="O18" s="250" t="str">
        <f t="array" ref="O18">index(Inventory!E:E, match(A18, Inventory!A:A,0))</f>
        <v>#N/A</v>
      </c>
      <c r="P18" s="286"/>
      <c r="Q18" s="470"/>
      <c r="R18" s="470"/>
      <c r="S18" s="470"/>
      <c r="T18" s="470"/>
      <c r="U18" s="470"/>
      <c r="V18" s="470"/>
      <c r="W18" s="470"/>
      <c r="X18" s="470"/>
      <c r="Y18" s="470"/>
      <c r="Z18" s="470"/>
      <c r="AA18" s="470"/>
    </row>
    <row r="19">
      <c r="A19" s="205"/>
      <c r="B19" s="207" t="str">
        <f t="array" ref="B19">INDEX(Inventory!C:C, MATCH($A19,Inventory!$A:$A,0))</f>
        <v>#N/A</v>
      </c>
      <c r="C19" s="275" t="str">
        <f t="array" ref="C19">INDEX(Inventory!D:D, MATCH($A19,Inventory!$A:$A,0))</f>
        <v>#N/A</v>
      </c>
      <c r="D19" s="233" t="str">
        <f t="shared" si="1"/>
        <v>#N/A</v>
      </c>
      <c r="E19" s="207" t="str">
        <f t="array" ref="E19">INDEX(Inventory!G:G, MATCH($A19,Inventory!$A:$A,0))</f>
        <v>#N/A</v>
      </c>
      <c r="F19" s="207" t="str">
        <f t="array" ref="F19">INDEX(Inventory!H:H, MATCH($A19,Inventory!$A:$A,0))</f>
        <v>#N/A</v>
      </c>
      <c r="G19" s="235" t="str">
        <f t="shared" si="2"/>
        <v>#N/A</v>
      </c>
      <c r="H19" s="236" t="str">
        <f t="shared" si="3"/>
        <v>#N/A</v>
      </c>
      <c r="I19" s="237" t="str">
        <f t="shared" si="4"/>
        <v>#N/A</v>
      </c>
      <c r="J19" s="239" t="str">
        <f t="array" ref="J19">INDEX(Inventory!J:J, MATCH($A19,Inventory!$A:$A,0))</f>
        <v>#N/A</v>
      </c>
      <c r="K19" s="193"/>
      <c r="L19" s="182" t="s">
        <v>536</v>
      </c>
      <c r="M19" s="186" t="str">
        <f t="array" ref="M19">index(Inventory!B:B, MATCH(A19, Inventory!A:A, 0))</f>
        <v>#N/A</v>
      </c>
      <c r="N19" s="269" t="str">
        <f t="shared" si="5"/>
        <v>#N/A</v>
      </c>
      <c r="O19" s="250" t="str">
        <f t="array" ref="O19">index(Inventory!E:E, match(A19, Inventory!A:A,0))</f>
        <v>#N/A</v>
      </c>
      <c r="P19" s="286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</row>
    <row r="20">
      <c r="A20" s="205"/>
      <c r="B20" s="207" t="str">
        <f t="array" ref="B20">INDEX(Inventory!C:C, MATCH($A20,Inventory!$A:$A,0))</f>
        <v>#N/A</v>
      </c>
      <c r="C20" s="477" t="str">
        <f t="array" ref="C20">INDEX(Inventory!D:D, MATCH($A20,Inventory!$A:$A,0))</f>
        <v>#N/A</v>
      </c>
      <c r="D20" s="233" t="str">
        <f t="shared" si="1"/>
        <v>#N/A</v>
      </c>
      <c r="E20" s="207" t="str">
        <f t="array" ref="E20">INDEX(Inventory!G:G, MATCH($A20,Inventory!$A:$A,0))</f>
        <v>#N/A</v>
      </c>
      <c r="F20" s="207" t="str">
        <f t="array" ref="F20">INDEX(Inventory!H:H, MATCH($A20,Inventory!$A:$A,0))</f>
        <v>#N/A</v>
      </c>
      <c r="G20" s="235" t="str">
        <f t="shared" si="2"/>
        <v>#N/A</v>
      </c>
      <c r="H20" s="236" t="str">
        <f t="shared" si="3"/>
        <v>#N/A</v>
      </c>
      <c r="I20" s="237" t="str">
        <f t="shared" si="4"/>
        <v>#N/A</v>
      </c>
      <c r="J20" s="303" t="str">
        <f t="array" ref="J20">INDEX(Inventory!J:J, MATCH($A20,Inventory!$A:$A,0))</f>
        <v>#N/A</v>
      </c>
      <c r="K20" s="193"/>
      <c r="L20" s="182" t="s">
        <v>536</v>
      </c>
      <c r="M20" s="186">
        <f>960*2</f>
        <v>1920</v>
      </c>
      <c r="N20" s="367" t="str">
        <f t="shared" si="5"/>
        <v>#N/A</v>
      </c>
      <c r="O20" s="250" t="str">
        <f t="array" ref="O20">index(Inventory!E:E, match(A20, Inventory!A:A,0))</f>
        <v>#N/A</v>
      </c>
      <c r="P20" s="253" t="str">
        <f>ceiling(abs(N20/I20))</f>
        <v>#N/A</v>
      </c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</row>
    <row r="21">
      <c r="A21" s="205"/>
      <c r="B21" s="207" t="str">
        <f t="array" ref="B21">INDEX(Inventory!C:C, MATCH($A21,Inventory!$A:$A,0))</f>
        <v>#N/A</v>
      </c>
      <c r="C21" s="275" t="str">
        <f t="array" ref="C21">INDEX(Inventory!D:D, MATCH($A21,Inventory!$A:$A,0))</f>
        <v>#N/A</v>
      </c>
      <c r="D21" s="233" t="str">
        <f t="shared" si="1"/>
        <v>#N/A</v>
      </c>
      <c r="E21" s="207" t="str">
        <f t="array" ref="E21">INDEX(Inventory!G:G, MATCH($A21,Inventory!$A:$A,0))</f>
        <v>#N/A</v>
      </c>
      <c r="F21" s="207" t="str">
        <f t="array" ref="F21">INDEX(Inventory!H:H, MATCH($A21,Inventory!$A:$A,0))</f>
        <v>#N/A</v>
      </c>
      <c r="G21" s="235" t="str">
        <f t="shared" si="2"/>
        <v>#N/A</v>
      </c>
      <c r="H21" s="236" t="str">
        <f t="shared" si="3"/>
        <v>#N/A</v>
      </c>
      <c r="I21" s="237" t="str">
        <f t="shared" si="4"/>
        <v>#N/A</v>
      </c>
      <c r="J21" s="239" t="str">
        <f t="array" ref="J21">INDEX(Inventory!J:J, MATCH($A21,Inventory!$A:$A,0))</f>
        <v>#N/A</v>
      </c>
      <c r="K21" s="193"/>
      <c r="L21" s="182" t="s">
        <v>536</v>
      </c>
      <c r="M21" s="186">
        <v>1920.0</v>
      </c>
      <c r="N21" s="269" t="str">
        <f t="shared" si="5"/>
        <v>#N/A</v>
      </c>
      <c r="O21" s="250" t="str">
        <f t="array" ref="O21">index(Inventory!E:E, match(A21, Inventory!A:A,0))</f>
        <v>#N/A</v>
      </c>
      <c r="P21" s="286"/>
      <c r="Q21" s="470"/>
      <c r="R21" s="470"/>
      <c r="S21" s="470"/>
      <c r="T21" s="470"/>
      <c r="U21" s="470"/>
      <c r="V21" s="470"/>
      <c r="W21" s="470"/>
      <c r="X21" s="470"/>
      <c r="Y21" s="470"/>
      <c r="Z21" s="470"/>
      <c r="AA21" s="470"/>
    </row>
    <row r="22">
      <c r="A22" s="205"/>
      <c r="B22" s="207" t="str">
        <f t="array" ref="B22">INDEX(Inventory!C:C, MATCH($A22,Inventory!$A:$A,0))</f>
        <v>#N/A</v>
      </c>
      <c r="C22" s="275" t="str">
        <f t="array" ref="C22">INDEX(Inventory!D:D, MATCH($A22,Inventory!$A:$A,0))</f>
        <v>#N/A</v>
      </c>
      <c r="D22" s="233" t="str">
        <f t="shared" si="1"/>
        <v>#N/A</v>
      </c>
      <c r="E22" s="207" t="str">
        <f t="array" ref="E22">INDEX(Inventory!G:G, MATCH($A22,Inventory!$A:$A,0))</f>
        <v>#N/A</v>
      </c>
      <c r="F22" s="207" t="str">
        <f t="array" ref="F22">INDEX(Inventory!H:H, MATCH($A22,Inventory!$A:$A,0))</f>
        <v>#N/A</v>
      </c>
      <c r="G22" s="235" t="str">
        <f t="shared" si="2"/>
        <v>#N/A</v>
      </c>
      <c r="H22" s="236" t="str">
        <f t="shared" si="3"/>
        <v>#N/A</v>
      </c>
      <c r="I22" s="237" t="str">
        <f t="shared" si="4"/>
        <v>#N/A</v>
      </c>
      <c r="J22" s="239" t="str">
        <f t="array" ref="J22">INDEX(Inventory!J:J, MATCH($A22,Inventory!$A:$A,0))</f>
        <v>#N/A</v>
      </c>
      <c r="K22" s="193"/>
      <c r="L22" s="182" t="s">
        <v>536</v>
      </c>
      <c r="M22" s="186" t="str">
        <f t="array" ref="M22">index(Inventory!B:B, MATCH(A22, Inventory!A:A, 0))</f>
        <v>#N/A</v>
      </c>
      <c r="N22" s="269" t="str">
        <f t="shared" si="5"/>
        <v>#N/A</v>
      </c>
      <c r="O22" s="250" t="str">
        <f t="array" ref="O22">index(Inventory!E:E, match(A22, Inventory!A:A,0))</f>
        <v>#N/A</v>
      </c>
      <c r="P22" s="286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</row>
    <row r="23">
      <c r="A23" s="205"/>
      <c r="B23" s="207" t="str">
        <f t="array" ref="B23">INDEX(Inventory!C:C, MATCH($A23,Inventory!$A:$A,0))</f>
        <v>#N/A</v>
      </c>
      <c r="C23" s="275" t="str">
        <f t="array" ref="C23">INDEX(Inventory!D:D, MATCH($A23,Inventory!$A:$A,0))</f>
        <v>#N/A</v>
      </c>
      <c r="D23" s="233" t="str">
        <f t="shared" si="1"/>
        <v>#N/A</v>
      </c>
      <c r="E23" s="207" t="str">
        <f t="array" ref="E23">INDEX(Inventory!G:G, MATCH($A23,Inventory!$A:$A,0))</f>
        <v>#N/A</v>
      </c>
      <c r="F23" s="207" t="str">
        <f t="array" ref="F23">INDEX(Inventory!H:H, MATCH($A23,Inventory!$A:$A,0))</f>
        <v>#N/A</v>
      </c>
      <c r="G23" s="235" t="str">
        <f t="shared" si="2"/>
        <v>#N/A</v>
      </c>
      <c r="H23" s="236" t="str">
        <f t="shared" si="3"/>
        <v>#N/A</v>
      </c>
      <c r="I23" s="237" t="str">
        <f t="shared" si="4"/>
        <v>#N/A</v>
      </c>
      <c r="J23" s="235" t="str">
        <f t="array" ref="J23">INDEX(Inventory!J:J, MATCH($A23,Inventory!$A:$A,0))</f>
        <v>#N/A</v>
      </c>
      <c r="K23" s="193"/>
      <c r="L23" s="182" t="s">
        <v>536</v>
      </c>
      <c r="M23" s="186">
        <v>1920.0</v>
      </c>
      <c r="N23" s="367" t="str">
        <f t="shared" si="5"/>
        <v>#N/A</v>
      </c>
      <c r="O23" s="250" t="str">
        <f t="array" ref="O23">index(Inventory!E:E, match(A23, Inventory!A:A,0))</f>
        <v>#N/A</v>
      </c>
      <c r="P23" s="253" t="str">
        <f t="shared" ref="P23:P45" si="7">ceiling(abs(N23/I23))</f>
        <v>#N/A</v>
      </c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</row>
    <row r="24">
      <c r="A24" s="205"/>
      <c r="B24" s="207" t="str">
        <f t="array" ref="B24">INDEX(Inventory!C:C, MATCH($A24,Inventory!$A:$A,0))</f>
        <v>#N/A</v>
      </c>
      <c r="C24" s="275" t="str">
        <f t="array" ref="C24">INDEX(Inventory!D:D, MATCH($A24,Inventory!$A:$A,0))</f>
        <v>#N/A</v>
      </c>
      <c r="D24" s="233" t="str">
        <f t="shared" si="1"/>
        <v>#N/A</v>
      </c>
      <c r="E24" s="207" t="str">
        <f t="array" ref="E24">INDEX(Inventory!G:G, MATCH($A24,Inventory!$A:$A,0))</f>
        <v>#N/A</v>
      </c>
      <c r="F24" s="207" t="str">
        <f t="array" ref="F24">INDEX(Inventory!H:H, MATCH($A24,Inventory!$A:$A,0))</f>
        <v>#N/A</v>
      </c>
      <c r="G24" s="235" t="str">
        <f t="shared" si="2"/>
        <v>#N/A</v>
      </c>
      <c r="H24" s="236" t="str">
        <f t="shared" si="3"/>
        <v>#N/A</v>
      </c>
      <c r="I24" s="237" t="str">
        <f t="shared" si="4"/>
        <v>#N/A</v>
      </c>
      <c r="J24" s="239" t="str">
        <f t="array" ref="J24">INDEX(Inventory!J:J, MATCH($A24,Inventory!$A:$A,0))</f>
        <v>#N/A</v>
      </c>
      <c r="K24" s="193"/>
      <c r="L24" s="182" t="s">
        <v>536</v>
      </c>
      <c r="M24" s="186">
        <v>50.0</v>
      </c>
      <c r="N24" s="367" t="str">
        <f t="shared" si="5"/>
        <v>#N/A</v>
      </c>
      <c r="O24" s="250" t="str">
        <f t="array" ref="O24">index(Inventory!E:E, match(A24, Inventory!A:A,0))</f>
        <v>#N/A</v>
      </c>
      <c r="P24" s="253" t="str">
        <f t="shared" si="7"/>
        <v>#N/A</v>
      </c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</row>
    <row r="25">
      <c r="A25" s="205"/>
      <c r="B25" s="207" t="str">
        <f t="array" ref="B25">INDEX(Inventory!C:C, MATCH($A25,Inventory!$A:$A,0))</f>
        <v>#N/A</v>
      </c>
      <c r="C25" s="275" t="str">
        <f t="array" ref="C25">INDEX(Inventory!D:D, MATCH($A25,Inventory!$A:$A,0))</f>
        <v>#N/A</v>
      </c>
      <c r="D25" s="233" t="str">
        <f t="shared" si="1"/>
        <v>#N/A</v>
      </c>
      <c r="E25" s="207" t="str">
        <f t="array" ref="E25">INDEX(Inventory!G:G, MATCH($A25,Inventory!$A:$A,0))</f>
        <v>#N/A</v>
      </c>
      <c r="F25" s="207" t="str">
        <f t="array" ref="F25">INDEX(Inventory!H:H, MATCH($A25,Inventory!$A:$A,0))</f>
        <v>#N/A</v>
      </c>
      <c r="G25" s="235" t="str">
        <f t="shared" si="2"/>
        <v>#N/A</v>
      </c>
      <c r="H25" s="236" t="str">
        <f t="shared" si="3"/>
        <v>#N/A</v>
      </c>
      <c r="I25" s="237" t="str">
        <f t="shared" si="4"/>
        <v>#N/A</v>
      </c>
      <c r="J25" s="239" t="str">
        <f t="array" ref="J25">INDEX(Inventory!J:J, MATCH($A25,Inventory!$A:$A,0))</f>
        <v>#N/A</v>
      </c>
      <c r="K25" s="193"/>
      <c r="L25" s="182" t="s">
        <v>536</v>
      </c>
      <c r="M25" s="186">
        <v>50.0</v>
      </c>
      <c r="N25" s="367" t="str">
        <f t="shared" si="5"/>
        <v>#N/A</v>
      </c>
      <c r="O25" s="250" t="str">
        <f t="array" ref="O25">index(Inventory!E:E, match(A25, Inventory!A:A,0))</f>
        <v>#N/A</v>
      </c>
      <c r="P25" s="253" t="str">
        <f t="shared" si="7"/>
        <v>#N/A</v>
      </c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</row>
    <row r="26">
      <c r="A26" s="205"/>
      <c r="B26" s="207" t="str">
        <f t="array" ref="B26">INDEX(Inventory!C:C, MATCH($A26,Inventory!$A:$A,0))</f>
        <v>#N/A</v>
      </c>
      <c r="C26" s="275" t="str">
        <f t="array" ref="C26">INDEX(Inventory!D:D, MATCH($A26,Inventory!$A:$A,0))</f>
        <v>#N/A</v>
      </c>
      <c r="D26" s="233" t="str">
        <f t="shared" si="1"/>
        <v>#N/A</v>
      </c>
      <c r="E26" s="207" t="str">
        <f t="array" ref="E26">INDEX(Inventory!G:G, MATCH($A26,Inventory!$A:$A,0))</f>
        <v>#N/A</v>
      </c>
      <c r="F26" s="207" t="str">
        <f t="array" ref="F26">INDEX(Inventory!H:H, MATCH($A26,Inventory!$A:$A,0))</f>
        <v>#N/A</v>
      </c>
      <c r="G26" s="235" t="str">
        <f t="shared" si="2"/>
        <v>#N/A</v>
      </c>
      <c r="H26" s="236" t="str">
        <f t="shared" si="3"/>
        <v>#N/A</v>
      </c>
      <c r="I26" s="237" t="str">
        <f t="shared" si="4"/>
        <v>#N/A</v>
      </c>
      <c r="J26" s="239" t="str">
        <f t="array" ref="J26">INDEX(Inventory!J:J, MATCH($A26,Inventory!$A:$A,0))</f>
        <v>#N/A</v>
      </c>
      <c r="K26" s="193"/>
      <c r="L26" s="182" t="s">
        <v>536</v>
      </c>
      <c r="M26" s="186">
        <v>50.0</v>
      </c>
      <c r="N26" s="367" t="str">
        <f t="shared" si="5"/>
        <v>#N/A</v>
      </c>
      <c r="O26" s="250" t="str">
        <f t="array" ref="O26">index(Inventory!E:E, match(A26, Inventory!A:A,0))</f>
        <v>#N/A</v>
      </c>
      <c r="P26" s="253" t="str">
        <f t="shared" si="7"/>
        <v>#N/A</v>
      </c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</row>
    <row r="27">
      <c r="A27" s="205"/>
      <c r="B27" s="207" t="str">
        <f t="array" ref="B27">INDEX(Inventory!C:C, MATCH($A27,Inventory!$A:$A,0))</f>
        <v>#N/A</v>
      </c>
      <c r="C27" s="275" t="str">
        <f t="array" ref="C27">INDEX(Inventory!D:D, MATCH($A27,Inventory!$A:$A,0))</f>
        <v>#N/A</v>
      </c>
      <c r="D27" s="233" t="str">
        <f t="shared" si="1"/>
        <v>#N/A</v>
      </c>
      <c r="E27" s="207" t="str">
        <f t="array" ref="E27">INDEX(Inventory!G:G, MATCH($A27,Inventory!$A:$A,0))</f>
        <v>#N/A</v>
      </c>
      <c r="F27" s="207" t="str">
        <f t="array" ref="F27">INDEX(Inventory!H:H, MATCH($A27,Inventory!$A:$A,0))</f>
        <v>#N/A</v>
      </c>
      <c r="G27" s="235" t="str">
        <f t="shared" si="2"/>
        <v>#N/A</v>
      </c>
      <c r="H27" s="236" t="str">
        <f t="shared" si="3"/>
        <v>#N/A</v>
      </c>
      <c r="I27" s="237" t="str">
        <f t="shared" si="4"/>
        <v>#N/A</v>
      </c>
      <c r="J27" s="239" t="str">
        <f t="array" ref="J27">INDEX(Inventory!J:J, MATCH($A27,Inventory!$A:$A,0))</f>
        <v>#N/A</v>
      </c>
      <c r="K27" s="193"/>
      <c r="L27" s="182" t="s">
        <v>536</v>
      </c>
      <c r="M27" s="186" t="str">
        <f t="array" ref="M27">index(Inventory!B:B, MATCH(A27, Inventory!A:A, 0))</f>
        <v>#N/A</v>
      </c>
      <c r="N27" s="269" t="str">
        <f t="shared" si="5"/>
        <v>#N/A</v>
      </c>
      <c r="O27" s="285" t="str">
        <f t="array" ref="O27">index(Inventory!E:E, match(A27, Inventory!A:A,0))</f>
        <v>#N/A</v>
      </c>
      <c r="P27" s="253" t="str">
        <f t="shared" si="7"/>
        <v>#N/A</v>
      </c>
      <c r="Q27" s="470"/>
      <c r="R27" s="470"/>
      <c r="S27" s="470"/>
      <c r="T27" s="470"/>
      <c r="U27" s="470"/>
      <c r="V27" s="470"/>
      <c r="W27" s="470"/>
      <c r="X27" s="470"/>
      <c r="Y27" s="470"/>
      <c r="Z27" s="470"/>
      <c r="AA27" s="470"/>
    </row>
    <row r="28">
      <c r="A28" s="205"/>
      <c r="B28" s="207" t="str">
        <f t="array" ref="B28">INDEX(Inventory!C:C, MATCH($A28,Inventory!$A:$A,0))</f>
        <v>#N/A</v>
      </c>
      <c r="C28" s="275" t="str">
        <f t="array" ref="C28">INDEX(Inventory!D:D, MATCH($A28,Inventory!$A:$A,0))</f>
        <v>#N/A</v>
      </c>
      <c r="D28" s="233" t="str">
        <f t="shared" si="1"/>
        <v>#N/A</v>
      </c>
      <c r="E28" s="207" t="str">
        <f t="array" ref="E28">INDEX(Inventory!G:G, MATCH($A28,Inventory!$A:$A,0))</f>
        <v>#N/A</v>
      </c>
      <c r="F28" s="207" t="str">
        <f t="array" ref="F28">INDEX(Inventory!H:H, MATCH($A28,Inventory!$A:$A,0))</f>
        <v>#N/A</v>
      </c>
      <c r="G28" s="235" t="str">
        <f t="shared" si="2"/>
        <v>#N/A</v>
      </c>
      <c r="H28" s="236" t="str">
        <f t="shared" si="3"/>
        <v>#N/A</v>
      </c>
      <c r="I28" s="237" t="str">
        <f t="shared" si="4"/>
        <v>#N/A</v>
      </c>
      <c r="J28" s="239" t="str">
        <f t="array" ref="J28">INDEX(Inventory!J:J, MATCH($A28,Inventory!$A:$A,0))</f>
        <v>#N/A</v>
      </c>
      <c r="K28" s="193"/>
      <c r="L28" s="182" t="s">
        <v>536</v>
      </c>
      <c r="M28" s="186" t="str">
        <f t="array" ref="M28">index(Inventory!B:B, MATCH(A28, Inventory!A:A, 0))</f>
        <v>#N/A</v>
      </c>
      <c r="N28" s="269" t="str">
        <f t="shared" si="5"/>
        <v>#N/A</v>
      </c>
      <c r="O28" s="285" t="str">
        <f t="array" ref="O28">index(Inventory!E:E, match(A28, Inventory!A:A,0))</f>
        <v>#N/A</v>
      </c>
      <c r="P28" s="253" t="str">
        <f t="shared" si="7"/>
        <v>#N/A</v>
      </c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</row>
    <row r="29">
      <c r="A29" s="205"/>
      <c r="B29" s="207" t="str">
        <f t="array" ref="B29">INDEX(Inventory!C:C, MATCH($A29,Inventory!$A:$A,0))</f>
        <v>#N/A</v>
      </c>
      <c r="C29" s="275" t="str">
        <f t="array" ref="C29">INDEX(Inventory!D:D, MATCH($A29,Inventory!$A:$A,0))</f>
        <v>#N/A</v>
      </c>
      <c r="D29" s="233" t="str">
        <f t="shared" si="1"/>
        <v>#N/A</v>
      </c>
      <c r="E29" s="207" t="str">
        <f t="array" ref="E29">INDEX(Inventory!G:G, MATCH($A29,Inventory!$A:$A,0))</f>
        <v>#N/A</v>
      </c>
      <c r="F29" s="207" t="str">
        <f t="array" ref="F29">INDEX(Inventory!H:H, MATCH($A29,Inventory!$A:$A,0))</f>
        <v>#N/A</v>
      </c>
      <c r="G29" s="235" t="str">
        <f t="shared" si="2"/>
        <v>#N/A</v>
      </c>
      <c r="H29" s="236" t="str">
        <f t="shared" si="3"/>
        <v>#N/A</v>
      </c>
      <c r="I29" s="237" t="str">
        <f t="shared" si="4"/>
        <v>#N/A</v>
      </c>
      <c r="J29" s="239" t="str">
        <f t="array" ref="J29">INDEX(Inventory!J:J, MATCH($A29,Inventory!$A:$A,0))</f>
        <v>#N/A</v>
      </c>
      <c r="K29" s="193"/>
      <c r="L29" s="182" t="s">
        <v>536</v>
      </c>
      <c r="M29" s="186" t="str">
        <f t="array" ref="M29">index(Inventory!B:B, MATCH(A29, Inventory!A:A, 0))</f>
        <v>#N/A</v>
      </c>
      <c r="N29" s="269" t="str">
        <f t="shared" si="5"/>
        <v>#N/A</v>
      </c>
      <c r="O29" s="250" t="str">
        <f t="array" ref="O29">index(Inventory!E:E, match(A29, Inventory!A:A,0))</f>
        <v>#N/A</v>
      </c>
      <c r="P29" s="253" t="str">
        <f t="shared" si="7"/>
        <v>#N/A</v>
      </c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</row>
    <row r="30">
      <c r="A30" s="205"/>
      <c r="B30" s="207" t="str">
        <f t="array" ref="B30">INDEX(Inventory!C:C, MATCH($A30,Inventory!$A:$A,0))</f>
        <v>#N/A</v>
      </c>
      <c r="C30" s="275" t="str">
        <f t="array" ref="C30">INDEX(Inventory!D:D, MATCH($A30,Inventory!$A:$A,0))</f>
        <v>#N/A</v>
      </c>
      <c r="D30" s="233" t="str">
        <f t="shared" si="1"/>
        <v>#N/A</v>
      </c>
      <c r="E30" s="207" t="str">
        <f t="array" ref="E30">INDEX(Inventory!G:G, MATCH($A30,Inventory!$A:$A,0))</f>
        <v>#N/A</v>
      </c>
      <c r="F30" s="207" t="str">
        <f t="array" ref="F30">INDEX(Inventory!H:H, MATCH($A30,Inventory!$A:$A,0))</f>
        <v>#N/A</v>
      </c>
      <c r="G30" s="235" t="str">
        <f t="shared" si="2"/>
        <v>#N/A</v>
      </c>
      <c r="H30" s="236" t="str">
        <f t="shared" si="3"/>
        <v>#N/A</v>
      </c>
      <c r="I30" s="237" t="str">
        <f t="shared" si="4"/>
        <v>#N/A</v>
      </c>
      <c r="J30" s="239" t="str">
        <f t="array" ref="J30">INDEX(Inventory!J:J, MATCH($A30,Inventory!$A:$A,0))</f>
        <v>#N/A</v>
      </c>
      <c r="K30" s="193"/>
      <c r="L30" s="182" t="s">
        <v>536</v>
      </c>
      <c r="M30" s="213" t="str">
        <f t="array" ref="M30">index(Inventory!B:B, MATCH(A30, Inventory!A:A, 0))</f>
        <v>#N/A</v>
      </c>
      <c r="N30" s="367" t="str">
        <f t="shared" si="5"/>
        <v>#N/A</v>
      </c>
      <c r="O30" s="540" t="str">
        <f t="array" ref="O30">index(Inventory!E:E, match(A30, Inventory!A:A,0))</f>
        <v>#N/A</v>
      </c>
      <c r="P30" s="253" t="str">
        <f t="shared" si="7"/>
        <v>#N/A</v>
      </c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</row>
    <row r="31">
      <c r="A31" s="205"/>
      <c r="B31" s="207" t="str">
        <f t="array" ref="B31">INDEX(Inventory!C:C, MATCH($A31,Inventory!$A:$A,0))</f>
        <v>#N/A</v>
      </c>
      <c r="C31" s="275" t="str">
        <f t="array" ref="C31">INDEX(Inventory!D:D, MATCH($A31,Inventory!$A:$A,0))</f>
        <v>#N/A</v>
      </c>
      <c r="D31" s="233" t="str">
        <f t="shared" si="1"/>
        <v>#N/A</v>
      </c>
      <c r="E31" s="207" t="str">
        <f t="array" ref="E31">INDEX(Inventory!G:G, MATCH($A31,Inventory!$A:$A,0))</f>
        <v>#N/A</v>
      </c>
      <c r="F31" s="207" t="str">
        <f t="array" ref="F31">INDEX(Inventory!H:H, MATCH($A31,Inventory!$A:$A,0))</f>
        <v>#N/A</v>
      </c>
      <c r="G31" s="235" t="str">
        <f t="shared" si="2"/>
        <v>#N/A</v>
      </c>
      <c r="H31" s="236" t="str">
        <f t="shared" si="3"/>
        <v>#N/A</v>
      </c>
      <c r="I31" s="237" t="str">
        <f t="shared" si="4"/>
        <v>#N/A</v>
      </c>
      <c r="J31" s="239" t="str">
        <f t="array" ref="J31">INDEX(Inventory!J:J, MATCH($A31,Inventory!$A:$A,0))</f>
        <v>#N/A</v>
      </c>
      <c r="K31" s="193"/>
      <c r="L31" s="182" t="s">
        <v>536</v>
      </c>
      <c r="M31" s="186" t="str">
        <f t="array" ref="M31">index(Inventory!B:B, MATCH(A31, Inventory!A:A, 0))</f>
        <v>#N/A</v>
      </c>
      <c r="N31" s="367" t="str">
        <f t="shared" si="5"/>
        <v>#N/A</v>
      </c>
      <c r="O31" s="250" t="str">
        <f t="array" ref="O31">index(Inventory!E:E, match(A31, Inventory!A:A,0))</f>
        <v>#N/A</v>
      </c>
      <c r="P31" s="253" t="str">
        <f t="shared" si="7"/>
        <v>#N/A</v>
      </c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</row>
    <row r="32">
      <c r="A32" s="205"/>
      <c r="B32" s="207" t="str">
        <f t="array" ref="B32">INDEX(Inventory!C:C, MATCH($A32,Inventory!$A:$A,0))</f>
        <v>#N/A</v>
      </c>
      <c r="C32" s="275" t="str">
        <f t="array" ref="C32">INDEX(Inventory!D:D, MATCH($A32,Inventory!$A:$A,0))</f>
        <v>#N/A</v>
      </c>
      <c r="D32" s="233" t="str">
        <f t="shared" si="1"/>
        <v>#N/A</v>
      </c>
      <c r="E32" s="207" t="str">
        <f t="array" ref="E32">INDEX(Inventory!G:G, MATCH($A32,Inventory!$A:$A,0))</f>
        <v>#N/A</v>
      </c>
      <c r="F32" s="207" t="str">
        <f t="array" ref="F32">INDEX(Inventory!H:H, MATCH($A32,Inventory!$A:$A,0))</f>
        <v>#N/A</v>
      </c>
      <c r="G32" s="235" t="str">
        <f t="shared" si="2"/>
        <v>#N/A</v>
      </c>
      <c r="H32" s="236" t="str">
        <f t="shared" si="3"/>
        <v>#N/A</v>
      </c>
      <c r="I32" s="237" t="str">
        <f t="shared" si="4"/>
        <v>#N/A</v>
      </c>
      <c r="J32" s="239" t="str">
        <f t="array" ref="J32">INDEX(Inventory!J:J, MATCH($A32,Inventory!$A:$A,0))</f>
        <v>#N/A</v>
      </c>
      <c r="K32" s="193"/>
      <c r="L32" s="182" t="s">
        <v>536</v>
      </c>
      <c r="M32" s="186" t="str">
        <f t="array" ref="M32">index(Inventory!B:B, MATCH(A32, Inventory!A:A, 0))</f>
        <v>#N/A</v>
      </c>
      <c r="N32" s="269" t="str">
        <f t="shared" si="5"/>
        <v>#N/A</v>
      </c>
      <c r="O32" s="285" t="str">
        <f t="array" ref="O32">index(Inventory!E:E, match(A32, Inventory!A:A,0))</f>
        <v>#N/A</v>
      </c>
      <c r="P32" s="253" t="str">
        <f t="shared" si="7"/>
        <v>#N/A</v>
      </c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</row>
    <row r="33">
      <c r="A33" s="205"/>
      <c r="B33" s="207" t="str">
        <f t="array" ref="B33">INDEX(Inventory!C:C, MATCH($A33,Inventory!$A:$A,0))</f>
        <v>#N/A</v>
      </c>
      <c r="C33" s="275" t="str">
        <f t="array" ref="C33">INDEX(Inventory!D:D, MATCH($A33,Inventory!$A:$A,0))</f>
        <v>#N/A</v>
      </c>
      <c r="D33" s="233" t="str">
        <f t="shared" si="1"/>
        <v>#N/A</v>
      </c>
      <c r="E33" s="207" t="str">
        <f t="array" ref="E33">INDEX(Inventory!G:G, MATCH($A33,Inventory!$A:$A,0))</f>
        <v>#N/A</v>
      </c>
      <c r="F33" s="207" t="str">
        <f t="array" ref="F33">INDEX(Inventory!H:H, MATCH($A33,Inventory!$A:$A,0))</f>
        <v>#N/A</v>
      </c>
      <c r="G33" s="235" t="str">
        <f t="shared" si="2"/>
        <v>#N/A</v>
      </c>
      <c r="H33" s="236" t="str">
        <f t="shared" si="3"/>
        <v>#N/A</v>
      </c>
      <c r="I33" s="237" t="str">
        <f t="shared" si="4"/>
        <v>#N/A</v>
      </c>
      <c r="J33" s="239" t="str">
        <f t="array" ref="J33">INDEX(Inventory!J:J, MATCH($A33,Inventory!$A:$A,0))</f>
        <v>#N/A</v>
      </c>
      <c r="K33" s="193"/>
      <c r="L33" s="182" t="s">
        <v>536</v>
      </c>
      <c r="M33" s="186" t="str">
        <f t="array" ref="M33">index(Inventory!B:B, MATCH(A33, Inventory!A:A, 0))</f>
        <v>#N/A</v>
      </c>
      <c r="N33" s="367" t="str">
        <f t="shared" si="5"/>
        <v>#N/A</v>
      </c>
      <c r="O33" s="285" t="str">
        <f t="array" ref="O33">index(Inventory!E:E, match(A33, Inventory!A:A,0))</f>
        <v>#N/A</v>
      </c>
      <c r="P33" s="253" t="str">
        <f t="shared" si="7"/>
        <v>#N/A</v>
      </c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</row>
    <row r="34">
      <c r="A34" s="205"/>
      <c r="B34" s="207" t="str">
        <f t="array" ref="B34">INDEX(Inventory!C:C, MATCH($A34,Inventory!$A:$A,0))</f>
        <v>#N/A</v>
      </c>
      <c r="C34" s="275" t="str">
        <f t="array" ref="C34">INDEX(Inventory!D:D, MATCH($A34,Inventory!$A:$A,0))</f>
        <v>#N/A</v>
      </c>
      <c r="D34" s="233" t="str">
        <f t="shared" si="1"/>
        <v>#N/A</v>
      </c>
      <c r="E34" s="207" t="str">
        <f t="array" ref="E34">INDEX(Inventory!G:G, MATCH($A34,Inventory!$A:$A,0))</f>
        <v>#N/A</v>
      </c>
      <c r="F34" s="207" t="str">
        <f t="array" ref="F34">INDEX(Inventory!H:H, MATCH($A34,Inventory!$A:$A,0))</f>
        <v>#N/A</v>
      </c>
      <c r="G34" s="235" t="str">
        <f t="shared" si="2"/>
        <v>#N/A</v>
      </c>
      <c r="H34" s="236" t="str">
        <f t="shared" si="3"/>
        <v>#N/A</v>
      </c>
      <c r="I34" s="237" t="str">
        <f t="shared" si="4"/>
        <v>#N/A</v>
      </c>
      <c r="J34" s="239" t="str">
        <f t="array" ref="J34">INDEX(Inventory!J:J, MATCH($A34,Inventory!$A:$A,0))</f>
        <v>#N/A</v>
      </c>
      <c r="K34" s="193"/>
      <c r="L34" s="182" t="s">
        <v>536</v>
      </c>
      <c r="M34" s="186" t="str">
        <f t="array" ref="M34">index(Inventory!B:B, MATCH(A34, Inventory!A:A, 0))</f>
        <v>#N/A</v>
      </c>
      <c r="N34" s="367" t="str">
        <f t="shared" si="5"/>
        <v>#N/A</v>
      </c>
      <c r="O34" s="285" t="str">
        <f t="array" ref="O34">index(Inventory!E:E, match(A34, Inventory!A:A,0))</f>
        <v>#N/A</v>
      </c>
      <c r="P34" s="253" t="str">
        <f t="shared" si="7"/>
        <v>#N/A</v>
      </c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</row>
    <row r="35">
      <c r="A35" s="205"/>
      <c r="B35" s="207" t="str">
        <f t="array" ref="B35">INDEX(Inventory!C:C, MATCH($A35,Inventory!$A:$A,0))</f>
        <v>#N/A</v>
      </c>
      <c r="C35" s="275" t="str">
        <f t="array" ref="C35">INDEX(Inventory!D:D, MATCH($A35,Inventory!$A:$A,0))</f>
        <v>#N/A</v>
      </c>
      <c r="D35" s="233" t="str">
        <f t="shared" si="1"/>
        <v>#N/A</v>
      </c>
      <c r="E35" s="207" t="str">
        <f t="array" ref="E35">INDEX(Inventory!G:G, MATCH($A35,Inventory!$A:$A,0))</f>
        <v>#N/A</v>
      </c>
      <c r="F35" s="207" t="str">
        <f t="array" ref="F35">INDEX(Inventory!H:H, MATCH($A35,Inventory!$A:$A,0))</f>
        <v>#N/A</v>
      </c>
      <c r="G35" s="235" t="str">
        <f t="shared" si="2"/>
        <v>#N/A</v>
      </c>
      <c r="H35" s="236" t="str">
        <f t="shared" si="3"/>
        <v>#N/A</v>
      </c>
      <c r="I35" s="237" t="str">
        <f t="shared" si="4"/>
        <v>#N/A</v>
      </c>
      <c r="J35" s="239" t="str">
        <f t="array" ref="J35">INDEX(Inventory!J:J, MATCH($A35,Inventory!$A:$A,0))</f>
        <v>#N/A</v>
      </c>
      <c r="K35" s="193"/>
      <c r="L35" s="182" t="s">
        <v>536</v>
      </c>
      <c r="M35" s="186" t="str">
        <f t="array" ref="M35">index(Inventory!B:B, MATCH(A35, Inventory!A:A, 0))</f>
        <v>#N/A</v>
      </c>
      <c r="N35" s="367" t="str">
        <f t="shared" si="5"/>
        <v>#N/A</v>
      </c>
      <c r="O35" s="285" t="str">
        <f t="array" ref="O35">index(Inventory!E:E, match(A35, Inventory!A:A,0))</f>
        <v>#N/A</v>
      </c>
      <c r="P35" s="253" t="str">
        <f t="shared" si="7"/>
        <v>#N/A</v>
      </c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</row>
    <row r="36">
      <c r="A36" s="205"/>
      <c r="B36" s="207" t="str">
        <f t="array" ref="B36">INDEX(Inventory!C:C, MATCH($A36,Inventory!$A:$A,0))</f>
        <v>#N/A</v>
      </c>
      <c r="C36" s="275" t="str">
        <f t="array" ref="C36">INDEX(Inventory!D:D, MATCH($A36,Inventory!$A:$A,0))</f>
        <v>#N/A</v>
      </c>
      <c r="D36" s="233" t="str">
        <f t="shared" si="1"/>
        <v>#N/A</v>
      </c>
      <c r="E36" s="207" t="str">
        <f t="array" ref="E36">INDEX(Inventory!G:G, MATCH($A36,Inventory!$A:$A,0))</f>
        <v>#N/A</v>
      </c>
      <c r="F36" s="207" t="str">
        <f t="array" ref="F36">INDEX(Inventory!H:H, MATCH($A36,Inventory!$A:$A,0))</f>
        <v>#N/A</v>
      </c>
      <c r="G36" s="235" t="str">
        <f t="shared" si="2"/>
        <v>#N/A</v>
      </c>
      <c r="H36" s="236" t="str">
        <f t="shared" si="3"/>
        <v>#N/A</v>
      </c>
      <c r="I36" s="237" t="str">
        <f t="shared" si="4"/>
        <v>#N/A</v>
      </c>
      <c r="J36" s="239" t="str">
        <f t="array" ref="J36">INDEX(Inventory!J:J, MATCH($A36,Inventory!$A:$A,0))</f>
        <v>#N/A</v>
      </c>
      <c r="K36" s="193"/>
      <c r="L36" s="182" t="s">
        <v>536</v>
      </c>
      <c r="M36" s="186" t="str">
        <f t="array" ref="M36">index(Inventory!B:B, MATCH(A36, Inventory!A:A, 0))</f>
        <v>#N/A</v>
      </c>
      <c r="N36" s="269" t="str">
        <f t="shared" si="5"/>
        <v>#N/A</v>
      </c>
      <c r="O36" s="285" t="str">
        <f t="array" ref="O36">index(Inventory!E:E, match(A36, Inventory!A:A,0))</f>
        <v>#N/A</v>
      </c>
      <c r="P36" s="253" t="str">
        <f t="shared" si="7"/>
        <v>#N/A</v>
      </c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</row>
    <row r="37">
      <c r="A37" s="205"/>
      <c r="B37" s="207" t="str">
        <f t="array" ref="B37">INDEX(Inventory!C:C, MATCH($A37,Inventory!$A:$A,0))</f>
        <v>#N/A</v>
      </c>
      <c r="C37" s="275" t="str">
        <f t="array" ref="C37">INDEX(Inventory!D:D, MATCH($A37,Inventory!$A:$A,0))</f>
        <v>#N/A</v>
      </c>
      <c r="D37" s="233" t="str">
        <f t="shared" si="1"/>
        <v>#N/A</v>
      </c>
      <c r="E37" s="207" t="str">
        <f t="array" ref="E37">INDEX(Inventory!G:G, MATCH($A37,Inventory!$A:$A,0))</f>
        <v>#N/A</v>
      </c>
      <c r="F37" s="207" t="str">
        <f t="array" ref="F37">INDEX(Inventory!H:H, MATCH($A37,Inventory!$A:$A,0))</f>
        <v>#N/A</v>
      </c>
      <c r="G37" s="235" t="str">
        <f t="shared" si="2"/>
        <v>#N/A</v>
      </c>
      <c r="H37" s="236" t="str">
        <f t="shared" si="3"/>
        <v>#N/A</v>
      </c>
      <c r="I37" s="237" t="str">
        <f t="shared" si="4"/>
        <v>#N/A</v>
      </c>
      <c r="J37" s="239" t="str">
        <f t="array" ref="J37">INDEX(Inventory!J:J, MATCH($A37,Inventory!$A:$A,0))</f>
        <v>#N/A</v>
      </c>
      <c r="K37" s="193"/>
      <c r="L37" s="182" t="s">
        <v>536</v>
      </c>
      <c r="M37" s="186" t="str">
        <f t="array" ref="M37">index(Inventory!B:B, MATCH(A37, Inventory!A:A, 0))</f>
        <v>#N/A</v>
      </c>
      <c r="N37" s="367" t="str">
        <f t="shared" si="5"/>
        <v>#N/A</v>
      </c>
      <c r="O37" s="285" t="str">
        <f t="array" ref="O37">index(Inventory!E:E, match(A37, Inventory!A:A,0))</f>
        <v>#N/A</v>
      </c>
      <c r="P37" s="253" t="str">
        <f t="shared" si="7"/>
        <v>#N/A</v>
      </c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</row>
    <row r="38">
      <c r="A38" s="205"/>
      <c r="B38" s="313" t="str">
        <f t="array" ref="B38">INDEX(Inventory!C:C, MATCH($A38,Inventory!$A:$A,0))</f>
        <v>#N/A</v>
      </c>
      <c r="C38" s="315" t="str">
        <f t="array" ref="C38">INDEX(Inventory!D:D, MATCH($A38,Inventory!$A:$A,0))</f>
        <v>#N/A</v>
      </c>
      <c r="D38" s="233" t="str">
        <f t="shared" si="1"/>
        <v>#N/A</v>
      </c>
      <c r="E38" s="313" t="str">
        <f t="array" ref="E38">INDEX(Inventory!G:G, MATCH($A38,Inventory!$A:$A,0))</f>
        <v>#N/A</v>
      </c>
      <c r="F38" s="313" t="str">
        <f t="array" ref="F38">INDEX(Inventory!H:H, MATCH($A38,Inventory!$A:$A,0))</f>
        <v>#N/A</v>
      </c>
      <c r="G38" s="316" t="str">
        <f t="shared" si="2"/>
        <v>#N/A</v>
      </c>
      <c r="H38" s="318" t="str">
        <f t="shared" si="3"/>
        <v>#N/A</v>
      </c>
      <c r="I38" s="319" t="str">
        <f t="shared" si="4"/>
        <v>#N/A</v>
      </c>
      <c r="J38" s="313" t="str">
        <f t="array" ref="J38">INDEX(Inventory!J:J, MATCH($A38,Inventory!$A:$A,0))</f>
        <v>#N/A</v>
      </c>
      <c r="K38" s="193"/>
      <c r="L38" s="182" t="s">
        <v>536</v>
      </c>
      <c r="M38" s="325" t="str">
        <f t="array" ref="M38">index(Inventory!B:B, MATCH(A38, Inventory!A:A, 0))</f>
        <v>#N/A</v>
      </c>
      <c r="N38" s="326" t="str">
        <f t="shared" si="5"/>
        <v>#N/A</v>
      </c>
      <c r="O38" s="328" t="str">
        <f t="array" ref="O38">index(Inventory!E:E, match(A38, Inventory!A:A,0))</f>
        <v>#N/A</v>
      </c>
      <c r="P38" s="556" t="str">
        <f t="shared" si="7"/>
        <v>#N/A</v>
      </c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</row>
    <row r="39">
      <c r="A39" s="205"/>
      <c r="B39" s="313" t="str">
        <f t="array" ref="B39">INDEX(Inventory!C:C, MATCH($A39,Inventory!$A:$A,0))</f>
        <v>#N/A</v>
      </c>
      <c r="C39" s="315" t="str">
        <f t="array" ref="C39">INDEX(Inventory!D:D, MATCH($A39,Inventory!$A:$A,0))</f>
        <v>#N/A</v>
      </c>
      <c r="D39" s="233" t="str">
        <f t="shared" si="1"/>
        <v>#N/A</v>
      </c>
      <c r="E39" s="313" t="str">
        <f t="array" ref="E39">INDEX(Inventory!G:G, MATCH($A39,Inventory!$A:$A,0))</f>
        <v>#N/A</v>
      </c>
      <c r="F39" s="313" t="str">
        <f t="array" ref="F39">INDEX(Inventory!H:H, MATCH($A39,Inventory!$A:$A,0))</f>
        <v>#N/A</v>
      </c>
      <c r="G39" s="316" t="str">
        <f t="shared" si="2"/>
        <v>#N/A</v>
      </c>
      <c r="H39" s="318" t="str">
        <f t="shared" si="3"/>
        <v>#N/A</v>
      </c>
      <c r="I39" s="319" t="str">
        <f t="shared" si="4"/>
        <v>#N/A</v>
      </c>
      <c r="J39" s="313" t="str">
        <f t="array" ref="J39">INDEX(Inventory!J:J, MATCH($A39,Inventory!$A:$A,0))</f>
        <v>#N/A</v>
      </c>
      <c r="K39" s="193"/>
      <c r="L39" s="182" t="s">
        <v>536</v>
      </c>
      <c r="M39" s="325" t="str">
        <f t="array" ref="M39">index(Inventory!B:B, MATCH(A39, Inventory!A:A, 0))</f>
        <v>#N/A</v>
      </c>
      <c r="N39" s="326" t="str">
        <f t="shared" si="5"/>
        <v>#N/A</v>
      </c>
      <c r="O39" s="328" t="str">
        <f t="array" ref="O39">index(Inventory!E:E, match(A39, Inventory!A:A,0))</f>
        <v>#N/A</v>
      </c>
      <c r="P39" s="556" t="str">
        <f t="shared" si="7"/>
        <v>#N/A</v>
      </c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</row>
    <row r="40">
      <c r="A40" s="205"/>
      <c r="B40" s="207" t="str">
        <f t="array" ref="B40">INDEX(Inventory!C:C, MATCH($A40,Inventory!$A:$A,0))</f>
        <v>#N/A</v>
      </c>
      <c r="C40" s="275" t="str">
        <f t="array" ref="C40">INDEX(Inventory!D:D, MATCH($A40,Inventory!$A:$A,0))</f>
        <v>#N/A</v>
      </c>
      <c r="D40" s="233" t="str">
        <f t="shared" si="1"/>
        <v>#N/A</v>
      </c>
      <c r="E40" s="207" t="str">
        <f t="array" ref="E40">INDEX(Inventory!G:G, MATCH($A40,Inventory!$A:$A,0))</f>
        <v>#N/A</v>
      </c>
      <c r="F40" s="207" t="str">
        <f t="array" ref="F40">INDEX(Inventory!H:H, MATCH($A40,Inventory!$A:$A,0))</f>
        <v>#N/A</v>
      </c>
      <c r="G40" s="235" t="str">
        <f t="shared" si="2"/>
        <v>#N/A</v>
      </c>
      <c r="H40" s="236" t="str">
        <f t="shared" si="3"/>
        <v>#N/A</v>
      </c>
      <c r="I40" s="237" t="str">
        <f t="shared" si="4"/>
        <v>#N/A</v>
      </c>
      <c r="J40" s="239" t="str">
        <f t="array" ref="J40">INDEX(Inventory!J:J, MATCH($A40,Inventory!$A:$A,0))</f>
        <v>#N/A</v>
      </c>
      <c r="K40" s="193"/>
      <c r="L40" s="182" t="s">
        <v>536</v>
      </c>
      <c r="M40" s="186" t="str">
        <f t="array" ref="M40">index(Inventory!B:B, MATCH(A40, Inventory!A:A, 0))</f>
        <v>#N/A</v>
      </c>
      <c r="N40" s="367" t="str">
        <f t="shared" si="5"/>
        <v>#N/A</v>
      </c>
      <c r="O40" s="285" t="str">
        <f t="array" ref="O40">index(Inventory!E:E, match(A40, Inventory!A:A,0))</f>
        <v>#N/A</v>
      </c>
      <c r="P40" s="253" t="str">
        <f t="shared" si="7"/>
        <v>#N/A</v>
      </c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</row>
    <row r="41">
      <c r="A41" s="205"/>
      <c r="B41" s="207" t="str">
        <f t="array" ref="B41">INDEX(Inventory!C:C, MATCH($A41,Inventory!$A:$A,0))</f>
        <v>#N/A</v>
      </c>
      <c r="C41" s="275" t="str">
        <f t="array" ref="C41">INDEX(Inventory!D:D, MATCH($A41,Inventory!$A:$A,0))</f>
        <v>#N/A</v>
      </c>
      <c r="D41" s="233" t="str">
        <f t="shared" si="1"/>
        <v>#N/A</v>
      </c>
      <c r="E41" s="207" t="str">
        <f t="array" ref="E41">INDEX(Inventory!G:G, MATCH($A41,Inventory!$A:$A,0))</f>
        <v>#N/A</v>
      </c>
      <c r="F41" s="207" t="str">
        <f t="array" ref="F41">INDEX(Inventory!H:H, MATCH($A41,Inventory!$A:$A,0))</f>
        <v>#N/A</v>
      </c>
      <c r="G41" s="235" t="str">
        <f t="shared" si="2"/>
        <v>#N/A</v>
      </c>
      <c r="H41" s="236" t="str">
        <f t="shared" si="3"/>
        <v>#N/A</v>
      </c>
      <c r="I41" s="237" t="str">
        <f t="shared" si="4"/>
        <v>#N/A</v>
      </c>
      <c r="J41" s="239" t="str">
        <f t="array" ref="J41">INDEX(Inventory!J:J, MATCH($A41,Inventory!$A:$A,0))</f>
        <v>#N/A</v>
      </c>
      <c r="K41" s="193"/>
      <c r="L41" s="182" t="s">
        <v>536</v>
      </c>
      <c r="M41" s="186" t="str">
        <f t="array" ref="M41">index(Inventory!B:B, MATCH(A41, Inventory!A:A, 0))</f>
        <v>#N/A</v>
      </c>
      <c r="N41" s="269" t="str">
        <f t="shared" si="5"/>
        <v>#N/A</v>
      </c>
      <c r="O41" s="250" t="str">
        <f t="array" ref="O41">index(Inventory!E:E, match(A41, Inventory!A:A,0))</f>
        <v>#N/A</v>
      </c>
      <c r="P41" s="253" t="str">
        <f t="shared" si="7"/>
        <v>#N/A</v>
      </c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</row>
    <row r="42">
      <c r="A42" s="205"/>
      <c r="B42" s="207" t="str">
        <f t="array" ref="B42">INDEX(Inventory!C:C, MATCH($A42,Inventory!$A:$A,0))</f>
        <v>#N/A</v>
      </c>
      <c r="C42" s="275" t="str">
        <f t="array" ref="C42">INDEX(Inventory!D:D, MATCH($A42,Inventory!$A:$A,0))</f>
        <v>#N/A</v>
      </c>
      <c r="D42" s="233" t="str">
        <f t="shared" si="1"/>
        <v>#N/A</v>
      </c>
      <c r="E42" s="207" t="str">
        <f t="array" ref="E42">INDEX(Inventory!G:G, MATCH($A42,Inventory!$A:$A,0))</f>
        <v>#N/A</v>
      </c>
      <c r="F42" s="207" t="str">
        <f t="array" ref="F42">INDEX(Inventory!H:H, MATCH($A42,Inventory!$A:$A,0))</f>
        <v>#N/A</v>
      </c>
      <c r="G42" s="235" t="str">
        <f t="shared" si="2"/>
        <v>#N/A</v>
      </c>
      <c r="H42" s="236" t="str">
        <f t="shared" si="3"/>
        <v>#N/A</v>
      </c>
      <c r="I42" s="237" t="str">
        <f t="shared" si="4"/>
        <v>#N/A</v>
      </c>
      <c r="J42" s="303" t="str">
        <f t="array" ref="J42">INDEX(Inventory!J:J, MATCH($A42,Inventory!$A:$A,0))</f>
        <v>#N/A</v>
      </c>
      <c r="K42" s="193"/>
      <c r="L42" s="182" t="s">
        <v>536</v>
      </c>
      <c r="M42" s="186" t="str">
        <f t="array" ref="M42">index(Inventory!B:B, MATCH(A42, Inventory!A:A, 0))</f>
        <v>#N/A</v>
      </c>
      <c r="N42" s="269" t="str">
        <f t="shared" si="5"/>
        <v>#N/A</v>
      </c>
      <c r="O42" s="250" t="str">
        <f t="array" ref="O42">index(Inventory!E:E, match(A42, Inventory!A:A,0))</f>
        <v>#N/A</v>
      </c>
      <c r="P42" s="253" t="str">
        <f t="shared" si="7"/>
        <v>#N/A</v>
      </c>
      <c r="Q42" s="470"/>
      <c r="R42" s="470"/>
      <c r="S42" s="470"/>
      <c r="T42" s="470"/>
      <c r="U42" s="470"/>
      <c r="V42" s="470"/>
      <c r="W42" s="470"/>
      <c r="X42" s="470"/>
      <c r="Y42" s="470"/>
      <c r="Z42" s="470"/>
      <c r="AA42" s="470"/>
    </row>
    <row r="43">
      <c r="A43" s="205"/>
      <c r="B43" s="207" t="str">
        <f t="array" ref="B43">INDEX(Inventory!C:C, MATCH($A43,Inventory!$A:$A,0))</f>
        <v>#N/A</v>
      </c>
      <c r="C43" s="275" t="str">
        <f t="array" ref="C43">INDEX(Inventory!D:D, MATCH($A43,Inventory!$A:$A,0))</f>
        <v>#N/A</v>
      </c>
      <c r="D43" s="233" t="str">
        <f t="shared" si="1"/>
        <v>#N/A</v>
      </c>
      <c r="E43" s="207" t="str">
        <f t="array" ref="E43">INDEX(Inventory!G:G, MATCH($A43,Inventory!$A:$A,0))</f>
        <v>#N/A</v>
      </c>
      <c r="F43" s="207" t="str">
        <f t="array" ref="F43">INDEX(Inventory!H:H, MATCH($A43,Inventory!$A:$A,0))</f>
        <v>#N/A</v>
      </c>
      <c r="G43" s="316" t="str">
        <f t="shared" si="2"/>
        <v>#N/A</v>
      </c>
      <c r="H43" s="318" t="str">
        <f t="shared" si="3"/>
        <v>#N/A</v>
      </c>
      <c r="I43" s="281" t="str">
        <f t="shared" si="4"/>
        <v>#N/A</v>
      </c>
      <c r="J43" s="303" t="str">
        <f t="array" ref="J43">INDEX(Inventory!J:J, MATCH($A43,Inventory!$A:$A,0))</f>
        <v>#N/A</v>
      </c>
      <c r="K43" s="193"/>
      <c r="L43" s="182" t="s">
        <v>536</v>
      </c>
      <c r="M43" s="213" t="str">
        <f t="array" ref="M43">index(Inventory!B:B, MATCH(A43, Inventory!A:A, 0))</f>
        <v>#N/A</v>
      </c>
      <c r="N43" s="367" t="str">
        <f t="shared" si="5"/>
        <v>#N/A</v>
      </c>
      <c r="O43" s="250" t="str">
        <f t="array" ref="O43">index(Inventory!E:E, match(A43, Inventory!A:A,0))</f>
        <v>#N/A</v>
      </c>
      <c r="P43" s="556" t="str">
        <f t="shared" si="7"/>
        <v>#N/A</v>
      </c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</row>
    <row r="44">
      <c r="A44" s="205"/>
      <c r="B44" s="207" t="str">
        <f t="array" ref="B44">INDEX(Inventory!C:C, MATCH($A44,Inventory!$A:$A,0))</f>
        <v>#N/A</v>
      </c>
      <c r="C44" s="275" t="str">
        <f t="array" ref="C44">INDEX(Inventory!D:D, MATCH($A44,Inventory!$A:$A,0))</f>
        <v>#N/A</v>
      </c>
      <c r="D44" s="233" t="str">
        <f t="shared" si="1"/>
        <v>#N/A</v>
      </c>
      <c r="E44" s="207" t="str">
        <f t="array" ref="E44">INDEX(Inventory!G:G, MATCH($A44,Inventory!$A:$A,0))</f>
        <v>#N/A</v>
      </c>
      <c r="F44" s="207" t="str">
        <f t="array" ref="F44">INDEX(Inventory!H:H, MATCH($A44,Inventory!$A:$A,0))</f>
        <v>#N/A</v>
      </c>
      <c r="G44" s="235" t="str">
        <f t="shared" si="2"/>
        <v>#N/A</v>
      </c>
      <c r="H44" s="236" t="str">
        <f t="shared" si="3"/>
        <v>#N/A</v>
      </c>
      <c r="I44" s="237" t="str">
        <f t="shared" si="4"/>
        <v>#N/A</v>
      </c>
      <c r="J44" s="239" t="str">
        <f t="array" ref="J44">INDEX(Inventory!J:J, MATCH($A44,Inventory!$A:$A,0))</f>
        <v>#N/A</v>
      </c>
      <c r="K44" s="193"/>
      <c r="L44" s="182" t="s">
        <v>536</v>
      </c>
      <c r="M44" s="186" t="str">
        <f t="array" ref="M44">index(Inventory!B:B, MATCH(A44, Inventory!A:A, 0))</f>
        <v>#N/A</v>
      </c>
      <c r="N44" s="367" t="str">
        <f t="shared" si="5"/>
        <v>#N/A</v>
      </c>
      <c r="O44" s="250" t="str">
        <f t="array" ref="O44">index(Inventory!E:E, match(A44, Inventory!A:A,0))</f>
        <v>#N/A</v>
      </c>
      <c r="P44" s="253" t="str">
        <f t="shared" si="7"/>
        <v>#N/A</v>
      </c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</row>
    <row r="45">
      <c r="A45" s="205"/>
      <c r="B45" s="313" t="str">
        <f t="array" ref="B45">INDEX(Inventory!C:C, MATCH($A45,Inventory!$A:$A,0))</f>
        <v>#N/A</v>
      </c>
      <c r="C45" s="315" t="str">
        <f t="array" ref="C45">INDEX(Inventory!D:D, MATCH($A45,Inventory!$A:$A,0))</f>
        <v>#N/A</v>
      </c>
      <c r="D45" s="233" t="str">
        <f t="shared" si="1"/>
        <v>#N/A</v>
      </c>
      <c r="E45" s="313" t="str">
        <f t="array" ref="E45">INDEX(Inventory!G:G, MATCH($A45,Inventory!$A:$A,0))</f>
        <v>#N/A</v>
      </c>
      <c r="F45" s="313" t="str">
        <f t="array" ref="F45">INDEX(Inventory!H:H, MATCH($A45,Inventory!$A:$A,0))</f>
        <v>#N/A</v>
      </c>
      <c r="G45" s="316" t="str">
        <f t="shared" si="2"/>
        <v>#N/A</v>
      </c>
      <c r="H45" s="318" t="str">
        <f t="shared" si="3"/>
        <v>#N/A</v>
      </c>
      <c r="I45" s="319" t="str">
        <f t="shared" si="4"/>
        <v>#N/A</v>
      </c>
      <c r="J45" s="313" t="str">
        <f t="array" ref="J45">INDEX(Inventory!J:J, MATCH($A45,Inventory!$A:$A,0))</f>
        <v>#N/A</v>
      </c>
      <c r="K45" s="193"/>
      <c r="L45" s="182" t="s">
        <v>536</v>
      </c>
      <c r="M45" s="325" t="str">
        <f t="array" ref="M45">index(Inventory!B:B, MATCH(A45, Inventory!A:A, 0))</f>
        <v>#N/A</v>
      </c>
      <c r="N45" s="326" t="str">
        <f t="shared" si="5"/>
        <v>#N/A</v>
      </c>
      <c r="O45" s="328" t="str">
        <f t="array" ref="O45">index(Inventory!E:E, match(A45, Inventory!A:A,0))</f>
        <v>#N/A</v>
      </c>
      <c r="P45" s="556" t="str">
        <f t="shared" si="7"/>
        <v>#N/A</v>
      </c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</row>
    <row r="46">
      <c r="A46" s="205"/>
      <c r="B46" s="207" t="str">
        <f t="array" ref="B46">INDEX(Inventory!C:C, MATCH($A46,Inventory!$A:$A,0))</f>
        <v>#N/A</v>
      </c>
      <c r="C46" s="275" t="str">
        <f t="array" ref="C46">INDEX(Inventory!D:D, MATCH($A46,Inventory!$A:$A,0))</f>
        <v>#N/A</v>
      </c>
      <c r="D46" s="233" t="str">
        <f t="shared" si="1"/>
        <v>#N/A</v>
      </c>
      <c r="E46" s="207" t="str">
        <f t="array" ref="E46">INDEX(Inventory!G:G, MATCH($A46,Inventory!$A:$A,0))</f>
        <v>#N/A</v>
      </c>
      <c r="F46" s="207" t="str">
        <f t="array" ref="F46">INDEX(Inventory!H:H, MATCH($A46,Inventory!$A:$A,0))</f>
        <v>#N/A</v>
      </c>
      <c r="G46" s="235" t="str">
        <f t="shared" si="2"/>
        <v>#N/A</v>
      </c>
      <c r="H46" s="236" t="str">
        <f t="shared" si="3"/>
        <v>#N/A</v>
      </c>
      <c r="I46" s="237" t="str">
        <f t="shared" si="4"/>
        <v>#N/A</v>
      </c>
      <c r="J46" s="303" t="str">
        <f t="array" ref="J46">INDEX(Inventory!J:J, MATCH($A46,Inventory!$A:$A,0))</f>
        <v>#N/A</v>
      </c>
      <c r="K46" s="193"/>
      <c r="L46" s="182" t="s">
        <v>536</v>
      </c>
      <c r="M46" s="186" t="str">
        <f t="array" ref="M46">index(Inventory!B:B, MATCH(A46, Inventory!A:A, 0))</f>
        <v>#N/A</v>
      </c>
      <c r="N46" s="269" t="str">
        <f t="shared" si="5"/>
        <v>#N/A</v>
      </c>
      <c r="O46" s="285" t="str">
        <f t="array" ref="O46">index(Inventory!E:E, match(A46, Inventory!A:A,0))</f>
        <v>#N/A</v>
      </c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</row>
    <row r="47">
      <c r="A47" s="205"/>
      <c r="B47" s="313" t="str">
        <f t="array" ref="B47">INDEX(Inventory!C:C, MATCH($A47,Inventory!$A:$A,0))</f>
        <v>#N/A</v>
      </c>
      <c r="C47" s="315" t="str">
        <f t="array" ref="C47">INDEX(Inventory!D:D, MATCH($A47,Inventory!$A:$A,0))</f>
        <v>#N/A</v>
      </c>
      <c r="D47" s="233" t="str">
        <f t="shared" si="1"/>
        <v>#N/A</v>
      </c>
      <c r="E47" s="313" t="str">
        <f t="array" ref="E47">INDEX(Inventory!G:G, MATCH($A47,Inventory!$A:$A,0))</f>
        <v>#N/A</v>
      </c>
      <c r="F47" s="313" t="str">
        <f t="array" ref="F47">INDEX(Inventory!H:H, MATCH($A47,Inventory!$A:$A,0))</f>
        <v>#N/A</v>
      </c>
      <c r="G47" s="316" t="str">
        <f t="shared" si="2"/>
        <v>#N/A</v>
      </c>
      <c r="H47" s="318" t="str">
        <f t="shared" si="3"/>
        <v>#N/A</v>
      </c>
      <c r="I47" s="319" t="str">
        <f t="shared" si="4"/>
        <v>#N/A</v>
      </c>
      <c r="J47" s="313" t="str">
        <f t="array" ref="J47">INDEX(Inventory!J:J, MATCH($A47,Inventory!$A:$A,0))</f>
        <v>#N/A</v>
      </c>
      <c r="K47" s="193"/>
      <c r="L47" s="182" t="s">
        <v>536</v>
      </c>
      <c r="M47" s="325" t="str">
        <f t="array" ref="M47">index(Inventory!B:B, MATCH(A47, Inventory!A:A, 0))</f>
        <v>#N/A</v>
      </c>
      <c r="N47" s="326" t="str">
        <f t="shared" si="5"/>
        <v>#N/A</v>
      </c>
      <c r="O47" s="328" t="str">
        <f t="array" ref="O47">index(Inventory!E:E, match(A47, Inventory!A:A,0))</f>
        <v>#N/A</v>
      </c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</row>
    <row r="48">
      <c r="A48" s="205"/>
      <c r="B48" s="207" t="str">
        <f t="array" ref="B48">INDEX(Inventory!C:C, MATCH($A48,Inventory!$A:$A,0))</f>
        <v>#N/A</v>
      </c>
      <c r="C48" s="275" t="str">
        <f t="array" ref="C48">INDEX(Inventory!D:D, MATCH($A48,Inventory!$A:$A,0))</f>
        <v>#N/A</v>
      </c>
      <c r="D48" s="233" t="str">
        <f t="shared" si="1"/>
        <v>#N/A</v>
      </c>
      <c r="E48" s="207" t="str">
        <f t="array" ref="E48">INDEX(Inventory!G:G, MATCH($A48,Inventory!$A:$A,0))</f>
        <v>#N/A</v>
      </c>
      <c r="F48" s="207" t="str">
        <f t="array" ref="F48">INDEX(Inventory!H:H, MATCH($A48,Inventory!$A:$A,0))</f>
        <v>#N/A</v>
      </c>
      <c r="G48" s="235" t="str">
        <f t="shared" si="2"/>
        <v>#N/A</v>
      </c>
      <c r="H48" s="236" t="str">
        <f t="shared" si="3"/>
        <v>#N/A</v>
      </c>
      <c r="I48" s="237" t="str">
        <f t="shared" si="4"/>
        <v>#N/A</v>
      </c>
      <c r="J48" s="239" t="str">
        <f t="array" ref="J48">INDEX(Inventory!J:J, MATCH($A48,Inventory!$A:$A,0))</f>
        <v>#N/A</v>
      </c>
      <c r="K48" s="193"/>
      <c r="L48" s="182" t="s">
        <v>536</v>
      </c>
      <c r="M48" s="186" t="str">
        <f t="array" ref="M48">index(Inventory!B:B, MATCH(A48, Inventory!A:A, 0))</f>
        <v>#N/A</v>
      </c>
      <c r="N48" s="269" t="str">
        <f t="shared" si="5"/>
        <v>#N/A</v>
      </c>
      <c r="O48" s="285" t="str">
        <f t="array" ref="O48">index(Inventory!E:E, match(A48, Inventory!A:A,0))</f>
        <v>#N/A</v>
      </c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</row>
    <row r="49">
      <c r="A49" s="205"/>
      <c r="B49" s="207" t="str">
        <f t="array" ref="B49">INDEX(Inventory!C:C, MATCH($A49,Inventory!$A:$A,0))</f>
        <v>#N/A</v>
      </c>
      <c r="C49" s="275" t="str">
        <f t="array" ref="C49">INDEX(Inventory!D:D, MATCH($A49,Inventory!$A:$A,0))</f>
        <v>#N/A</v>
      </c>
      <c r="D49" s="233" t="str">
        <f t="shared" si="1"/>
        <v>#N/A</v>
      </c>
      <c r="E49" s="207" t="str">
        <f t="array" ref="E49">INDEX(Inventory!G:G, MATCH($A49,Inventory!$A:$A,0))</f>
        <v>#N/A</v>
      </c>
      <c r="F49" s="207" t="str">
        <f t="array" ref="F49">INDEX(Inventory!H:H, MATCH($A49,Inventory!$A:$A,0))</f>
        <v>#N/A</v>
      </c>
      <c r="G49" s="235" t="str">
        <f t="shared" si="2"/>
        <v>#N/A</v>
      </c>
      <c r="H49" s="236" t="str">
        <f t="shared" si="3"/>
        <v>#N/A</v>
      </c>
      <c r="I49" s="237" t="str">
        <f t="shared" si="4"/>
        <v>#N/A</v>
      </c>
      <c r="J49" s="239" t="str">
        <f t="array" ref="J49">INDEX(Inventory!J:J, MATCH($A49,Inventory!$A:$A,0))</f>
        <v>#N/A</v>
      </c>
      <c r="K49" s="193"/>
      <c r="L49" s="182" t="s">
        <v>536</v>
      </c>
      <c r="M49" s="186" t="str">
        <f t="array" ref="M49">index(Inventory!B:B, MATCH(A49, Inventory!A:A, 0))</f>
        <v>#N/A</v>
      </c>
      <c r="N49" s="269" t="str">
        <f t="shared" si="5"/>
        <v>#N/A</v>
      </c>
      <c r="O49" s="285" t="str">
        <f t="array" ref="O49">index(Inventory!E:E, match(A49, Inventory!A:A,0))</f>
        <v>#N/A</v>
      </c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</row>
    <row r="50">
      <c r="A50" s="205"/>
      <c r="B50" s="207" t="str">
        <f t="array" ref="B50">INDEX(Inventory!C:C, MATCH($A50,Inventory!$A:$A,0))</f>
        <v>#N/A</v>
      </c>
      <c r="C50" s="275" t="str">
        <f t="array" ref="C50">INDEX(Inventory!D:D, MATCH($A50,Inventory!$A:$A,0))</f>
        <v>#N/A</v>
      </c>
      <c r="D50" s="233" t="str">
        <f t="shared" si="1"/>
        <v>#N/A</v>
      </c>
      <c r="E50" s="207" t="str">
        <f t="array" ref="E50">INDEX(Inventory!G:G, MATCH($A50,Inventory!$A:$A,0))</f>
        <v>#N/A</v>
      </c>
      <c r="F50" s="207" t="str">
        <f t="array" ref="F50">INDEX(Inventory!H:H, MATCH($A50,Inventory!$A:$A,0))</f>
        <v>#N/A</v>
      </c>
      <c r="G50" s="235" t="str">
        <f t="shared" si="2"/>
        <v>#N/A</v>
      </c>
      <c r="H50" s="236" t="str">
        <f t="shared" si="3"/>
        <v>#N/A</v>
      </c>
      <c r="I50" s="237" t="str">
        <f t="shared" si="4"/>
        <v>#N/A</v>
      </c>
      <c r="J50" s="239" t="str">
        <f t="array" ref="J50">INDEX(Inventory!J:J, MATCH($A50,Inventory!$A:$A,0))</f>
        <v>#N/A</v>
      </c>
      <c r="K50" s="193"/>
      <c r="L50" s="182" t="s">
        <v>536</v>
      </c>
      <c r="M50" s="186" t="str">
        <f t="array" ref="M50">index(Inventory!B:B, MATCH(A50, Inventory!A:A, 0))</f>
        <v>#N/A</v>
      </c>
      <c r="N50" s="269" t="str">
        <f t="shared" si="5"/>
        <v>#N/A</v>
      </c>
      <c r="O50" s="285" t="str">
        <f t="array" ref="O50">index(Inventory!E:E, match(A50, Inventory!A:A,0))</f>
        <v>#N/A</v>
      </c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</row>
    <row r="51">
      <c r="A51" s="205"/>
      <c r="B51" s="207" t="str">
        <f t="array" ref="B51">INDEX(Inventory!C:C, MATCH($A51,Inventory!$A:$A,0))</f>
        <v>#N/A</v>
      </c>
      <c r="C51" s="275" t="str">
        <f t="array" ref="C51">INDEX(Inventory!D:D, MATCH($A51,Inventory!$A:$A,0))</f>
        <v>#N/A</v>
      </c>
      <c r="D51" s="233" t="str">
        <f t="shared" si="1"/>
        <v>#N/A</v>
      </c>
      <c r="E51" s="207" t="str">
        <f t="array" ref="E51">INDEX(Inventory!G:G, MATCH($A51,Inventory!$A:$A,0))</f>
        <v>#N/A</v>
      </c>
      <c r="F51" s="207" t="str">
        <f t="array" ref="F51">INDEX(Inventory!H:H, MATCH($A51,Inventory!$A:$A,0))</f>
        <v>#N/A</v>
      </c>
      <c r="G51" s="235" t="str">
        <f t="shared" si="2"/>
        <v>#N/A</v>
      </c>
      <c r="H51" s="236" t="str">
        <f t="shared" si="3"/>
        <v>#N/A</v>
      </c>
      <c r="I51" s="237" t="str">
        <f t="shared" si="4"/>
        <v>#N/A</v>
      </c>
      <c r="J51" s="239" t="str">
        <f t="array" ref="J51">INDEX(Inventory!J:J, MATCH($A51,Inventory!$A:$A,0))</f>
        <v>#N/A</v>
      </c>
      <c r="K51" s="193"/>
      <c r="L51" s="182" t="s">
        <v>536</v>
      </c>
      <c r="M51" s="186" t="str">
        <f t="array" ref="M51">index(Inventory!B:B, MATCH(A51, Inventory!A:A, 0))</f>
        <v>#N/A</v>
      </c>
      <c r="N51" s="269" t="str">
        <f t="shared" si="5"/>
        <v>#N/A</v>
      </c>
      <c r="O51" s="285" t="str">
        <f t="array" ref="O51">index(Inventory!E:E, match(A51, Inventory!A:A,0))</f>
        <v>#N/A</v>
      </c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</row>
    <row r="52">
      <c r="A52" s="205"/>
      <c r="B52" s="207" t="str">
        <f t="array" ref="B52">INDEX(Inventory!C:C, MATCH($A52,Inventory!$A:$A,0))</f>
        <v>#N/A</v>
      </c>
      <c r="C52" s="275" t="str">
        <f t="array" ref="C52">INDEX(Inventory!D:D, MATCH($A52,Inventory!$A:$A,0))</f>
        <v>#N/A</v>
      </c>
      <c r="D52" s="233" t="str">
        <f t="shared" si="1"/>
        <v>#N/A</v>
      </c>
      <c r="E52" s="207" t="str">
        <f t="array" ref="E52">INDEX(Inventory!G:G, MATCH($A52,Inventory!$A:$A,0))</f>
        <v>#N/A</v>
      </c>
      <c r="F52" s="207" t="str">
        <f t="array" ref="F52">INDEX(Inventory!H:H, MATCH($A52,Inventory!$A:$A,0))</f>
        <v>#N/A</v>
      </c>
      <c r="G52" s="235" t="str">
        <f t="shared" si="2"/>
        <v>#N/A</v>
      </c>
      <c r="H52" s="236" t="str">
        <f t="shared" si="3"/>
        <v>#N/A</v>
      </c>
      <c r="I52" s="237" t="str">
        <f t="shared" si="4"/>
        <v>#N/A</v>
      </c>
      <c r="J52" s="239" t="str">
        <f t="array" ref="J52">INDEX(Inventory!J:J, MATCH($A52,Inventory!$A:$A,0))</f>
        <v>#N/A</v>
      </c>
      <c r="K52" s="193"/>
      <c r="L52" s="182" t="s">
        <v>536</v>
      </c>
      <c r="M52" s="186" t="str">
        <f t="array" ref="M52">index(Inventory!B:B, MATCH(A52, Inventory!A:A, 0))</f>
        <v>#N/A</v>
      </c>
      <c r="N52" s="269" t="str">
        <f t="shared" si="5"/>
        <v>#N/A</v>
      </c>
      <c r="O52" s="285" t="str">
        <f t="array" ref="O52">index(Inventory!E:E, match(A52, Inventory!A:A,0))</f>
        <v>#N/A</v>
      </c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</row>
    <row r="53">
      <c r="A53" s="205"/>
      <c r="B53" s="207" t="str">
        <f t="array" ref="B53">INDEX(Inventory!C:C, MATCH($A53,Inventory!$A:$A,0))</f>
        <v>#N/A</v>
      </c>
      <c r="C53" s="275" t="str">
        <f t="array" ref="C53">INDEX(Inventory!D:D, MATCH($A53,Inventory!$A:$A,0))</f>
        <v>#N/A</v>
      </c>
      <c r="D53" s="233" t="str">
        <f t="shared" si="1"/>
        <v>#N/A</v>
      </c>
      <c r="E53" s="207" t="str">
        <f t="array" ref="E53">INDEX(Inventory!G:G, MATCH($A53,Inventory!$A:$A,0))</f>
        <v>#N/A</v>
      </c>
      <c r="F53" s="207" t="str">
        <f t="array" ref="F53">INDEX(Inventory!H:H, MATCH($A53,Inventory!$A:$A,0))</f>
        <v>#N/A</v>
      </c>
      <c r="G53" s="235" t="str">
        <f t="shared" si="2"/>
        <v>#N/A</v>
      </c>
      <c r="H53" s="236" t="str">
        <f t="shared" si="3"/>
        <v>#N/A</v>
      </c>
      <c r="I53" s="237" t="str">
        <f t="shared" si="4"/>
        <v>#N/A</v>
      </c>
      <c r="J53" s="239" t="str">
        <f t="array" ref="J53">INDEX(Inventory!J:J, MATCH($A53,Inventory!$A:$A,0))</f>
        <v>#N/A</v>
      </c>
      <c r="K53" s="193"/>
      <c r="L53" s="182" t="s">
        <v>536</v>
      </c>
      <c r="M53" s="186" t="str">
        <f t="array" ref="M53">index(Inventory!B:B, MATCH(A53, Inventory!A:A, 0))</f>
        <v>#N/A</v>
      </c>
      <c r="N53" s="269" t="str">
        <f t="shared" si="5"/>
        <v>#N/A</v>
      </c>
      <c r="O53" s="285" t="str">
        <f t="array" ref="O53">index(Inventory!E:E, match(A53, Inventory!A:A,0))</f>
        <v>#N/A</v>
      </c>
      <c r="P53" s="470"/>
      <c r="Q53" s="470"/>
      <c r="R53" s="470"/>
      <c r="S53" s="470"/>
      <c r="T53" s="470"/>
      <c r="U53" s="470"/>
      <c r="V53" s="470"/>
      <c r="W53" s="470"/>
      <c r="X53" s="470"/>
      <c r="Y53" s="470"/>
      <c r="Z53" s="470"/>
      <c r="AA53" s="470"/>
    </row>
    <row r="54">
      <c r="A54" s="205"/>
      <c r="B54" s="207" t="str">
        <f t="array" ref="B54">INDEX(Inventory!C:C, MATCH($A54,Inventory!$A:$A,0))</f>
        <v>#N/A</v>
      </c>
      <c r="C54" s="275" t="str">
        <f t="array" ref="C54">INDEX(Inventory!D:D, MATCH($A54,Inventory!$A:$A,0))</f>
        <v>#N/A</v>
      </c>
      <c r="D54" s="233" t="str">
        <f t="shared" si="1"/>
        <v>#N/A</v>
      </c>
      <c r="E54" s="207" t="str">
        <f t="array" ref="E54">INDEX(Inventory!G:G, MATCH($A54,Inventory!$A:$A,0))</f>
        <v>#N/A</v>
      </c>
      <c r="F54" s="207" t="str">
        <f t="array" ref="F54">INDEX(Inventory!H:H, MATCH($A54,Inventory!$A:$A,0))</f>
        <v>#N/A</v>
      </c>
      <c r="G54" s="235" t="str">
        <f t="shared" si="2"/>
        <v>#N/A</v>
      </c>
      <c r="H54" s="236" t="str">
        <f t="shared" si="3"/>
        <v>#N/A</v>
      </c>
      <c r="I54" s="237" t="str">
        <f t="shared" si="4"/>
        <v>#N/A</v>
      </c>
      <c r="J54" s="239" t="str">
        <f t="array" ref="J54">INDEX(Inventory!J:J, MATCH($A54,Inventory!$A:$A,0))</f>
        <v>#N/A</v>
      </c>
      <c r="K54" s="193"/>
      <c r="L54" s="182" t="s">
        <v>536</v>
      </c>
      <c r="M54" s="186" t="str">
        <f t="array" ref="M54">index(Inventory!B:B, MATCH(A54, Inventory!A:A, 0))</f>
        <v>#N/A</v>
      </c>
      <c r="N54" s="269" t="str">
        <f t="shared" si="5"/>
        <v>#N/A</v>
      </c>
      <c r="O54" s="285" t="str">
        <f t="array" ref="O54">index(Inventory!E:E, match(A54, Inventory!A:A,0))</f>
        <v>#N/A</v>
      </c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</row>
    <row r="55">
      <c r="A55" s="205"/>
      <c r="B55" s="207" t="str">
        <f t="array" ref="B55">INDEX(Inventory!C:C, MATCH($A55,Inventory!$A:$A,0))</f>
        <v>#N/A</v>
      </c>
      <c r="C55" s="207" t="str">
        <f t="array" ref="C55">INDEX(Inventory!D:D, MATCH($A55,Inventory!$A:$A,0))</f>
        <v>#N/A</v>
      </c>
      <c r="D55" s="576" t="str">
        <f t="shared" si="1"/>
        <v>#N/A</v>
      </c>
      <c r="E55" s="207" t="str">
        <f t="array" ref="E55">INDEX(Inventory!G:G, MATCH($A55,Inventory!$A:$A,0))</f>
        <v>#N/A</v>
      </c>
      <c r="F55" s="207" t="str">
        <f t="array" ref="F55">INDEX(Inventory!H:H, MATCH($A55,Inventory!$A:$A,0))</f>
        <v>#N/A</v>
      </c>
      <c r="G55" s="235" t="str">
        <f t="shared" si="2"/>
        <v>#N/A</v>
      </c>
      <c r="H55" s="235" t="str">
        <f t="shared" si="3"/>
        <v>#N/A</v>
      </c>
      <c r="I55" s="577" t="str">
        <f t="shared" si="4"/>
        <v>#N/A</v>
      </c>
      <c r="J55" s="239" t="str">
        <f t="array" ref="J55">INDEX(Inventory!J:J, MATCH($A55,Inventory!$A:$A,0))</f>
        <v>#N/A</v>
      </c>
      <c r="K55" s="193"/>
      <c r="L55" s="182" t="s">
        <v>536</v>
      </c>
      <c r="M55" s="186" t="str">
        <f t="array" ref="M55">index(Inventory!B:B, MATCH(A55, Inventory!A:A, 0))</f>
        <v>#N/A</v>
      </c>
      <c r="N55" s="269" t="str">
        <f t="shared" si="5"/>
        <v>#N/A</v>
      </c>
      <c r="O55" s="250" t="str">
        <f t="array" ref="O55">index(Inventory!E:E, match(A55, Inventory!A:A,0))</f>
        <v>#N/A</v>
      </c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</row>
    <row r="56">
      <c r="A56" s="205"/>
      <c r="B56" s="207" t="str">
        <f t="array" ref="B56">INDEX(Inventory!C:C, MATCH($A56,Inventory!$A:$A,0))</f>
        <v>#N/A</v>
      </c>
      <c r="C56" s="275" t="str">
        <f t="array" ref="C56">INDEX(Inventory!D:D, MATCH($A56,Inventory!$A:$A,0))</f>
        <v>#N/A</v>
      </c>
      <c r="D56" s="233" t="str">
        <f t="shared" si="1"/>
        <v>#N/A</v>
      </c>
      <c r="E56" s="207" t="str">
        <f t="array" ref="E56">INDEX(Inventory!G:G, MATCH($A56,Inventory!$A:$A,0))</f>
        <v>#N/A</v>
      </c>
      <c r="F56" s="207" t="str">
        <f t="array" ref="F56">INDEX(Inventory!H:H, MATCH($A56,Inventory!$A:$A,0))</f>
        <v>#N/A</v>
      </c>
      <c r="G56" s="235" t="str">
        <f t="shared" si="2"/>
        <v>#N/A</v>
      </c>
      <c r="H56" s="236" t="str">
        <f t="shared" si="3"/>
        <v>#N/A</v>
      </c>
      <c r="I56" s="237" t="str">
        <f t="shared" si="4"/>
        <v>#N/A</v>
      </c>
      <c r="J56" s="239" t="str">
        <f t="array" ref="J56">INDEX(Inventory!J:J, MATCH($A56,Inventory!$A:$A,0))</f>
        <v>#N/A</v>
      </c>
      <c r="K56" s="193"/>
      <c r="L56" s="182" t="s">
        <v>536</v>
      </c>
      <c r="M56" s="186" t="str">
        <f t="array" ref="M56">index(Inventory!B:B, MATCH(A56, Inventory!A:A, 0))</f>
        <v>#N/A</v>
      </c>
      <c r="N56" s="269" t="str">
        <f t="shared" si="5"/>
        <v>#N/A</v>
      </c>
      <c r="O56" s="250" t="str">
        <f t="array" ref="O56">index(Inventory!E:E, match(A56, Inventory!A:A,0))</f>
        <v>#N/A</v>
      </c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</row>
    <row r="57">
      <c r="A57" s="205"/>
      <c r="B57" s="207"/>
      <c r="C57" s="275"/>
      <c r="D57" s="255"/>
      <c r="E57" s="207"/>
      <c r="F57" s="207"/>
      <c r="G57" s="188"/>
      <c r="H57" s="264"/>
      <c r="I57" s="281"/>
      <c r="J57" s="207"/>
      <c r="K57" s="193"/>
      <c r="L57" s="182"/>
      <c r="M57" s="186" t="str">
        <f t="array" ref="M57">index(Inventory!B:B, MATCH(A57, Inventory!A:A, 0))</f>
        <v>#N/A</v>
      </c>
      <c r="N57" s="193" t="str">
        <f t="shared" si="5"/>
        <v/>
      </c>
      <c r="O57" s="285" t="str">
        <f t="array" ref="O57">index(Inventory!E:E, match(A57, Inventory!A:A,0))</f>
        <v>#N/A</v>
      </c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</row>
    <row r="58">
      <c r="A58" s="205"/>
      <c r="B58" s="207"/>
      <c r="C58" s="207"/>
      <c r="D58" s="193"/>
      <c r="E58" s="207"/>
      <c r="F58" s="207"/>
      <c r="G58" s="188"/>
      <c r="H58" s="188"/>
      <c r="I58" s="190"/>
      <c r="J58" s="207"/>
      <c r="K58" s="193"/>
      <c r="L58" s="182"/>
      <c r="M58" s="213" t="str">
        <f t="array" ref="M58">index(Inventory!B:B, MATCH(A58, Inventory!A:A, 0))</f>
        <v>#N/A</v>
      </c>
      <c r="N58" s="193" t="str">
        <f t="shared" si="5"/>
        <v/>
      </c>
      <c r="O58" s="250" t="str">
        <f t="array" ref="O58">index(Inventory!E:E, match(A58, Inventory!A:A,0))</f>
        <v>#N/A</v>
      </c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</row>
    <row r="59">
      <c r="A59" s="578"/>
      <c r="B59" s="184"/>
      <c r="C59" s="184"/>
      <c r="D59" s="193"/>
      <c r="E59" s="207"/>
      <c r="F59" s="207"/>
      <c r="G59" s="188"/>
      <c r="H59" s="188"/>
      <c r="I59" s="190"/>
      <c r="J59" s="207"/>
      <c r="K59" s="193"/>
      <c r="L59" s="182"/>
      <c r="M59" s="213"/>
      <c r="N59" s="193" t="str">
        <f t="shared" si="5"/>
        <v/>
      </c>
      <c r="O59" s="184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</row>
    <row r="60">
      <c r="A60" s="205"/>
      <c r="B60" s="207"/>
      <c r="C60" s="207"/>
      <c r="D60" s="193"/>
      <c r="E60" s="207"/>
      <c r="F60" s="207"/>
      <c r="G60" s="188"/>
      <c r="H60" s="188"/>
      <c r="I60" s="190"/>
      <c r="J60" s="207"/>
      <c r="K60" s="193"/>
      <c r="L60" s="182"/>
      <c r="M60" s="213"/>
      <c r="N60" s="193" t="str">
        <f t="shared" si="5"/>
        <v/>
      </c>
      <c r="O60" s="184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</row>
    <row r="61">
      <c r="A61" s="205"/>
      <c r="B61" s="207"/>
      <c r="C61" s="207"/>
      <c r="D61" s="193"/>
      <c r="E61" s="207"/>
      <c r="F61" s="207"/>
      <c r="G61" s="188"/>
      <c r="H61" s="188"/>
      <c r="I61" s="190"/>
      <c r="J61" s="207"/>
      <c r="K61" s="193"/>
      <c r="L61" s="182"/>
      <c r="M61" s="213"/>
      <c r="N61" s="193" t="str">
        <f t="shared" si="5"/>
        <v/>
      </c>
      <c r="O61" s="184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</row>
    <row r="62">
      <c r="A62" s="205"/>
      <c r="B62" s="207"/>
      <c r="C62" s="207"/>
      <c r="D62" s="193"/>
      <c r="E62" s="207"/>
      <c r="F62" s="207"/>
      <c r="G62" s="188"/>
      <c r="H62" s="188"/>
      <c r="I62" s="190"/>
      <c r="J62" s="207"/>
      <c r="K62" s="193"/>
      <c r="L62" s="182"/>
      <c r="M62" s="213"/>
      <c r="N62" s="193" t="str">
        <f t="shared" si="5"/>
        <v/>
      </c>
      <c r="O62" s="184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</row>
    <row r="63">
      <c r="A63" s="205"/>
      <c r="B63" s="207"/>
      <c r="C63" s="207"/>
      <c r="D63" s="193"/>
      <c r="E63" s="207"/>
      <c r="F63" s="207"/>
      <c r="G63" s="188"/>
      <c r="H63" s="188"/>
      <c r="I63" s="190"/>
      <c r="J63" s="207"/>
      <c r="K63" s="193"/>
      <c r="L63" s="182"/>
      <c r="M63" s="213"/>
      <c r="N63" s="193" t="str">
        <f t="shared" si="5"/>
        <v/>
      </c>
      <c r="O63" s="184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</row>
    <row r="64">
      <c r="A64" s="205"/>
      <c r="B64" s="207"/>
      <c r="C64" s="207"/>
      <c r="D64" s="193"/>
      <c r="E64" s="207"/>
      <c r="F64" s="207"/>
      <c r="G64" s="188"/>
      <c r="H64" s="188"/>
      <c r="I64" s="190"/>
      <c r="J64" s="207"/>
      <c r="K64" s="193"/>
      <c r="L64" s="182"/>
      <c r="M64" s="213"/>
      <c r="N64" s="193" t="str">
        <f t="shared" si="5"/>
        <v/>
      </c>
      <c r="O64" s="184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</row>
    <row r="65">
      <c r="A65" s="205"/>
      <c r="B65" s="207"/>
      <c r="C65" s="207"/>
      <c r="D65" s="193"/>
      <c r="E65" s="207"/>
      <c r="F65" s="207"/>
      <c r="G65" s="188"/>
      <c r="H65" s="188"/>
      <c r="I65" s="190"/>
      <c r="J65" s="207"/>
      <c r="K65" s="193"/>
      <c r="L65" s="182"/>
      <c r="M65" s="213"/>
      <c r="N65" s="193" t="str">
        <f t="shared" si="5"/>
        <v/>
      </c>
      <c r="O65" s="184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</row>
    <row r="66">
      <c r="A66" s="205"/>
      <c r="B66" s="207"/>
      <c r="C66" s="207"/>
      <c r="D66" s="193"/>
      <c r="E66" s="207"/>
      <c r="F66" s="207"/>
      <c r="G66" s="188"/>
      <c r="H66" s="188"/>
      <c r="I66" s="190"/>
      <c r="J66" s="207"/>
      <c r="K66" s="193"/>
      <c r="L66" s="182"/>
      <c r="M66" s="213"/>
      <c r="N66" s="193" t="str">
        <f t="shared" si="5"/>
        <v/>
      </c>
      <c r="O66" s="184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</row>
    <row r="67">
      <c r="A67" s="205"/>
      <c r="B67" s="207"/>
      <c r="C67" s="207"/>
      <c r="D67" s="193"/>
      <c r="E67" s="207"/>
      <c r="F67" s="207"/>
      <c r="G67" s="188"/>
      <c r="H67" s="188"/>
      <c r="I67" s="190"/>
      <c r="J67" s="207"/>
      <c r="K67" s="193"/>
      <c r="L67" s="182"/>
      <c r="M67" s="213"/>
      <c r="N67" s="193" t="str">
        <f t="shared" si="5"/>
        <v/>
      </c>
      <c r="O67" s="184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</row>
    <row r="68">
      <c r="A68" s="205"/>
      <c r="B68" s="207"/>
      <c r="C68" s="207"/>
      <c r="D68" s="193"/>
      <c r="E68" s="207"/>
      <c r="F68" s="207"/>
      <c r="G68" s="188"/>
      <c r="H68" s="188"/>
      <c r="I68" s="190"/>
      <c r="J68" s="207"/>
      <c r="K68" s="193"/>
      <c r="L68" s="182"/>
      <c r="M68" s="213"/>
      <c r="N68" s="193" t="str">
        <f t="shared" si="5"/>
        <v/>
      </c>
      <c r="O68" s="184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</row>
    <row r="69">
      <c r="A69" s="205"/>
      <c r="B69" s="207"/>
      <c r="C69" s="207"/>
      <c r="D69" s="193"/>
      <c r="E69" s="207"/>
      <c r="F69" s="207"/>
      <c r="G69" s="188"/>
      <c r="H69" s="188"/>
      <c r="I69" s="190"/>
      <c r="J69" s="207"/>
      <c r="K69" s="193"/>
      <c r="L69" s="182"/>
      <c r="M69" s="213"/>
      <c r="N69" s="193" t="str">
        <f t="shared" si="5"/>
        <v/>
      </c>
      <c r="O69" s="184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</row>
    <row r="70">
      <c r="A70" s="205"/>
      <c r="B70" s="207"/>
      <c r="C70" s="207"/>
      <c r="D70" s="193"/>
      <c r="E70" s="207"/>
      <c r="F70" s="207"/>
      <c r="G70" s="188"/>
      <c r="H70" s="188"/>
      <c r="I70" s="190"/>
      <c r="J70" s="207"/>
      <c r="K70" s="193"/>
      <c r="L70" s="182"/>
      <c r="M70" s="213"/>
      <c r="N70" s="193" t="str">
        <f t="shared" si="5"/>
        <v/>
      </c>
      <c r="O70" s="184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</row>
    <row r="71">
      <c r="A71" s="205"/>
      <c r="B71" s="207"/>
      <c r="C71" s="207"/>
      <c r="D71" s="193"/>
      <c r="E71" s="207"/>
      <c r="F71" s="207"/>
      <c r="G71" s="188"/>
      <c r="H71" s="188"/>
      <c r="I71" s="190"/>
      <c r="J71" s="207"/>
      <c r="K71" s="193"/>
      <c r="L71" s="182"/>
      <c r="M71" s="213"/>
      <c r="N71" s="193" t="str">
        <f t="shared" si="5"/>
        <v/>
      </c>
      <c r="O71" s="184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</row>
    <row r="72">
      <c r="A72" s="205"/>
      <c r="B72" s="207"/>
      <c r="C72" s="207"/>
      <c r="D72" s="193"/>
      <c r="E72" s="207"/>
      <c r="F72" s="207"/>
      <c r="G72" s="188"/>
      <c r="H72" s="188"/>
      <c r="I72" s="190"/>
      <c r="J72" s="207"/>
      <c r="K72" s="193"/>
      <c r="L72" s="182"/>
      <c r="M72" s="213"/>
      <c r="N72" s="193" t="str">
        <f t="shared" si="5"/>
        <v/>
      </c>
      <c r="O72" s="184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</row>
    <row r="73">
      <c r="A73" s="205"/>
      <c r="B73" s="207"/>
      <c r="C73" s="207"/>
      <c r="D73" s="193"/>
      <c r="E73" s="207"/>
      <c r="F73" s="207"/>
      <c r="G73" s="188"/>
      <c r="H73" s="188"/>
      <c r="I73" s="190"/>
      <c r="J73" s="207"/>
      <c r="K73" s="193"/>
      <c r="L73" s="182"/>
      <c r="M73" s="213"/>
      <c r="N73" s="193" t="str">
        <f t="shared" si="5"/>
        <v/>
      </c>
      <c r="O73" s="184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</row>
    <row r="74">
      <c r="A74" s="205"/>
      <c r="B74" s="207"/>
      <c r="C74" s="207"/>
      <c r="D74" s="193"/>
      <c r="E74" s="207"/>
      <c r="F74" s="207"/>
      <c r="G74" s="188"/>
      <c r="H74" s="188"/>
      <c r="I74" s="190"/>
      <c r="J74" s="207"/>
      <c r="K74" s="193"/>
      <c r="L74" s="182"/>
      <c r="M74" s="213"/>
      <c r="N74" s="193" t="str">
        <f t="shared" si="5"/>
        <v/>
      </c>
      <c r="O74" s="184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</row>
    <row r="75">
      <c r="A75" s="205"/>
      <c r="B75" s="207"/>
      <c r="C75" s="207"/>
      <c r="D75" s="193"/>
      <c r="E75" s="207"/>
      <c r="F75" s="207"/>
      <c r="G75" s="188"/>
      <c r="H75" s="188"/>
      <c r="I75" s="190"/>
      <c r="J75" s="207"/>
      <c r="K75" s="193"/>
      <c r="L75" s="182"/>
      <c r="M75" s="213"/>
      <c r="N75" s="193" t="str">
        <f t="shared" si="5"/>
        <v/>
      </c>
      <c r="O75" s="184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</row>
    <row r="76">
      <c r="A76" s="205"/>
      <c r="B76" s="207"/>
      <c r="C76" s="207"/>
      <c r="D76" s="193"/>
      <c r="E76" s="207"/>
      <c r="F76" s="207"/>
      <c r="G76" s="188"/>
      <c r="H76" s="188"/>
      <c r="I76" s="190"/>
      <c r="J76" s="207"/>
      <c r="K76" s="193"/>
      <c r="L76" s="182"/>
      <c r="M76" s="213"/>
      <c r="N76" s="193" t="str">
        <f t="shared" si="5"/>
        <v/>
      </c>
      <c r="O76" s="184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</row>
    <row r="77">
      <c r="A77" s="205"/>
      <c r="B77" s="207"/>
      <c r="C77" s="207"/>
      <c r="D77" s="193"/>
      <c r="E77" s="207"/>
      <c r="F77" s="207"/>
      <c r="G77" s="188"/>
      <c r="H77" s="188"/>
      <c r="I77" s="190"/>
      <c r="J77" s="207"/>
      <c r="K77" s="193"/>
      <c r="L77" s="182"/>
      <c r="M77" s="213"/>
      <c r="N77" s="193" t="str">
        <f t="shared" si="5"/>
        <v/>
      </c>
      <c r="O77" s="184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</row>
    <row r="78">
      <c r="A78" s="205"/>
      <c r="B78" s="207"/>
      <c r="C78" s="207"/>
      <c r="D78" s="193"/>
      <c r="E78" s="207"/>
      <c r="F78" s="207"/>
      <c r="G78" s="188"/>
      <c r="H78" s="188"/>
      <c r="I78" s="190"/>
      <c r="J78" s="207"/>
      <c r="K78" s="193"/>
      <c r="L78" s="182"/>
      <c r="M78" s="213"/>
      <c r="N78" s="193" t="str">
        <f t="shared" si="5"/>
        <v/>
      </c>
      <c r="O78" s="184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</row>
    <row r="79">
      <c r="A79" s="205"/>
      <c r="B79" s="207"/>
      <c r="C79" s="207"/>
      <c r="D79" s="193"/>
      <c r="E79" s="207"/>
      <c r="F79" s="207"/>
      <c r="G79" s="188"/>
      <c r="H79" s="188"/>
      <c r="I79" s="190"/>
      <c r="J79" s="207"/>
      <c r="K79" s="193"/>
      <c r="L79" s="182"/>
      <c r="M79" s="213"/>
      <c r="N79" s="193" t="str">
        <f t="shared" si="5"/>
        <v/>
      </c>
      <c r="O79" s="184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</row>
    <row r="80">
      <c r="A80" s="205"/>
      <c r="B80" s="207"/>
      <c r="C80" s="207"/>
      <c r="D80" s="193"/>
      <c r="E80" s="207"/>
      <c r="F80" s="207"/>
      <c r="G80" s="188"/>
      <c r="H80" s="188"/>
      <c r="I80" s="190"/>
      <c r="J80" s="207"/>
      <c r="K80" s="193"/>
      <c r="L80" s="182"/>
      <c r="M80" s="213"/>
      <c r="N80" s="193" t="str">
        <f t="shared" si="5"/>
        <v/>
      </c>
      <c r="O80" s="184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</row>
    <row r="81">
      <c r="A81" s="205"/>
      <c r="B81" s="207"/>
      <c r="C81" s="207"/>
      <c r="D81" s="193"/>
      <c r="E81" s="207"/>
      <c r="F81" s="207"/>
      <c r="G81" s="188"/>
      <c r="H81" s="188"/>
      <c r="I81" s="190"/>
      <c r="J81" s="207"/>
      <c r="K81" s="193"/>
      <c r="L81" s="182"/>
      <c r="M81" s="213"/>
      <c r="N81" s="193" t="str">
        <f t="shared" si="5"/>
        <v/>
      </c>
      <c r="O81" s="184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</row>
    <row r="82">
      <c r="A82" s="205"/>
      <c r="B82" s="207"/>
      <c r="C82" s="207"/>
      <c r="D82" s="193"/>
      <c r="E82" s="207"/>
      <c r="F82" s="207"/>
      <c r="G82" s="188"/>
      <c r="H82" s="188"/>
      <c r="I82" s="190"/>
      <c r="J82" s="207"/>
      <c r="K82" s="193"/>
      <c r="L82" s="182"/>
      <c r="M82" s="213"/>
      <c r="N82" s="193" t="str">
        <f t="shared" si="5"/>
        <v/>
      </c>
      <c r="O82" s="184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</row>
    <row r="83">
      <c r="A83" s="205"/>
      <c r="B83" s="207"/>
      <c r="C83" s="207"/>
      <c r="D83" s="193"/>
      <c r="E83" s="207"/>
      <c r="F83" s="207"/>
      <c r="G83" s="188"/>
      <c r="H83" s="188"/>
      <c r="I83" s="190"/>
      <c r="J83" s="207"/>
      <c r="K83" s="193"/>
      <c r="L83" s="182"/>
      <c r="M83" s="213"/>
      <c r="N83" s="193" t="str">
        <f t="shared" si="5"/>
        <v/>
      </c>
      <c r="O83" s="184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</row>
    <row r="84">
      <c r="A84" s="205"/>
      <c r="B84" s="207"/>
      <c r="C84" s="207"/>
      <c r="D84" s="193"/>
      <c r="E84" s="207"/>
      <c r="F84" s="207"/>
      <c r="G84" s="188"/>
      <c r="H84" s="188"/>
      <c r="I84" s="190"/>
      <c r="J84" s="207"/>
      <c r="K84" s="193"/>
      <c r="L84" s="182"/>
      <c r="M84" s="213"/>
      <c r="N84" s="193" t="str">
        <f t="shared" si="5"/>
        <v/>
      </c>
      <c r="O84" s="184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</row>
    <row r="85">
      <c r="A85" s="205"/>
      <c r="B85" s="207"/>
      <c r="C85" s="207"/>
      <c r="D85" s="193"/>
      <c r="E85" s="207"/>
      <c r="F85" s="207"/>
      <c r="G85" s="188"/>
      <c r="H85" s="188"/>
      <c r="I85" s="190"/>
      <c r="J85" s="207"/>
      <c r="K85" s="193"/>
      <c r="L85" s="182"/>
      <c r="M85" s="213"/>
      <c r="N85" s="193" t="str">
        <f t="shared" si="5"/>
        <v/>
      </c>
      <c r="O85" s="184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</row>
    <row r="86">
      <c r="A86" s="205"/>
      <c r="B86" s="207"/>
      <c r="C86" s="207"/>
      <c r="D86" s="193"/>
      <c r="E86" s="207"/>
      <c r="F86" s="207"/>
      <c r="G86" s="188"/>
      <c r="H86" s="188"/>
      <c r="I86" s="190"/>
      <c r="J86" s="207"/>
      <c r="K86" s="193"/>
      <c r="L86" s="182"/>
      <c r="M86" s="213"/>
      <c r="N86" s="193" t="str">
        <f t="shared" si="5"/>
        <v/>
      </c>
      <c r="O86" s="184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</row>
    <row r="87">
      <c r="A87" s="205"/>
      <c r="B87" s="207"/>
      <c r="C87" s="207"/>
      <c r="D87" s="193"/>
      <c r="E87" s="207"/>
      <c r="F87" s="207"/>
      <c r="G87" s="188"/>
      <c r="H87" s="188"/>
      <c r="I87" s="190"/>
      <c r="J87" s="207"/>
      <c r="K87" s="193"/>
      <c r="L87" s="182"/>
      <c r="M87" s="213"/>
      <c r="N87" s="193" t="str">
        <f t="shared" si="5"/>
        <v/>
      </c>
      <c r="O87" s="184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</row>
    <row r="88">
      <c r="A88" s="205"/>
      <c r="B88" s="207"/>
      <c r="C88" s="207"/>
      <c r="D88" s="193"/>
      <c r="E88" s="207"/>
      <c r="F88" s="207"/>
      <c r="G88" s="188"/>
      <c r="H88" s="188"/>
      <c r="I88" s="190"/>
      <c r="J88" s="207"/>
      <c r="K88" s="193"/>
      <c r="L88" s="182"/>
      <c r="M88" s="213"/>
      <c r="N88" s="193" t="str">
        <f t="shared" si="5"/>
        <v/>
      </c>
      <c r="O88" s="184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</row>
    <row r="89">
      <c r="A89" s="205"/>
      <c r="B89" s="207"/>
      <c r="C89" s="207"/>
      <c r="D89" s="193"/>
      <c r="E89" s="207"/>
      <c r="F89" s="207"/>
      <c r="G89" s="188"/>
      <c r="H89" s="188"/>
      <c r="I89" s="190"/>
      <c r="J89" s="207"/>
      <c r="K89" s="193"/>
      <c r="L89" s="182"/>
      <c r="M89" s="213"/>
      <c r="N89" s="193" t="str">
        <f t="shared" si="5"/>
        <v/>
      </c>
      <c r="O89" s="184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</row>
    <row r="90">
      <c r="A90" s="205"/>
      <c r="B90" s="207"/>
      <c r="C90" s="207"/>
      <c r="D90" s="193"/>
      <c r="E90" s="207"/>
      <c r="F90" s="207"/>
      <c r="G90" s="188"/>
      <c r="H90" s="188"/>
      <c r="I90" s="190"/>
      <c r="J90" s="207"/>
      <c r="K90" s="193"/>
      <c r="L90" s="182"/>
      <c r="M90" s="213"/>
      <c r="N90" s="193" t="str">
        <f t="shared" si="5"/>
        <v/>
      </c>
      <c r="O90" s="184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</row>
    <row r="91">
      <c r="A91" s="205"/>
      <c r="B91" s="207"/>
      <c r="C91" s="207"/>
      <c r="D91" s="193"/>
      <c r="E91" s="207"/>
      <c r="F91" s="207"/>
      <c r="G91" s="188"/>
      <c r="H91" s="188"/>
      <c r="I91" s="190"/>
      <c r="J91" s="207"/>
      <c r="K91" s="193"/>
      <c r="L91" s="182"/>
      <c r="M91" s="213"/>
      <c r="N91" s="193" t="str">
        <f t="shared" si="5"/>
        <v/>
      </c>
      <c r="O91" s="184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</row>
    <row r="92">
      <c r="A92" s="205"/>
      <c r="B92" s="207"/>
      <c r="C92" s="207"/>
      <c r="D92" s="193"/>
      <c r="E92" s="207"/>
      <c r="F92" s="207"/>
      <c r="G92" s="188"/>
      <c r="H92" s="188"/>
      <c r="I92" s="190"/>
      <c r="J92" s="207"/>
      <c r="K92" s="193"/>
      <c r="L92" s="182"/>
      <c r="M92" s="213"/>
      <c r="N92" s="193" t="str">
        <f t="shared" si="5"/>
        <v/>
      </c>
      <c r="O92" s="184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</row>
    <row r="93">
      <c r="A93" s="205"/>
      <c r="B93" s="207"/>
      <c r="C93" s="207"/>
      <c r="D93" s="193"/>
      <c r="E93" s="207"/>
      <c r="F93" s="207"/>
      <c r="G93" s="188"/>
      <c r="H93" s="188"/>
      <c r="I93" s="190"/>
      <c r="J93" s="207"/>
      <c r="K93" s="193"/>
      <c r="L93" s="182"/>
      <c r="M93" s="213"/>
      <c r="N93" s="193" t="str">
        <f t="shared" si="5"/>
        <v/>
      </c>
      <c r="O93" s="184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</row>
    <row r="94">
      <c r="A94" s="205"/>
      <c r="B94" s="207"/>
      <c r="C94" s="207"/>
      <c r="D94" s="193"/>
      <c r="E94" s="207"/>
      <c r="F94" s="207"/>
      <c r="G94" s="188"/>
      <c r="H94" s="188"/>
      <c r="I94" s="190"/>
      <c r="J94" s="207"/>
      <c r="K94" s="193"/>
      <c r="L94" s="182"/>
      <c r="M94" s="213"/>
      <c r="N94" s="193" t="str">
        <f t="shared" si="5"/>
        <v/>
      </c>
      <c r="O94" s="184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</row>
    <row r="95">
      <c r="A95" s="205"/>
      <c r="B95" s="207"/>
      <c r="C95" s="207"/>
      <c r="D95" s="193"/>
      <c r="E95" s="207"/>
      <c r="F95" s="207"/>
      <c r="G95" s="188"/>
      <c r="H95" s="188"/>
      <c r="I95" s="190"/>
      <c r="J95" s="207"/>
      <c r="K95" s="193"/>
      <c r="L95" s="182"/>
      <c r="M95" s="213"/>
      <c r="N95" s="193" t="str">
        <f t="shared" si="5"/>
        <v/>
      </c>
      <c r="O95" s="184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</row>
    <row r="96">
      <c r="A96" s="205"/>
      <c r="B96" s="207"/>
      <c r="C96" s="207"/>
      <c r="D96" s="193"/>
      <c r="E96" s="207"/>
      <c r="F96" s="207"/>
      <c r="G96" s="188"/>
      <c r="H96" s="188"/>
      <c r="I96" s="190"/>
      <c r="J96" s="207"/>
      <c r="K96" s="193"/>
      <c r="L96" s="182"/>
      <c r="M96" s="213"/>
      <c r="N96" s="193" t="str">
        <f t="shared" si="5"/>
        <v/>
      </c>
      <c r="O96" s="184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</row>
    <row r="97">
      <c r="A97" s="205"/>
      <c r="B97" s="207"/>
      <c r="C97" s="207"/>
      <c r="D97" s="193"/>
      <c r="E97" s="207"/>
      <c r="F97" s="207"/>
      <c r="G97" s="188"/>
      <c r="H97" s="188"/>
      <c r="I97" s="190"/>
      <c r="J97" s="207"/>
      <c r="K97" s="193"/>
      <c r="L97" s="182"/>
      <c r="M97" s="213"/>
      <c r="N97" s="193" t="str">
        <f t="shared" si="5"/>
        <v/>
      </c>
      <c r="O97" s="184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</row>
    <row r="98">
      <c r="A98" s="205"/>
      <c r="B98" s="207"/>
      <c r="C98" s="207"/>
      <c r="D98" s="193"/>
      <c r="E98" s="207"/>
      <c r="F98" s="207"/>
      <c r="G98" s="188"/>
      <c r="H98" s="188"/>
      <c r="I98" s="190"/>
      <c r="J98" s="207"/>
      <c r="K98" s="193"/>
      <c r="L98" s="182"/>
      <c r="M98" s="213"/>
      <c r="N98" s="193" t="str">
        <f t="shared" si="5"/>
        <v/>
      </c>
      <c r="O98" s="184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</row>
    <row r="99">
      <c r="A99" s="205"/>
      <c r="B99" s="207"/>
      <c r="C99" s="207"/>
      <c r="D99" s="193"/>
      <c r="E99" s="207"/>
      <c r="F99" s="207"/>
      <c r="G99" s="188"/>
      <c r="H99" s="188"/>
      <c r="I99" s="190"/>
      <c r="J99" s="207"/>
      <c r="K99" s="193"/>
      <c r="L99" s="182"/>
      <c r="M99" s="213"/>
      <c r="N99" s="193" t="str">
        <f t="shared" si="5"/>
        <v/>
      </c>
      <c r="O99" s="184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</row>
    <row r="100">
      <c r="A100" s="205"/>
      <c r="B100" s="207"/>
      <c r="C100" s="207"/>
      <c r="D100" s="193"/>
      <c r="E100" s="207"/>
      <c r="F100" s="207"/>
      <c r="G100" s="188"/>
      <c r="H100" s="188"/>
      <c r="I100" s="190"/>
      <c r="J100" s="207"/>
      <c r="K100" s="193"/>
      <c r="L100" s="182"/>
      <c r="M100" s="213"/>
      <c r="N100" s="193" t="str">
        <f t="shared" si="5"/>
        <v/>
      </c>
      <c r="O100" s="184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</row>
    <row r="101">
      <c r="A101" s="205"/>
      <c r="B101" s="207"/>
      <c r="C101" s="207"/>
      <c r="D101" s="193"/>
      <c r="E101" s="207"/>
      <c r="F101" s="207"/>
      <c r="G101" s="188"/>
      <c r="H101" s="188"/>
      <c r="I101" s="190"/>
      <c r="J101" s="207"/>
      <c r="K101" s="193"/>
      <c r="L101" s="182"/>
      <c r="M101" s="213"/>
      <c r="N101" s="193" t="str">
        <f t="shared" si="5"/>
        <v/>
      </c>
      <c r="O101" s="184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</row>
    <row r="102">
      <c r="A102" s="205"/>
      <c r="B102" s="207"/>
      <c r="C102" s="207"/>
      <c r="D102" s="193"/>
      <c r="E102" s="207"/>
      <c r="F102" s="207"/>
      <c r="G102" s="188"/>
      <c r="H102" s="188"/>
      <c r="I102" s="190"/>
      <c r="J102" s="207"/>
      <c r="K102" s="193"/>
      <c r="L102" s="182"/>
      <c r="M102" s="213"/>
      <c r="N102" s="193" t="str">
        <f t="shared" si="5"/>
        <v/>
      </c>
      <c r="O102" s="184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</row>
    <row r="103">
      <c r="A103" s="205"/>
      <c r="B103" s="207"/>
      <c r="C103" s="207"/>
      <c r="D103" s="193"/>
      <c r="E103" s="207"/>
      <c r="F103" s="207"/>
      <c r="G103" s="188"/>
      <c r="H103" s="188"/>
      <c r="I103" s="190"/>
      <c r="J103" s="207"/>
      <c r="K103" s="193"/>
      <c r="L103" s="182"/>
      <c r="M103" s="213"/>
      <c r="N103" s="193" t="str">
        <f t="shared" si="5"/>
        <v/>
      </c>
      <c r="O103" s="184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</row>
    <row r="104">
      <c r="A104" s="205"/>
      <c r="B104" s="207"/>
      <c r="C104" s="207"/>
      <c r="D104" s="193"/>
      <c r="E104" s="207"/>
      <c r="F104" s="207"/>
      <c r="G104" s="188"/>
      <c r="H104" s="188"/>
      <c r="I104" s="190"/>
      <c r="J104" s="207"/>
      <c r="K104" s="193"/>
      <c r="L104" s="182"/>
      <c r="M104" s="213"/>
      <c r="N104" s="193" t="str">
        <f t="shared" si="5"/>
        <v/>
      </c>
      <c r="O104" s="184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</row>
    <row r="105">
      <c r="A105" s="205"/>
      <c r="B105" s="207"/>
      <c r="C105" s="207"/>
      <c r="D105" s="193"/>
      <c r="E105" s="207"/>
      <c r="F105" s="207"/>
      <c r="G105" s="188"/>
      <c r="H105" s="188"/>
      <c r="I105" s="190"/>
      <c r="J105" s="207"/>
      <c r="K105" s="193"/>
      <c r="L105" s="182"/>
      <c r="M105" s="213"/>
      <c r="N105" s="193" t="str">
        <f t="shared" si="5"/>
        <v/>
      </c>
      <c r="O105" s="184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</row>
    <row r="106">
      <c r="A106" s="205"/>
      <c r="B106" s="207"/>
      <c r="C106" s="207"/>
      <c r="D106" s="193"/>
      <c r="E106" s="207"/>
      <c r="F106" s="207"/>
      <c r="G106" s="188"/>
      <c r="H106" s="188"/>
      <c r="I106" s="190"/>
      <c r="J106" s="207"/>
      <c r="K106" s="193"/>
      <c r="L106" s="182"/>
      <c r="M106" s="213"/>
      <c r="N106" s="193" t="str">
        <f t="shared" si="5"/>
        <v/>
      </c>
      <c r="O106" s="184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</row>
    <row r="107">
      <c r="A107" s="205"/>
      <c r="B107" s="207"/>
      <c r="C107" s="207"/>
      <c r="D107" s="193"/>
      <c r="E107" s="207"/>
      <c r="F107" s="207"/>
      <c r="G107" s="188"/>
      <c r="H107" s="188"/>
      <c r="I107" s="190"/>
      <c r="J107" s="207"/>
      <c r="K107" s="193"/>
      <c r="L107" s="182"/>
      <c r="M107" s="213"/>
      <c r="N107" s="193" t="str">
        <f t="shared" si="5"/>
        <v/>
      </c>
      <c r="O107" s="184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</row>
    <row r="108">
      <c r="A108" s="205"/>
      <c r="B108" s="207"/>
      <c r="C108" s="207"/>
      <c r="D108" s="193"/>
      <c r="E108" s="207"/>
      <c r="F108" s="207"/>
      <c r="G108" s="188"/>
      <c r="H108" s="188"/>
      <c r="I108" s="190"/>
      <c r="J108" s="207"/>
      <c r="K108" s="193"/>
      <c r="L108" s="182"/>
      <c r="M108" s="213"/>
      <c r="N108" s="193" t="str">
        <f t="shared" si="5"/>
        <v/>
      </c>
      <c r="O108" s="184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</row>
    <row r="109">
      <c r="A109" s="205"/>
      <c r="B109" s="207"/>
      <c r="C109" s="207"/>
      <c r="D109" s="193"/>
      <c r="E109" s="207"/>
      <c r="F109" s="207"/>
      <c r="G109" s="188"/>
      <c r="H109" s="188"/>
      <c r="I109" s="190"/>
      <c r="J109" s="207"/>
      <c r="K109" s="193"/>
      <c r="L109" s="182"/>
      <c r="M109" s="213"/>
      <c r="N109" s="193" t="str">
        <f t="shared" si="5"/>
        <v/>
      </c>
      <c r="O109" s="184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</row>
    <row r="110">
      <c r="A110" s="205"/>
      <c r="B110" s="207"/>
      <c r="C110" s="207"/>
      <c r="D110" s="193"/>
      <c r="E110" s="207"/>
      <c r="F110" s="207"/>
      <c r="G110" s="188"/>
      <c r="H110" s="188"/>
      <c r="I110" s="190"/>
      <c r="J110" s="207"/>
      <c r="K110" s="193"/>
      <c r="L110" s="182"/>
      <c r="M110" s="213"/>
      <c r="N110" s="193" t="str">
        <f t="shared" si="5"/>
        <v/>
      </c>
      <c r="O110" s="184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</row>
    <row r="111">
      <c r="A111" s="205"/>
      <c r="B111" s="207"/>
      <c r="C111" s="207"/>
      <c r="D111" s="193"/>
      <c r="E111" s="207"/>
      <c r="F111" s="207"/>
      <c r="G111" s="188"/>
      <c r="H111" s="188"/>
      <c r="I111" s="190"/>
      <c r="J111" s="207"/>
      <c r="K111" s="193"/>
      <c r="L111" s="182"/>
      <c r="M111" s="213"/>
      <c r="N111" s="193" t="str">
        <f t="shared" si="5"/>
        <v/>
      </c>
      <c r="O111" s="184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</row>
    <row r="112">
      <c r="A112" s="205"/>
      <c r="B112" s="207"/>
      <c r="C112" s="207"/>
      <c r="D112" s="193"/>
      <c r="E112" s="207"/>
      <c r="F112" s="207"/>
      <c r="G112" s="188"/>
      <c r="H112" s="188"/>
      <c r="I112" s="190"/>
      <c r="J112" s="207"/>
      <c r="K112" s="193"/>
      <c r="L112" s="182"/>
      <c r="M112" s="213"/>
      <c r="N112" s="193" t="str">
        <f t="shared" si="5"/>
        <v/>
      </c>
      <c r="O112" s="184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</row>
    <row r="113">
      <c r="A113" s="205"/>
      <c r="B113" s="207"/>
      <c r="C113" s="207"/>
      <c r="D113" s="193"/>
      <c r="E113" s="207"/>
      <c r="F113" s="207"/>
      <c r="G113" s="188"/>
      <c r="H113" s="188"/>
      <c r="I113" s="190"/>
      <c r="J113" s="207"/>
      <c r="K113" s="193"/>
      <c r="L113" s="182"/>
      <c r="M113" s="213"/>
      <c r="N113" s="193" t="str">
        <f t="shared" si="5"/>
        <v/>
      </c>
      <c r="O113" s="184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</row>
    <row r="114">
      <c r="A114" s="205"/>
      <c r="B114" s="207"/>
      <c r="C114" s="207"/>
      <c r="D114" s="193"/>
      <c r="E114" s="207"/>
      <c r="F114" s="207"/>
      <c r="G114" s="188"/>
      <c r="H114" s="188"/>
      <c r="I114" s="190"/>
      <c r="J114" s="207"/>
      <c r="K114" s="193"/>
      <c r="L114" s="182"/>
      <c r="M114" s="213"/>
      <c r="N114" s="193" t="str">
        <f t="shared" si="5"/>
        <v/>
      </c>
      <c r="O114" s="184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</row>
    <row r="115">
      <c r="A115" s="205"/>
      <c r="B115" s="207"/>
      <c r="C115" s="207"/>
      <c r="D115" s="193"/>
      <c r="E115" s="207"/>
      <c r="F115" s="207"/>
      <c r="G115" s="188"/>
      <c r="H115" s="188"/>
      <c r="I115" s="190"/>
      <c r="J115" s="207"/>
      <c r="K115" s="193"/>
      <c r="L115" s="182"/>
      <c r="M115" s="213"/>
      <c r="N115" s="193" t="str">
        <f t="shared" si="5"/>
        <v/>
      </c>
      <c r="O115" s="184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</row>
    <row r="116">
      <c r="A116" s="205"/>
      <c r="B116" s="207"/>
      <c r="C116" s="207"/>
      <c r="D116" s="193"/>
      <c r="E116" s="207"/>
      <c r="F116" s="207"/>
      <c r="G116" s="188"/>
      <c r="H116" s="188"/>
      <c r="I116" s="190"/>
      <c r="J116" s="207"/>
      <c r="K116" s="193"/>
      <c r="L116" s="182"/>
      <c r="M116" s="213"/>
      <c r="N116" s="193" t="str">
        <f t="shared" si="5"/>
        <v/>
      </c>
      <c r="O116" s="184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</row>
    <row r="117">
      <c r="A117" s="205"/>
      <c r="B117" s="207"/>
      <c r="C117" s="207"/>
      <c r="D117" s="193"/>
      <c r="E117" s="207"/>
      <c r="F117" s="207"/>
      <c r="G117" s="188"/>
      <c r="H117" s="188"/>
      <c r="I117" s="190"/>
      <c r="J117" s="207"/>
      <c r="K117" s="193"/>
      <c r="L117" s="182"/>
      <c r="M117" s="213"/>
      <c r="N117" s="193" t="str">
        <f t="shared" si="5"/>
        <v/>
      </c>
      <c r="O117" s="184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</row>
    <row r="118">
      <c r="A118" s="205"/>
      <c r="B118" s="207"/>
      <c r="C118" s="207"/>
      <c r="D118" s="193"/>
      <c r="E118" s="207"/>
      <c r="F118" s="207"/>
      <c r="G118" s="188"/>
      <c r="H118" s="188"/>
      <c r="I118" s="190"/>
      <c r="J118" s="207"/>
      <c r="K118" s="193"/>
      <c r="L118" s="182"/>
      <c r="M118" s="213"/>
      <c r="N118" s="193" t="str">
        <f t="shared" si="5"/>
        <v/>
      </c>
      <c r="O118" s="184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</row>
    <row r="119">
      <c r="A119" s="205"/>
      <c r="B119" s="207"/>
      <c r="C119" s="207"/>
      <c r="D119" s="193"/>
      <c r="E119" s="207"/>
      <c r="F119" s="207"/>
      <c r="G119" s="188"/>
      <c r="H119" s="188"/>
      <c r="I119" s="190"/>
      <c r="J119" s="207"/>
      <c r="K119" s="193"/>
      <c r="L119" s="182"/>
      <c r="M119" s="213"/>
      <c r="N119" s="193" t="str">
        <f t="shared" si="5"/>
        <v/>
      </c>
      <c r="O119" s="184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</row>
    <row r="120">
      <c r="A120" s="205"/>
      <c r="B120" s="207"/>
      <c r="C120" s="207"/>
      <c r="D120" s="193"/>
      <c r="E120" s="207"/>
      <c r="F120" s="207"/>
      <c r="G120" s="188"/>
      <c r="H120" s="188"/>
      <c r="I120" s="190"/>
      <c r="J120" s="207"/>
      <c r="K120" s="193"/>
      <c r="L120" s="182"/>
      <c r="M120" s="213"/>
      <c r="N120" s="193" t="str">
        <f t="shared" si="5"/>
        <v/>
      </c>
      <c r="O120" s="184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</row>
    <row r="121">
      <c r="A121" s="205"/>
      <c r="B121" s="207"/>
      <c r="C121" s="207"/>
      <c r="D121" s="193"/>
      <c r="E121" s="207"/>
      <c r="F121" s="207"/>
      <c r="G121" s="188"/>
      <c r="H121" s="188"/>
      <c r="I121" s="190"/>
      <c r="J121" s="207"/>
      <c r="K121" s="193"/>
      <c r="L121" s="182"/>
      <c r="M121" s="213"/>
      <c r="N121" s="193" t="str">
        <f t="shared" si="5"/>
        <v/>
      </c>
      <c r="O121" s="184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</row>
    <row r="122">
      <c r="A122" s="205"/>
      <c r="B122" s="207"/>
      <c r="C122" s="207"/>
      <c r="D122" s="193"/>
      <c r="E122" s="207"/>
      <c r="F122" s="207"/>
      <c r="G122" s="188"/>
      <c r="H122" s="188"/>
      <c r="I122" s="190"/>
      <c r="J122" s="207"/>
      <c r="K122" s="193"/>
      <c r="L122" s="182"/>
      <c r="M122" s="213"/>
      <c r="N122" s="193" t="str">
        <f t="shared" si="5"/>
        <v/>
      </c>
      <c r="O122" s="184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</row>
    <row r="123">
      <c r="A123" s="205"/>
      <c r="B123" s="207"/>
      <c r="C123" s="207"/>
      <c r="D123" s="193"/>
      <c r="E123" s="207"/>
      <c r="F123" s="207"/>
      <c r="G123" s="188"/>
      <c r="H123" s="188"/>
      <c r="I123" s="190"/>
      <c r="J123" s="207"/>
      <c r="K123" s="193"/>
      <c r="L123" s="182"/>
      <c r="M123" s="213"/>
      <c r="N123" s="193" t="str">
        <f t="shared" si="5"/>
        <v/>
      </c>
      <c r="O123" s="184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</row>
    <row r="124">
      <c r="A124" s="205"/>
      <c r="B124" s="207"/>
      <c r="C124" s="207"/>
      <c r="D124" s="193"/>
      <c r="E124" s="207"/>
      <c r="F124" s="207"/>
      <c r="G124" s="188"/>
      <c r="H124" s="188"/>
      <c r="I124" s="190"/>
      <c r="J124" s="207"/>
      <c r="K124" s="193"/>
      <c r="L124" s="182"/>
      <c r="M124" s="213"/>
      <c r="N124" s="193" t="str">
        <f t="shared" si="5"/>
        <v/>
      </c>
      <c r="O124" s="184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</row>
    <row r="125">
      <c r="A125" s="205"/>
      <c r="B125" s="207"/>
      <c r="C125" s="207"/>
      <c r="D125" s="193"/>
      <c r="E125" s="207"/>
      <c r="F125" s="207"/>
      <c r="G125" s="188"/>
      <c r="H125" s="188"/>
      <c r="I125" s="190"/>
      <c r="J125" s="207"/>
      <c r="K125" s="193"/>
      <c r="L125" s="182"/>
      <c r="M125" s="213"/>
      <c r="N125" s="193" t="str">
        <f t="shared" si="5"/>
        <v/>
      </c>
      <c r="O125" s="184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</row>
    <row r="126">
      <c r="A126" s="205"/>
      <c r="B126" s="207"/>
      <c r="C126" s="207"/>
      <c r="D126" s="193"/>
      <c r="E126" s="207"/>
      <c r="F126" s="207"/>
      <c r="G126" s="188"/>
      <c r="H126" s="188"/>
      <c r="I126" s="190"/>
      <c r="J126" s="207"/>
      <c r="K126" s="193"/>
      <c r="L126" s="182"/>
      <c r="M126" s="213"/>
      <c r="N126" s="193" t="str">
        <f t="shared" si="5"/>
        <v/>
      </c>
      <c r="O126" s="184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</row>
    <row r="127">
      <c r="A127" s="205"/>
      <c r="B127" s="207"/>
      <c r="C127" s="207"/>
      <c r="D127" s="193"/>
      <c r="E127" s="207"/>
      <c r="F127" s="207"/>
      <c r="G127" s="188"/>
      <c r="H127" s="188"/>
      <c r="I127" s="190"/>
      <c r="J127" s="207"/>
      <c r="K127" s="193"/>
      <c r="L127" s="182"/>
      <c r="M127" s="213"/>
      <c r="N127" s="193" t="str">
        <f t="shared" si="5"/>
        <v/>
      </c>
      <c r="O127" s="184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</row>
    <row r="128">
      <c r="A128" s="205"/>
      <c r="B128" s="207"/>
      <c r="C128" s="207"/>
      <c r="D128" s="193"/>
      <c r="E128" s="207"/>
      <c r="F128" s="207"/>
      <c r="G128" s="188"/>
      <c r="H128" s="188"/>
      <c r="I128" s="190"/>
      <c r="J128" s="207"/>
      <c r="K128" s="193"/>
      <c r="L128" s="182"/>
      <c r="M128" s="213"/>
      <c r="N128" s="193" t="str">
        <f t="shared" si="5"/>
        <v/>
      </c>
      <c r="O128" s="184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</row>
    <row r="129">
      <c r="A129" s="205"/>
      <c r="B129" s="207"/>
      <c r="C129" s="207"/>
      <c r="D129" s="193"/>
      <c r="E129" s="207"/>
      <c r="F129" s="207"/>
      <c r="G129" s="188"/>
      <c r="H129" s="188"/>
      <c r="I129" s="190"/>
      <c r="J129" s="207"/>
      <c r="K129" s="193"/>
      <c r="L129" s="182"/>
      <c r="M129" s="213"/>
      <c r="N129" s="193" t="str">
        <f t="shared" si="5"/>
        <v/>
      </c>
      <c r="O129" s="184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</row>
    <row r="130">
      <c r="A130" s="205"/>
      <c r="B130" s="207"/>
      <c r="C130" s="207"/>
      <c r="D130" s="193"/>
      <c r="E130" s="207"/>
      <c r="F130" s="207"/>
      <c r="G130" s="188"/>
      <c r="H130" s="188"/>
      <c r="I130" s="190"/>
      <c r="J130" s="207"/>
      <c r="K130" s="193"/>
      <c r="L130" s="182"/>
      <c r="M130" s="213"/>
      <c r="N130" s="193" t="str">
        <f t="shared" si="5"/>
        <v/>
      </c>
      <c r="O130" s="184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</row>
    <row r="131">
      <c r="A131" s="205"/>
      <c r="B131" s="207"/>
      <c r="C131" s="207"/>
      <c r="D131" s="193"/>
      <c r="E131" s="207"/>
      <c r="F131" s="207"/>
      <c r="G131" s="188"/>
      <c r="H131" s="188"/>
      <c r="I131" s="190"/>
      <c r="J131" s="207"/>
      <c r="K131" s="193"/>
      <c r="L131" s="182"/>
      <c r="M131" s="213"/>
      <c r="N131" s="193" t="str">
        <f t="shared" si="5"/>
        <v/>
      </c>
      <c r="O131" s="184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</row>
    <row r="132">
      <c r="A132" s="205"/>
      <c r="B132" s="207"/>
      <c r="C132" s="207"/>
      <c r="D132" s="193"/>
      <c r="E132" s="207"/>
      <c r="F132" s="207"/>
      <c r="G132" s="188"/>
      <c r="H132" s="188"/>
      <c r="I132" s="190"/>
      <c r="J132" s="207"/>
      <c r="K132" s="193"/>
      <c r="L132" s="182"/>
      <c r="M132" s="213"/>
      <c r="N132" s="193" t="str">
        <f t="shared" si="5"/>
        <v/>
      </c>
      <c r="O132" s="184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</row>
    <row r="133">
      <c r="A133" s="205"/>
      <c r="B133" s="207"/>
      <c r="C133" s="207"/>
      <c r="D133" s="193"/>
      <c r="E133" s="207"/>
      <c r="F133" s="207"/>
      <c r="G133" s="188"/>
      <c r="H133" s="188"/>
      <c r="I133" s="190"/>
      <c r="J133" s="207"/>
      <c r="K133" s="193"/>
      <c r="L133" s="182"/>
      <c r="M133" s="213"/>
      <c r="N133" s="193" t="str">
        <f t="shared" si="5"/>
        <v/>
      </c>
      <c r="O133" s="184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</row>
    <row r="134">
      <c r="A134" s="205"/>
      <c r="B134" s="207"/>
      <c r="C134" s="207"/>
      <c r="D134" s="193"/>
      <c r="E134" s="207"/>
      <c r="F134" s="207"/>
      <c r="G134" s="188"/>
      <c r="H134" s="188"/>
      <c r="I134" s="190"/>
      <c r="J134" s="207"/>
      <c r="K134" s="193"/>
      <c r="L134" s="182"/>
      <c r="M134" s="213"/>
      <c r="N134" s="193" t="str">
        <f t="shared" si="5"/>
        <v/>
      </c>
      <c r="O134" s="184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</row>
    <row r="135">
      <c r="A135" s="205"/>
      <c r="B135" s="207"/>
      <c r="C135" s="207"/>
      <c r="D135" s="193"/>
      <c r="E135" s="207"/>
      <c r="F135" s="207"/>
      <c r="G135" s="188"/>
      <c r="H135" s="188"/>
      <c r="I135" s="190"/>
      <c r="J135" s="207"/>
      <c r="K135" s="193"/>
      <c r="L135" s="182"/>
      <c r="M135" s="213"/>
      <c r="N135" s="193" t="str">
        <f t="shared" si="5"/>
        <v/>
      </c>
      <c r="O135" s="184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</row>
    <row r="136">
      <c r="A136" s="205"/>
      <c r="B136" s="207"/>
      <c r="C136" s="207"/>
      <c r="D136" s="193"/>
      <c r="E136" s="207"/>
      <c r="F136" s="207"/>
      <c r="G136" s="188"/>
      <c r="H136" s="188"/>
      <c r="I136" s="190"/>
      <c r="J136" s="207"/>
      <c r="K136" s="193"/>
      <c r="L136" s="182"/>
      <c r="M136" s="213"/>
      <c r="N136" s="193" t="str">
        <f t="shared" si="5"/>
        <v/>
      </c>
      <c r="O136" s="184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</row>
    <row r="137">
      <c r="A137" s="205"/>
      <c r="B137" s="207"/>
      <c r="C137" s="207"/>
      <c r="D137" s="193"/>
      <c r="E137" s="207"/>
      <c r="F137" s="207"/>
      <c r="G137" s="188"/>
      <c r="H137" s="188"/>
      <c r="I137" s="190"/>
      <c r="J137" s="207"/>
      <c r="K137" s="193"/>
      <c r="L137" s="182"/>
      <c r="M137" s="213"/>
      <c r="N137" s="193" t="str">
        <f t="shared" si="5"/>
        <v/>
      </c>
      <c r="O137" s="184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</row>
    <row r="138">
      <c r="A138" s="205"/>
      <c r="B138" s="207"/>
      <c r="C138" s="207"/>
      <c r="D138" s="193"/>
      <c r="E138" s="207"/>
      <c r="F138" s="207"/>
      <c r="G138" s="188"/>
      <c r="H138" s="188"/>
      <c r="I138" s="190"/>
      <c r="J138" s="207"/>
      <c r="K138" s="193"/>
      <c r="L138" s="182"/>
      <c r="M138" s="213"/>
      <c r="N138" s="193" t="str">
        <f t="shared" si="5"/>
        <v/>
      </c>
      <c r="O138" s="184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</row>
    <row r="139">
      <c r="A139" s="205"/>
      <c r="B139" s="207"/>
      <c r="C139" s="207"/>
      <c r="D139" s="193"/>
      <c r="E139" s="207"/>
      <c r="F139" s="207"/>
      <c r="G139" s="188"/>
      <c r="H139" s="188"/>
      <c r="I139" s="190"/>
      <c r="J139" s="207"/>
      <c r="K139" s="193"/>
      <c r="L139" s="182"/>
      <c r="M139" s="213"/>
      <c r="N139" s="193" t="str">
        <f t="shared" si="5"/>
        <v/>
      </c>
      <c r="O139" s="184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</row>
    <row r="140">
      <c r="A140" s="205"/>
      <c r="B140" s="207"/>
      <c r="C140" s="207"/>
      <c r="D140" s="193"/>
      <c r="E140" s="207"/>
      <c r="F140" s="207"/>
      <c r="G140" s="188"/>
      <c r="H140" s="188"/>
      <c r="I140" s="190"/>
      <c r="J140" s="207"/>
      <c r="K140" s="193"/>
      <c r="L140" s="182"/>
      <c r="M140" s="213"/>
      <c r="N140" s="193" t="str">
        <f t="shared" si="5"/>
        <v/>
      </c>
      <c r="O140" s="184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</row>
    <row r="141">
      <c r="A141" s="205"/>
      <c r="B141" s="207"/>
      <c r="C141" s="207"/>
      <c r="D141" s="193"/>
      <c r="E141" s="207"/>
      <c r="F141" s="207"/>
      <c r="G141" s="188"/>
      <c r="H141" s="188"/>
      <c r="I141" s="190"/>
      <c r="J141" s="207"/>
      <c r="K141" s="193"/>
      <c r="L141" s="182"/>
      <c r="M141" s="213"/>
      <c r="N141" s="193" t="str">
        <f t="shared" si="5"/>
        <v/>
      </c>
      <c r="O141" s="184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</row>
    <row r="142">
      <c r="A142" s="205"/>
      <c r="B142" s="207"/>
      <c r="C142" s="207"/>
      <c r="D142" s="193"/>
      <c r="E142" s="207"/>
      <c r="F142" s="207"/>
      <c r="G142" s="188"/>
      <c r="H142" s="188"/>
      <c r="I142" s="190"/>
      <c r="J142" s="207"/>
      <c r="K142" s="193"/>
      <c r="L142" s="182"/>
      <c r="M142" s="213"/>
      <c r="N142" s="193" t="str">
        <f t="shared" si="5"/>
        <v/>
      </c>
      <c r="O142" s="184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</row>
    <row r="143">
      <c r="A143" s="205"/>
      <c r="B143" s="207"/>
      <c r="C143" s="207"/>
      <c r="D143" s="193"/>
      <c r="E143" s="207"/>
      <c r="F143" s="207"/>
      <c r="G143" s="188"/>
      <c r="H143" s="188"/>
      <c r="I143" s="190"/>
      <c r="J143" s="207"/>
      <c r="K143" s="193"/>
      <c r="L143" s="182"/>
      <c r="M143" s="213"/>
      <c r="N143" s="193" t="str">
        <f t="shared" si="5"/>
        <v/>
      </c>
      <c r="O143" s="184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</row>
    <row r="144">
      <c r="A144" s="205"/>
      <c r="B144" s="207"/>
      <c r="C144" s="207"/>
      <c r="D144" s="193"/>
      <c r="E144" s="207"/>
      <c r="F144" s="207"/>
      <c r="G144" s="188"/>
      <c r="H144" s="188"/>
      <c r="I144" s="190"/>
      <c r="J144" s="207"/>
      <c r="K144" s="193"/>
      <c r="L144" s="182"/>
      <c r="M144" s="213"/>
      <c r="N144" s="193" t="str">
        <f t="shared" si="5"/>
        <v/>
      </c>
      <c r="O144" s="184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</row>
    <row r="145">
      <c r="A145" s="205"/>
      <c r="B145" s="207"/>
      <c r="C145" s="207"/>
      <c r="D145" s="193"/>
      <c r="E145" s="207"/>
      <c r="F145" s="207"/>
      <c r="G145" s="188"/>
      <c r="H145" s="188"/>
      <c r="I145" s="190"/>
      <c r="J145" s="207"/>
      <c r="K145" s="193"/>
      <c r="L145" s="182"/>
      <c r="M145" s="213"/>
      <c r="N145" s="193" t="str">
        <f t="shared" si="5"/>
        <v/>
      </c>
      <c r="O145" s="184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</row>
    <row r="146">
      <c r="A146" s="205"/>
      <c r="B146" s="207"/>
      <c r="C146" s="207"/>
      <c r="D146" s="193"/>
      <c r="E146" s="207"/>
      <c r="F146" s="207"/>
      <c r="G146" s="188"/>
      <c r="H146" s="188"/>
      <c r="I146" s="190"/>
      <c r="J146" s="207"/>
      <c r="K146" s="193"/>
      <c r="L146" s="182"/>
      <c r="M146" s="213"/>
      <c r="N146" s="193" t="str">
        <f t="shared" si="5"/>
        <v/>
      </c>
      <c r="O146" s="184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</row>
    <row r="147">
      <c r="A147" s="205"/>
      <c r="B147" s="207"/>
      <c r="C147" s="207"/>
      <c r="D147" s="193"/>
      <c r="E147" s="207"/>
      <c r="F147" s="207"/>
      <c r="G147" s="188"/>
      <c r="H147" s="188"/>
      <c r="I147" s="190"/>
      <c r="J147" s="207"/>
      <c r="K147" s="193"/>
      <c r="L147" s="182"/>
      <c r="M147" s="213"/>
      <c r="N147" s="193" t="str">
        <f t="shared" si="5"/>
        <v/>
      </c>
      <c r="O147" s="184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</row>
    <row r="148">
      <c r="A148" s="205"/>
      <c r="B148" s="207"/>
      <c r="C148" s="207"/>
      <c r="D148" s="193"/>
      <c r="E148" s="207"/>
      <c r="F148" s="207"/>
      <c r="G148" s="188"/>
      <c r="H148" s="188"/>
      <c r="I148" s="190"/>
      <c r="J148" s="207"/>
      <c r="K148" s="193"/>
      <c r="L148" s="182"/>
      <c r="M148" s="213"/>
      <c r="N148" s="193" t="str">
        <f t="shared" si="5"/>
        <v/>
      </c>
      <c r="O148" s="184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</row>
    <row r="149">
      <c r="A149" s="205"/>
      <c r="B149" s="207"/>
      <c r="C149" s="207"/>
      <c r="D149" s="193"/>
      <c r="E149" s="207"/>
      <c r="F149" s="207"/>
      <c r="G149" s="188"/>
      <c r="H149" s="188"/>
      <c r="I149" s="190"/>
      <c r="J149" s="207"/>
      <c r="K149" s="193"/>
      <c r="L149" s="182"/>
      <c r="M149" s="213"/>
      <c r="N149" s="193" t="str">
        <f t="shared" si="5"/>
        <v/>
      </c>
      <c r="O149" s="184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</row>
    <row r="150">
      <c r="A150" s="205"/>
      <c r="B150" s="207"/>
      <c r="C150" s="207"/>
      <c r="D150" s="193"/>
      <c r="E150" s="207"/>
      <c r="F150" s="207"/>
      <c r="G150" s="188"/>
      <c r="H150" s="188"/>
      <c r="I150" s="190"/>
      <c r="J150" s="207"/>
      <c r="K150" s="193"/>
      <c r="L150" s="182"/>
      <c r="M150" s="213"/>
      <c r="N150" s="193" t="str">
        <f t="shared" si="5"/>
        <v/>
      </c>
      <c r="O150" s="184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</row>
    <row r="151">
      <c r="A151" s="205"/>
      <c r="B151" s="207"/>
      <c r="C151" s="207"/>
      <c r="D151" s="193"/>
      <c r="E151" s="207"/>
      <c r="F151" s="207"/>
      <c r="G151" s="188"/>
      <c r="H151" s="188"/>
      <c r="I151" s="190"/>
      <c r="J151" s="207"/>
      <c r="K151" s="193"/>
      <c r="L151" s="182"/>
      <c r="M151" s="213"/>
      <c r="N151" s="193" t="str">
        <f t="shared" si="5"/>
        <v/>
      </c>
      <c r="O151" s="184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</row>
    <row r="152">
      <c r="A152" s="205"/>
      <c r="B152" s="207"/>
      <c r="C152" s="207"/>
      <c r="D152" s="193"/>
      <c r="E152" s="207"/>
      <c r="F152" s="207"/>
      <c r="G152" s="188"/>
      <c r="H152" s="188"/>
      <c r="I152" s="190"/>
      <c r="J152" s="207"/>
      <c r="K152" s="193"/>
      <c r="L152" s="182"/>
      <c r="M152" s="213"/>
      <c r="N152" s="193" t="str">
        <f t="shared" si="5"/>
        <v/>
      </c>
      <c r="O152" s="184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</row>
    <row r="153">
      <c r="A153" s="205"/>
      <c r="B153" s="207"/>
      <c r="C153" s="207"/>
      <c r="D153" s="193"/>
      <c r="E153" s="207"/>
      <c r="F153" s="207"/>
      <c r="G153" s="188"/>
      <c r="H153" s="188"/>
      <c r="I153" s="190"/>
      <c r="J153" s="207"/>
      <c r="K153" s="193"/>
      <c r="L153" s="182"/>
      <c r="M153" s="213"/>
      <c r="N153" s="193" t="str">
        <f t="shared" si="5"/>
        <v/>
      </c>
      <c r="O153" s="184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</row>
    <row r="154">
      <c r="A154" s="205"/>
      <c r="B154" s="207"/>
      <c r="C154" s="207"/>
      <c r="D154" s="193"/>
      <c r="E154" s="207"/>
      <c r="F154" s="207"/>
      <c r="G154" s="188"/>
      <c r="H154" s="188"/>
      <c r="I154" s="190"/>
      <c r="J154" s="207"/>
      <c r="K154" s="193"/>
      <c r="L154" s="182"/>
      <c r="M154" s="213"/>
      <c r="N154" s="193" t="str">
        <f t="shared" si="5"/>
        <v/>
      </c>
      <c r="O154" s="184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</row>
    <row r="155">
      <c r="A155" s="205"/>
      <c r="B155" s="207"/>
      <c r="C155" s="207"/>
      <c r="D155" s="193"/>
      <c r="E155" s="207"/>
      <c r="F155" s="207"/>
      <c r="G155" s="188"/>
      <c r="H155" s="188"/>
      <c r="I155" s="190"/>
      <c r="J155" s="207"/>
      <c r="K155" s="193"/>
      <c r="L155" s="182"/>
      <c r="M155" s="213"/>
      <c r="N155" s="193" t="str">
        <f t="shared" si="5"/>
        <v/>
      </c>
      <c r="O155" s="184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</row>
    <row r="156">
      <c r="A156" s="205"/>
      <c r="B156" s="207"/>
      <c r="C156" s="207"/>
      <c r="D156" s="193"/>
      <c r="E156" s="207"/>
      <c r="F156" s="207"/>
      <c r="G156" s="188"/>
      <c r="H156" s="188"/>
      <c r="I156" s="190"/>
      <c r="J156" s="207"/>
      <c r="K156" s="193"/>
      <c r="L156" s="182"/>
      <c r="M156" s="213"/>
      <c r="N156" s="193" t="str">
        <f t="shared" si="5"/>
        <v/>
      </c>
      <c r="O156" s="184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</row>
    <row r="157">
      <c r="A157" s="205"/>
      <c r="B157" s="207"/>
      <c r="C157" s="207"/>
      <c r="D157" s="193"/>
      <c r="E157" s="207"/>
      <c r="F157" s="207"/>
      <c r="G157" s="188"/>
      <c r="H157" s="188"/>
      <c r="I157" s="190"/>
      <c r="J157" s="207"/>
      <c r="K157" s="193"/>
      <c r="L157" s="182"/>
      <c r="M157" s="213"/>
      <c r="N157" s="193" t="str">
        <f t="shared" si="5"/>
        <v/>
      </c>
      <c r="O157" s="184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</row>
    <row r="158">
      <c r="A158" s="205"/>
      <c r="B158" s="207"/>
      <c r="C158" s="207"/>
      <c r="D158" s="193"/>
      <c r="E158" s="207"/>
      <c r="F158" s="207"/>
      <c r="G158" s="188"/>
      <c r="H158" s="188"/>
      <c r="I158" s="190"/>
      <c r="J158" s="207"/>
      <c r="K158" s="193"/>
      <c r="L158" s="182"/>
      <c r="M158" s="213"/>
      <c r="N158" s="193" t="str">
        <f t="shared" si="5"/>
        <v/>
      </c>
      <c r="O158" s="184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</row>
    <row r="159">
      <c r="A159" s="205"/>
      <c r="B159" s="207"/>
      <c r="C159" s="207"/>
      <c r="D159" s="193"/>
      <c r="E159" s="207"/>
      <c r="F159" s="207"/>
      <c r="G159" s="188"/>
      <c r="H159" s="188"/>
      <c r="I159" s="190"/>
      <c r="J159" s="207"/>
      <c r="K159" s="193"/>
      <c r="L159" s="182"/>
      <c r="M159" s="213"/>
      <c r="N159" s="193" t="str">
        <f t="shared" si="5"/>
        <v/>
      </c>
      <c r="O159" s="184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</row>
  </sheetData>
  <conditionalFormatting sqref="D1 N2:N159">
    <cfRule type="cellIs" dxfId="0" priority="1" operator="lessThanOrEqual">
      <formula>0</formula>
    </cfRule>
  </conditionalFormatting>
  <conditionalFormatting sqref="C1 M2:M159">
    <cfRule type="containsBlanks" dxfId="2" priority="2">
      <formula>LEN(TRIM(C1))=0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75"/>
  <cols>
    <col customWidth="1" min="1" max="1" width="10.71"/>
    <col customWidth="1" min="2" max="2" width="11.14"/>
    <col customWidth="1" min="3" max="10" width="10.71"/>
    <col customWidth="1" min="11" max="12" width="10.86"/>
    <col customWidth="1" min="13" max="15" width="10.71"/>
    <col customWidth="1" min="16" max="16" width="11.0"/>
  </cols>
  <sheetData>
    <row r="1" ht="36.0" customHeight="1">
      <c r="B1" s="22" t="s">
        <v>481</v>
      </c>
      <c r="C1" s="22" t="s">
        <v>486</v>
      </c>
      <c r="D1" s="22" t="s">
        <v>3</v>
      </c>
      <c r="E1" s="22" t="s">
        <v>487</v>
      </c>
      <c r="F1" s="22" t="s">
        <v>488</v>
      </c>
      <c r="G1" s="22" t="s">
        <v>489</v>
      </c>
      <c r="H1" s="22" t="s">
        <v>490</v>
      </c>
      <c r="I1" s="22" t="s">
        <v>512</v>
      </c>
      <c r="J1" s="22" t="s">
        <v>491</v>
      </c>
      <c r="K1" s="198" t="s">
        <v>492</v>
      </c>
      <c r="L1" s="200" t="s">
        <v>493</v>
      </c>
      <c r="N1" s="202" t="s">
        <v>494</v>
      </c>
      <c r="O1" s="202" t="s">
        <v>522</v>
      </c>
      <c r="P1" s="202"/>
    </row>
    <row r="2" ht="36.0" customHeight="1">
      <c r="B2" s="204" t="s">
        <v>106</v>
      </c>
      <c r="C2" s="204" t="s">
        <v>523</v>
      </c>
      <c r="D2" s="204" t="s">
        <v>105</v>
      </c>
      <c r="E2" s="210">
        <v>69582.0</v>
      </c>
      <c r="F2" s="204">
        <v>2.0</v>
      </c>
      <c r="G2" s="204" t="s">
        <v>26</v>
      </c>
      <c r="H2" s="204" t="s">
        <v>27</v>
      </c>
      <c r="I2" s="204" t="s">
        <v>525</v>
      </c>
      <c r="J2" s="216">
        <f t="shared" ref="J2:J98" si="1">IF(G2="Y",L2/K2*F2,)</f>
        <v>482.1483333</v>
      </c>
      <c r="K2" s="218">
        <v>12.0</v>
      </c>
      <c r="L2" s="220">
        <v>2892.89</v>
      </c>
      <c r="M2" s="222"/>
      <c r="N2" s="230">
        <f t="shared" ref="N2:N65" si="2">J2/192</f>
        <v>2.511189236</v>
      </c>
      <c r="P2" s="202"/>
    </row>
    <row r="3" ht="24.0" customHeight="1">
      <c r="B3" s="204" t="s">
        <v>106</v>
      </c>
      <c r="C3" s="204" t="s">
        <v>454</v>
      </c>
      <c r="D3" s="204" t="s">
        <v>24</v>
      </c>
      <c r="E3" s="210" t="s">
        <v>479</v>
      </c>
      <c r="F3" s="204">
        <v>2.0</v>
      </c>
      <c r="G3" s="204" t="s">
        <v>27</v>
      </c>
      <c r="H3" s="204" t="s">
        <v>27</v>
      </c>
      <c r="I3" s="204"/>
      <c r="J3" s="216" t="str">
        <f t="shared" si="1"/>
        <v/>
      </c>
      <c r="K3" s="218">
        <v>1.0</v>
      </c>
      <c r="L3" s="220">
        <v>3.99</v>
      </c>
      <c r="M3" s="232"/>
      <c r="N3" s="230">
        <f t="shared" si="2"/>
        <v>0</v>
      </c>
      <c r="P3" s="202"/>
    </row>
    <row r="4" ht="48.0" customHeight="1">
      <c r="B4" s="204" t="s">
        <v>106</v>
      </c>
      <c r="C4" s="204" t="s">
        <v>72</v>
      </c>
      <c r="D4" s="204" t="s">
        <v>24</v>
      </c>
      <c r="E4" s="210" t="s">
        <v>76</v>
      </c>
      <c r="F4" s="204">
        <v>1.0</v>
      </c>
      <c r="G4" s="204" t="s">
        <v>26</v>
      </c>
      <c r="H4" s="204" t="s">
        <v>27</v>
      </c>
      <c r="I4" s="204" t="s">
        <v>532</v>
      </c>
      <c r="J4" s="216">
        <f t="shared" si="1"/>
        <v>0.38125</v>
      </c>
      <c r="K4" s="218">
        <v>200.0</v>
      </c>
      <c r="L4" s="220">
        <v>76.25</v>
      </c>
      <c r="M4" s="222"/>
      <c r="N4" s="230">
        <f t="shared" si="2"/>
        <v>0.001985677083</v>
      </c>
      <c r="P4" s="202"/>
    </row>
    <row r="5" ht="24.0" customHeight="1">
      <c r="B5" s="204" t="s">
        <v>106</v>
      </c>
      <c r="C5" s="204" t="s">
        <v>287</v>
      </c>
      <c r="D5" s="204" t="s">
        <v>24</v>
      </c>
      <c r="E5" s="210" t="s">
        <v>288</v>
      </c>
      <c r="F5" s="204">
        <v>1.0</v>
      </c>
      <c r="G5" s="204" t="s">
        <v>26</v>
      </c>
      <c r="H5" s="204" t="s">
        <v>27</v>
      </c>
      <c r="I5" s="204" t="s">
        <v>532</v>
      </c>
      <c r="J5" s="216">
        <f t="shared" si="1"/>
        <v>0.02885416667</v>
      </c>
      <c r="K5" s="218">
        <v>480.0</v>
      </c>
      <c r="L5" s="220">
        <v>13.85</v>
      </c>
      <c r="M5" s="222"/>
      <c r="N5" s="230">
        <f t="shared" si="2"/>
        <v>0.0001502821181</v>
      </c>
      <c r="P5" s="202"/>
    </row>
    <row r="6" ht="48.0" customHeight="1">
      <c r="B6" s="204" t="s">
        <v>106</v>
      </c>
      <c r="C6" s="204" t="s">
        <v>63</v>
      </c>
      <c r="D6" s="204" t="s">
        <v>24</v>
      </c>
      <c r="E6" s="210" t="s">
        <v>65</v>
      </c>
      <c r="F6" s="204">
        <v>1.0</v>
      </c>
      <c r="G6" s="204" t="s">
        <v>26</v>
      </c>
      <c r="H6" s="204" t="s">
        <v>27</v>
      </c>
      <c r="I6" s="204" t="s">
        <v>532</v>
      </c>
      <c r="J6" s="216">
        <f t="shared" si="1"/>
        <v>0.10666</v>
      </c>
      <c r="K6" s="218">
        <v>500.0</v>
      </c>
      <c r="L6" s="220">
        <v>53.33</v>
      </c>
      <c r="M6" s="232"/>
      <c r="N6" s="230">
        <f t="shared" si="2"/>
        <v>0.0005555208333</v>
      </c>
      <c r="P6" s="202"/>
    </row>
    <row r="7" ht="12.0" customHeight="1">
      <c r="B7" s="216" t="s">
        <v>106</v>
      </c>
      <c r="C7" s="204" t="s">
        <v>533</v>
      </c>
      <c r="D7" s="204" t="s">
        <v>24</v>
      </c>
      <c r="E7" s="210" t="s">
        <v>83</v>
      </c>
      <c r="F7" s="204">
        <v>5.0</v>
      </c>
      <c r="G7" s="204" t="s">
        <v>26</v>
      </c>
      <c r="H7" s="204" t="s">
        <v>27</v>
      </c>
      <c r="I7" s="204" t="s">
        <v>532</v>
      </c>
      <c r="J7" s="216">
        <f t="shared" si="1"/>
        <v>1.69825</v>
      </c>
      <c r="K7" s="218">
        <v>200.0</v>
      </c>
      <c r="L7" s="220">
        <v>67.93</v>
      </c>
      <c r="M7" s="232"/>
      <c r="N7" s="230">
        <f t="shared" si="2"/>
        <v>0.008845052083</v>
      </c>
      <c r="P7" s="202"/>
    </row>
    <row r="8" ht="12.0" customHeight="1">
      <c r="B8" s="204" t="s">
        <v>106</v>
      </c>
      <c r="C8" s="204" t="s">
        <v>534</v>
      </c>
      <c r="D8" s="204" t="s">
        <v>46</v>
      </c>
      <c r="E8" s="204" t="s">
        <v>298</v>
      </c>
      <c r="F8" s="204">
        <v>6.0</v>
      </c>
      <c r="G8" s="204" t="s">
        <v>26</v>
      </c>
      <c r="H8" s="204" t="s">
        <v>27</v>
      </c>
      <c r="I8" s="204" t="s">
        <v>532</v>
      </c>
      <c r="J8" s="216">
        <f t="shared" si="1"/>
        <v>4.0248</v>
      </c>
      <c r="K8" s="218">
        <v>100.0</v>
      </c>
      <c r="L8" s="220">
        <v>67.08</v>
      </c>
      <c r="M8" s="232"/>
      <c r="N8" s="230">
        <f t="shared" si="2"/>
        <v>0.0209625</v>
      </c>
      <c r="P8" s="202"/>
    </row>
    <row r="9" ht="24.0" customHeight="1">
      <c r="B9" s="204" t="s">
        <v>106</v>
      </c>
      <c r="C9" s="204" t="s">
        <v>397</v>
      </c>
      <c r="D9" s="204" t="s">
        <v>344</v>
      </c>
      <c r="E9" s="210" t="s">
        <v>398</v>
      </c>
      <c r="F9" s="204">
        <v>1.0</v>
      </c>
      <c r="G9" s="204" t="s">
        <v>27</v>
      </c>
      <c r="H9" s="204" t="s">
        <v>27</v>
      </c>
      <c r="I9" s="204"/>
      <c r="J9" s="216" t="str">
        <f t="shared" si="1"/>
        <v/>
      </c>
      <c r="K9" s="218"/>
      <c r="L9" s="220"/>
      <c r="M9" s="232"/>
      <c r="N9" s="230">
        <f t="shared" si="2"/>
        <v>0</v>
      </c>
      <c r="P9" s="202"/>
    </row>
    <row r="10" ht="12.0" customHeight="1">
      <c r="B10" s="204" t="s">
        <v>106</v>
      </c>
      <c r="C10" s="204" t="s">
        <v>413</v>
      </c>
      <c r="D10" s="204"/>
      <c r="E10" s="204"/>
      <c r="F10" s="204">
        <v>1.0</v>
      </c>
      <c r="G10" s="204" t="s">
        <v>27</v>
      </c>
      <c r="H10" s="204" t="s">
        <v>27</v>
      </c>
      <c r="I10" s="204"/>
      <c r="J10" s="216" t="str">
        <f t="shared" si="1"/>
        <v/>
      </c>
      <c r="K10" s="218"/>
      <c r="L10" s="220"/>
      <c r="M10" s="232"/>
      <c r="N10" s="230">
        <f t="shared" si="2"/>
        <v>0</v>
      </c>
      <c r="P10" s="202"/>
    </row>
    <row r="11" ht="36.0" customHeight="1">
      <c r="B11" s="204" t="s">
        <v>106</v>
      </c>
      <c r="C11" s="204" t="s">
        <v>290</v>
      </c>
      <c r="D11" s="204" t="s">
        <v>24</v>
      </c>
      <c r="E11" s="204" t="s">
        <v>291</v>
      </c>
      <c r="F11" s="204">
        <v>400.0</v>
      </c>
      <c r="G11" s="204" t="s">
        <v>26</v>
      </c>
      <c r="H11" s="204" t="s">
        <v>27</v>
      </c>
      <c r="I11" s="204" t="s">
        <v>26</v>
      </c>
      <c r="J11" s="216">
        <f t="shared" si="1"/>
        <v>30.50694444</v>
      </c>
      <c r="K11" s="218">
        <v>576.0</v>
      </c>
      <c r="L11" s="220">
        <v>43.93</v>
      </c>
      <c r="M11" s="232"/>
      <c r="N11" s="230">
        <f t="shared" si="2"/>
        <v>0.1588903356</v>
      </c>
      <c r="P11" s="202"/>
    </row>
    <row r="12" ht="48.0" customHeight="1">
      <c r="B12" s="204" t="s">
        <v>106</v>
      </c>
      <c r="C12" s="204" t="s">
        <v>535</v>
      </c>
      <c r="D12" s="204" t="s">
        <v>24</v>
      </c>
      <c r="E12" s="204" t="s">
        <v>293</v>
      </c>
      <c r="F12" s="204">
        <f>8*4</f>
        <v>32</v>
      </c>
      <c r="G12" s="204" t="s">
        <v>26</v>
      </c>
      <c r="H12" s="204" t="s">
        <v>27</v>
      </c>
      <c r="I12" s="204"/>
      <c r="J12" s="216">
        <f t="shared" si="1"/>
        <v>1.065555556</v>
      </c>
      <c r="K12" s="218">
        <v>576.0</v>
      </c>
      <c r="L12" s="220">
        <v>19.18</v>
      </c>
      <c r="M12" s="232"/>
      <c r="N12" s="230">
        <f t="shared" si="2"/>
        <v>0.005549768519</v>
      </c>
      <c r="P12" s="202"/>
    </row>
    <row r="13" ht="24.0" customHeight="1">
      <c r="A13" s="238"/>
      <c r="B13" s="240" t="s">
        <v>495</v>
      </c>
      <c r="C13" s="240" t="s">
        <v>537</v>
      </c>
      <c r="D13" s="242" t="s">
        <v>24</v>
      </c>
      <c r="E13" s="242">
        <v>655076.0</v>
      </c>
      <c r="F13" s="240">
        <v>2.0</v>
      </c>
      <c r="G13" s="240" t="s">
        <v>27</v>
      </c>
      <c r="H13" s="240" t="s">
        <v>27</v>
      </c>
      <c r="I13" s="240" t="s">
        <v>26</v>
      </c>
      <c r="J13" s="243" t="str">
        <f t="shared" si="1"/>
        <v/>
      </c>
      <c r="K13" s="244"/>
      <c r="L13" s="246"/>
      <c r="M13" s="247"/>
      <c r="N13" s="248">
        <f t="shared" si="2"/>
        <v>0</v>
      </c>
      <c r="O13" s="238"/>
      <c r="P13" s="249"/>
    </row>
    <row r="14" ht="24.0" customHeight="1">
      <c r="A14" s="238"/>
      <c r="B14" s="240" t="s">
        <v>495</v>
      </c>
      <c r="C14" s="240" t="s">
        <v>538</v>
      </c>
      <c r="D14" s="240" t="s">
        <v>539</v>
      </c>
      <c r="E14" s="242" t="s">
        <v>540</v>
      </c>
      <c r="F14" s="240">
        <v>27.0</v>
      </c>
      <c r="G14" s="240" t="s">
        <v>26</v>
      </c>
      <c r="H14" s="240" t="s">
        <v>27</v>
      </c>
      <c r="I14" s="240" t="s">
        <v>26</v>
      </c>
      <c r="J14" s="243">
        <f t="shared" si="1"/>
        <v>0</v>
      </c>
      <c r="K14" s="244">
        <v>1.0</v>
      </c>
      <c r="L14" s="246"/>
      <c r="M14" s="247"/>
      <c r="N14" s="248">
        <f t="shared" si="2"/>
        <v>0</v>
      </c>
      <c r="O14" s="238"/>
      <c r="P14" s="249"/>
    </row>
    <row r="15" ht="36.0" customHeight="1">
      <c r="A15" s="238"/>
      <c r="B15" s="240" t="s">
        <v>495</v>
      </c>
      <c r="C15" s="240" t="s">
        <v>249</v>
      </c>
      <c r="D15" s="240" t="s">
        <v>541</v>
      </c>
      <c r="E15" s="242" t="s">
        <v>542</v>
      </c>
      <c r="F15" s="242">
        <v>20.0</v>
      </c>
      <c r="G15" s="240" t="s">
        <v>26</v>
      </c>
      <c r="H15" s="240" t="s">
        <v>27</v>
      </c>
      <c r="I15" s="240" t="s">
        <v>26</v>
      </c>
      <c r="J15" s="243">
        <f t="shared" si="1"/>
        <v>0</v>
      </c>
      <c r="K15" s="244">
        <v>1.0</v>
      </c>
      <c r="L15" s="246"/>
      <c r="M15" s="247"/>
      <c r="N15" s="248">
        <f t="shared" si="2"/>
        <v>0</v>
      </c>
      <c r="O15" s="238"/>
      <c r="P15" s="249"/>
    </row>
    <row r="16" ht="36.0" customHeight="1">
      <c r="B16" s="251" t="s">
        <v>495</v>
      </c>
      <c r="C16" s="251" t="s">
        <v>543</v>
      </c>
      <c r="D16" s="251" t="s">
        <v>541</v>
      </c>
      <c r="E16" s="251" t="s">
        <v>197</v>
      </c>
      <c r="F16" s="251">
        <v>115.0</v>
      </c>
      <c r="G16" s="251" t="s">
        <v>26</v>
      </c>
      <c r="H16" s="251" t="s">
        <v>27</v>
      </c>
      <c r="I16" s="251" t="s">
        <v>26</v>
      </c>
      <c r="J16" s="252">
        <f t="shared" si="1"/>
        <v>41.40575</v>
      </c>
      <c r="K16" s="254">
        <v>1000.0</v>
      </c>
      <c r="L16" s="256">
        <v>360.05</v>
      </c>
      <c r="M16" s="232"/>
      <c r="N16" s="230">
        <f t="shared" si="2"/>
        <v>0.2156549479</v>
      </c>
      <c r="P16" s="202"/>
    </row>
    <row r="17" ht="48.0" customHeight="1">
      <c r="A17" s="238"/>
      <c r="B17" s="240" t="s">
        <v>495</v>
      </c>
      <c r="C17" s="240" t="s">
        <v>63</v>
      </c>
      <c r="D17" s="240" t="s">
        <v>24</v>
      </c>
      <c r="E17" s="257" t="s">
        <v>65</v>
      </c>
      <c r="F17" s="240">
        <v>1.0</v>
      </c>
      <c r="G17" s="240" t="s">
        <v>26</v>
      </c>
      <c r="H17" s="240" t="s">
        <v>27</v>
      </c>
      <c r="I17" s="240" t="s">
        <v>26</v>
      </c>
      <c r="J17" s="243">
        <f t="shared" si="1"/>
        <v>0.10666</v>
      </c>
      <c r="K17" s="244">
        <v>500.0</v>
      </c>
      <c r="L17" s="246">
        <v>53.33</v>
      </c>
      <c r="M17" s="247"/>
      <c r="N17" s="248">
        <f t="shared" si="2"/>
        <v>0.0005555208333</v>
      </c>
      <c r="O17" s="238"/>
      <c r="P17" s="249"/>
    </row>
    <row r="18" ht="36.0" customHeight="1">
      <c r="B18" s="251" t="s">
        <v>495</v>
      </c>
      <c r="C18" s="251" t="s">
        <v>544</v>
      </c>
      <c r="D18" s="251" t="s">
        <v>24</v>
      </c>
      <c r="E18" s="258" t="s">
        <v>82</v>
      </c>
      <c r="F18" s="251">
        <v>1.0</v>
      </c>
      <c r="G18" s="251" t="s">
        <v>26</v>
      </c>
      <c r="H18" s="251" t="s">
        <v>27</v>
      </c>
      <c r="I18" s="259" t="s">
        <v>26</v>
      </c>
      <c r="J18" s="252">
        <f t="shared" si="1"/>
        <v>0.13066</v>
      </c>
      <c r="K18" s="254">
        <v>500.0</v>
      </c>
      <c r="L18" s="256">
        <v>65.33</v>
      </c>
      <c r="M18" s="232"/>
      <c r="N18" s="230">
        <f t="shared" si="2"/>
        <v>0.0006805208333</v>
      </c>
      <c r="P18" s="202"/>
    </row>
    <row r="19" ht="36.0" customHeight="1">
      <c r="B19" s="251" t="s">
        <v>495</v>
      </c>
      <c r="C19" s="251" t="s">
        <v>545</v>
      </c>
      <c r="D19" s="251" t="s">
        <v>24</v>
      </c>
      <c r="E19" s="258" t="s">
        <v>288</v>
      </c>
      <c r="F19" s="251">
        <v>9.0</v>
      </c>
      <c r="G19" s="251" t="s">
        <v>26</v>
      </c>
      <c r="H19" s="251" t="s">
        <v>27</v>
      </c>
      <c r="I19" s="251" t="s">
        <v>26</v>
      </c>
      <c r="J19" s="252">
        <f t="shared" si="1"/>
        <v>0.2996875</v>
      </c>
      <c r="K19" s="254">
        <v>576.0</v>
      </c>
      <c r="L19" s="256">
        <v>19.18</v>
      </c>
      <c r="M19" s="232"/>
      <c r="N19" s="230">
        <f t="shared" si="2"/>
        <v>0.001560872396</v>
      </c>
      <c r="P19" s="202"/>
    </row>
    <row r="20" ht="48.0" customHeight="1">
      <c r="B20" s="259" t="s">
        <v>495</v>
      </c>
      <c r="C20" s="22" t="s">
        <v>287</v>
      </c>
      <c r="D20" s="22" t="s">
        <v>24</v>
      </c>
      <c r="E20" s="261" t="s">
        <v>288</v>
      </c>
      <c r="F20" s="9">
        <v>5.0</v>
      </c>
      <c r="G20" s="22" t="s">
        <v>26</v>
      </c>
      <c r="H20" s="22" t="s">
        <v>27</v>
      </c>
      <c r="I20" s="22" t="s">
        <v>532</v>
      </c>
      <c r="J20" s="262">
        <f t="shared" si="1"/>
        <v>0.1442708333</v>
      </c>
      <c r="K20" s="198">
        <v>480.0</v>
      </c>
      <c r="L20" s="200">
        <v>13.85</v>
      </c>
      <c r="M20" s="232"/>
      <c r="N20" s="230">
        <f t="shared" si="2"/>
        <v>0.0007514105903</v>
      </c>
      <c r="P20" s="202"/>
    </row>
    <row r="21" ht="48.0" customHeight="1">
      <c r="B21" s="259" t="s">
        <v>495</v>
      </c>
      <c r="C21" s="259" t="s">
        <v>472</v>
      </c>
      <c r="D21" s="259" t="s">
        <v>24</v>
      </c>
      <c r="E21" s="263" t="s">
        <v>270</v>
      </c>
      <c r="F21" s="259">
        <v>200.0</v>
      </c>
      <c r="G21" s="259" t="s">
        <v>26</v>
      </c>
      <c r="H21" s="259" t="s">
        <v>27</v>
      </c>
      <c r="I21" s="259" t="s">
        <v>26</v>
      </c>
      <c r="J21" s="252">
        <f t="shared" si="1"/>
        <v>12.33125</v>
      </c>
      <c r="K21" s="265">
        <v>960.0</v>
      </c>
      <c r="L21" s="266">
        <v>59.19</v>
      </c>
      <c r="M21" s="232"/>
      <c r="N21" s="230">
        <f t="shared" si="2"/>
        <v>0.06422526042</v>
      </c>
      <c r="P21" s="202"/>
    </row>
    <row r="22" ht="48.0" customHeight="1">
      <c r="B22" s="251" t="s">
        <v>495</v>
      </c>
      <c r="C22" s="251" t="s">
        <v>275</v>
      </c>
      <c r="D22" s="251" t="s">
        <v>24</v>
      </c>
      <c r="E22" s="258" t="s">
        <v>276</v>
      </c>
      <c r="F22" s="259">
        <v>3.0</v>
      </c>
      <c r="G22" s="251" t="s">
        <v>26</v>
      </c>
      <c r="H22" s="251" t="s">
        <v>27</v>
      </c>
      <c r="I22" s="251" t="s">
        <v>26</v>
      </c>
      <c r="J22" s="252">
        <f t="shared" si="1"/>
        <v>0.09408653846</v>
      </c>
      <c r="K22" s="254">
        <v>1248.0</v>
      </c>
      <c r="L22" s="256">
        <v>39.14</v>
      </c>
      <c r="M22" s="232"/>
      <c r="N22" s="230">
        <f t="shared" si="2"/>
        <v>0.0004900340545</v>
      </c>
      <c r="P22" s="202"/>
    </row>
    <row r="23" ht="48.0" customHeight="1">
      <c r="A23" s="238"/>
      <c r="B23" s="240" t="s">
        <v>495</v>
      </c>
      <c r="C23" s="240" t="s">
        <v>72</v>
      </c>
      <c r="D23" s="240" t="s">
        <v>24</v>
      </c>
      <c r="E23" s="257" t="s">
        <v>76</v>
      </c>
      <c r="F23" s="240">
        <v>1.0</v>
      </c>
      <c r="G23" s="240" t="s">
        <v>26</v>
      </c>
      <c r="H23" s="240" t="s">
        <v>27</v>
      </c>
      <c r="I23" s="240" t="s">
        <v>26</v>
      </c>
      <c r="J23" s="243">
        <f t="shared" si="1"/>
        <v>0.38125</v>
      </c>
      <c r="K23" s="244">
        <v>200.0</v>
      </c>
      <c r="L23" s="246">
        <v>76.25</v>
      </c>
      <c r="M23" s="247"/>
      <c r="N23" s="248">
        <f t="shared" si="2"/>
        <v>0.001985677083</v>
      </c>
      <c r="O23" s="238"/>
      <c r="P23" s="249"/>
    </row>
    <row r="24" ht="36.0" customHeight="1">
      <c r="B24" s="251" t="s">
        <v>495</v>
      </c>
      <c r="C24" s="251" t="s">
        <v>546</v>
      </c>
      <c r="D24" s="251" t="s">
        <v>547</v>
      </c>
      <c r="E24" s="251" t="s">
        <v>31</v>
      </c>
      <c r="F24" s="251">
        <v>3.0</v>
      </c>
      <c r="G24" s="251" t="s">
        <v>26</v>
      </c>
      <c r="H24" s="251" t="s">
        <v>27</v>
      </c>
      <c r="I24" s="251" t="s">
        <v>26</v>
      </c>
      <c r="J24" s="252">
        <f t="shared" si="1"/>
        <v>0.06186</v>
      </c>
      <c r="K24" s="254">
        <v>5000.0</v>
      </c>
      <c r="L24" s="256">
        <v>103.1</v>
      </c>
      <c r="M24" s="232"/>
      <c r="N24" s="230">
        <f t="shared" si="2"/>
        <v>0.0003221875</v>
      </c>
      <c r="P24" s="202"/>
    </row>
    <row r="25" ht="24.0" customHeight="1">
      <c r="B25" s="259" t="s">
        <v>495</v>
      </c>
      <c r="C25" s="259" t="s">
        <v>548</v>
      </c>
      <c r="D25" s="259" t="s">
        <v>24</v>
      </c>
      <c r="E25" s="259" t="s">
        <v>549</v>
      </c>
      <c r="F25" s="259">
        <v>200.0</v>
      </c>
      <c r="G25" s="259" t="s">
        <v>532</v>
      </c>
      <c r="H25" s="259" t="s">
        <v>525</v>
      </c>
      <c r="I25" s="259" t="s">
        <v>532</v>
      </c>
      <c r="J25" s="252">
        <f t="shared" si="1"/>
        <v>12.44583333</v>
      </c>
      <c r="K25" s="265">
        <v>960.0</v>
      </c>
      <c r="L25" s="266">
        <v>59.74</v>
      </c>
      <c r="M25" s="232"/>
      <c r="N25" s="230">
        <f t="shared" si="2"/>
        <v>0.06482204861</v>
      </c>
      <c r="P25" s="202"/>
    </row>
    <row r="26" ht="24.0" customHeight="1">
      <c r="B26" s="251" t="s">
        <v>495</v>
      </c>
      <c r="C26" s="251" t="s">
        <v>267</v>
      </c>
      <c r="D26" s="251" t="s">
        <v>24</v>
      </c>
      <c r="E26" s="251" t="s">
        <v>264</v>
      </c>
      <c r="F26" s="259">
        <v>12.0</v>
      </c>
      <c r="G26" s="251" t="s">
        <v>26</v>
      </c>
      <c r="H26" s="251" t="s">
        <v>27</v>
      </c>
      <c r="I26" s="251" t="s">
        <v>26</v>
      </c>
      <c r="J26" s="252">
        <f t="shared" si="1"/>
        <v>0.283625</v>
      </c>
      <c r="K26" s="254">
        <v>960.0</v>
      </c>
      <c r="L26" s="256">
        <v>22.69</v>
      </c>
      <c r="M26" s="232"/>
      <c r="N26" s="230">
        <f t="shared" si="2"/>
        <v>0.001477213542</v>
      </c>
      <c r="P26" s="202"/>
    </row>
    <row r="27" ht="24.0" customHeight="1">
      <c r="B27" s="251" t="s">
        <v>495</v>
      </c>
      <c r="C27" s="251" t="s">
        <v>534</v>
      </c>
      <c r="D27" s="251" t="s">
        <v>46</v>
      </c>
      <c r="E27" s="251" t="s">
        <v>298</v>
      </c>
      <c r="F27" s="251">
        <v>2.0</v>
      </c>
      <c r="G27" s="251" t="s">
        <v>26</v>
      </c>
      <c r="H27" s="251" t="s">
        <v>27</v>
      </c>
      <c r="I27" s="251" t="s">
        <v>26</v>
      </c>
      <c r="J27" s="252">
        <f t="shared" si="1"/>
        <v>1.3416</v>
      </c>
      <c r="K27" s="254">
        <v>100.0</v>
      </c>
      <c r="L27" s="256">
        <v>67.08</v>
      </c>
      <c r="M27" s="232"/>
      <c r="N27" s="230">
        <f t="shared" si="2"/>
        <v>0.0069875</v>
      </c>
      <c r="P27" s="202"/>
    </row>
    <row r="28" ht="48.0" customHeight="1">
      <c r="B28" s="270" t="s">
        <v>498</v>
      </c>
      <c r="C28" s="270" t="s">
        <v>63</v>
      </c>
      <c r="D28" s="270" t="s">
        <v>24</v>
      </c>
      <c r="E28" s="271" t="s">
        <v>65</v>
      </c>
      <c r="F28" s="270">
        <v>1.0</v>
      </c>
      <c r="G28" s="270" t="s">
        <v>26</v>
      </c>
      <c r="H28" s="270" t="s">
        <v>27</v>
      </c>
      <c r="I28" s="270" t="s">
        <v>26</v>
      </c>
      <c r="J28" s="272">
        <f t="shared" si="1"/>
        <v>0.10666</v>
      </c>
      <c r="K28" s="273">
        <v>500.0</v>
      </c>
      <c r="L28" s="274">
        <v>53.33</v>
      </c>
      <c r="M28" s="222" t="s">
        <v>550</v>
      </c>
      <c r="N28" s="230">
        <f t="shared" si="2"/>
        <v>0.0005555208333</v>
      </c>
      <c r="P28" s="202"/>
    </row>
    <row r="29" ht="24.0" customHeight="1">
      <c r="B29" s="270" t="s">
        <v>498</v>
      </c>
      <c r="C29" s="270" t="s">
        <v>267</v>
      </c>
      <c r="D29" s="270" t="s">
        <v>24</v>
      </c>
      <c r="E29" s="270" t="s">
        <v>264</v>
      </c>
      <c r="F29" s="270">
        <v>25.0</v>
      </c>
      <c r="G29" s="270" t="s">
        <v>26</v>
      </c>
      <c r="H29" s="270" t="s">
        <v>27</v>
      </c>
      <c r="I29" s="270" t="s">
        <v>26</v>
      </c>
      <c r="J29" s="272">
        <f t="shared" si="1"/>
        <v>0.5908854167</v>
      </c>
      <c r="K29" s="273">
        <v>960.0</v>
      </c>
      <c r="L29" s="274">
        <v>22.69</v>
      </c>
      <c r="M29" s="222" t="s">
        <v>550</v>
      </c>
      <c r="N29" s="230">
        <f t="shared" si="2"/>
        <v>0.003077528212</v>
      </c>
      <c r="P29" s="202"/>
    </row>
    <row r="30" ht="24.0" customHeight="1">
      <c r="B30" s="270" t="s">
        <v>498</v>
      </c>
      <c r="C30" s="270" t="s">
        <v>287</v>
      </c>
      <c r="D30" s="270" t="s">
        <v>24</v>
      </c>
      <c r="E30" s="271" t="s">
        <v>288</v>
      </c>
      <c r="F30" s="270">
        <v>25.0</v>
      </c>
      <c r="G30" s="270" t="s">
        <v>26</v>
      </c>
      <c r="H30" s="270" t="s">
        <v>27</v>
      </c>
      <c r="I30" s="270" t="s">
        <v>26</v>
      </c>
      <c r="J30" s="272">
        <f t="shared" si="1"/>
        <v>0.7213541667</v>
      </c>
      <c r="K30" s="273">
        <v>480.0</v>
      </c>
      <c r="L30" s="274">
        <v>13.85</v>
      </c>
      <c r="M30" s="222" t="s">
        <v>550</v>
      </c>
      <c r="N30" s="230">
        <f t="shared" si="2"/>
        <v>0.003757052951</v>
      </c>
      <c r="P30" s="202"/>
    </row>
    <row r="31" ht="36.0" customHeight="1">
      <c r="B31" s="270" t="s">
        <v>498</v>
      </c>
      <c r="C31" s="270" t="s">
        <v>551</v>
      </c>
      <c r="D31" s="270" t="s">
        <v>92</v>
      </c>
      <c r="E31" s="261" t="s">
        <v>95</v>
      </c>
      <c r="F31" s="270">
        <v>25.0</v>
      </c>
      <c r="G31" s="270" t="s">
        <v>532</v>
      </c>
      <c r="H31" s="270" t="s">
        <v>27</v>
      </c>
      <c r="I31" s="270" t="s">
        <v>26</v>
      </c>
      <c r="J31" s="272">
        <f t="shared" si="1"/>
        <v>469.1666667</v>
      </c>
      <c r="K31" s="273">
        <v>60.0</v>
      </c>
      <c r="L31" s="274">
        <v>1126.0</v>
      </c>
      <c r="M31" s="222" t="s">
        <v>550</v>
      </c>
      <c r="N31" s="230">
        <f t="shared" si="2"/>
        <v>2.443576389</v>
      </c>
      <c r="O31" s="202">
        <v>0.32</v>
      </c>
      <c r="P31" s="202"/>
    </row>
    <row r="32" ht="36.0" customHeight="1">
      <c r="B32" s="270" t="s">
        <v>498</v>
      </c>
      <c r="C32" s="270" t="s">
        <v>546</v>
      </c>
      <c r="D32" s="270" t="s">
        <v>547</v>
      </c>
      <c r="E32" s="270" t="s">
        <v>31</v>
      </c>
      <c r="F32" s="270">
        <v>25.0</v>
      </c>
      <c r="G32" s="270" t="s">
        <v>26</v>
      </c>
      <c r="H32" s="270" t="s">
        <v>27</v>
      </c>
      <c r="I32" s="270" t="s">
        <v>26</v>
      </c>
      <c r="J32" s="272">
        <f t="shared" si="1"/>
        <v>0.5155</v>
      </c>
      <c r="K32" s="273">
        <v>5000.0</v>
      </c>
      <c r="L32" s="274">
        <v>103.1</v>
      </c>
      <c r="M32" s="222" t="s">
        <v>550</v>
      </c>
      <c r="N32" s="230">
        <f t="shared" si="2"/>
        <v>0.002684895833</v>
      </c>
      <c r="P32" s="202"/>
    </row>
    <row r="33" ht="24.0" customHeight="1">
      <c r="B33" s="276" t="s">
        <v>194</v>
      </c>
      <c r="C33" s="276" t="s">
        <v>267</v>
      </c>
      <c r="D33" s="276" t="s">
        <v>24</v>
      </c>
      <c r="E33" s="276" t="s">
        <v>264</v>
      </c>
      <c r="F33" s="276">
        <v>384.0</v>
      </c>
      <c r="G33" s="276" t="s">
        <v>26</v>
      </c>
      <c r="H33" s="276" t="s">
        <v>27</v>
      </c>
      <c r="I33" s="276" t="s">
        <v>532</v>
      </c>
      <c r="J33" s="277">
        <f t="shared" si="1"/>
        <v>9.076</v>
      </c>
      <c r="K33" s="278">
        <v>960.0</v>
      </c>
      <c r="L33" s="279">
        <v>22.69</v>
      </c>
      <c r="M33" s="222"/>
      <c r="N33" s="230">
        <f t="shared" si="2"/>
        <v>0.04727083333</v>
      </c>
      <c r="P33" s="202"/>
    </row>
    <row r="34" ht="48.0" customHeight="1">
      <c r="B34" s="276" t="s">
        <v>194</v>
      </c>
      <c r="C34" s="276" t="s">
        <v>63</v>
      </c>
      <c r="D34" s="276" t="s">
        <v>24</v>
      </c>
      <c r="E34" s="280" t="s">
        <v>65</v>
      </c>
      <c r="F34" s="276">
        <v>1.0</v>
      </c>
      <c r="G34" s="276" t="s">
        <v>26</v>
      </c>
      <c r="H34" s="276" t="s">
        <v>27</v>
      </c>
      <c r="I34" s="276" t="s">
        <v>26</v>
      </c>
      <c r="J34" s="277">
        <f t="shared" si="1"/>
        <v>0.10666</v>
      </c>
      <c r="K34" s="278">
        <v>500.0</v>
      </c>
      <c r="L34" s="279">
        <v>53.33</v>
      </c>
      <c r="M34" s="222"/>
      <c r="N34" s="230">
        <f t="shared" si="2"/>
        <v>0.0005555208333</v>
      </c>
      <c r="P34" s="202"/>
    </row>
    <row r="35" ht="36.0" customHeight="1">
      <c r="B35" s="276" t="s">
        <v>194</v>
      </c>
      <c r="C35" s="282" t="s">
        <v>64</v>
      </c>
      <c r="D35" s="282" t="s">
        <v>24</v>
      </c>
      <c r="E35" s="283" t="s">
        <v>88</v>
      </c>
      <c r="F35" s="276">
        <v>2.0</v>
      </c>
      <c r="G35" s="276" t="s">
        <v>26</v>
      </c>
      <c r="H35" s="276" t="s">
        <v>27</v>
      </c>
      <c r="I35" s="276" t="s">
        <v>26</v>
      </c>
      <c r="J35" s="277">
        <f t="shared" si="1"/>
        <v>3.5</v>
      </c>
      <c r="K35" s="278">
        <v>100.0</v>
      </c>
      <c r="L35" s="279">
        <v>175.0</v>
      </c>
      <c r="M35" s="222"/>
      <c r="N35" s="230">
        <f t="shared" si="2"/>
        <v>0.01822916667</v>
      </c>
      <c r="P35" s="202"/>
    </row>
    <row r="36" ht="24.0" customHeight="1">
      <c r="B36" s="276" t="s">
        <v>194</v>
      </c>
      <c r="C36" s="276" t="s">
        <v>246</v>
      </c>
      <c r="D36" s="276" t="s">
        <v>109</v>
      </c>
      <c r="E36" s="284" t="s">
        <v>552</v>
      </c>
      <c r="F36" s="276">
        <v>1050.0</v>
      </c>
      <c r="G36" s="276" t="s">
        <v>26</v>
      </c>
      <c r="H36" s="276" t="s">
        <v>27</v>
      </c>
      <c r="I36" s="276"/>
      <c r="J36" s="277">
        <f t="shared" si="1"/>
        <v>0</v>
      </c>
      <c r="K36" s="278">
        <v>1.0</v>
      </c>
      <c r="L36" s="279"/>
      <c r="M36" s="222"/>
      <c r="N36" s="230">
        <f t="shared" si="2"/>
        <v>0</v>
      </c>
      <c r="P36" s="202"/>
    </row>
    <row r="37" ht="48.0" customHeight="1">
      <c r="B37" s="276" t="s">
        <v>194</v>
      </c>
      <c r="C37" s="282" t="s">
        <v>553</v>
      </c>
      <c r="D37" s="282" t="s">
        <v>46</v>
      </c>
      <c r="E37" s="283" t="s">
        <v>241</v>
      </c>
      <c r="F37" s="276">
        <v>2688.0</v>
      </c>
      <c r="G37" s="276" t="s">
        <v>26</v>
      </c>
      <c r="H37" s="276" t="s">
        <v>27</v>
      </c>
      <c r="I37" s="276"/>
      <c r="J37" s="277">
        <f t="shared" si="1"/>
        <v>0.1221696</v>
      </c>
      <c r="K37" s="278">
        <v>1000000.0</v>
      </c>
      <c r="L37" s="279">
        <v>45.45</v>
      </c>
      <c r="M37" s="222"/>
      <c r="N37" s="230">
        <f t="shared" si="2"/>
        <v>0.0006363</v>
      </c>
      <c r="P37" s="202"/>
    </row>
    <row r="38" ht="12.0" customHeight="1">
      <c r="B38" s="276" t="s">
        <v>194</v>
      </c>
      <c r="C38" s="276" t="s">
        <v>554</v>
      </c>
      <c r="D38" s="276" t="s">
        <v>109</v>
      </c>
      <c r="E38" s="276" t="s">
        <v>555</v>
      </c>
      <c r="F38" s="276">
        <v>42.0</v>
      </c>
      <c r="G38" s="276" t="s">
        <v>26</v>
      </c>
      <c r="H38" s="276" t="s">
        <v>27</v>
      </c>
      <c r="I38" s="276"/>
      <c r="J38" s="277">
        <f t="shared" si="1"/>
        <v>5.04</v>
      </c>
      <c r="K38" s="278">
        <v>500.0</v>
      </c>
      <c r="L38" s="279">
        <v>60.0</v>
      </c>
      <c r="M38" s="222"/>
      <c r="N38" s="230">
        <f t="shared" si="2"/>
        <v>0.02625</v>
      </c>
      <c r="O38" s="202">
        <v>0.35</v>
      </c>
      <c r="P38" s="202" t="s">
        <v>556</v>
      </c>
    </row>
    <row r="39" ht="12.0" customHeight="1">
      <c r="B39" s="276" t="s">
        <v>194</v>
      </c>
      <c r="C39" s="276" t="s">
        <v>557</v>
      </c>
      <c r="D39" s="276" t="s">
        <v>109</v>
      </c>
      <c r="E39" s="276" t="s">
        <v>156</v>
      </c>
      <c r="F39" s="276">
        <v>420.0</v>
      </c>
      <c r="G39" s="276" t="s">
        <v>26</v>
      </c>
      <c r="H39" s="276" t="s">
        <v>27</v>
      </c>
      <c r="I39" s="276"/>
      <c r="J39" s="277">
        <f t="shared" si="1"/>
        <v>201.6</v>
      </c>
      <c r="K39" s="278">
        <v>500.0</v>
      </c>
      <c r="L39" s="279">
        <v>240.0</v>
      </c>
      <c r="M39" s="222"/>
      <c r="N39" s="230">
        <f t="shared" si="2"/>
        <v>1.05</v>
      </c>
      <c r="O39" s="202">
        <v>0.02</v>
      </c>
      <c r="P39" s="202" t="s">
        <v>558</v>
      </c>
    </row>
    <row r="40" ht="48.0" customHeight="1">
      <c r="B40" s="270" t="s">
        <v>498</v>
      </c>
      <c r="C40" s="270" t="s">
        <v>63</v>
      </c>
      <c r="D40" s="270" t="s">
        <v>24</v>
      </c>
      <c r="E40" s="271" t="s">
        <v>65</v>
      </c>
      <c r="F40" s="270">
        <v>1.0</v>
      </c>
      <c r="G40" s="270" t="s">
        <v>26</v>
      </c>
      <c r="H40" s="270" t="s">
        <v>27</v>
      </c>
      <c r="I40" s="270" t="s">
        <v>26</v>
      </c>
      <c r="J40" s="272">
        <f t="shared" si="1"/>
        <v>0.10666</v>
      </c>
      <c r="K40" s="273">
        <v>500.0</v>
      </c>
      <c r="L40" s="274">
        <v>53.33</v>
      </c>
      <c r="M40" s="222"/>
      <c r="N40" s="230">
        <f t="shared" si="2"/>
        <v>0.0005555208333</v>
      </c>
      <c r="P40" s="202"/>
    </row>
    <row r="41" ht="24.0" customHeight="1">
      <c r="B41" s="270" t="s">
        <v>498</v>
      </c>
      <c r="C41" s="270" t="s">
        <v>267</v>
      </c>
      <c r="D41" s="270" t="s">
        <v>24</v>
      </c>
      <c r="E41" s="270" t="s">
        <v>264</v>
      </c>
      <c r="F41" s="270">
        <v>384.0</v>
      </c>
      <c r="G41" s="270" t="s">
        <v>26</v>
      </c>
      <c r="H41" s="270" t="s">
        <v>27</v>
      </c>
      <c r="I41" s="270" t="s">
        <v>26</v>
      </c>
      <c r="J41" s="272">
        <f t="shared" si="1"/>
        <v>9.076</v>
      </c>
      <c r="K41" s="273">
        <v>960.0</v>
      </c>
      <c r="L41" s="274">
        <v>22.69</v>
      </c>
      <c r="M41" s="222"/>
      <c r="N41" s="230">
        <f t="shared" si="2"/>
        <v>0.04727083333</v>
      </c>
      <c r="P41" s="202"/>
    </row>
    <row r="42" ht="36.0" customHeight="1">
      <c r="B42" s="270" t="s">
        <v>498</v>
      </c>
      <c r="C42" s="270" t="s">
        <v>559</v>
      </c>
      <c r="D42" s="270" t="s">
        <v>24</v>
      </c>
      <c r="E42" s="271" t="s">
        <v>293</v>
      </c>
      <c r="F42" s="270">
        <f>5*192</f>
        <v>960</v>
      </c>
      <c r="G42" s="270" t="s">
        <v>26</v>
      </c>
      <c r="H42" s="270" t="s">
        <v>27</v>
      </c>
      <c r="I42" s="270" t="s">
        <v>26</v>
      </c>
      <c r="J42" s="272">
        <f t="shared" si="1"/>
        <v>32.76666667</v>
      </c>
      <c r="K42" s="273">
        <v>576.0</v>
      </c>
      <c r="L42" s="274">
        <v>19.66</v>
      </c>
      <c r="M42" s="222"/>
      <c r="N42" s="230">
        <f t="shared" si="2"/>
        <v>0.1706597222</v>
      </c>
      <c r="P42" s="202"/>
    </row>
    <row r="43" ht="36.0" customHeight="1">
      <c r="B43" s="270" t="s">
        <v>498</v>
      </c>
      <c r="C43" s="22" t="s">
        <v>551</v>
      </c>
      <c r="D43" s="270" t="s">
        <v>92</v>
      </c>
      <c r="E43" s="261" t="s">
        <v>95</v>
      </c>
      <c r="F43" s="270">
        <v>15.0</v>
      </c>
      <c r="G43" s="270" t="s">
        <v>26</v>
      </c>
      <c r="H43" s="270" t="s">
        <v>27</v>
      </c>
      <c r="I43" s="270" t="s">
        <v>26</v>
      </c>
      <c r="J43" s="272">
        <f t="shared" si="1"/>
        <v>281.5</v>
      </c>
      <c r="K43" s="273">
        <v>60.0</v>
      </c>
      <c r="L43" s="274">
        <v>1126.0</v>
      </c>
      <c r="M43" s="222"/>
      <c r="N43" s="230">
        <f t="shared" si="2"/>
        <v>1.466145833</v>
      </c>
      <c r="O43" s="202">
        <v>0.32</v>
      </c>
      <c r="P43" s="202"/>
    </row>
    <row r="44" ht="36.0" customHeight="1">
      <c r="B44" s="270" t="s">
        <v>498</v>
      </c>
      <c r="C44" s="270" t="s">
        <v>64</v>
      </c>
      <c r="D44" s="270" t="s">
        <v>24</v>
      </c>
      <c r="E44" s="271" t="s">
        <v>88</v>
      </c>
      <c r="F44" s="270">
        <v>2.0</v>
      </c>
      <c r="G44" s="270" t="s">
        <v>26</v>
      </c>
      <c r="H44" s="270" t="s">
        <v>27</v>
      </c>
      <c r="I44" s="270" t="s">
        <v>26</v>
      </c>
      <c r="J44" s="272">
        <f t="shared" si="1"/>
        <v>3.5</v>
      </c>
      <c r="K44" s="273">
        <v>100.0</v>
      </c>
      <c r="L44" s="274">
        <v>175.0</v>
      </c>
      <c r="M44" s="222"/>
      <c r="N44" s="230">
        <f t="shared" si="2"/>
        <v>0.01822916667</v>
      </c>
      <c r="P44" s="202"/>
    </row>
    <row r="45" ht="12.0" customHeight="1">
      <c r="B45" s="270" t="s">
        <v>498</v>
      </c>
      <c r="C45" s="270" t="s">
        <v>533</v>
      </c>
      <c r="D45" s="270" t="s">
        <v>24</v>
      </c>
      <c r="E45" s="271" t="s">
        <v>83</v>
      </c>
      <c r="F45" s="270">
        <v>3.0</v>
      </c>
      <c r="G45" s="270" t="s">
        <v>26</v>
      </c>
      <c r="H45" s="270" t="s">
        <v>27</v>
      </c>
      <c r="I45" s="270" t="s">
        <v>26</v>
      </c>
      <c r="J45" s="272">
        <f t="shared" si="1"/>
        <v>1.01895</v>
      </c>
      <c r="K45" s="273">
        <v>200.0</v>
      </c>
      <c r="L45" s="274">
        <v>67.93</v>
      </c>
      <c r="M45" s="222"/>
      <c r="N45" s="230">
        <f t="shared" si="2"/>
        <v>0.00530703125</v>
      </c>
      <c r="P45" s="202"/>
    </row>
    <row r="46" ht="24.0" customHeight="1">
      <c r="B46" s="251" t="s">
        <v>495</v>
      </c>
      <c r="C46" s="251" t="s">
        <v>537</v>
      </c>
      <c r="D46" s="259" t="s">
        <v>24</v>
      </c>
      <c r="E46" s="259">
        <v>655076.0</v>
      </c>
      <c r="F46" s="251">
        <v>2.0</v>
      </c>
      <c r="G46" s="251" t="s">
        <v>27</v>
      </c>
      <c r="H46" s="251" t="s">
        <v>27</v>
      </c>
      <c r="I46" s="251" t="s">
        <v>26</v>
      </c>
      <c r="J46" s="252" t="str">
        <f t="shared" si="1"/>
        <v/>
      </c>
      <c r="K46" s="254"/>
      <c r="L46" s="256"/>
      <c r="M46" s="232"/>
      <c r="N46" s="230">
        <f t="shared" si="2"/>
        <v>0</v>
      </c>
      <c r="P46" s="202"/>
    </row>
    <row r="47" ht="24.0" customHeight="1">
      <c r="B47" s="251" t="s">
        <v>495</v>
      </c>
      <c r="C47" s="259" t="s">
        <v>540</v>
      </c>
      <c r="D47" s="251" t="s">
        <v>539</v>
      </c>
      <c r="E47" s="259" t="s">
        <v>540</v>
      </c>
      <c r="F47" s="251">
        <v>27.0</v>
      </c>
      <c r="G47" s="251" t="s">
        <v>26</v>
      </c>
      <c r="H47" s="251" t="s">
        <v>27</v>
      </c>
      <c r="I47" s="251" t="s">
        <v>26</v>
      </c>
      <c r="J47" s="252">
        <f t="shared" si="1"/>
        <v>0</v>
      </c>
      <c r="K47" s="254">
        <v>1.0</v>
      </c>
      <c r="L47" s="256"/>
      <c r="M47" s="232"/>
      <c r="N47" s="230">
        <f t="shared" si="2"/>
        <v>0</v>
      </c>
      <c r="P47" s="202"/>
    </row>
    <row r="48" ht="36.0" customHeight="1">
      <c r="B48" s="251" t="s">
        <v>495</v>
      </c>
      <c r="C48" s="251" t="s">
        <v>249</v>
      </c>
      <c r="D48" s="251" t="s">
        <v>541</v>
      </c>
      <c r="E48" s="259" t="s">
        <v>542</v>
      </c>
      <c r="F48" s="259">
        <v>20.0</v>
      </c>
      <c r="G48" s="251" t="s">
        <v>26</v>
      </c>
      <c r="H48" s="251" t="s">
        <v>27</v>
      </c>
      <c r="I48" s="251" t="s">
        <v>26</v>
      </c>
      <c r="J48" s="252">
        <f t="shared" si="1"/>
        <v>0</v>
      </c>
      <c r="K48" s="254">
        <v>1.0</v>
      </c>
      <c r="L48" s="256"/>
      <c r="M48" s="232"/>
      <c r="N48" s="230">
        <f t="shared" si="2"/>
        <v>0</v>
      </c>
      <c r="P48" s="202"/>
    </row>
    <row r="49" ht="36.0" customHeight="1">
      <c r="B49" s="251" t="s">
        <v>495</v>
      </c>
      <c r="C49" s="251" t="s">
        <v>543</v>
      </c>
      <c r="D49" s="251" t="s">
        <v>541</v>
      </c>
      <c r="E49" s="251" t="s">
        <v>197</v>
      </c>
      <c r="F49" s="251">
        <v>115.0</v>
      </c>
      <c r="G49" s="251" t="s">
        <v>26</v>
      </c>
      <c r="H49" s="251" t="s">
        <v>27</v>
      </c>
      <c r="I49" s="251" t="s">
        <v>26</v>
      </c>
      <c r="J49" s="252">
        <f t="shared" si="1"/>
        <v>41.40575</v>
      </c>
      <c r="K49" s="254">
        <v>1000.0</v>
      </c>
      <c r="L49" s="256">
        <v>360.05</v>
      </c>
      <c r="N49" s="230">
        <f t="shared" si="2"/>
        <v>0.2156549479</v>
      </c>
      <c r="P49" s="202"/>
    </row>
    <row r="50" ht="48.0" customHeight="1">
      <c r="B50" s="251" t="s">
        <v>495</v>
      </c>
      <c r="C50" s="251" t="s">
        <v>63</v>
      </c>
      <c r="D50" s="251" t="s">
        <v>24</v>
      </c>
      <c r="E50" s="258" t="s">
        <v>65</v>
      </c>
      <c r="F50" s="251">
        <v>1.0</v>
      </c>
      <c r="G50" s="251" t="s">
        <v>26</v>
      </c>
      <c r="H50" s="251" t="s">
        <v>27</v>
      </c>
      <c r="I50" s="251" t="s">
        <v>26</v>
      </c>
      <c r="J50" s="252">
        <f t="shared" si="1"/>
        <v>0.10666</v>
      </c>
      <c r="K50" s="254">
        <v>500.0</v>
      </c>
      <c r="L50" s="256">
        <v>53.33</v>
      </c>
      <c r="N50" s="230">
        <f t="shared" si="2"/>
        <v>0.0005555208333</v>
      </c>
      <c r="P50" s="202"/>
    </row>
    <row r="51" ht="36.0" customHeight="1">
      <c r="B51" s="251" t="s">
        <v>495</v>
      </c>
      <c r="C51" s="251" t="s">
        <v>544</v>
      </c>
      <c r="D51" s="251" t="s">
        <v>24</v>
      </c>
      <c r="E51" s="258" t="s">
        <v>82</v>
      </c>
      <c r="F51" s="251">
        <v>1.0</v>
      </c>
      <c r="G51" s="251" t="s">
        <v>26</v>
      </c>
      <c r="H51" s="251" t="s">
        <v>27</v>
      </c>
      <c r="I51" s="251"/>
      <c r="J51" s="252">
        <f t="shared" si="1"/>
        <v>0.13066</v>
      </c>
      <c r="K51" s="254">
        <v>500.0</v>
      </c>
      <c r="L51" s="256">
        <v>65.33</v>
      </c>
      <c r="N51" s="230">
        <f t="shared" si="2"/>
        <v>0.0006805208333</v>
      </c>
      <c r="P51" s="202"/>
    </row>
    <row r="52" ht="36.0" customHeight="1">
      <c r="B52" s="251" t="s">
        <v>495</v>
      </c>
      <c r="C52" s="251" t="s">
        <v>545</v>
      </c>
      <c r="D52" s="251" t="s">
        <v>24</v>
      </c>
      <c r="E52" s="258" t="s">
        <v>288</v>
      </c>
      <c r="F52" s="251">
        <v>9.0</v>
      </c>
      <c r="G52" s="251" t="s">
        <v>26</v>
      </c>
      <c r="H52" s="251" t="s">
        <v>27</v>
      </c>
      <c r="I52" s="251" t="s">
        <v>26</v>
      </c>
      <c r="J52" s="252">
        <f t="shared" si="1"/>
        <v>0.2996875</v>
      </c>
      <c r="K52" s="254">
        <v>576.0</v>
      </c>
      <c r="L52" s="256">
        <v>19.18</v>
      </c>
      <c r="N52" s="230">
        <f t="shared" si="2"/>
        <v>0.001560872396</v>
      </c>
      <c r="P52" s="202"/>
    </row>
    <row r="53" ht="48.0" customHeight="1">
      <c r="B53" s="251" t="s">
        <v>495</v>
      </c>
      <c r="C53" s="251" t="s">
        <v>275</v>
      </c>
      <c r="D53" s="251" t="s">
        <v>24</v>
      </c>
      <c r="E53" s="258" t="s">
        <v>276</v>
      </c>
      <c r="F53" s="251">
        <v>193.0</v>
      </c>
      <c r="G53" s="251" t="s">
        <v>26</v>
      </c>
      <c r="H53" s="251" t="s">
        <v>27</v>
      </c>
      <c r="I53" s="251" t="s">
        <v>26</v>
      </c>
      <c r="J53" s="252">
        <f t="shared" si="1"/>
        <v>6.052900641</v>
      </c>
      <c r="K53" s="254">
        <v>1248.0</v>
      </c>
      <c r="L53" s="256">
        <v>39.14</v>
      </c>
      <c r="N53" s="230">
        <f t="shared" si="2"/>
        <v>0.03152552417</v>
      </c>
      <c r="P53" s="202"/>
    </row>
    <row r="54" ht="48.0" customHeight="1">
      <c r="B54" s="251" t="s">
        <v>495</v>
      </c>
      <c r="C54" s="251" t="s">
        <v>72</v>
      </c>
      <c r="D54" s="251" t="s">
        <v>24</v>
      </c>
      <c r="E54" s="258" t="s">
        <v>76</v>
      </c>
      <c r="F54" s="251">
        <v>1.0</v>
      </c>
      <c r="G54" s="251" t="s">
        <v>26</v>
      </c>
      <c r="H54" s="251" t="s">
        <v>27</v>
      </c>
      <c r="I54" s="251" t="s">
        <v>26</v>
      </c>
      <c r="J54" s="252">
        <f t="shared" si="1"/>
        <v>0.38125</v>
      </c>
      <c r="K54" s="254">
        <v>200.0</v>
      </c>
      <c r="L54" s="256">
        <v>76.25</v>
      </c>
      <c r="N54" s="230">
        <f t="shared" si="2"/>
        <v>0.001985677083</v>
      </c>
      <c r="P54" s="202"/>
    </row>
    <row r="55" ht="36.0" customHeight="1">
      <c r="B55" s="251" t="s">
        <v>495</v>
      </c>
      <c r="C55" s="251" t="s">
        <v>546</v>
      </c>
      <c r="D55" s="251" t="s">
        <v>547</v>
      </c>
      <c r="E55" s="251" t="s">
        <v>31</v>
      </c>
      <c r="F55" s="251">
        <v>3.0</v>
      </c>
      <c r="G55" s="251" t="s">
        <v>26</v>
      </c>
      <c r="H55" s="251" t="s">
        <v>27</v>
      </c>
      <c r="I55" s="251" t="s">
        <v>26</v>
      </c>
      <c r="J55" s="252">
        <f t="shared" si="1"/>
        <v>0.06186</v>
      </c>
      <c r="K55" s="254">
        <v>5000.0</v>
      </c>
      <c r="L55" s="256">
        <v>103.1</v>
      </c>
      <c r="N55" s="230">
        <f t="shared" si="2"/>
        <v>0.0003221875</v>
      </c>
      <c r="P55" s="202"/>
    </row>
    <row r="56" ht="24.0" customHeight="1">
      <c r="B56" s="251" t="s">
        <v>495</v>
      </c>
      <c r="C56" s="251" t="s">
        <v>267</v>
      </c>
      <c r="D56" s="251" t="s">
        <v>24</v>
      </c>
      <c r="E56" s="251" t="s">
        <v>264</v>
      </c>
      <c r="F56" s="251">
        <v>204.0</v>
      </c>
      <c r="G56" s="251" t="s">
        <v>26</v>
      </c>
      <c r="H56" s="251" t="s">
        <v>27</v>
      </c>
      <c r="I56" s="251" t="s">
        <v>26</v>
      </c>
      <c r="J56" s="252">
        <f t="shared" si="1"/>
        <v>4.821625</v>
      </c>
      <c r="K56" s="254">
        <v>960.0</v>
      </c>
      <c r="L56" s="256">
        <v>22.69</v>
      </c>
      <c r="N56" s="230">
        <f t="shared" si="2"/>
        <v>0.02511263021</v>
      </c>
      <c r="P56" s="202"/>
    </row>
    <row r="57" ht="24.0" customHeight="1">
      <c r="B57" s="251" t="s">
        <v>495</v>
      </c>
      <c r="C57" s="251" t="s">
        <v>534</v>
      </c>
      <c r="D57" s="251" t="s">
        <v>46</v>
      </c>
      <c r="E57" s="251" t="s">
        <v>298</v>
      </c>
      <c r="F57" s="251">
        <v>2.0</v>
      </c>
      <c r="G57" s="251" t="s">
        <v>26</v>
      </c>
      <c r="H57" s="251" t="s">
        <v>27</v>
      </c>
      <c r="I57" s="251" t="s">
        <v>26</v>
      </c>
      <c r="J57" s="252">
        <f t="shared" si="1"/>
        <v>1.3416</v>
      </c>
      <c r="K57" s="254">
        <v>100.0</v>
      </c>
      <c r="L57" s="256">
        <v>67.08</v>
      </c>
      <c r="N57" s="230">
        <f t="shared" si="2"/>
        <v>0.0069875</v>
      </c>
      <c r="P57" s="202"/>
    </row>
    <row r="58" ht="36.0" customHeight="1">
      <c r="B58" s="287" t="s">
        <v>501</v>
      </c>
      <c r="C58" s="287" t="s">
        <v>64</v>
      </c>
      <c r="D58" s="287" t="s">
        <v>24</v>
      </c>
      <c r="E58" s="288" t="s">
        <v>88</v>
      </c>
      <c r="F58" s="287">
        <v>2.0</v>
      </c>
      <c r="G58" s="287" t="s">
        <v>26</v>
      </c>
      <c r="H58" s="287" t="s">
        <v>27</v>
      </c>
      <c r="I58" s="287" t="s">
        <v>26</v>
      </c>
      <c r="J58" s="289">
        <f t="shared" si="1"/>
        <v>3.5</v>
      </c>
      <c r="K58" s="290">
        <v>100.0</v>
      </c>
      <c r="L58" s="291">
        <v>175.0</v>
      </c>
      <c r="N58" s="230">
        <f t="shared" si="2"/>
        <v>0.01822916667</v>
      </c>
      <c r="P58" s="202"/>
    </row>
    <row r="59" ht="24.0" customHeight="1">
      <c r="B59" s="287" t="s">
        <v>501</v>
      </c>
      <c r="C59" s="287" t="s">
        <v>267</v>
      </c>
      <c r="D59" s="287" t="s">
        <v>24</v>
      </c>
      <c r="E59" s="287" t="s">
        <v>264</v>
      </c>
      <c r="F59" s="287">
        <v>196.0</v>
      </c>
      <c r="G59" s="287" t="s">
        <v>26</v>
      </c>
      <c r="H59" s="287" t="s">
        <v>27</v>
      </c>
      <c r="I59" s="287" t="s">
        <v>26</v>
      </c>
      <c r="J59" s="289">
        <f t="shared" si="1"/>
        <v>4.632541667</v>
      </c>
      <c r="K59" s="290">
        <v>960.0</v>
      </c>
      <c r="L59" s="291">
        <v>22.69</v>
      </c>
      <c r="N59" s="230">
        <f t="shared" si="2"/>
        <v>0.02412782118</v>
      </c>
      <c r="P59" s="202"/>
    </row>
    <row r="60" ht="48.0" customHeight="1">
      <c r="B60" s="287" t="s">
        <v>501</v>
      </c>
      <c r="C60" s="287" t="s">
        <v>275</v>
      </c>
      <c r="D60" s="287" t="s">
        <v>24</v>
      </c>
      <c r="E60" s="288" t="s">
        <v>276</v>
      </c>
      <c r="F60" s="287">
        <f>384</f>
        <v>384</v>
      </c>
      <c r="G60" s="287" t="s">
        <v>26</v>
      </c>
      <c r="H60" s="287" t="s">
        <v>27</v>
      </c>
      <c r="I60" s="287" t="s">
        <v>26</v>
      </c>
      <c r="J60" s="289">
        <f t="shared" si="1"/>
        <v>12.04307692</v>
      </c>
      <c r="K60" s="290">
        <v>1248.0</v>
      </c>
      <c r="L60" s="291">
        <v>39.14</v>
      </c>
      <c r="N60" s="230">
        <f t="shared" si="2"/>
        <v>0.06272435897</v>
      </c>
      <c r="P60" s="202"/>
    </row>
    <row r="61" ht="24.0" customHeight="1">
      <c r="B61" s="287" t="s">
        <v>501</v>
      </c>
      <c r="C61" s="287" t="s">
        <v>287</v>
      </c>
      <c r="D61" s="287" t="s">
        <v>24</v>
      </c>
      <c r="E61" s="288" t="s">
        <v>288</v>
      </c>
      <c r="F61" s="287">
        <v>3.0</v>
      </c>
      <c r="G61" s="287" t="s">
        <v>26</v>
      </c>
      <c r="H61" s="287" t="s">
        <v>27</v>
      </c>
      <c r="I61" s="287" t="s">
        <v>26</v>
      </c>
      <c r="J61" s="289">
        <f t="shared" si="1"/>
        <v>0.0865625</v>
      </c>
      <c r="K61" s="290">
        <v>480.0</v>
      </c>
      <c r="L61" s="291">
        <v>13.85</v>
      </c>
      <c r="N61" s="230">
        <f t="shared" si="2"/>
        <v>0.0004508463542</v>
      </c>
      <c r="P61" s="202"/>
    </row>
    <row r="62" ht="24.0" customHeight="1">
      <c r="B62" s="287" t="s">
        <v>501</v>
      </c>
      <c r="C62" s="287" t="s">
        <v>560</v>
      </c>
      <c r="D62" s="287"/>
      <c r="E62" s="292" t="s">
        <v>561</v>
      </c>
      <c r="F62" s="287">
        <v>2.0</v>
      </c>
      <c r="G62" s="287" t="s">
        <v>26</v>
      </c>
      <c r="H62" s="287" t="s">
        <v>27</v>
      </c>
      <c r="I62" s="287"/>
      <c r="J62" s="289">
        <f t="shared" si="1"/>
        <v>0.2951515152</v>
      </c>
      <c r="K62" s="290">
        <f>5*66</f>
        <v>330</v>
      </c>
      <c r="L62" s="291">
        <f>(15.05+33.65)</f>
        <v>48.7</v>
      </c>
      <c r="N62" s="230">
        <f t="shared" si="2"/>
        <v>0.001537247475</v>
      </c>
      <c r="P62" s="202"/>
    </row>
    <row r="63" ht="12.0" customHeight="1">
      <c r="B63" s="287" t="s">
        <v>501</v>
      </c>
      <c r="C63" s="292" t="s">
        <v>562</v>
      </c>
      <c r="D63" s="287"/>
      <c r="E63" s="292" t="s">
        <v>563</v>
      </c>
      <c r="F63" s="292">
        <v>12.0</v>
      </c>
      <c r="G63" s="287" t="s">
        <v>26</v>
      </c>
      <c r="H63" s="287" t="s">
        <v>27</v>
      </c>
      <c r="I63" s="287"/>
      <c r="J63" s="289">
        <f t="shared" si="1"/>
        <v>3.213</v>
      </c>
      <c r="K63" s="290">
        <v>200.0</v>
      </c>
      <c r="L63" s="293">
        <v>53.55</v>
      </c>
      <c r="N63" s="230">
        <f t="shared" si="2"/>
        <v>0.016734375</v>
      </c>
      <c r="P63" s="202"/>
    </row>
    <row r="64" ht="24.0" customHeight="1">
      <c r="B64" s="287" t="s">
        <v>501</v>
      </c>
      <c r="C64" s="287" t="s">
        <v>149</v>
      </c>
      <c r="D64" s="287" t="s">
        <v>109</v>
      </c>
      <c r="E64" s="292" t="s">
        <v>564</v>
      </c>
      <c r="F64" s="287">
        <v>660.0</v>
      </c>
      <c r="G64" s="287" t="s">
        <v>26</v>
      </c>
      <c r="H64" s="287" t="s">
        <v>27</v>
      </c>
      <c r="I64" s="287"/>
      <c r="J64" s="289">
        <f t="shared" si="1"/>
        <v>0</v>
      </c>
      <c r="K64" s="290">
        <v>1000.0</v>
      </c>
      <c r="L64" s="291">
        <v>0.0</v>
      </c>
      <c r="N64" s="230">
        <f t="shared" si="2"/>
        <v>0</v>
      </c>
      <c r="P64" s="202"/>
    </row>
    <row r="65" ht="12.0" customHeight="1">
      <c r="B65" s="287" t="s">
        <v>501</v>
      </c>
      <c r="C65" s="287" t="s">
        <v>565</v>
      </c>
      <c r="D65" s="287" t="s">
        <v>109</v>
      </c>
      <c r="E65" s="287" t="s">
        <v>218</v>
      </c>
      <c r="F65" s="287">
        <v>176.0</v>
      </c>
      <c r="G65" s="287" t="s">
        <v>26</v>
      </c>
      <c r="H65" s="287" t="s">
        <v>27</v>
      </c>
      <c r="I65" s="287"/>
      <c r="J65" s="289">
        <f t="shared" si="1"/>
        <v>180.224</v>
      </c>
      <c r="K65" s="290">
        <v>250.0</v>
      </c>
      <c r="L65" s="291">
        <v>256.0</v>
      </c>
      <c r="N65" s="230">
        <f t="shared" si="2"/>
        <v>0.9386666667</v>
      </c>
      <c r="O65" s="202">
        <v>1.62</v>
      </c>
      <c r="P65" s="202"/>
    </row>
    <row r="66" ht="48.0" customHeight="1">
      <c r="A66" s="294"/>
      <c r="B66" s="295" t="s">
        <v>501</v>
      </c>
      <c r="C66" s="295" t="s">
        <v>566</v>
      </c>
      <c r="D66" s="296" t="s">
        <v>46</v>
      </c>
      <c r="E66" s="296" t="s">
        <v>567</v>
      </c>
      <c r="F66" s="297">
        <v>1.0</v>
      </c>
      <c r="G66" s="296" t="s">
        <v>26</v>
      </c>
      <c r="H66" s="287" t="s">
        <v>27</v>
      </c>
      <c r="I66" s="295" t="s">
        <v>26</v>
      </c>
      <c r="J66" s="298">
        <f t="shared" si="1"/>
        <v>0.5</v>
      </c>
      <c r="K66" s="299">
        <v>250.0</v>
      </c>
      <c r="L66" s="300">
        <v>125.0</v>
      </c>
      <c r="M66" s="301"/>
      <c r="N66" s="302">
        <f>J66/192</f>
        <v>0.002604166667</v>
      </c>
      <c r="O66" s="301"/>
      <c r="P66" s="301"/>
    </row>
    <row r="67" ht="48.0" customHeight="1">
      <c r="B67" s="270" t="s">
        <v>498</v>
      </c>
      <c r="C67" s="270" t="s">
        <v>63</v>
      </c>
      <c r="D67" s="270" t="s">
        <v>24</v>
      </c>
      <c r="E67" s="271" t="s">
        <v>65</v>
      </c>
      <c r="F67" s="270">
        <v>1.0</v>
      </c>
      <c r="G67" s="270" t="s">
        <v>26</v>
      </c>
      <c r="H67" s="270" t="s">
        <v>27</v>
      </c>
      <c r="I67" s="270" t="s">
        <v>26</v>
      </c>
      <c r="J67" s="272">
        <f t="shared" si="1"/>
        <v>0.10666</v>
      </c>
      <c r="K67" s="273">
        <v>500.0</v>
      </c>
      <c r="L67" s="274">
        <v>53.33</v>
      </c>
      <c r="M67" s="222"/>
      <c r="N67" s="230">
        <f t="shared" ref="N67:N98" si="3">J67/192</f>
        <v>0.0005555208333</v>
      </c>
      <c r="P67" s="202"/>
    </row>
    <row r="68" ht="24.0" customHeight="1">
      <c r="B68" s="270" t="s">
        <v>498</v>
      </c>
      <c r="C68" s="270" t="s">
        <v>267</v>
      </c>
      <c r="D68" s="270" t="s">
        <v>24</v>
      </c>
      <c r="E68" s="270" t="s">
        <v>264</v>
      </c>
      <c r="F68" s="270">
        <v>16.0</v>
      </c>
      <c r="G68" s="270" t="s">
        <v>26</v>
      </c>
      <c r="H68" s="270" t="s">
        <v>27</v>
      </c>
      <c r="I68" s="270" t="s">
        <v>26</v>
      </c>
      <c r="J68" s="272">
        <f t="shared" si="1"/>
        <v>0.3781666667</v>
      </c>
      <c r="K68" s="273">
        <v>960.0</v>
      </c>
      <c r="L68" s="274">
        <v>22.69</v>
      </c>
      <c r="M68" s="222"/>
      <c r="N68" s="230">
        <f t="shared" si="3"/>
        <v>0.001969618056</v>
      </c>
      <c r="P68" s="202"/>
    </row>
    <row r="69" ht="24.0" customHeight="1">
      <c r="B69" s="270" t="s">
        <v>498</v>
      </c>
      <c r="C69" s="270" t="s">
        <v>287</v>
      </c>
      <c r="D69" s="270" t="s">
        <v>24</v>
      </c>
      <c r="E69" s="271" t="s">
        <v>288</v>
      </c>
      <c r="F69" s="270">
        <f>16*5</f>
        <v>80</v>
      </c>
      <c r="G69" s="270" t="s">
        <v>26</v>
      </c>
      <c r="H69" s="270" t="s">
        <v>27</v>
      </c>
      <c r="I69" s="270" t="s">
        <v>26</v>
      </c>
      <c r="J69" s="272">
        <f t="shared" si="1"/>
        <v>2.308333333</v>
      </c>
      <c r="K69" s="273">
        <v>480.0</v>
      </c>
      <c r="L69" s="274">
        <v>13.85</v>
      </c>
      <c r="M69" s="222"/>
      <c r="N69" s="230">
        <f t="shared" si="3"/>
        <v>0.01202256944</v>
      </c>
      <c r="P69" s="202"/>
    </row>
    <row r="70" ht="36.0" customHeight="1">
      <c r="B70" s="270" t="s">
        <v>498</v>
      </c>
      <c r="C70" s="22" t="s">
        <v>551</v>
      </c>
      <c r="D70" s="270" t="s">
        <v>92</v>
      </c>
      <c r="E70" s="261" t="s">
        <v>95</v>
      </c>
      <c r="F70" s="270">
        <v>10.0</v>
      </c>
      <c r="G70" s="270" t="s">
        <v>26</v>
      </c>
      <c r="H70" s="270" t="s">
        <v>27</v>
      </c>
      <c r="I70" s="270" t="s">
        <v>26</v>
      </c>
      <c r="J70" s="272">
        <f t="shared" si="1"/>
        <v>187.6666667</v>
      </c>
      <c r="K70" s="273">
        <v>60.0</v>
      </c>
      <c r="L70" s="274">
        <v>1126.0</v>
      </c>
      <c r="M70" s="222"/>
      <c r="N70" s="230">
        <f t="shared" si="3"/>
        <v>0.9774305556</v>
      </c>
      <c r="O70" s="202">
        <v>0.32</v>
      </c>
      <c r="P70" s="202"/>
    </row>
    <row r="71" ht="36.0" customHeight="1">
      <c r="B71" s="270" t="s">
        <v>498</v>
      </c>
      <c r="C71" s="270" t="s">
        <v>546</v>
      </c>
      <c r="D71" s="270" t="s">
        <v>547</v>
      </c>
      <c r="E71" s="270" t="s">
        <v>31</v>
      </c>
      <c r="F71" s="270">
        <v>20.0</v>
      </c>
      <c r="G71" s="270" t="s">
        <v>26</v>
      </c>
      <c r="H71" s="270" t="s">
        <v>27</v>
      </c>
      <c r="I71" s="270" t="s">
        <v>26</v>
      </c>
      <c r="J71" s="272">
        <f t="shared" si="1"/>
        <v>0.4124</v>
      </c>
      <c r="K71" s="273">
        <v>5000.0</v>
      </c>
      <c r="L71" s="274">
        <v>103.1</v>
      </c>
      <c r="M71" s="222"/>
      <c r="N71" s="230">
        <f t="shared" si="3"/>
        <v>0.002147916667</v>
      </c>
      <c r="P71" s="202"/>
    </row>
    <row r="72" ht="24.0" customHeight="1">
      <c r="B72" s="270" t="s">
        <v>498</v>
      </c>
      <c r="C72" s="270" t="s">
        <v>267</v>
      </c>
      <c r="D72" s="270" t="s">
        <v>24</v>
      </c>
      <c r="E72" s="270" t="s">
        <v>264</v>
      </c>
      <c r="F72" s="270">
        <v>4.0</v>
      </c>
      <c r="G72" s="270" t="s">
        <v>26</v>
      </c>
      <c r="H72" s="270" t="s">
        <v>27</v>
      </c>
      <c r="I72" s="270" t="s">
        <v>26</v>
      </c>
      <c r="J72" s="272">
        <f t="shared" si="1"/>
        <v>0.09454166667</v>
      </c>
      <c r="K72" s="273">
        <v>960.0</v>
      </c>
      <c r="L72" s="274">
        <v>22.69</v>
      </c>
      <c r="M72" s="222"/>
      <c r="N72" s="230">
        <f t="shared" si="3"/>
        <v>0.0004924045139</v>
      </c>
      <c r="P72" s="202"/>
    </row>
    <row r="73" ht="24.0" customHeight="1">
      <c r="B73" s="270" t="s">
        <v>498</v>
      </c>
      <c r="C73" s="270" t="s">
        <v>287</v>
      </c>
      <c r="D73" s="270" t="s">
        <v>24</v>
      </c>
      <c r="E73" s="271" t="s">
        <v>288</v>
      </c>
      <c r="F73" s="270">
        <v>20.0</v>
      </c>
      <c r="G73" s="270" t="s">
        <v>26</v>
      </c>
      <c r="H73" s="270" t="s">
        <v>27</v>
      </c>
      <c r="I73" s="270" t="s">
        <v>26</v>
      </c>
      <c r="J73" s="272">
        <f t="shared" si="1"/>
        <v>0.5770833333</v>
      </c>
      <c r="K73" s="273">
        <v>480.0</v>
      </c>
      <c r="L73" s="274">
        <v>13.85</v>
      </c>
      <c r="M73" s="222"/>
      <c r="N73" s="230">
        <f t="shared" si="3"/>
        <v>0.003005642361</v>
      </c>
      <c r="P73" s="202"/>
    </row>
    <row r="74" ht="36.0" customHeight="1">
      <c r="B74" s="270" t="s">
        <v>498</v>
      </c>
      <c r="C74" s="22" t="s">
        <v>551</v>
      </c>
      <c r="D74" s="270" t="s">
        <v>92</v>
      </c>
      <c r="E74" s="261" t="s">
        <v>95</v>
      </c>
      <c r="F74" s="270">
        <v>1.0</v>
      </c>
      <c r="G74" s="270" t="s">
        <v>532</v>
      </c>
      <c r="H74" s="270" t="s">
        <v>27</v>
      </c>
      <c r="I74" s="270" t="s">
        <v>26</v>
      </c>
      <c r="J74" s="272">
        <f t="shared" si="1"/>
        <v>18.76666667</v>
      </c>
      <c r="K74" s="273">
        <v>60.0</v>
      </c>
      <c r="L74" s="274">
        <v>1126.0</v>
      </c>
      <c r="M74" s="222"/>
      <c r="N74" s="230">
        <f t="shared" si="3"/>
        <v>0.09774305556</v>
      </c>
      <c r="O74" s="202">
        <v>0.32</v>
      </c>
      <c r="P74" s="202"/>
    </row>
    <row r="75" ht="36.0" customHeight="1">
      <c r="B75" s="270" t="s">
        <v>498</v>
      </c>
      <c r="C75" s="270" t="s">
        <v>546</v>
      </c>
      <c r="D75" s="270" t="s">
        <v>547</v>
      </c>
      <c r="E75" s="270" t="s">
        <v>31</v>
      </c>
      <c r="F75" s="270">
        <v>5.0</v>
      </c>
      <c r="G75" s="270" t="s">
        <v>26</v>
      </c>
      <c r="H75" s="270" t="s">
        <v>27</v>
      </c>
      <c r="I75" s="270" t="s">
        <v>26</v>
      </c>
      <c r="J75" s="272">
        <f t="shared" si="1"/>
        <v>0.1031</v>
      </c>
      <c r="K75" s="273">
        <v>5000.0</v>
      </c>
      <c r="L75" s="274">
        <v>103.1</v>
      </c>
      <c r="M75" s="222"/>
      <c r="N75" s="230">
        <f t="shared" si="3"/>
        <v>0.0005369791667</v>
      </c>
      <c r="P75" s="202"/>
    </row>
    <row r="76" ht="24.0" customHeight="1">
      <c r="B76" s="270" t="s">
        <v>498</v>
      </c>
      <c r="C76" s="270" t="s">
        <v>267</v>
      </c>
      <c r="D76" s="270" t="s">
        <v>24</v>
      </c>
      <c r="E76" s="270" t="s">
        <v>264</v>
      </c>
      <c r="F76" s="270">
        <v>4.0</v>
      </c>
      <c r="G76" s="270" t="s">
        <v>26</v>
      </c>
      <c r="H76" s="270" t="s">
        <v>27</v>
      </c>
      <c r="I76" s="270" t="s">
        <v>26</v>
      </c>
      <c r="J76" s="272">
        <f t="shared" si="1"/>
        <v>0.09454166667</v>
      </c>
      <c r="K76" s="273">
        <v>960.0</v>
      </c>
      <c r="L76" s="274">
        <v>22.69</v>
      </c>
      <c r="M76" s="222"/>
      <c r="N76" s="230">
        <f t="shared" si="3"/>
        <v>0.0004924045139</v>
      </c>
      <c r="P76" s="202"/>
    </row>
    <row r="77" ht="24.0" customHeight="1">
      <c r="B77" s="270" t="s">
        <v>498</v>
      </c>
      <c r="C77" s="270" t="s">
        <v>287</v>
      </c>
      <c r="D77" s="270" t="s">
        <v>24</v>
      </c>
      <c r="E77" s="271" t="s">
        <v>288</v>
      </c>
      <c r="F77" s="270">
        <f>4*5</f>
        <v>20</v>
      </c>
      <c r="G77" s="270" t="s">
        <v>26</v>
      </c>
      <c r="H77" s="270" t="s">
        <v>27</v>
      </c>
      <c r="I77" s="270" t="s">
        <v>26</v>
      </c>
      <c r="J77" s="272">
        <f t="shared" si="1"/>
        <v>0.5770833333</v>
      </c>
      <c r="K77" s="273">
        <v>480.0</v>
      </c>
      <c r="L77" s="274">
        <v>13.85</v>
      </c>
      <c r="M77" s="222"/>
      <c r="N77" s="230">
        <f t="shared" si="3"/>
        <v>0.003005642361</v>
      </c>
      <c r="P77" s="202"/>
    </row>
    <row r="78" ht="36.0" customHeight="1">
      <c r="B78" s="270" t="s">
        <v>498</v>
      </c>
      <c r="C78" s="22" t="s">
        <v>551</v>
      </c>
      <c r="D78" s="270" t="s">
        <v>92</v>
      </c>
      <c r="E78" s="261" t="s">
        <v>95</v>
      </c>
      <c r="F78" s="270">
        <f>8*20*4*0.001</f>
        <v>0.64</v>
      </c>
      <c r="G78" s="270" t="s">
        <v>532</v>
      </c>
      <c r="H78" s="270" t="s">
        <v>27</v>
      </c>
      <c r="I78" s="270" t="s">
        <v>26</v>
      </c>
      <c r="J78" s="272">
        <f t="shared" si="1"/>
        <v>12.01066667</v>
      </c>
      <c r="K78" s="273">
        <v>60.0</v>
      </c>
      <c r="L78" s="274">
        <v>1126.0</v>
      </c>
      <c r="M78" s="222"/>
      <c r="N78" s="230">
        <f t="shared" si="3"/>
        <v>0.06255555556</v>
      </c>
      <c r="O78" s="202">
        <v>0.32</v>
      </c>
      <c r="P78" s="202"/>
    </row>
    <row r="79" ht="36.0" customHeight="1">
      <c r="B79" s="270" t="s">
        <v>498</v>
      </c>
      <c r="C79" s="270" t="s">
        <v>546</v>
      </c>
      <c r="D79" s="270" t="s">
        <v>547</v>
      </c>
      <c r="E79" s="270" t="s">
        <v>31</v>
      </c>
      <c r="F79" s="270">
        <v>5.0</v>
      </c>
      <c r="G79" s="270" t="s">
        <v>26</v>
      </c>
      <c r="H79" s="270" t="s">
        <v>27</v>
      </c>
      <c r="I79" s="270" t="s">
        <v>26</v>
      </c>
      <c r="J79" s="272">
        <f t="shared" si="1"/>
        <v>0.1031</v>
      </c>
      <c r="K79" s="273">
        <v>5000.0</v>
      </c>
      <c r="L79" s="274">
        <v>103.1</v>
      </c>
      <c r="M79" s="222"/>
      <c r="N79" s="230">
        <f t="shared" si="3"/>
        <v>0.0005369791667</v>
      </c>
      <c r="P79" s="202"/>
    </row>
    <row r="80" ht="48.0" customHeight="1">
      <c r="B80" s="304" t="s">
        <v>503</v>
      </c>
      <c r="C80" s="305" t="s">
        <v>553</v>
      </c>
      <c r="D80" s="305" t="s">
        <v>46</v>
      </c>
      <c r="E80" s="306" t="s">
        <v>241</v>
      </c>
      <c r="F80" s="304">
        <f>7.9*8*4</f>
        <v>252.8</v>
      </c>
      <c r="G80" s="304" t="s">
        <v>26</v>
      </c>
      <c r="H80" s="304" t="s">
        <v>27</v>
      </c>
      <c r="I80" s="304" t="s">
        <v>26</v>
      </c>
      <c r="J80" s="307">
        <f t="shared" si="1"/>
        <v>0.01148976</v>
      </c>
      <c r="K80" s="308">
        <v>1000000.0</v>
      </c>
      <c r="L80" s="309">
        <v>45.45</v>
      </c>
      <c r="M80" s="310"/>
      <c r="N80" s="311">
        <f t="shared" si="3"/>
        <v>0.0000598425</v>
      </c>
      <c r="O80" s="310"/>
      <c r="P80" s="312"/>
    </row>
    <row r="81" ht="24.0" customHeight="1">
      <c r="A81" s="238"/>
      <c r="B81" s="240" t="s">
        <v>503</v>
      </c>
      <c r="C81" s="240" t="s">
        <v>186</v>
      </c>
      <c r="D81" s="242" t="s">
        <v>109</v>
      </c>
      <c r="E81" s="314" t="s">
        <v>188</v>
      </c>
      <c r="F81" s="240">
        <f>4*8*4</f>
        <v>128</v>
      </c>
      <c r="G81" s="240" t="s">
        <v>26</v>
      </c>
      <c r="H81" s="240" t="s">
        <v>27</v>
      </c>
      <c r="I81" s="240"/>
      <c r="J81" s="243">
        <f t="shared" si="1"/>
        <v>0</v>
      </c>
      <c r="K81" s="244">
        <v>1.0</v>
      </c>
      <c r="L81" s="246"/>
      <c r="M81" s="238"/>
      <c r="N81" s="248">
        <f t="shared" si="3"/>
        <v>0</v>
      </c>
      <c r="O81" s="238"/>
      <c r="P81" s="249"/>
    </row>
    <row r="82" ht="12.0" customHeight="1">
      <c r="A82" s="238"/>
      <c r="B82" s="240" t="s">
        <v>503</v>
      </c>
      <c r="C82" s="240" t="s">
        <v>151</v>
      </c>
      <c r="D82" s="240"/>
      <c r="E82" s="242" t="s">
        <v>151</v>
      </c>
      <c r="F82" s="240">
        <f>0.5*8*4</f>
        <v>16</v>
      </c>
      <c r="G82" s="240" t="s">
        <v>26</v>
      </c>
      <c r="H82" s="240" t="s">
        <v>27</v>
      </c>
      <c r="I82" s="240"/>
      <c r="J82" s="243">
        <f t="shared" si="1"/>
        <v>0</v>
      </c>
      <c r="K82" s="244">
        <v>1.0</v>
      </c>
      <c r="L82" s="246"/>
      <c r="M82" s="238"/>
      <c r="N82" s="248">
        <f t="shared" si="3"/>
        <v>0</v>
      </c>
      <c r="O82" s="238"/>
      <c r="P82" s="249"/>
    </row>
    <row r="83" ht="12.0" customHeight="1">
      <c r="A83" s="238"/>
      <c r="B83" s="240" t="s">
        <v>503</v>
      </c>
      <c r="C83" s="240" t="s">
        <v>568</v>
      </c>
      <c r="D83" s="240"/>
      <c r="E83" s="242" t="s">
        <v>569</v>
      </c>
      <c r="F83" s="240">
        <f>0.4*8*4</f>
        <v>12.8</v>
      </c>
      <c r="G83" s="240" t="s">
        <v>26</v>
      </c>
      <c r="H83" s="240" t="s">
        <v>27</v>
      </c>
      <c r="I83" s="240"/>
      <c r="J83" s="243">
        <f t="shared" si="1"/>
        <v>0</v>
      </c>
      <c r="K83" s="244">
        <v>1.0</v>
      </c>
      <c r="L83" s="246"/>
      <c r="M83" s="238"/>
      <c r="N83" s="248">
        <f t="shared" si="3"/>
        <v>0</v>
      </c>
      <c r="O83" s="238"/>
      <c r="P83" s="249"/>
    </row>
    <row r="84" ht="12.0" customHeight="1">
      <c r="A84" s="238"/>
      <c r="B84" s="240" t="s">
        <v>503</v>
      </c>
      <c r="C84" s="240" t="s">
        <v>570</v>
      </c>
      <c r="D84" s="240" t="s">
        <v>120</v>
      </c>
      <c r="E84" s="242" t="s">
        <v>571</v>
      </c>
      <c r="F84" s="240">
        <f>1*8*4</f>
        <v>32</v>
      </c>
      <c r="G84" s="240" t="s">
        <v>26</v>
      </c>
      <c r="H84" s="240" t="s">
        <v>27</v>
      </c>
      <c r="I84" s="240"/>
      <c r="J84" s="243">
        <f t="shared" si="1"/>
        <v>0.2289777778</v>
      </c>
      <c r="K84" s="244">
        <f t="shared" ref="K84:K85" si="4">15*150</f>
        <v>2250</v>
      </c>
      <c r="L84" s="246">
        <v>16.1</v>
      </c>
      <c r="M84" s="238"/>
      <c r="N84" s="248">
        <f t="shared" si="3"/>
        <v>0.001192592593</v>
      </c>
      <c r="O84" s="238"/>
      <c r="P84" s="249"/>
    </row>
    <row r="85" ht="12.0" customHeight="1">
      <c r="B85" s="304" t="s">
        <v>503</v>
      </c>
      <c r="C85" s="304" t="s">
        <v>572</v>
      </c>
      <c r="D85" s="304" t="s">
        <v>120</v>
      </c>
      <c r="E85" s="317" t="s">
        <v>573</v>
      </c>
      <c r="F85" s="304">
        <v>32.0</v>
      </c>
      <c r="G85" s="304" t="s">
        <v>26</v>
      </c>
      <c r="H85" s="304" t="s">
        <v>27</v>
      </c>
      <c r="I85" s="304"/>
      <c r="J85" s="307">
        <f t="shared" si="1"/>
        <v>0.2638222222</v>
      </c>
      <c r="K85" s="308">
        <f t="shared" si="4"/>
        <v>2250</v>
      </c>
      <c r="L85" s="309">
        <v>18.55</v>
      </c>
      <c r="M85" s="310"/>
      <c r="N85" s="311">
        <f t="shared" si="3"/>
        <v>0.001374074074</v>
      </c>
      <c r="O85" s="310"/>
      <c r="P85" s="312"/>
    </row>
    <row r="86" ht="24.0" customHeight="1">
      <c r="A86" s="238"/>
      <c r="B86" s="240" t="s">
        <v>503</v>
      </c>
      <c r="C86" s="240" t="s">
        <v>574</v>
      </c>
      <c r="D86" s="240" t="s">
        <v>109</v>
      </c>
      <c r="E86" s="242" t="s">
        <v>575</v>
      </c>
      <c r="F86" s="240">
        <f>0.2*8*4</f>
        <v>6.4</v>
      </c>
      <c r="G86" s="240" t="s">
        <v>26</v>
      </c>
      <c r="H86" s="240" t="s">
        <v>27</v>
      </c>
      <c r="I86" s="240"/>
      <c r="J86" s="243">
        <f t="shared" si="1"/>
        <v>8.448</v>
      </c>
      <c r="K86" s="244">
        <v>50.0</v>
      </c>
      <c r="L86" s="246">
        <v>66.0</v>
      </c>
      <c r="M86" s="238"/>
      <c r="N86" s="248">
        <f t="shared" si="3"/>
        <v>0.044</v>
      </c>
      <c r="O86" s="249">
        <v>0.1</v>
      </c>
      <c r="P86" s="249"/>
    </row>
    <row r="87" ht="12.0" customHeight="1">
      <c r="B87" s="304" t="s">
        <v>503</v>
      </c>
      <c r="C87" s="304" t="s">
        <v>566</v>
      </c>
      <c r="D87" s="304" t="s">
        <v>46</v>
      </c>
      <c r="E87" s="304" t="s">
        <v>567</v>
      </c>
      <c r="F87" s="304">
        <v>1.0</v>
      </c>
      <c r="G87" s="304" t="s">
        <v>26</v>
      </c>
      <c r="H87" s="304" t="s">
        <v>27</v>
      </c>
      <c r="I87" s="317" t="s">
        <v>26</v>
      </c>
      <c r="J87" s="307">
        <f t="shared" si="1"/>
        <v>0.5</v>
      </c>
      <c r="K87" s="308">
        <v>250.0</v>
      </c>
      <c r="L87" s="309">
        <v>125.0</v>
      </c>
      <c r="M87" s="310"/>
      <c r="N87" s="311">
        <f t="shared" si="3"/>
        <v>0.002604166667</v>
      </c>
      <c r="O87" s="310"/>
      <c r="P87" s="312"/>
    </row>
    <row r="88" ht="48.0" customHeight="1">
      <c r="B88" s="320" t="s">
        <v>148</v>
      </c>
      <c r="C88" s="320" t="s">
        <v>275</v>
      </c>
      <c r="D88" s="320" t="s">
        <v>24</v>
      </c>
      <c r="E88" s="321" t="s">
        <v>276</v>
      </c>
      <c r="F88" s="320">
        <v>4.0</v>
      </c>
      <c r="G88" s="320" t="s">
        <v>26</v>
      </c>
      <c r="H88" s="320" t="s">
        <v>27</v>
      </c>
      <c r="I88" s="320" t="s">
        <v>26</v>
      </c>
      <c r="J88" s="322">
        <f t="shared" si="1"/>
        <v>0.1254487179</v>
      </c>
      <c r="K88" s="323">
        <v>1248.0</v>
      </c>
      <c r="L88" s="324">
        <v>39.14</v>
      </c>
      <c r="N88" s="230">
        <f t="shared" si="3"/>
        <v>0.0006533787393</v>
      </c>
      <c r="P88" s="202"/>
    </row>
    <row r="89" ht="24.0" customHeight="1">
      <c r="B89" s="320" t="s">
        <v>148</v>
      </c>
      <c r="C89" s="320" t="s">
        <v>267</v>
      </c>
      <c r="D89" s="320" t="s">
        <v>24</v>
      </c>
      <c r="E89" s="320" t="s">
        <v>264</v>
      </c>
      <c r="F89" s="320">
        <v>4.0</v>
      </c>
      <c r="G89" s="320" t="s">
        <v>26</v>
      </c>
      <c r="H89" s="320" t="s">
        <v>27</v>
      </c>
      <c r="I89" s="320" t="s">
        <v>26</v>
      </c>
      <c r="J89" s="322">
        <f t="shared" si="1"/>
        <v>0.09454166667</v>
      </c>
      <c r="K89" s="323">
        <v>960.0</v>
      </c>
      <c r="L89" s="324">
        <v>22.69</v>
      </c>
      <c r="N89" s="230">
        <f t="shared" si="3"/>
        <v>0.0004924045139</v>
      </c>
      <c r="P89" s="202"/>
    </row>
    <row r="90" ht="36.0" customHeight="1">
      <c r="B90" s="320" t="s">
        <v>148</v>
      </c>
      <c r="C90" s="320" t="s">
        <v>546</v>
      </c>
      <c r="D90" s="320" t="s">
        <v>547</v>
      </c>
      <c r="E90" s="320" t="s">
        <v>31</v>
      </c>
      <c r="F90" s="320">
        <v>4.0</v>
      </c>
      <c r="G90" s="320" t="s">
        <v>26</v>
      </c>
      <c r="H90" s="320" t="s">
        <v>27</v>
      </c>
      <c r="I90" s="320" t="s">
        <v>26</v>
      </c>
      <c r="J90" s="322">
        <f t="shared" si="1"/>
        <v>0.08248</v>
      </c>
      <c r="K90" s="323">
        <v>5000.0</v>
      </c>
      <c r="L90" s="324">
        <v>103.1</v>
      </c>
      <c r="N90" s="230">
        <f t="shared" si="3"/>
        <v>0.0004295833333</v>
      </c>
      <c r="P90" s="202"/>
    </row>
    <row r="91" ht="36.0" customHeight="1">
      <c r="B91" s="320" t="s">
        <v>148</v>
      </c>
      <c r="C91" s="320" t="s">
        <v>190</v>
      </c>
      <c r="D91" s="320"/>
      <c r="E91" s="327" t="s">
        <v>576</v>
      </c>
      <c r="F91" s="320">
        <v>40.0</v>
      </c>
      <c r="G91" s="320" t="s">
        <v>26</v>
      </c>
      <c r="H91" s="320" t="s">
        <v>27</v>
      </c>
      <c r="I91" s="320"/>
      <c r="J91" s="322">
        <f t="shared" si="1"/>
        <v>0</v>
      </c>
      <c r="K91" s="323">
        <v>1.0</v>
      </c>
      <c r="L91" s="324"/>
      <c r="N91" s="230">
        <f t="shared" si="3"/>
        <v>0</v>
      </c>
      <c r="P91" s="202"/>
    </row>
    <row r="92" ht="12.0" customHeight="1">
      <c r="B92" s="320" t="s">
        <v>148</v>
      </c>
      <c r="C92" s="320" t="s">
        <v>577</v>
      </c>
      <c r="D92" s="320" t="s">
        <v>578</v>
      </c>
      <c r="E92" s="327" t="s">
        <v>145</v>
      </c>
      <c r="F92" s="320">
        <v>4.0</v>
      </c>
      <c r="G92" s="320" t="s">
        <v>26</v>
      </c>
      <c r="H92" s="320" t="s">
        <v>27</v>
      </c>
      <c r="I92" s="320"/>
      <c r="J92" s="322">
        <f t="shared" si="1"/>
        <v>120</v>
      </c>
      <c r="K92" s="323">
        <v>5.0</v>
      </c>
      <c r="L92" s="324">
        <v>150.0</v>
      </c>
      <c r="N92" s="230">
        <f t="shared" si="3"/>
        <v>0.625</v>
      </c>
      <c r="P92" s="202"/>
    </row>
    <row r="93" ht="36.0" customHeight="1">
      <c r="B93" s="329" t="s">
        <v>28</v>
      </c>
      <c r="C93" s="329" t="s">
        <v>546</v>
      </c>
      <c r="D93" s="329" t="s">
        <v>547</v>
      </c>
      <c r="E93" s="329" t="s">
        <v>31</v>
      </c>
      <c r="F93" s="329">
        <v>1.0</v>
      </c>
      <c r="G93" s="329" t="s">
        <v>26</v>
      </c>
      <c r="H93" s="329" t="s">
        <v>27</v>
      </c>
      <c r="I93" s="329" t="s">
        <v>26</v>
      </c>
      <c r="J93" s="330">
        <f t="shared" si="1"/>
        <v>0.02062</v>
      </c>
      <c r="K93" s="331">
        <v>5000.0</v>
      </c>
      <c r="L93" s="332">
        <v>103.1</v>
      </c>
      <c r="N93" s="230">
        <f t="shared" si="3"/>
        <v>0.0001073958333</v>
      </c>
      <c r="P93" s="202"/>
    </row>
    <row r="94" ht="24.0" customHeight="1">
      <c r="B94" s="329" t="s">
        <v>28</v>
      </c>
      <c r="C94" s="329" t="s">
        <v>287</v>
      </c>
      <c r="D94" s="329" t="s">
        <v>24</v>
      </c>
      <c r="E94" s="333" t="s">
        <v>288</v>
      </c>
      <c r="F94" s="329">
        <v>1.0</v>
      </c>
      <c r="G94" s="329" t="s">
        <v>26</v>
      </c>
      <c r="H94" s="329" t="s">
        <v>27</v>
      </c>
      <c r="I94" s="329" t="s">
        <v>26</v>
      </c>
      <c r="J94" s="330">
        <f t="shared" si="1"/>
        <v>0.02885416667</v>
      </c>
      <c r="K94" s="331">
        <v>480.0</v>
      </c>
      <c r="L94" s="332">
        <v>13.85</v>
      </c>
      <c r="N94" s="230">
        <f t="shared" si="3"/>
        <v>0.0001502821181</v>
      </c>
      <c r="P94" s="202"/>
    </row>
    <row r="95" ht="48.0" customHeight="1">
      <c r="B95" s="329" t="s">
        <v>28</v>
      </c>
      <c r="C95" s="329" t="s">
        <v>275</v>
      </c>
      <c r="D95" s="329" t="s">
        <v>24</v>
      </c>
      <c r="E95" s="333" t="s">
        <v>276</v>
      </c>
      <c r="F95" s="329">
        <v>7.0</v>
      </c>
      <c r="G95" s="329" t="s">
        <v>26</v>
      </c>
      <c r="H95" s="329" t="s">
        <v>27</v>
      </c>
      <c r="I95" s="329" t="s">
        <v>26</v>
      </c>
      <c r="J95" s="330">
        <f t="shared" si="1"/>
        <v>0.2195352564</v>
      </c>
      <c r="K95" s="331">
        <v>1248.0</v>
      </c>
      <c r="L95" s="332">
        <v>39.14</v>
      </c>
      <c r="N95" s="230">
        <f t="shared" si="3"/>
        <v>0.001143412794</v>
      </c>
      <c r="P95" s="202"/>
    </row>
    <row r="96" ht="12.0" customHeight="1">
      <c r="B96" s="329" t="s">
        <v>28</v>
      </c>
      <c r="C96" s="329" t="s">
        <v>579</v>
      </c>
      <c r="D96" s="329"/>
      <c r="E96" s="334" t="s">
        <v>580</v>
      </c>
      <c r="F96" s="329">
        <v>6.0</v>
      </c>
      <c r="G96" s="329" t="s">
        <v>26</v>
      </c>
      <c r="H96" s="329" t="s">
        <v>27</v>
      </c>
      <c r="I96" s="329"/>
      <c r="J96" s="330">
        <f t="shared" si="1"/>
        <v>0</v>
      </c>
      <c r="K96" s="331">
        <v>1.0</v>
      </c>
      <c r="L96" s="332"/>
      <c r="N96" s="230">
        <f t="shared" si="3"/>
        <v>0</v>
      </c>
      <c r="P96" s="202"/>
    </row>
    <row r="97" ht="12.0" customHeight="1">
      <c r="B97" s="329" t="s">
        <v>28</v>
      </c>
      <c r="C97" s="329" t="s">
        <v>581</v>
      </c>
      <c r="D97" s="329"/>
      <c r="E97" s="334" t="s">
        <v>582</v>
      </c>
      <c r="F97" s="329">
        <v>1994.0</v>
      </c>
      <c r="G97" s="329" t="s">
        <v>26</v>
      </c>
      <c r="H97" s="329" t="s">
        <v>27</v>
      </c>
      <c r="I97" s="329"/>
      <c r="J97" s="330">
        <f t="shared" si="1"/>
        <v>0</v>
      </c>
      <c r="K97" s="331">
        <v>1.0</v>
      </c>
      <c r="L97" s="332"/>
      <c r="N97" s="230">
        <f t="shared" si="3"/>
        <v>0</v>
      </c>
      <c r="P97" s="202"/>
    </row>
    <row r="98" ht="12.0" customHeight="1">
      <c r="B98" s="329" t="s">
        <v>28</v>
      </c>
      <c r="C98" s="329" t="s">
        <v>583</v>
      </c>
      <c r="D98" s="329"/>
      <c r="E98" s="334" t="s">
        <v>584</v>
      </c>
      <c r="F98" s="329">
        <v>6.0</v>
      </c>
      <c r="G98" s="329" t="s">
        <v>26</v>
      </c>
      <c r="H98" s="329" t="s">
        <v>27</v>
      </c>
      <c r="I98" s="329"/>
      <c r="J98" s="330">
        <f t="shared" si="1"/>
        <v>2.7018</v>
      </c>
      <c r="K98" s="331">
        <v>500.0</v>
      </c>
      <c r="L98" s="332">
        <v>225.15</v>
      </c>
      <c r="N98" s="230">
        <f t="shared" si="3"/>
        <v>0.014071875</v>
      </c>
      <c r="P98" s="202"/>
    </row>
    <row r="99" ht="12.0" customHeight="1">
      <c r="B99" s="202" t="s">
        <v>506</v>
      </c>
      <c r="J99" s="335">
        <f>30*192</f>
        <v>5760</v>
      </c>
      <c r="K99" s="336"/>
      <c r="L99" s="335"/>
      <c r="P99" s="202"/>
    </row>
    <row r="100" ht="12.0" customHeight="1">
      <c r="B100" s="202"/>
      <c r="J100" s="230">
        <f>SUM(J2:J99)</f>
        <v>7982.522259</v>
      </c>
      <c r="K100" s="336" t="s">
        <v>585</v>
      </c>
      <c r="L100" s="335"/>
      <c r="P100" s="202"/>
    </row>
    <row r="101" ht="12.0" customHeight="1">
      <c r="B101" s="202"/>
      <c r="J101" s="230">
        <f>J100/192</f>
        <v>41.57563676</v>
      </c>
      <c r="K101" s="336" t="s">
        <v>586</v>
      </c>
      <c r="L101" s="335"/>
      <c r="N101" s="230">
        <f>SUM(N2:N98)</f>
        <v>11.57563676</v>
      </c>
      <c r="P101" s="202"/>
    </row>
  </sheetData>
  <conditionalFormatting sqref="O2">
    <cfRule type="cellIs" dxfId="1" priority="1" operator="greaterThan">
      <formula>$N$2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 ht="96.0" customHeight="1">
      <c r="A1" s="337" t="s">
        <v>486</v>
      </c>
      <c r="B1" s="337" t="s">
        <v>3</v>
      </c>
      <c r="C1" s="338" t="s">
        <v>4</v>
      </c>
      <c r="D1" s="337" t="s">
        <v>7</v>
      </c>
      <c r="E1" s="337" t="s">
        <v>8</v>
      </c>
      <c r="F1" s="337" t="s">
        <v>9</v>
      </c>
      <c r="G1" s="337" t="s">
        <v>10</v>
      </c>
      <c r="H1" s="339" t="s">
        <v>11</v>
      </c>
      <c r="I1" s="340" t="s">
        <v>18</v>
      </c>
      <c r="J1" s="337" t="s">
        <v>587</v>
      </c>
      <c r="K1" s="337" t="s">
        <v>21</v>
      </c>
      <c r="L1" s="341" t="s">
        <v>22</v>
      </c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</row>
    <row r="2" ht="12.0" customHeight="1">
      <c r="A2" s="343" t="s">
        <v>454</v>
      </c>
      <c r="B2" s="344" t="s">
        <v>24</v>
      </c>
      <c r="C2" s="345" t="s">
        <v>455</v>
      </c>
      <c r="D2" s="346"/>
      <c r="E2" s="347">
        <v>1.0</v>
      </c>
      <c r="F2" s="344" t="s">
        <v>27</v>
      </c>
      <c r="G2" s="348" t="s">
        <v>27</v>
      </c>
      <c r="H2" s="349">
        <v>1.0</v>
      </c>
      <c r="I2" s="350">
        <v>7.22</v>
      </c>
      <c r="J2" s="351"/>
      <c r="K2" s="348" t="s">
        <v>456</v>
      </c>
      <c r="L2" s="352" t="s">
        <v>77</v>
      </c>
      <c r="M2" s="342"/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</row>
    <row r="3" ht="12.0" customHeight="1">
      <c r="A3" s="353" t="s">
        <v>430</v>
      </c>
      <c r="B3" s="353" t="s">
        <v>24</v>
      </c>
      <c r="C3" s="338" t="s">
        <v>431</v>
      </c>
      <c r="D3" s="354"/>
      <c r="E3" s="353">
        <v>1.0</v>
      </c>
      <c r="F3" s="353" t="s">
        <v>27</v>
      </c>
      <c r="G3" s="353" t="s">
        <v>27</v>
      </c>
      <c r="H3" s="339">
        <v>1.0</v>
      </c>
      <c r="I3" s="355">
        <v>13.03</v>
      </c>
      <c r="J3" s="356"/>
      <c r="K3" s="337"/>
      <c r="L3" s="357" t="s">
        <v>432</v>
      </c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</row>
    <row r="4" ht="12.0" customHeight="1">
      <c r="A4" s="337" t="s">
        <v>381</v>
      </c>
      <c r="B4" s="337" t="s">
        <v>24</v>
      </c>
      <c r="C4" s="338" t="s">
        <v>382</v>
      </c>
      <c r="D4" s="358"/>
      <c r="E4" s="353">
        <v>1.0</v>
      </c>
      <c r="F4" s="337" t="s">
        <v>27</v>
      </c>
      <c r="G4" s="337" t="s">
        <v>27</v>
      </c>
      <c r="H4" s="339">
        <v>5.0</v>
      </c>
      <c r="I4" s="355">
        <v>16.66</v>
      </c>
      <c r="J4" s="337"/>
      <c r="K4" s="337"/>
      <c r="L4" s="341"/>
      <c r="M4" s="342"/>
      <c r="N4" s="342"/>
      <c r="O4" s="342"/>
      <c r="P4" s="342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</row>
    <row r="5" ht="12.0" customHeight="1">
      <c r="A5" s="353" t="s">
        <v>588</v>
      </c>
      <c r="B5" s="337" t="s">
        <v>24</v>
      </c>
      <c r="C5" s="359" t="s">
        <v>589</v>
      </c>
      <c r="D5" s="358"/>
      <c r="E5" s="337">
        <v>1.0</v>
      </c>
      <c r="F5" s="337" t="s">
        <v>26</v>
      </c>
      <c r="G5" s="337" t="s">
        <v>27</v>
      </c>
      <c r="H5" s="339"/>
      <c r="I5" s="355">
        <v>87.55</v>
      </c>
      <c r="J5" s="337"/>
      <c r="K5" s="337"/>
      <c r="L5" s="341"/>
      <c r="M5" s="342"/>
      <c r="N5" s="342"/>
      <c r="O5" s="342"/>
      <c r="P5" s="342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</row>
    <row r="6" ht="12.0" customHeight="1">
      <c r="A6" s="353" t="s">
        <v>590</v>
      </c>
      <c r="B6" s="337" t="s">
        <v>24</v>
      </c>
      <c r="C6" s="338" t="s">
        <v>143</v>
      </c>
      <c r="D6" s="358"/>
      <c r="E6" s="337">
        <v>1.0</v>
      </c>
      <c r="F6" s="337" t="s">
        <v>26</v>
      </c>
      <c r="G6" s="337" t="s">
        <v>27</v>
      </c>
      <c r="H6" s="339"/>
      <c r="I6" s="355">
        <v>2.6</v>
      </c>
      <c r="J6" s="337"/>
      <c r="K6" s="337"/>
      <c r="L6" s="341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</row>
    <row r="7" ht="12.0" customHeight="1">
      <c r="A7" s="353" t="s">
        <v>591</v>
      </c>
      <c r="B7" s="337" t="s">
        <v>24</v>
      </c>
      <c r="C7" s="353" t="s">
        <v>592</v>
      </c>
      <c r="D7" s="354"/>
      <c r="E7" s="337">
        <v>1.0</v>
      </c>
      <c r="F7" s="337" t="s">
        <v>26</v>
      </c>
      <c r="G7" s="337" t="s">
        <v>27</v>
      </c>
      <c r="H7" s="339">
        <v>1.0</v>
      </c>
      <c r="I7" s="355">
        <v>37.16</v>
      </c>
      <c r="J7" s="337"/>
      <c r="K7" s="353" t="s">
        <v>312</v>
      </c>
      <c r="L7" s="360" t="s">
        <v>115</v>
      </c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</row>
    <row r="8" ht="12.0" customHeight="1">
      <c r="A8" s="353" t="s">
        <v>593</v>
      </c>
      <c r="B8" s="337" t="s">
        <v>24</v>
      </c>
      <c r="C8" s="359" t="s">
        <v>594</v>
      </c>
      <c r="D8" s="358"/>
      <c r="E8" s="337">
        <v>1.0</v>
      </c>
      <c r="F8" s="337" t="s">
        <v>27</v>
      </c>
      <c r="G8" s="337" t="s">
        <v>27</v>
      </c>
      <c r="H8" s="361"/>
      <c r="I8" s="355">
        <v>19.6</v>
      </c>
      <c r="J8" s="337"/>
      <c r="K8" s="337"/>
      <c r="L8" s="341"/>
      <c r="M8" s="342"/>
      <c r="N8" s="342"/>
      <c r="O8" s="342"/>
      <c r="P8" s="342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</row>
    <row r="9" ht="12.0" customHeight="1">
      <c r="A9" s="353" t="s">
        <v>595</v>
      </c>
      <c r="B9" s="337" t="s">
        <v>24</v>
      </c>
      <c r="C9" s="338" t="s">
        <v>88</v>
      </c>
      <c r="D9" s="358"/>
      <c r="E9" s="353">
        <v>2.0</v>
      </c>
      <c r="F9" s="337" t="s">
        <v>26</v>
      </c>
      <c r="G9" s="337" t="s">
        <v>27</v>
      </c>
      <c r="H9" s="339">
        <v>10.0</v>
      </c>
      <c r="I9" s="340"/>
      <c r="J9" s="337"/>
      <c r="K9" s="353" t="s">
        <v>596</v>
      </c>
      <c r="L9" s="341"/>
      <c r="M9" s="342"/>
      <c r="N9" s="342"/>
      <c r="O9" s="342"/>
      <c r="P9" s="342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</row>
    <row r="10" ht="12.0" customHeight="1">
      <c r="A10" s="353" t="s">
        <v>597</v>
      </c>
      <c r="B10" s="353" t="s">
        <v>24</v>
      </c>
      <c r="C10" s="359" t="s">
        <v>598</v>
      </c>
      <c r="D10" s="354"/>
      <c r="E10" s="353">
        <v>2.0</v>
      </c>
      <c r="F10" s="353" t="s">
        <v>26</v>
      </c>
      <c r="G10" s="353" t="s">
        <v>27</v>
      </c>
      <c r="H10" s="339">
        <v>50.0</v>
      </c>
      <c r="I10" s="355">
        <v>50.21</v>
      </c>
      <c r="J10" s="356"/>
      <c r="K10" s="337"/>
      <c r="L10" s="357" t="s">
        <v>231</v>
      </c>
      <c r="M10" s="342"/>
      <c r="N10" s="342"/>
      <c r="O10" s="342"/>
      <c r="P10" s="342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</row>
    <row r="11">
      <c r="A11" s="362" t="s">
        <v>235</v>
      </c>
      <c r="B11" s="362" t="s">
        <v>46</v>
      </c>
      <c r="C11" s="363" t="s">
        <v>236</v>
      </c>
      <c r="D11" s="342"/>
      <c r="E11" s="362">
        <v>1.0</v>
      </c>
      <c r="F11" s="362" t="s">
        <v>26</v>
      </c>
      <c r="G11" s="362" t="s">
        <v>27</v>
      </c>
      <c r="H11" s="364">
        <v>960.0</v>
      </c>
      <c r="I11" s="365">
        <v>96.95</v>
      </c>
      <c r="J11" s="342"/>
      <c r="K11" s="362" t="s">
        <v>599</v>
      </c>
      <c r="L11" s="342"/>
      <c r="M11" s="342"/>
      <c r="N11" s="342"/>
      <c r="O11" s="342"/>
      <c r="P11" s="342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</row>
    <row r="12">
      <c r="A12" s="353" t="s">
        <v>600</v>
      </c>
      <c r="B12" s="362" t="s">
        <v>601</v>
      </c>
      <c r="C12" s="363">
        <v>1.7002927E7</v>
      </c>
      <c r="D12" s="342"/>
      <c r="E12" s="362">
        <v>1.0</v>
      </c>
      <c r="F12" s="362" t="s">
        <v>26</v>
      </c>
      <c r="G12" s="362" t="s">
        <v>27</v>
      </c>
      <c r="H12" s="364">
        <v>960.0</v>
      </c>
      <c r="I12" s="365">
        <v>51.25</v>
      </c>
      <c r="J12" s="342"/>
      <c r="K12" s="362" t="s">
        <v>599</v>
      </c>
      <c r="L12" s="342"/>
      <c r="M12" s="342"/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</row>
    <row r="13">
      <c r="A13" s="353" t="s">
        <v>602</v>
      </c>
      <c r="B13" s="362" t="s">
        <v>601</v>
      </c>
      <c r="C13" s="363">
        <v>1.700292E7</v>
      </c>
      <c r="D13" s="342"/>
      <c r="E13" s="362">
        <v>2.0</v>
      </c>
      <c r="F13" s="362" t="s">
        <v>26</v>
      </c>
      <c r="G13" s="362" t="s">
        <v>27</v>
      </c>
      <c r="H13" s="364">
        <v>768.0</v>
      </c>
      <c r="I13" s="365">
        <v>51.25</v>
      </c>
      <c r="J13" s="342"/>
      <c r="K13" s="362" t="s">
        <v>599</v>
      </c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</row>
    <row r="14" ht="12.0" customHeight="1">
      <c r="A14" s="353" t="s">
        <v>107</v>
      </c>
      <c r="B14" s="337" t="s">
        <v>105</v>
      </c>
      <c r="C14" s="359">
        <v>69581.0</v>
      </c>
      <c r="D14" s="358"/>
      <c r="E14" s="337">
        <v>1.0</v>
      </c>
      <c r="F14" s="337" t="s">
        <v>26</v>
      </c>
      <c r="G14" s="337" t="s">
        <v>27</v>
      </c>
      <c r="H14" s="339">
        <v>1.0</v>
      </c>
      <c r="I14" s="355">
        <v>1094.73</v>
      </c>
      <c r="J14" s="337"/>
      <c r="K14" s="337"/>
      <c r="L14" s="341" t="s">
        <v>106</v>
      </c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</row>
    <row r="15">
      <c r="A15" s="362" t="s">
        <v>603</v>
      </c>
      <c r="B15" s="362" t="s">
        <v>105</v>
      </c>
      <c r="C15" s="362">
        <v>69504.0</v>
      </c>
      <c r="D15" s="342"/>
      <c r="E15" s="362">
        <v>1.0</v>
      </c>
      <c r="F15" s="362" t="s">
        <v>26</v>
      </c>
      <c r="G15" s="362" t="s">
        <v>27</v>
      </c>
      <c r="H15" s="364">
        <v>50.0</v>
      </c>
      <c r="I15" s="365">
        <v>146.51</v>
      </c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</row>
    <row r="16">
      <c r="A16" s="366"/>
      <c r="B16" s="366"/>
      <c r="C16" s="366"/>
      <c r="D16" s="366"/>
      <c r="E16" s="366"/>
      <c r="F16" s="366"/>
      <c r="G16" s="366"/>
      <c r="H16" s="368"/>
      <c r="I16" s="369"/>
      <c r="J16" s="366"/>
      <c r="K16" s="366"/>
      <c r="L16" s="366"/>
      <c r="M16" s="366"/>
      <c r="N16" s="366"/>
      <c r="O16" s="366"/>
      <c r="P16" s="366"/>
      <c r="Q16" s="366"/>
      <c r="R16" s="366"/>
      <c r="S16" s="366"/>
      <c r="T16" s="366"/>
      <c r="U16" s="366"/>
      <c r="V16" s="366"/>
      <c r="W16" s="366"/>
      <c r="X16" s="366"/>
      <c r="Y16" s="366"/>
      <c r="Z16" s="366"/>
      <c r="AA16" s="366"/>
    </row>
    <row r="17">
      <c r="A17" s="362" t="s">
        <v>605</v>
      </c>
      <c r="B17" s="372" t="s">
        <v>91</v>
      </c>
      <c r="C17" s="374" t="s">
        <v>92</v>
      </c>
      <c r="D17" s="376" t="s">
        <v>93</v>
      </c>
      <c r="E17" s="378">
        <v>41946.0</v>
      </c>
      <c r="F17" s="374">
        <v>1.0</v>
      </c>
      <c r="G17" s="374" t="s">
        <v>26</v>
      </c>
      <c r="H17" s="380" t="s">
        <v>27</v>
      </c>
      <c r="I17" s="382">
        <v>450.0</v>
      </c>
      <c r="J17" s="384">
        <v>5493.0</v>
      </c>
      <c r="K17" s="372">
        <v>2096916.0</v>
      </c>
      <c r="L17" s="376" t="s">
        <v>94</v>
      </c>
      <c r="M17" s="386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</row>
    <row r="18" ht="12.0" customHeight="1">
      <c r="A18" s="2" t="s">
        <v>617</v>
      </c>
      <c r="B18" s="47" t="s">
        <v>618</v>
      </c>
      <c r="C18" s="47" t="s">
        <v>24</v>
      </c>
      <c r="D18" s="388" t="s">
        <v>619</v>
      </c>
      <c r="E18" s="390"/>
      <c r="F18" s="47">
        <v>1.0</v>
      </c>
      <c r="G18" s="47" t="s">
        <v>27</v>
      </c>
      <c r="H18" s="391" t="s">
        <v>27</v>
      </c>
      <c r="I18" s="392">
        <v>1.0</v>
      </c>
      <c r="J18" s="393">
        <v>40.71</v>
      </c>
      <c r="K18" s="394"/>
      <c r="L18" s="394"/>
      <c r="M18" s="9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62" t="s">
        <v>623</v>
      </c>
      <c r="B19" s="342"/>
      <c r="C19" s="362" t="s">
        <v>46</v>
      </c>
      <c r="D19" s="363" t="s">
        <v>624</v>
      </c>
      <c r="E19" s="342"/>
      <c r="F19" s="342"/>
      <c r="G19" s="342"/>
      <c r="H19" s="364">
        <v>960.0</v>
      </c>
      <c r="I19" s="365">
        <v>116.47</v>
      </c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</row>
    <row r="20" ht="12.0" customHeight="1">
      <c r="A20" s="362" t="s">
        <v>625</v>
      </c>
      <c r="B20" s="342"/>
      <c r="C20" s="362" t="s">
        <v>46</v>
      </c>
      <c r="D20" s="363" t="s">
        <v>626</v>
      </c>
      <c r="E20" s="342"/>
      <c r="F20" s="362" t="s">
        <v>26</v>
      </c>
      <c r="G20" s="362" t="s">
        <v>27</v>
      </c>
      <c r="H20" s="364">
        <v>960.0</v>
      </c>
      <c r="I20" s="365">
        <v>96.95</v>
      </c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</row>
    <row r="21" ht="12.0" customHeight="1">
      <c r="A21" s="362" t="s">
        <v>627</v>
      </c>
      <c r="B21" s="342"/>
      <c r="C21" s="362" t="s">
        <v>46</v>
      </c>
      <c r="D21" s="363" t="s">
        <v>628</v>
      </c>
      <c r="E21" s="342"/>
      <c r="F21" s="362" t="s">
        <v>26</v>
      </c>
      <c r="G21" s="362" t="s">
        <v>27</v>
      </c>
      <c r="H21" s="364">
        <v>960.0</v>
      </c>
      <c r="I21" s="365">
        <v>96.95</v>
      </c>
      <c r="J21" s="342"/>
      <c r="K21" s="362" t="s">
        <v>629</v>
      </c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</row>
    <row r="22" ht="12.0" customHeight="1">
      <c r="A22" s="362" t="s">
        <v>630</v>
      </c>
      <c r="B22" s="395" t="s">
        <v>235</v>
      </c>
      <c r="C22" s="395" t="s">
        <v>46</v>
      </c>
      <c r="D22" s="397" t="s">
        <v>236</v>
      </c>
      <c r="E22" s="403"/>
      <c r="F22" s="395" t="s">
        <v>26</v>
      </c>
      <c r="G22" s="395" t="s">
        <v>27</v>
      </c>
      <c r="H22" s="405" t="s">
        <v>27</v>
      </c>
      <c r="I22" s="407">
        <v>960.0</v>
      </c>
      <c r="J22" s="395">
        <v>96.95</v>
      </c>
      <c r="K22" s="342"/>
      <c r="L22" s="395" t="s">
        <v>599</v>
      </c>
      <c r="M22" s="403"/>
      <c r="N22" s="342"/>
      <c r="O22" s="342"/>
      <c r="P22" s="342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</row>
    <row r="23" ht="12.0" customHeight="1">
      <c r="A23" s="362" t="s">
        <v>636</v>
      </c>
      <c r="B23" s="403"/>
      <c r="C23" s="395" t="s">
        <v>46</v>
      </c>
      <c r="D23" s="409" t="s">
        <v>637</v>
      </c>
      <c r="E23" s="403"/>
      <c r="F23" s="403"/>
      <c r="G23" s="403"/>
      <c r="H23" s="410"/>
      <c r="I23" s="407">
        <v>76.95</v>
      </c>
      <c r="J23" s="403"/>
      <c r="K23" s="342"/>
      <c r="L23" s="403"/>
      <c r="M23" s="403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</row>
    <row r="24" ht="12.0" customHeight="1">
      <c r="A24" s="412" t="s">
        <v>641</v>
      </c>
      <c r="B24" s="413"/>
      <c r="C24" s="414" t="s">
        <v>46</v>
      </c>
      <c r="D24" s="413"/>
      <c r="E24" s="413"/>
      <c r="F24" s="413"/>
      <c r="G24" s="413"/>
      <c r="H24" s="415"/>
      <c r="I24" s="416"/>
      <c r="J24" s="413"/>
      <c r="K24" s="417"/>
      <c r="L24" s="413"/>
      <c r="M24" s="413"/>
      <c r="N24" s="417"/>
      <c r="O24" s="417"/>
      <c r="P24" s="417"/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</row>
    <row r="25">
      <c r="A25" s="32" t="s">
        <v>646</v>
      </c>
      <c r="B25" s="310"/>
      <c r="C25" s="32" t="s">
        <v>120</v>
      </c>
      <c r="D25" s="310"/>
      <c r="E25" s="310"/>
      <c r="F25" s="310"/>
      <c r="G25" s="310"/>
      <c r="H25" s="418"/>
      <c r="I25" s="31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U25" s="310"/>
      <c r="V25" s="310"/>
      <c r="W25" s="310"/>
      <c r="X25" s="310"/>
      <c r="Y25" s="310"/>
      <c r="Z25" s="310"/>
      <c r="AA25" s="310"/>
    </row>
    <row r="26">
      <c r="A26" s="32" t="s">
        <v>647</v>
      </c>
      <c r="B26" s="310"/>
      <c r="C26" s="32" t="s">
        <v>120</v>
      </c>
      <c r="D26" s="310"/>
      <c r="E26" s="310"/>
      <c r="F26" s="310"/>
      <c r="G26" s="310"/>
      <c r="H26" s="418"/>
      <c r="I26" s="31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U26" s="310"/>
      <c r="V26" s="310"/>
      <c r="W26" s="310"/>
      <c r="X26" s="310"/>
      <c r="Y26" s="310"/>
      <c r="Z26" s="310"/>
      <c r="AA26" s="310"/>
    </row>
    <row r="27">
      <c r="A27" s="32" t="s">
        <v>648</v>
      </c>
      <c r="B27" s="310"/>
      <c r="C27" s="32" t="s">
        <v>120</v>
      </c>
      <c r="D27" s="310"/>
      <c r="E27" s="310"/>
      <c r="F27" s="310"/>
      <c r="G27" s="310"/>
      <c r="H27" s="418"/>
      <c r="I27" s="31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U27" s="310"/>
      <c r="V27" s="310"/>
      <c r="W27" s="310"/>
      <c r="X27" s="310"/>
      <c r="Y27" s="310"/>
      <c r="Z27" s="310"/>
      <c r="AA27" s="310"/>
    </row>
    <row r="28">
      <c r="A28" s="32" t="s">
        <v>649</v>
      </c>
      <c r="B28" s="310"/>
      <c r="C28" s="32" t="s">
        <v>120</v>
      </c>
      <c r="D28" s="310"/>
      <c r="E28" s="310"/>
      <c r="F28" s="310"/>
      <c r="G28" s="310"/>
      <c r="H28" s="418"/>
      <c r="I28" s="31"/>
      <c r="J28" s="310"/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</row>
    <row r="29">
      <c r="A29" s="2" t="s">
        <v>651</v>
      </c>
      <c r="B29" s="4"/>
      <c r="C29" s="2" t="s">
        <v>248</v>
      </c>
      <c r="D29" s="4"/>
      <c r="E29" s="4"/>
      <c r="F29" s="4"/>
      <c r="G29" s="4"/>
      <c r="H29" s="419"/>
      <c r="I29" s="42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653</v>
      </c>
      <c r="B30" s="421" t="s">
        <v>654</v>
      </c>
      <c r="C30" s="6" t="s">
        <v>248</v>
      </c>
      <c r="H30" s="422"/>
      <c r="I30" s="423"/>
    </row>
    <row r="31">
      <c r="A31" s="2"/>
      <c r="B31" s="424" t="s">
        <v>655</v>
      </c>
      <c r="C31" s="2" t="s">
        <v>248</v>
      </c>
      <c r="D31" s="4"/>
      <c r="E31" s="4"/>
      <c r="F31" s="4"/>
      <c r="G31" s="4"/>
      <c r="H31" s="419"/>
      <c r="I31" s="42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/>
      <c r="B32" s="424" t="s">
        <v>656</v>
      </c>
      <c r="C32" s="2" t="s">
        <v>248</v>
      </c>
      <c r="D32" s="4"/>
      <c r="E32" s="4"/>
      <c r="F32" s="4"/>
      <c r="G32" s="4"/>
      <c r="H32" s="419"/>
      <c r="I32" s="42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0" customHeight="1">
      <c r="A33" s="2"/>
      <c r="B33" s="425" t="s">
        <v>657</v>
      </c>
      <c r="C33" s="426" t="s">
        <v>248</v>
      </c>
      <c r="D33" s="427"/>
      <c r="E33" s="427"/>
      <c r="F33" s="427"/>
      <c r="G33" s="427"/>
      <c r="H33" s="428"/>
      <c r="I33" s="430"/>
      <c r="J33" s="427"/>
      <c r="K33" s="427"/>
      <c r="L33" s="427"/>
      <c r="M33" s="42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 t="s">
        <v>660</v>
      </c>
      <c r="B34" s="4"/>
      <c r="C34" s="2" t="s">
        <v>248</v>
      </c>
      <c r="D34" s="4"/>
      <c r="E34" s="4"/>
      <c r="F34" s="4"/>
      <c r="G34" s="4"/>
      <c r="H34" s="419"/>
      <c r="I34" s="4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0" customHeight="1">
      <c r="A35" s="2" t="s">
        <v>664</v>
      </c>
      <c r="B35" s="4"/>
      <c r="C35" s="2" t="s">
        <v>248</v>
      </c>
      <c r="D35" s="4"/>
      <c r="E35" s="4"/>
      <c r="F35" s="4"/>
      <c r="G35" s="4"/>
      <c r="H35" s="419"/>
      <c r="I35" s="42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62" t="s">
        <v>666</v>
      </c>
      <c r="B36" s="372" t="s">
        <v>110</v>
      </c>
      <c r="C36" s="372" t="s">
        <v>109</v>
      </c>
      <c r="D36" s="376" t="s">
        <v>111</v>
      </c>
      <c r="E36" s="372">
        <v>1.0</v>
      </c>
      <c r="F36" s="372" t="s">
        <v>26</v>
      </c>
      <c r="G36" s="372" t="s">
        <v>27</v>
      </c>
      <c r="H36" s="432">
        <v>500.0</v>
      </c>
      <c r="I36" s="384">
        <v>202.5</v>
      </c>
      <c r="J36" s="433">
        <v>2173973.0</v>
      </c>
      <c r="K36" s="342"/>
      <c r="L36" s="374"/>
      <c r="M36" s="434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42"/>
      <c r="Z36" s="342"/>
      <c r="AA36" s="342"/>
    </row>
    <row r="37">
      <c r="A37" s="362" t="s">
        <v>672</v>
      </c>
      <c r="B37" s="372" t="s">
        <v>192</v>
      </c>
      <c r="C37" s="372" t="s">
        <v>109</v>
      </c>
      <c r="D37" s="376" t="s">
        <v>193</v>
      </c>
      <c r="E37" s="372">
        <v>1.0</v>
      </c>
      <c r="F37" s="372" t="s">
        <v>26</v>
      </c>
      <c r="G37" s="372" t="s">
        <v>27</v>
      </c>
      <c r="H37" s="432">
        <v>500.0</v>
      </c>
      <c r="I37" s="384">
        <v>220.5</v>
      </c>
      <c r="J37" s="433">
        <v>2173973.0</v>
      </c>
      <c r="K37" s="342"/>
      <c r="L37" s="374"/>
      <c r="M37" s="435" t="s">
        <v>194</v>
      </c>
      <c r="N37" s="342"/>
      <c r="O37" s="342"/>
      <c r="P37" s="342"/>
      <c r="Q37" s="342"/>
      <c r="R37" s="342"/>
      <c r="S37" s="342"/>
      <c r="T37" s="342"/>
      <c r="U37" s="342"/>
      <c r="V37" s="342"/>
      <c r="W37" s="342"/>
      <c r="X37" s="342"/>
      <c r="Y37" s="342"/>
      <c r="Z37" s="342"/>
      <c r="AA37" s="342"/>
    </row>
    <row r="38">
      <c r="A38" s="362" t="s">
        <v>674</v>
      </c>
      <c r="B38" s="436" t="s">
        <v>675</v>
      </c>
      <c r="C38" s="374" t="s">
        <v>109</v>
      </c>
      <c r="D38" s="436" t="s">
        <v>676</v>
      </c>
      <c r="E38" s="374">
        <v>1.0</v>
      </c>
      <c r="F38" s="374" t="s">
        <v>27</v>
      </c>
      <c r="G38" s="374" t="s">
        <v>27</v>
      </c>
      <c r="H38" s="380"/>
      <c r="I38" s="365">
        <v>267.3</v>
      </c>
      <c r="J38" s="374">
        <v>1957734.0</v>
      </c>
      <c r="K38" s="342"/>
      <c r="L38" s="374"/>
      <c r="M38" s="386"/>
      <c r="N38" s="342"/>
      <c r="O38" s="342"/>
      <c r="P38" s="342"/>
      <c r="Q38" s="342"/>
      <c r="R38" s="342"/>
      <c r="S38" s="342"/>
      <c r="T38" s="342"/>
      <c r="U38" s="342"/>
      <c r="V38" s="342"/>
      <c r="W38" s="342"/>
      <c r="X38" s="342"/>
      <c r="Y38" s="342"/>
      <c r="Z38" s="342"/>
      <c r="AA38" s="342"/>
    </row>
    <row r="39" ht="12.0" customHeight="1">
      <c r="A39" s="362" t="s">
        <v>677</v>
      </c>
      <c r="B39" s="437" t="s">
        <v>678</v>
      </c>
      <c r="C39" s="395" t="s">
        <v>109</v>
      </c>
      <c r="D39" s="437" t="s">
        <v>682</v>
      </c>
      <c r="E39" s="395">
        <v>1.0</v>
      </c>
      <c r="F39" s="395" t="s">
        <v>27</v>
      </c>
      <c r="G39" s="395" t="s">
        <v>27</v>
      </c>
      <c r="H39" s="405">
        <v>1.0</v>
      </c>
      <c r="I39" s="395">
        <v>401.5</v>
      </c>
      <c r="J39" s="403"/>
      <c r="K39" s="403"/>
      <c r="L39" s="403"/>
      <c r="M39" s="403"/>
      <c r="N39" s="342"/>
      <c r="O39" s="342"/>
      <c r="P39" s="342"/>
      <c r="Q39" s="342"/>
      <c r="R39" s="342"/>
      <c r="S39" s="342"/>
      <c r="T39" s="342"/>
      <c r="U39" s="342"/>
      <c r="V39" s="342"/>
      <c r="W39" s="342"/>
      <c r="X39" s="342"/>
      <c r="Y39" s="342"/>
      <c r="Z39" s="342"/>
      <c r="AA39" s="342"/>
    </row>
    <row r="40">
      <c r="A40" s="362" t="s">
        <v>685</v>
      </c>
      <c r="B40" s="342"/>
      <c r="C40" s="362" t="s">
        <v>109</v>
      </c>
      <c r="D40" s="342"/>
      <c r="E40" s="342"/>
      <c r="F40" s="342"/>
      <c r="G40" s="342"/>
      <c r="H40" s="438"/>
      <c r="I40" s="439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42"/>
      <c r="Z40" s="342"/>
      <c r="AA40" s="342"/>
    </row>
    <row r="41">
      <c r="A41" s="362" t="s">
        <v>688</v>
      </c>
      <c r="B41" s="374" t="s">
        <v>217</v>
      </c>
      <c r="C41" s="374" t="s">
        <v>109</v>
      </c>
      <c r="D41" s="374" t="s">
        <v>218</v>
      </c>
      <c r="E41" s="378">
        <v>42250.0</v>
      </c>
      <c r="F41" s="374">
        <v>1.0</v>
      </c>
      <c r="G41" s="374" t="s">
        <v>26</v>
      </c>
      <c r="H41" s="380" t="s">
        <v>27</v>
      </c>
      <c r="I41" s="382">
        <v>250.0</v>
      </c>
      <c r="J41" s="440">
        <v>256.0</v>
      </c>
      <c r="K41" s="441"/>
      <c r="L41" s="442" t="s">
        <v>692</v>
      </c>
      <c r="M41" s="386" t="s">
        <v>150</v>
      </c>
      <c r="N41" s="342"/>
      <c r="O41" s="342"/>
      <c r="P41" s="342"/>
      <c r="Q41" s="342"/>
      <c r="R41" s="342"/>
      <c r="S41" s="342"/>
      <c r="T41" s="342"/>
      <c r="U41" s="342"/>
      <c r="V41" s="342"/>
      <c r="W41" s="342"/>
      <c r="X41" s="342"/>
      <c r="Y41" s="342"/>
      <c r="Z41" s="342"/>
      <c r="AA41" s="342"/>
    </row>
    <row r="42">
      <c r="A42" s="362" t="s">
        <v>698</v>
      </c>
      <c r="B42" s="374" t="s">
        <v>700</v>
      </c>
      <c r="C42" s="374" t="s">
        <v>109</v>
      </c>
      <c r="D42" s="443" t="s">
        <v>188</v>
      </c>
      <c r="E42" s="444">
        <v>41711.0</v>
      </c>
      <c r="F42" s="374">
        <v>1.0</v>
      </c>
      <c r="G42" s="374" t="s">
        <v>26</v>
      </c>
      <c r="H42" s="380" t="s">
        <v>27</v>
      </c>
      <c r="I42" s="382">
        <v>200.0</v>
      </c>
      <c r="J42" s="440">
        <v>201.6</v>
      </c>
      <c r="K42" s="374">
        <v>1980380.0</v>
      </c>
      <c r="L42" s="374"/>
      <c r="M42" s="386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  <c r="AA42" s="342"/>
    </row>
    <row r="43">
      <c r="A43" s="362" t="s">
        <v>706</v>
      </c>
      <c r="B43" s="342"/>
      <c r="C43" s="362" t="s">
        <v>109</v>
      </c>
      <c r="D43" s="342"/>
      <c r="E43" s="342"/>
      <c r="F43" s="342"/>
      <c r="G43" s="342"/>
      <c r="H43" s="438"/>
      <c r="I43" s="439"/>
      <c r="J43" s="342"/>
      <c r="K43" s="342"/>
      <c r="L43" s="342"/>
      <c r="M43" s="342"/>
      <c r="N43" s="342"/>
      <c r="O43" s="342"/>
      <c r="P43" s="342"/>
      <c r="Q43" s="342"/>
      <c r="R43" s="342"/>
      <c r="S43" s="342"/>
      <c r="T43" s="342"/>
      <c r="U43" s="342"/>
      <c r="V43" s="342"/>
      <c r="W43" s="342"/>
      <c r="X43" s="342"/>
      <c r="Y43" s="342"/>
      <c r="Z43" s="342"/>
      <c r="AA43" s="342"/>
    </row>
    <row r="44">
      <c r="A44" s="362" t="s">
        <v>708</v>
      </c>
      <c r="B44" s="403"/>
      <c r="C44" s="395" t="s">
        <v>109</v>
      </c>
      <c r="D44" s="403"/>
      <c r="E44" s="403"/>
      <c r="F44" s="403"/>
      <c r="G44" s="403"/>
      <c r="H44" s="410"/>
      <c r="I44" s="445"/>
      <c r="J44" s="403"/>
      <c r="K44" s="403"/>
      <c r="L44" s="403"/>
      <c r="M44" s="403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42"/>
      <c r="Z44" s="342"/>
      <c r="AA44" s="342"/>
    </row>
    <row r="45" ht="12.0" customHeight="1">
      <c r="A45" s="362" t="s">
        <v>715</v>
      </c>
      <c r="B45" s="403"/>
      <c r="C45" s="395" t="s">
        <v>109</v>
      </c>
      <c r="D45" s="403"/>
      <c r="E45" s="403"/>
      <c r="F45" s="403"/>
      <c r="G45" s="403"/>
      <c r="H45" s="410"/>
      <c r="I45" s="445"/>
      <c r="J45" s="403"/>
      <c r="K45" s="403"/>
      <c r="L45" s="403"/>
      <c r="M45" s="403"/>
      <c r="N45" s="342"/>
      <c r="O45" s="342"/>
      <c r="P45" s="342"/>
      <c r="Q45" s="342"/>
      <c r="R45" s="342"/>
      <c r="S45" s="342"/>
      <c r="T45" s="342"/>
      <c r="U45" s="342"/>
      <c r="V45" s="342"/>
      <c r="W45" s="342"/>
      <c r="X45" s="342"/>
      <c r="Y45" s="342"/>
      <c r="Z45" s="342"/>
      <c r="AA45" s="342"/>
    </row>
    <row r="46">
      <c r="A46" s="362" t="s">
        <v>716</v>
      </c>
      <c r="B46" s="342"/>
      <c r="C46" s="362" t="s">
        <v>109</v>
      </c>
      <c r="D46" s="342"/>
      <c r="E46" s="342"/>
      <c r="F46" s="342"/>
      <c r="G46" s="342"/>
      <c r="H46" s="438"/>
      <c r="I46" s="439"/>
      <c r="J46" s="342"/>
      <c r="K46" s="342"/>
      <c r="L46" s="342"/>
      <c r="M46" s="342"/>
      <c r="N46" s="342"/>
      <c r="O46" s="342"/>
      <c r="P46" s="342"/>
      <c r="Q46" s="342"/>
      <c r="R46" s="342"/>
      <c r="S46" s="342"/>
      <c r="T46" s="342"/>
      <c r="U46" s="342"/>
      <c r="V46" s="342"/>
      <c r="W46" s="342"/>
      <c r="X46" s="342"/>
      <c r="Y46" s="342"/>
      <c r="Z46" s="342"/>
      <c r="AA46" s="342"/>
    </row>
    <row r="47">
      <c r="A47" s="2" t="s">
        <v>717</v>
      </c>
      <c r="B47" s="446" t="s">
        <v>718</v>
      </c>
      <c r="C47" s="446" t="s">
        <v>145</v>
      </c>
      <c r="D47" s="447"/>
      <c r="E47" s="448"/>
      <c r="F47" s="449"/>
      <c r="G47" s="449"/>
      <c r="H47" s="450"/>
      <c r="I47" s="451"/>
      <c r="J47" s="452">
        <v>150.0</v>
      </c>
      <c r="K47" s="453"/>
      <c r="L47" s="449"/>
      <c r="M47" s="454" t="s">
        <v>148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0" customHeight="1">
      <c r="A48" s="412" t="s">
        <v>727</v>
      </c>
      <c r="B48" s="413"/>
      <c r="C48" s="414" t="s">
        <v>578</v>
      </c>
      <c r="D48" s="413"/>
      <c r="E48" s="413"/>
      <c r="F48" s="413"/>
      <c r="G48" s="413"/>
      <c r="H48" s="415"/>
      <c r="I48" s="416"/>
      <c r="J48" s="413"/>
      <c r="K48" s="413"/>
      <c r="L48" s="413"/>
      <c r="M48" s="413"/>
      <c r="N48" s="417"/>
      <c r="O48" s="417"/>
      <c r="P48" s="417"/>
      <c r="Q48" s="417"/>
      <c r="R48" s="417"/>
      <c r="S48" s="417"/>
      <c r="T48" s="417"/>
      <c r="U48" s="417"/>
      <c r="V48" s="417"/>
      <c r="W48" s="417"/>
      <c r="X48" s="417"/>
      <c r="Y48" s="417"/>
      <c r="Z48" s="417"/>
      <c r="AA48" s="417"/>
    </row>
    <row r="49" ht="12.0" customHeight="1">
      <c r="A49" s="412" t="s">
        <v>728</v>
      </c>
      <c r="B49" s="413"/>
      <c r="C49" s="414" t="s">
        <v>578</v>
      </c>
      <c r="D49" s="413"/>
      <c r="E49" s="413"/>
      <c r="F49" s="413"/>
      <c r="G49" s="413"/>
      <c r="H49" s="415"/>
      <c r="I49" s="416"/>
      <c r="J49" s="413"/>
      <c r="K49" s="413"/>
      <c r="L49" s="413"/>
      <c r="M49" s="413"/>
      <c r="N49" s="417"/>
      <c r="O49" s="417"/>
      <c r="P49" s="417"/>
      <c r="Q49" s="417"/>
      <c r="R49" s="417"/>
      <c r="S49" s="417"/>
      <c r="T49" s="417"/>
      <c r="U49" s="417"/>
      <c r="V49" s="417"/>
      <c r="W49" s="417"/>
      <c r="X49" s="417"/>
      <c r="Y49" s="417"/>
      <c r="Z49" s="417"/>
      <c r="AA49" s="417"/>
    </row>
    <row r="50">
      <c r="A50" s="412" t="s">
        <v>729</v>
      </c>
      <c r="B50" s="417"/>
      <c r="C50" s="412" t="s">
        <v>578</v>
      </c>
      <c r="D50" s="417"/>
      <c r="E50" s="417"/>
      <c r="F50" s="417"/>
      <c r="G50" s="417"/>
      <c r="H50" s="456"/>
      <c r="I50" s="458"/>
      <c r="J50" s="417"/>
      <c r="K50" s="417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7"/>
      <c r="AA50" s="417"/>
    </row>
    <row r="51">
      <c r="A51" s="362" t="s">
        <v>730</v>
      </c>
      <c r="B51" s="374" t="s">
        <v>240</v>
      </c>
      <c r="C51" s="372" t="s">
        <v>24</v>
      </c>
      <c r="D51" s="376" t="s">
        <v>731</v>
      </c>
      <c r="E51" s="372">
        <v>1.0</v>
      </c>
      <c r="F51" s="372" t="s">
        <v>26</v>
      </c>
      <c r="G51" s="372" t="s">
        <v>27</v>
      </c>
      <c r="H51" s="432">
        <v>1000.0</v>
      </c>
      <c r="I51" s="382">
        <v>40.85</v>
      </c>
      <c r="J51" s="440"/>
      <c r="K51" s="374"/>
      <c r="L51" s="374"/>
      <c r="M51" s="386"/>
      <c r="N51" s="342"/>
      <c r="O51" s="342"/>
      <c r="P51" s="342"/>
      <c r="Q51" s="342"/>
      <c r="R51" s="342"/>
      <c r="S51" s="342"/>
      <c r="T51" s="342"/>
      <c r="U51" s="342"/>
      <c r="V51" s="342"/>
      <c r="W51" s="342"/>
      <c r="X51" s="342"/>
      <c r="Y51" s="342"/>
      <c r="Z51" s="342"/>
      <c r="AA51" s="342"/>
    </row>
    <row r="52">
      <c r="A52" s="362" t="s">
        <v>732</v>
      </c>
      <c r="B52" s="374" t="s">
        <v>177</v>
      </c>
      <c r="C52" s="372" t="s">
        <v>24</v>
      </c>
      <c r="D52" s="376" t="s">
        <v>733</v>
      </c>
      <c r="E52" s="374">
        <v>1.0</v>
      </c>
      <c r="F52" s="374" t="s">
        <v>26</v>
      </c>
      <c r="G52" s="374" t="s">
        <v>27</v>
      </c>
      <c r="H52" s="432">
        <v>120.0</v>
      </c>
      <c r="I52" s="384">
        <v>75.35</v>
      </c>
      <c r="J52" s="374"/>
      <c r="K52" s="342"/>
      <c r="L52" s="374"/>
      <c r="M52" s="386"/>
      <c r="N52" s="342"/>
      <c r="O52" s="342"/>
      <c r="P52" s="342"/>
      <c r="Q52" s="342"/>
      <c r="R52" s="342"/>
      <c r="S52" s="342"/>
      <c r="T52" s="342"/>
      <c r="U52" s="342"/>
      <c r="V52" s="342"/>
      <c r="W52" s="342"/>
      <c r="X52" s="342"/>
      <c r="Y52" s="342"/>
      <c r="Z52" s="342"/>
      <c r="AA52" s="342"/>
    </row>
    <row r="53">
      <c r="A53" s="6" t="s">
        <v>734</v>
      </c>
      <c r="B53" s="8" t="s">
        <v>735</v>
      </c>
      <c r="C53" s="232"/>
      <c r="D53" s="462"/>
      <c r="E53" s="232">
        <v>2.0</v>
      </c>
      <c r="F53" s="232" t="s">
        <v>26</v>
      </c>
      <c r="G53" s="232" t="s">
        <v>27</v>
      </c>
      <c r="H53" s="463">
        <v>50.0</v>
      </c>
      <c r="I53" s="464">
        <v>15.97</v>
      </c>
      <c r="J53" s="232">
        <v>1922061.0</v>
      </c>
      <c r="L53" s="232"/>
      <c r="M53" s="27"/>
    </row>
    <row r="54">
      <c r="A54" s="362" t="s">
        <v>739</v>
      </c>
      <c r="B54" s="372" t="s">
        <v>23</v>
      </c>
      <c r="C54" s="372" t="s">
        <v>24</v>
      </c>
      <c r="D54" s="376" t="s">
        <v>740</v>
      </c>
      <c r="E54" s="372">
        <v>1.0</v>
      </c>
      <c r="F54" s="372" t="s">
        <v>26</v>
      </c>
      <c r="G54" s="432" t="s">
        <v>27</v>
      </c>
      <c r="H54" s="432">
        <v>1000.0</v>
      </c>
      <c r="I54" s="384">
        <v>57.45</v>
      </c>
      <c r="J54" s="433"/>
      <c r="K54" s="433"/>
      <c r="L54" s="374"/>
      <c r="M54" s="434"/>
      <c r="N54" s="342"/>
      <c r="O54" s="342"/>
      <c r="P54" s="342"/>
      <c r="Q54" s="342"/>
      <c r="R54" s="342"/>
      <c r="S54" s="342"/>
      <c r="T54" s="342"/>
      <c r="U54" s="342"/>
      <c r="V54" s="342"/>
      <c r="W54" s="342"/>
      <c r="X54" s="342"/>
      <c r="Y54" s="342"/>
      <c r="Z54" s="342"/>
      <c r="AA54" s="342"/>
    </row>
    <row r="55">
      <c r="A55" s="362" t="s">
        <v>741</v>
      </c>
      <c r="B55" s="374" t="s">
        <v>742</v>
      </c>
      <c r="C55" s="374" t="s">
        <v>24</v>
      </c>
      <c r="D55" s="374" t="s">
        <v>259</v>
      </c>
      <c r="E55" s="444">
        <v>41981.0</v>
      </c>
      <c r="F55" s="374">
        <v>1.0</v>
      </c>
      <c r="G55" s="374" t="s">
        <v>26</v>
      </c>
      <c r="H55" s="374" t="s">
        <v>27</v>
      </c>
      <c r="I55" s="432">
        <v>500.0</v>
      </c>
      <c r="J55" s="374">
        <v>126.97</v>
      </c>
      <c r="K55" s="374">
        <v>2107322.0</v>
      </c>
      <c r="L55" s="374"/>
      <c r="M55" s="386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42"/>
      <c r="Z55" s="342"/>
      <c r="AA55" s="342"/>
    </row>
    <row r="56">
      <c r="H56" s="422"/>
      <c r="I56" s="423"/>
    </row>
    <row r="57">
      <c r="H57" s="422"/>
      <c r="I57" s="423"/>
    </row>
    <row r="58">
      <c r="H58" s="422"/>
      <c r="I58" s="423"/>
    </row>
    <row r="59">
      <c r="H59" s="422"/>
      <c r="I59" s="423"/>
    </row>
    <row r="60">
      <c r="H60" s="422"/>
      <c r="I60" s="423"/>
    </row>
    <row r="61">
      <c r="H61" s="422"/>
      <c r="I61" s="423"/>
    </row>
    <row r="62">
      <c r="H62" s="422"/>
      <c r="I62" s="423"/>
    </row>
    <row r="63">
      <c r="H63" s="422"/>
      <c r="I63" s="423"/>
    </row>
    <row r="64">
      <c r="H64" s="422"/>
      <c r="I64" s="423"/>
    </row>
    <row r="65">
      <c r="H65" s="422"/>
      <c r="I65" s="423"/>
    </row>
    <row r="66">
      <c r="H66" s="422"/>
      <c r="I66" s="423"/>
    </row>
    <row r="67">
      <c r="H67" s="422"/>
      <c r="I67" s="423"/>
    </row>
    <row r="68">
      <c r="H68" s="422"/>
      <c r="I68" s="423"/>
    </row>
    <row r="69">
      <c r="H69" s="422"/>
      <c r="I69" s="423"/>
    </row>
    <row r="70">
      <c r="H70" s="422"/>
      <c r="I70" s="423"/>
    </row>
    <row r="71">
      <c r="H71" s="422"/>
      <c r="I71" s="423"/>
    </row>
    <row r="72">
      <c r="H72" s="422"/>
      <c r="I72" s="423"/>
    </row>
    <row r="73">
      <c r="H73" s="422"/>
      <c r="I73" s="423"/>
    </row>
    <row r="74">
      <c r="H74" s="422"/>
      <c r="I74" s="423"/>
    </row>
    <row r="75">
      <c r="H75" s="422"/>
      <c r="I75" s="423"/>
    </row>
    <row r="76">
      <c r="H76" s="422"/>
      <c r="I76" s="423"/>
    </row>
    <row r="77">
      <c r="H77" s="422"/>
      <c r="I77" s="423"/>
    </row>
    <row r="78">
      <c r="H78" s="422"/>
      <c r="I78" s="423"/>
    </row>
    <row r="79">
      <c r="H79" s="422"/>
      <c r="I79" s="423"/>
    </row>
    <row r="80">
      <c r="H80" s="422"/>
      <c r="I80" s="423"/>
    </row>
    <row r="81">
      <c r="H81" s="422"/>
      <c r="I81" s="423"/>
    </row>
    <row r="82">
      <c r="H82" s="422"/>
      <c r="I82" s="423"/>
    </row>
    <row r="83">
      <c r="H83" s="422"/>
      <c r="I83" s="423"/>
    </row>
    <row r="84">
      <c r="H84" s="422"/>
      <c r="I84" s="423"/>
    </row>
    <row r="85">
      <c r="H85" s="422"/>
      <c r="I85" s="423"/>
    </row>
    <row r="86">
      <c r="H86" s="422"/>
      <c r="I86" s="423"/>
    </row>
    <row r="87">
      <c r="H87" s="422"/>
      <c r="I87" s="423"/>
    </row>
    <row r="88">
      <c r="H88" s="422"/>
      <c r="I88" s="423"/>
    </row>
    <row r="89">
      <c r="H89" s="422"/>
      <c r="I89" s="423"/>
    </row>
    <row r="90">
      <c r="H90" s="422"/>
      <c r="I90" s="423"/>
    </row>
    <row r="91">
      <c r="H91" s="422"/>
      <c r="I91" s="423"/>
    </row>
    <row r="92">
      <c r="H92" s="422"/>
      <c r="I92" s="423"/>
    </row>
    <row r="93">
      <c r="H93" s="422"/>
      <c r="I93" s="423"/>
    </row>
    <row r="94">
      <c r="H94" s="422"/>
      <c r="I94" s="423"/>
    </row>
    <row r="95">
      <c r="H95" s="422"/>
      <c r="I95" s="423"/>
    </row>
    <row r="96">
      <c r="H96" s="422"/>
      <c r="I96" s="423"/>
    </row>
    <row r="97">
      <c r="H97" s="422"/>
      <c r="I97" s="423"/>
    </row>
    <row r="98">
      <c r="H98" s="422"/>
      <c r="I98" s="423"/>
    </row>
    <row r="99">
      <c r="H99" s="422"/>
      <c r="I99" s="423"/>
    </row>
    <row r="100">
      <c r="H100" s="422"/>
      <c r="I100" s="423"/>
    </row>
    <row r="101">
      <c r="H101" s="422"/>
      <c r="I101" s="423"/>
    </row>
    <row r="102">
      <c r="H102" s="422"/>
      <c r="I102" s="423"/>
    </row>
    <row r="103">
      <c r="H103" s="422"/>
      <c r="I103" s="423"/>
    </row>
    <row r="104">
      <c r="H104" s="422"/>
      <c r="I104" s="423"/>
    </row>
    <row r="105">
      <c r="H105" s="422"/>
      <c r="I105" s="423"/>
    </row>
    <row r="106">
      <c r="H106" s="422"/>
      <c r="I106" s="423"/>
    </row>
    <row r="107">
      <c r="H107" s="422"/>
      <c r="I107" s="423"/>
    </row>
    <row r="108">
      <c r="H108" s="422"/>
      <c r="I108" s="423"/>
    </row>
    <row r="109">
      <c r="H109" s="422"/>
      <c r="I109" s="423"/>
    </row>
    <row r="110">
      <c r="H110" s="422"/>
      <c r="I110" s="423"/>
    </row>
    <row r="111">
      <c r="H111" s="422"/>
      <c r="I111" s="423"/>
    </row>
    <row r="112">
      <c r="H112" s="422"/>
      <c r="I112" s="423"/>
    </row>
    <row r="113">
      <c r="H113" s="422"/>
      <c r="I113" s="423"/>
    </row>
    <row r="114">
      <c r="H114" s="422"/>
      <c r="I114" s="423"/>
    </row>
    <row r="115">
      <c r="H115" s="422"/>
      <c r="I115" s="423"/>
    </row>
    <row r="116">
      <c r="H116" s="422"/>
      <c r="I116" s="423"/>
    </row>
    <row r="117">
      <c r="H117" s="422"/>
      <c r="I117" s="423"/>
    </row>
    <row r="118">
      <c r="H118" s="422"/>
      <c r="I118" s="423"/>
    </row>
    <row r="119">
      <c r="H119" s="422"/>
      <c r="I119" s="423"/>
    </row>
    <row r="120">
      <c r="H120" s="422"/>
      <c r="I120" s="423"/>
    </row>
    <row r="121">
      <c r="H121" s="422"/>
      <c r="I121" s="423"/>
    </row>
    <row r="122">
      <c r="H122" s="422"/>
      <c r="I122" s="423"/>
    </row>
    <row r="123">
      <c r="H123" s="422"/>
      <c r="I123" s="423"/>
    </row>
    <row r="124">
      <c r="H124" s="422"/>
      <c r="I124" s="423"/>
    </row>
    <row r="125">
      <c r="H125" s="422"/>
      <c r="I125" s="423"/>
    </row>
    <row r="126">
      <c r="H126" s="422"/>
      <c r="I126" s="423"/>
    </row>
    <row r="127">
      <c r="H127" s="422"/>
      <c r="I127" s="423"/>
    </row>
    <row r="128">
      <c r="H128" s="422"/>
      <c r="I128" s="423"/>
    </row>
    <row r="129">
      <c r="H129" s="422"/>
      <c r="I129" s="423"/>
    </row>
    <row r="130">
      <c r="H130" s="422"/>
      <c r="I130" s="423"/>
    </row>
    <row r="131">
      <c r="H131" s="422"/>
      <c r="I131" s="423"/>
    </row>
    <row r="132">
      <c r="H132" s="422"/>
      <c r="I132" s="423"/>
    </row>
    <row r="133">
      <c r="H133" s="422"/>
      <c r="I133" s="423"/>
    </row>
    <row r="134">
      <c r="H134" s="422"/>
      <c r="I134" s="423"/>
    </row>
    <row r="135">
      <c r="H135" s="422"/>
      <c r="I135" s="423"/>
    </row>
    <row r="136">
      <c r="H136" s="422"/>
      <c r="I136" s="423"/>
    </row>
    <row r="137">
      <c r="H137" s="422"/>
      <c r="I137" s="423"/>
    </row>
    <row r="138">
      <c r="H138" s="422"/>
      <c r="I138" s="423"/>
    </row>
    <row r="139">
      <c r="H139" s="422"/>
      <c r="I139" s="423"/>
    </row>
    <row r="140">
      <c r="H140" s="422"/>
      <c r="I140" s="423"/>
    </row>
    <row r="141">
      <c r="H141" s="422"/>
      <c r="I141" s="423"/>
    </row>
    <row r="142">
      <c r="H142" s="422"/>
      <c r="I142" s="423"/>
    </row>
    <row r="143">
      <c r="H143" s="422"/>
      <c r="I143" s="423"/>
    </row>
    <row r="144">
      <c r="H144" s="422"/>
      <c r="I144" s="423"/>
    </row>
    <row r="145">
      <c r="H145" s="422"/>
      <c r="I145" s="423"/>
    </row>
    <row r="146">
      <c r="H146" s="422"/>
      <c r="I146" s="423"/>
    </row>
    <row r="147">
      <c r="H147" s="422"/>
      <c r="I147" s="423"/>
    </row>
    <row r="148">
      <c r="H148" s="422"/>
      <c r="I148" s="423"/>
    </row>
    <row r="149">
      <c r="H149" s="422"/>
      <c r="I149" s="423"/>
    </row>
    <row r="150">
      <c r="H150" s="422"/>
      <c r="I150" s="423"/>
    </row>
    <row r="151">
      <c r="H151" s="422"/>
      <c r="I151" s="423"/>
    </row>
    <row r="152">
      <c r="H152" s="422"/>
      <c r="I152" s="423"/>
    </row>
    <row r="153">
      <c r="H153" s="422"/>
      <c r="I153" s="423"/>
    </row>
    <row r="154">
      <c r="H154" s="422"/>
      <c r="I154" s="423"/>
    </row>
    <row r="155">
      <c r="H155" s="422"/>
      <c r="I155" s="423"/>
    </row>
    <row r="156">
      <c r="H156" s="422"/>
      <c r="I156" s="423"/>
    </row>
    <row r="157">
      <c r="H157" s="422"/>
      <c r="I157" s="423"/>
    </row>
    <row r="158">
      <c r="H158" s="422"/>
      <c r="I158" s="423"/>
    </row>
    <row r="159">
      <c r="H159" s="422"/>
      <c r="I159" s="423"/>
    </row>
    <row r="160">
      <c r="H160" s="422"/>
      <c r="I160" s="423"/>
    </row>
    <row r="161">
      <c r="H161" s="422"/>
      <c r="I161" s="423"/>
    </row>
    <row r="162">
      <c r="H162" s="422"/>
      <c r="I162" s="423"/>
    </row>
    <row r="163">
      <c r="H163" s="422"/>
      <c r="I163" s="423"/>
    </row>
    <row r="164">
      <c r="H164" s="422"/>
      <c r="I164" s="423"/>
    </row>
    <row r="165">
      <c r="H165" s="422"/>
      <c r="I165" s="423"/>
    </row>
    <row r="166">
      <c r="H166" s="422"/>
      <c r="I166" s="423"/>
    </row>
    <row r="167">
      <c r="H167" s="422"/>
      <c r="I167" s="423"/>
    </row>
    <row r="168">
      <c r="H168" s="422"/>
      <c r="I168" s="423"/>
    </row>
    <row r="169">
      <c r="H169" s="422"/>
      <c r="I169" s="423"/>
    </row>
    <row r="170">
      <c r="H170" s="422"/>
      <c r="I170" s="423"/>
    </row>
    <row r="171">
      <c r="H171" s="422"/>
      <c r="I171" s="423"/>
    </row>
    <row r="172">
      <c r="H172" s="422"/>
      <c r="I172" s="423"/>
    </row>
    <row r="173">
      <c r="H173" s="422"/>
      <c r="I173" s="423"/>
    </row>
    <row r="174">
      <c r="H174" s="422"/>
      <c r="I174" s="423"/>
    </row>
    <row r="175">
      <c r="H175" s="422"/>
      <c r="I175" s="423"/>
    </row>
    <row r="176">
      <c r="H176" s="422"/>
      <c r="I176" s="423"/>
    </row>
    <row r="177">
      <c r="H177" s="422"/>
      <c r="I177" s="423"/>
    </row>
    <row r="178">
      <c r="H178" s="422"/>
      <c r="I178" s="423"/>
    </row>
    <row r="179">
      <c r="H179" s="422"/>
      <c r="I179" s="423"/>
    </row>
    <row r="180">
      <c r="H180" s="422"/>
      <c r="I180" s="423"/>
    </row>
    <row r="181">
      <c r="H181" s="422"/>
      <c r="I181" s="423"/>
    </row>
    <row r="182">
      <c r="H182" s="422"/>
      <c r="I182" s="423"/>
    </row>
    <row r="183">
      <c r="H183" s="422"/>
      <c r="I183" s="423"/>
    </row>
    <row r="184">
      <c r="H184" s="422"/>
      <c r="I184" s="423"/>
    </row>
    <row r="185">
      <c r="H185" s="422"/>
      <c r="I185" s="423"/>
    </row>
    <row r="186">
      <c r="H186" s="422"/>
      <c r="I186" s="423"/>
    </row>
    <row r="187">
      <c r="H187" s="422"/>
      <c r="I187" s="423"/>
    </row>
    <row r="188">
      <c r="H188" s="422"/>
      <c r="I188" s="423"/>
    </row>
    <row r="189">
      <c r="H189" s="422"/>
      <c r="I189" s="423"/>
    </row>
    <row r="190">
      <c r="H190" s="422"/>
      <c r="I190" s="423"/>
    </row>
    <row r="191">
      <c r="H191" s="422"/>
      <c r="I191" s="423"/>
    </row>
    <row r="192">
      <c r="H192" s="422"/>
      <c r="I192" s="423"/>
    </row>
    <row r="193">
      <c r="H193" s="422"/>
      <c r="I193" s="423"/>
    </row>
    <row r="194">
      <c r="H194" s="422"/>
      <c r="I194" s="423"/>
    </row>
    <row r="195">
      <c r="H195" s="422"/>
      <c r="I195" s="423"/>
    </row>
    <row r="196">
      <c r="H196" s="422"/>
      <c r="I196" s="423"/>
    </row>
    <row r="197">
      <c r="H197" s="422"/>
      <c r="I197" s="423"/>
    </row>
    <row r="198">
      <c r="H198" s="422"/>
      <c r="I198" s="423"/>
    </row>
    <row r="199">
      <c r="H199" s="422"/>
      <c r="I199" s="423"/>
    </row>
    <row r="200">
      <c r="H200" s="422"/>
      <c r="I200" s="423"/>
    </row>
    <row r="201">
      <c r="H201" s="422"/>
      <c r="I201" s="423"/>
    </row>
    <row r="202">
      <c r="H202" s="422"/>
      <c r="I202" s="423"/>
    </row>
    <row r="203">
      <c r="H203" s="422"/>
      <c r="I203" s="423"/>
    </row>
    <row r="204">
      <c r="H204" s="422"/>
      <c r="I204" s="423"/>
    </row>
    <row r="205">
      <c r="H205" s="422"/>
      <c r="I205" s="423"/>
    </row>
    <row r="206">
      <c r="H206" s="422"/>
      <c r="I206" s="423"/>
    </row>
    <row r="207">
      <c r="H207" s="422"/>
      <c r="I207" s="423"/>
    </row>
    <row r="208">
      <c r="H208" s="422"/>
      <c r="I208" s="423"/>
    </row>
    <row r="209">
      <c r="H209" s="422"/>
      <c r="I209" s="423"/>
    </row>
    <row r="210">
      <c r="H210" s="422"/>
      <c r="I210" s="423"/>
    </row>
    <row r="211">
      <c r="H211" s="422"/>
      <c r="I211" s="423"/>
    </row>
    <row r="212">
      <c r="H212" s="422"/>
      <c r="I212" s="423"/>
    </row>
    <row r="213">
      <c r="H213" s="422"/>
      <c r="I213" s="423"/>
    </row>
    <row r="214">
      <c r="H214" s="422"/>
      <c r="I214" s="423"/>
    </row>
    <row r="215">
      <c r="H215" s="422"/>
      <c r="I215" s="423"/>
    </row>
    <row r="216">
      <c r="H216" s="422"/>
      <c r="I216" s="423"/>
    </row>
    <row r="217">
      <c r="H217" s="422"/>
      <c r="I217" s="423"/>
    </row>
    <row r="218">
      <c r="H218" s="422"/>
      <c r="I218" s="423"/>
    </row>
    <row r="219">
      <c r="H219" s="422"/>
      <c r="I219" s="423"/>
    </row>
    <row r="220">
      <c r="H220" s="422"/>
      <c r="I220" s="423"/>
    </row>
    <row r="221">
      <c r="H221" s="422"/>
      <c r="I221" s="423"/>
    </row>
    <row r="222">
      <c r="H222" s="422"/>
      <c r="I222" s="423"/>
    </row>
    <row r="223">
      <c r="H223" s="422"/>
      <c r="I223" s="423"/>
    </row>
    <row r="224">
      <c r="H224" s="422"/>
      <c r="I224" s="423"/>
    </row>
    <row r="225">
      <c r="H225" s="422"/>
      <c r="I225" s="423"/>
    </row>
    <row r="226">
      <c r="H226" s="422"/>
      <c r="I226" s="423"/>
    </row>
    <row r="227">
      <c r="H227" s="422"/>
      <c r="I227" s="423"/>
    </row>
    <row r="228">
      <c r="H228" s="422"/>
      <c r="I228" s="423"/>
    </row>
    <row r="229">
      <c r="H229" s="422"/>
      <c r="I229" s="423"/>
    </row>
    <row r="230">
      <c r="H230" s="422"/>
      <c r="I230" s="423"/>
    </row>
    <row r="231">
      <c r="H231" s="422"/>
      <c r="I231" s="423"/>
    </row>
    <row r="232">
      <c r="H232" s="422"/>
      <c r="I232" s="423"/>
    </row>
    <row r="233">
      <c r="H233" s="422"/>
      <c r="I233" s="423"/>
    </row>
    <row r="234">
      <c r="H234" s="422"/>
      <c r="I234" s="423"/>
    </row>
    <row r="235">
      <c r="H235" s="422"/>
      <c r="I235" s="423"/>
    </row>
    <row r="236">
      <c r="H236" s="422"/>
      <c r="I236" s="423"/>
    </row>
    <row r="237">
      <c r="H237" s="422"/>
      <c r="I237" s="423"/>
    </row>
    <row r="238">
      <c r="H238" s="422"/>
      <c r="I238" s="423"/>
    </row>
    <row r="239">
      <c r="H239" s="422"/>
      <c r="I239" s="423"/>
    </row>
    <row r="240">
      <c r="H240" s="422"/>
      <c r="I240" s="423"/>
    </row>
    <row r="241">
      <c r="H241" s="422"/>
      <c r="I241" s="423"/>
    </row>
    <row r="242">
      <c r="H242" s="422"/>
      <c r="I242" s="423"/>
    </row>
    <row r="243">
      <c r="H243" s="422"/>
      <c r="I243" s="423"/>
    </row>
    <row r="244">
      <c r="H244" s="422"/>
      <c r="I244" s="423"/>
    </row>
    <row r="245">
      <c r="H245" s="422"/>
      <c r="I245" s="423"/>
    </row>
    <row r="246">
      <c r="H246" s="422"/>
      <c r="I246" s="423"/>
    </row>
    <row r="247">
      <c r="H247" s="422"/>
      <c r="I247" s="423"/>
    </row>
    <row r="248">
      <c r="H248" s="422"/>
      <c r="I248" s="423"/>
    </row>
    <row r="249">
      <c r="H249" s="422"/>
      <c r="I249" s="423"/>
    </row>
    <row r="250">
      <c r="H250" s="422"/>
      <c r="I250" s="423"/>
    </row>
    <row r="251">
      <c r="H251" s="422"/>
      <c r="I251" s="423"/>
    </row>
    <row r="252">
      <c r="H252" s="422"/>
      <c r="I252" s="423"/>
    </row>
    <row r="253">
      <c r="H253" s="422"/>
      <c r="I253" s="423"/>
    </row>
    <row r="254">
      <c r="H254" s="422"/>
      <c r="I254" s="423"/>
    </row>
    <row r="255">
      <c r="H255" s="422"/>
      <c r="I255" s="423"/>
    </row>
    <row r="256">
      <c r="H256" s="422"/>
      <c r="I256" s="423"/>
    </row>
    <row r="257">
      <c r="H257" s="422"/>
      <c r="I257" s="423"/>
    </row>
    <row r="258">
      <c r="H258" s="422"/>
      <c r="I258" s="423"/>
    </row>
    <row r="259">
      <c r="H259" s="422"/>
      <c r="I259" s="423"/>
    </row>
    <row r="260">
      <c r="H260" s="422"/>
      <c r="I260" s="423"/>
    </row>
    <row r="261">
      <c r="H261" s="422"/>
      <c r="I261" s="423"/>
    </row>
    <row r="262">
      <c r="H262" s="422"/>
      <c r="I262" s="423"/>
    </row>
    <row r="263">
      <c r="H263" s="422"/>
      <c r="I263" s="423"/>
    </row>
    <row r="264">
      <c r="H264" s="422"/>
      <c r="I264" s="423"/>
    </row>
    <row r="265">
      <c r="H265" s="422"/>
      <c r="I265" s="423"/>
    </row>
    <row r="266">
      <c r="H266" s="422"/>
      <c r="I266" s="423"/>
    </row>
    <row r="267">
      <c r="H267" s="422"/>
      <c r="I267" s="423"/>
    </row>
    <row r="268">
      <c r="H268" s="422"/>
      <c r="I268" s="423"/>
    </row>
    <row r="269">
      <c r="H269" s="422"/>
      <c r="I269" s="423"/>
    </row>
    <row r="270">
      <c r="H270" s="422"/>
      <c r="I270" s="423"/>
    </row>
    <row r="271">
      <c r="H271" s="422"/>
      <c r="I271" s="423"/>
    </row>
    <row r="272">
      <c r="H272" s="422"/>
      <c r="I272" s="423"/>
    </row>
    <row r="273">
      <c r="H273" s="422"/>
      <c r="I273" s="423"/>
    </row>
    <row r="274">
      <c r="H274" s="422"/>
      <c r="I274" s="423"/>
    </row>
    <row r="275">
      <c r="H275" s="422"/>
      <c r="I275" s="423"/>
    </row>
    <row r="276">
      <c r="H276" s="422"/>
      <c r="I276" s="423"/>
    </row>
    <row r="277">
      <c r="H277" s="422"/>
      <c r="I277" s="423"/>
    </row>
    <row r="278">
      <c r="H278" s="422"/>
      <c r="I278" s="423"/>
    </row>
    <row r="279">
      <c r="H279" s="422"/>
      <c r="I279" s="423"/>
    </row>
    <row r="280">
      <c r="H280" s="422"/>
      <c r="I280" s="423"/>
    </row>
    <row r="281">
      <c r="H281" s="422"/>
      <c r="I281" s="423"/>
    </row>
    <row r="282">
      <c r="H282" s="422"/>
      <c r="I282" s="423"/>
    </row>
    <row r="283">
      <c r="H283" s="422"/>
      <c r="I283" s="423"/>
    </row>
    <row r="284">
      <c r="H284" s="422"/>
      <c r="I284" s="423"/>
    </row>
    <row r="285">
      <c r="H285" s="422"/>
      <c r="I285" s="423"/>
    </row>
    <row r="286">
      <c r="H286" s="422"/>
      <c r="I286" s="423"/>
    </row>
    <row r="287">
      <c r="H287" s="422"/>
      <c r="I287" s="423"/>
    </row>
    <row r="288">
      <c r="H288" s="422"/>
      <c r="I288" s="423"/>
    </row>
    <row r="289">
      <c r="H289" s="422"/>
      <c r="I289" s="423"/>
    </row>
    <row r="290">
      <c r="H290" s="422"/>
      <c r="I290" s="423"/>
    </row>
    <row r="291">
      <c r="H291" s="422"/>
      <c r="I291" s="423"/>
    </row>
    <row r="292">
      <c r="H292" s="422"/>
      <c r="I292" s="423"/>
    </row>
    <row r="293">
      <c r="H293" s="422"/>
      <c r="I293" s="423"/>
    </row>
    <row r="294">
      <c r="H294" s="422"/>
      <c r="I294" s="423"/>
    </row>
    <row r="295">
      <c r="H295" s="422"/>
      <c r="I295" s="423"/>
    </row>
    <row r="296">
      <c r="H296" s="422"/>
      <c r="I296" s="423"/>
    </row>
    <row r="297">
      <c r="H297" s="422"/>
      <c r="I297" s="423"/>
    </row>
    <row r="298">
      <c r="H298" s="422"/>
      <c r="I298" s="423"/>
    </row>
    <row r="299">
      <c r="H299" s="422"/>
      <c r="I299" s="423"/>
    </row>
    <row r="300">
      <c r="H300" s="422"/>
      <c r="I300" s="423"/>
    </row>
    <row r="301">
      <c r="H301" s="422"/>
      <c r="I301" s="423"/>
    </row>
    <row r="302">
      <c r="H302" s="422"/>
      <c r="I302" s="423"/>
    </row>
    <row r="303">
      <c r="H303" s="422"/>
      <c r="I303" s="423"/>
    </row>
    <row r="304">
      <c r="H304" s="422"/>
      <c r="I304" s="423"/>
    </row>
    <row r="305">
      <c r="H305" s="422"/>
      <c r="I305" s="423"/>
    </row>
    <row r="306">
      <c r="H306" s="422"/>
      <c r="I306" s="423"/>
    </row>
    <row r="307">
      <c r="H307" s="422"/>
      <c r="I307" s="423"/>
    </row>
    <row r="308">
      <c r="H308" s="422"/>
      <c r="I308" s="423"/>
    </row>
    <row r="309">
      <c r="H309" s="422"/>
      <c r="I309" s="423"/>
    </row>
    <row r="310">
      <c r="H310" s="422"/>
      <c r="I310" s="423"/>
    </row>
    <row r="311">
      <c r="H311" s="422"/>
      <c r="I311" s="423"/>
    </row>
    <row r="312">
      <c r="H312" s="422"/>
      <c r="I312" s="423"/>
    </row>
    <row r="313">
      <c r="H313" s="422"/>
      <c r="I313" s="423"/>
    </row>
    <row r="314">
      <c r="H314" s="422"/>
      <c r="I314" s="423"/>
    </row>
    <row r="315">
      <c r="H315" s="422"/>
      <c r="I315" s="423"/>
    </row>
    <row r="316">
      <c r="H316" s="422"/>
      <c r="I316" s="423"/>
    </row>
    <row r="317">
      <c r="H317" s="422"/>
      <c r="I317" s="423"/>
    </row>
    <row r="318">
      <c r="H318" s="422"/>
      <c r="I318" s="423"/>
    </row>
    <row r="319">
      <c r="H319" s="422"/>
      <c r="I319" s="423"/>
    </row>
    <row r="320">
      <c r="H320" s="422"/>
      <c r="I320" s="423"/>
    </row>
    <row r="321">
      <c r="H321" s="422"/>
      <c r="I321" s="423"/>
    </row>
    <row r="322">
      <c r="H322" s="422"/>
      <c r="I322" s="423"/>
    </row>
    <row r="323">
      <c r="H323" s="422"/>
      <c r="I323" s="423"/>
    </row>
    <row r="324">
      <c r="H324" s="422"/>
      <c r="I324" s="423"/>
    </row>
    <row r="325">
      <c r="H325" s="422"/>
      <c r="I325" s="423"/>
    </row>
    <row r="326">
      <c r="H326" s="422"/>
      <c r="I326" s="423"/>
    </row>
    <row r="327">
      <c r="H327" s="422"/>
      <c r="I327" s="423"/>
    </row>
    <row r="328">
      <c r="H328" s="422"/>
      <c r="I328" s="423"/>
    </row>
    <row r="329">
      <c r="H329" s="422"/>
      <c r="I329" s="423"/>
    </row>
    <row r="330">
      <c r="H330" s="422"/>
      <c r="I330" s="423"/>
    </row>
    <row r="331">
      <c r="H331" s="422"/>
      <c r="I331" s="423"/>
    </row>
    <row r="332">
      <c r="H332" s="422"/>
      <c r="I332" s="423"/>
    </row>
    <row r="333">
      <c r="H333" s="422"/>
      <c r="I333" s="423"/>
    </row>
    <row r="334">
      <c r="H334" s="422"/>
      <c r="I334" s="423"/>
    </row>
    <row r="335">
      <c r="H335" s="422"/>
      <c r="I335" s="423"/>
    </row>
    <row r="336">
      <c r="H336" s="422"/>
      <c r="I336" s="423"/>
    </row>
    <row r="337">
      <c r="H337" s="422"/>
      <c r="I337" s="423"/>
    </row>
    <row r="338">
      <c r="H338" s="422"/>
      <c r="I338" s="423"/>
    </row>
    <row r="339">
      <c r="H339" s="422"/>
      <c r="I339" s="423"/>
    </row>
    <row r="340">
      <c r="H340" s="422"/>
      <c r="I340" s="423"/>
    </row>
    <row r="341">
      <c r="H341" s="422"/>
      <c r="I341" s="423"/>
    </row>
    <row r="342">
      <c r="H342" s="422"/>
      <c r="I342" s="423"/>
    </row>
    <row r="343">
      <c r="H343" s="422"/>
      <c r="I343" s="423"/>
    </row>
    <row r="344">
      <c r="H344" s="422"/>
      <c r="I344" s="423"/>
    </row>
    <row r="345">
      <c r="H345" s="422"/>
      <c r="I345" s="423"/>
    </row>
    <row r="346">
      <c r="H346" s="422"/>
      <c r="I346" s="423"/>
    </row>
    <row r="347">
      <c r="H347" s="422"/>
      <c r="I347" s="423"/>
    </row>
    <row r="348">
      <c r="H348" s="422"/>
      <c r="I348" s="423"/>
    </row>
    <row r="349">
      <c r="H349" s="422"/>
      <c r="I349" s="423"/>
    </row>
    <row r="350">
      <c r="H350" s="422"/>
      <c r="I350" s="423"/>
    </row>
    <row r="351">
      <c r="H351" s="422"/>
      <c r="I351" s="423"/>
    </row>
    <row r="352">
      <c r="H352" s="422"/>
      <c r="I352" s="423"/>
    </row>
    <row r="353">
      <c r="H353" s="422"/>
      <c r="I353" s="423"/>
    </row>
    <row r="354">
      <c r="H354" s="422"/>
      <c r="I354" s="423"/>
    </row>
    <row r="355">
      <c r="H355" s="422"/>
      <c r="I355" s="423"/>
    </row>
    <row r="356">
      <c r="H356" s="422"/>
      <c r="I356" s="423"/>
    </row>
    <row r="357">
      <c r="H357" s="422"/>
      <c r="I357" s="423"/>
    </row>
    <row r="358">
      <c r="H358" s="422"/>
      <c r="I358" s="423"/>
    </row>
    <row r="359">
      <c r="H359" s="422"/>
      <c r="I359" s="423"/>
    </row>
    <row r="360">
      <c r="H360" s="422"/>
      <c r="I360" s="423"/>
    </row>
    <row r="361">
      <c r="H361" s="422"/>
      <c r="I361" s="423"/>
    </row>
    <row r="362">
      <c r="H362" s="422"/>
      <c r="I362" s="423"/>
    </row>
    <row r="363">
      <c r="H363" s="422"/>
      <c r="I363" s="423"/>
    </row>
    <row r="364">
      <c r="H364" s="422"/>
      <c r="I364" s="423"/>
    </row>
    <row r="365">
      <c r="H365" s="422"/>
      <c r="I365" s="423"/>
    </row>
    <row r="366">
      <c r="H366" s="422"/>
      <c r="I366" s="423"/>
    </row>
    <row r="367">
      <c r="H367" s="422"/>
      <c r="I367" s="423"/>
    </row>
    <row r="368">
      <c r="H368" s="422"/>
      <c r="I368" s="423"/>
    </row>
    <row r="369">
      <c r="H369" s="422"/>
      <c r="I369" s="423"/>
    </row>
    <row r="370">
      <c r="H370" s="422"/>
      <c r="I370" s="423"/>
    </row>
    <row r="371">
      <c r="H371" s="422"/>
      <c r="I371" s="423"/>
    </row>
    <row r="372">
      <c r="H372" s="422"/>
      <c r="I372" s="423"/>
    </row>
    <row r="373">
      <c r="H373" s="422"/>
      <c r="I373" s="423"/>
    </row>
    <row r="374">
      <c r="H374" s="422"/>
      <c r="I374" s="423"/>
    </row>
    <row r="375">
      <c r="H375" s="422"/>
      <c r="I375" s="423"/>
    </row>
    <row r="376">
      <c r="H376" s="422"/>
      <c r="I376" s="423"/>
    </row>
    <row r="377">
      <c r="H377" s="422"/>
      <c r="I377" s="423"/>
    </row>
    <row r="378">
      <c r="H378" s="422"/>
      <c r="I378" s="423"/>
    </row>
    <row r="379">
      <c r="H379" s="422"/>
      <c r="I379" s="423"/>
    </row>
    <row r="380">
      <c r="H380" s="422"/>
      <c r="I380" s="423"/>
    </row>
    <row r="381">
      <c r="H381" s="422"/>
      <c r="I381" s="423"/>
    </row>
    <row r="382">
      <c r="H382" s="422"/>
      <c r="I382" s="423"/>
    </row>
    <row r="383">
      <c r="H383" s="422"/>
      <c r="I383" s="423"/>
    </row>
    <row r="384">
      <c r="H384" s="422"/>
      <c r="I384" s="423"/>
    </row>
    <row r="385">
      <c r="H385" s="422"/>
      <c r="I385" s="423"/>
    </row>
    <row r="386">
      <c r="H386" s="422"/>
      <c r="I386" s="423"/>
    </row>
    <row r="387">
      <c r="H387" s="422"/>
      <c r="I387" s="423"/>
    </row>
    <row r="388">
      <c r="H388" s="422"/>
      <c r="I388" s="423"/>
    </row>
    <row r="389">
      <c r="H389" s="422"/>
      <c r="I389" s="423"/>
    </row>
    <row r="390">
      <c r="H390" s="422"/>
      <c r="I390" s="423"/>
    </row>
    <row r="391">
      <c r="H391" s="422"/>
      <c r="I391" s="423"/>
    </row>
    <row r="392">
      <c r="H392" s="422"/>
      <c r="I392" s="423"/>
    </row>
    <row r="393">
      <c r="H393" s="422"/>
      <c r="I393" s="423"/>
    </row>
    <row r="394">
      <c r="H394" s="422"/>
      <c r="I394" s="423"/>
    </row>
    <row r="395">
      <c r="H395" s="422"/>
      <c r="I395" s="423"/>
    </row>
    <row r="396">
      <c r="H396" s="422"/>
      <c r="I396" s="423"/>
    </row>
    <row r="397">
      <c r="H397" s="422"/>
      <c r="I397" s="423"/>
    </row>
    <row r="398">
      <c r="H398" s="422"/>
      <c r="I398" s="423"/>
    </row>
    <row r="399">
      <c r="H399" s="422"/>
      <c r="I399" s="423"/>
    </row>
    <row r="400">
      <c r="H400" s="422"/>
      <c r="I400" s="423"/>
    </row>
    <row r="401">
      <c r="H401" s="422"/>
      <c r="I401" s="423"/>
    </row>
    <row r="402">
      <c r="H402" s="422"/>
      <c r="I402" s="423"/>
    </row>
    <row r="403">
      <c r="H403" s="422"/>
      <c r="I403" s="423"/>
    </row>
    <row r="404">
      <c r="H404" s="422"/>
      <c r="I404" s="423"/>
    </row>
    <row r="405">
      <c r="H405" s="422"/>
      <c r="I405" s="423"/>
    </row>
    <row r="406">
      <c r="H406" s="422"/>
      <c r="I406" s="423"/>
    </row>
    <row r="407">
      <c r="H407" s="422"/>
      <c r="I407" s="423"/>
    </row>
    <row r="408">
      <c r="H408" s="422"/>
      <c r="I408" s="423"/>
    </row>
    <row r="409">
      <c r="H409" s="422"/>
      <c r="I409" s="423"/>
    </row>
    <row r="410">
      <c r="H410" s="422"/>
      <c r="I410" s="423"/>
    </row>
    <row r="411">
      <c r="H411" s="422"/>
      <c r="I411" s="423"/>
    </row>
    <row r="412">
      <c r="H412" s="422"/>
      <c r="I412" s="423"/>
    </row>
    <row r="413">
      <c r="H413" s="422"/>
      <c r="I413" s="423"/>
    </row>
    <row r="414">
      <c r="H414" s="422"/>
      <c r="I414" s="423"/>
    </row>
    <row r="415">
      <c r="H415" s="422"/>
      <c r="I415" s="423"/>
    </row>
    <row r="416">
      <c r="H416" s="422"/>
      <c r="I416" s="423"/>
    </row>
    <row r="417">
      <c r="H417" s="422"/>
      <c r="I417" s="423"/>
    </row>
    <row r="418">
      <c r="H418" s="422"/>
      <c r="I418" s="423"/>
    </row>
    <row r="419">
      <c r="H419" s="422"/>
      <c r="I419" s="423"/>
    </row>
    <row r="420">
      <c r="H420" s="422"/>
      <c r="I420" s="423"/>
    </row>
    <row r="421">
      <c r="H421" s="422"/>
      <c r="I421" s="423"/>
    </row>
    <row r="422">
      <c r="H422" s="422"/>
      <c r="I422" s="423"/>
    </row>
    <row r="423">
      <c r="H423" s="422"/>
      <c r="I423" s="423"/>
    </row>
    <row r="424">
      <c r="H424" s="422"/>
      <c r="I424" s="423"/>
    </row>
    <row r="425">
      <c r="H425" s="422"/>
      <c r="I425" s="423"/>
    </row>
    <row r="426">
      <c r="H426" s="422"/>
      <c r="I426" s="423"/>
    </row>
    <row r="427">
      <c r="H427" s="422"/>
      <c r="I427" s="423"/>
    </row>
    <row r="428">
      <c r="H428" s="422"/>
      <c r="I428" s="423"/>
    </row>
    <row r="429">
      <c r="H429" s="422"/>
      <c r="I429" s="423"/>
    </row>
    <row r="430">
      <c r="H430" s="422"/>
      <c r="I430" s="423"/>
    </row>
    <row r="431">
      <c r="H431" s="422"/>
      <c r="I431" s="423"/>
    </row>
    <row r="432">
      <c r="H432" s="422"/>
      <c r="I432" s="423"/>
    </row>
    <row r="433">
      <c r="H433" s="422"/>
      <c r="I433" s="423"/>
    </row>
    <row r="434">
      <c r="H434" s="422"/>
      <c r="I434" s="423"/>
    </row>
    <row r="435">
      <c r="H435" s="422"/>
      <c r="I435" s="423"/>
    </row>
    <row r="436">
      <c r="H436" s="422"/>
      <c r="I436" s="423"/>
    </row>
    <row r="437">
      <c r="H437" s="422"/>
      <c r="I437" s="423"/>
    </row>
    <row r="438">
      <c r="H438" s="422"/>
      <c r="I438" s="423"/>
    </row>
    <row r="439">
      <c r="H439" s="422"/>
      <c r="I439" s="423"/>
    </row>
    <row r="440">
      <c r="H440" s="422"/>
      <c r="I440" s="423"/>
    </row>
    <row r="441">
      <c r="H441" s="422"/>
      <c r="I441" s="423"/>
    </row>
    <row r="442">
      <c r="H442" s="422"/>
      <c r="I442" s="423"/>
    </row>
    <row r="443">
      <c r="H443" s="422"/>
      <c r="I443" s="423"/>
    </row>
    <row r="444">
      <c r="H444" s="422"/>
      <c r="I444" s="423"/>
    </row>
    <row r="445">
      <c r="H445" s="422"/>
      <c r="I445" s="423"/>
    </row>
    <row r="446">
      <c r="H446" s="422"/>
      <c r="I446" s="423"/>
    </row>
    <row r="447">
      <c r="H447" s="422"/>
      <c r="I447" s="423"/>
    </row>
    <row r="448">
      <c r="H448" s="422"/>
      <c r="I448" s="423"/>
    </row>
    <row r="449">
      <c r="H449" s="422"/>
      <c r="I449" s="423"/>
    </row>
    <row r="450">
      <c r="H450" s="422"/>
      <c r="I450" s="423"/>
    </row>
    <row r="451">
      <c r="H451" s="422"/>
      <c r="I451" s="423"/>
    </row>
    <row r="452">
      <c r="H452" s="422"/>
      <c r="I452" s="423"/>
    </row>
    <row r="453">
      <c r="H453" s="422"/>
      <c r="I453" s="423"/>
    </row>
    <row r="454">
      <c r="H454" s="422"/>
      <c r="I454" s="423"/>
    </row>
    <row r="455">
      <c r="H455" s="422"/>
      <c r="I455" s="423"/>
    </row>
    <row r="456">
      <c r="H456" s="422"/>
      <c r="I456" s="423"/>
    </row>
    <row r="457">
      <c r="H457" s="422"/>
      <c r="I457" s="423"/>
    </row>
    <row r="458">
      <c r="H458" s="422"/>
      <c r="I458" s="423"/>
    </row>
    <row r="459">
      <c r="H459" s="422"/>
      <c r="I459" s="423"/>
    </row>
    <row r="460">
      <c r="H460" s="422"/>
      <c r="I460" s="423"/>
    </row>
    <row r="461">
      <c r="H461" s="422"/>
      <c r="I461" s="423"/>
    </row>
    <row r="462">
      <c r="H462" s="422"/>
      <c r="I462" s="423"/>
    </row>
    <row r="463">
      <c r="H463" s="422"/>
      <c r="I463" s="423"/>
    </row>
    <row r="464">
      <c r="H464" s="422"/>
      <c r="I464" s="423"/>
    </row>
    <row r="465">
      <c r="H465" s="422"/>
      <c r="I465" s="423"/>
    </row>
    <row r="466">
      <c r="H466" s="422"/>
      <c r="I466" s="423"/>
    </row>
    <row r="467">
      <c r="H467" s="422"/>
      <c r="I467" s="423"/>
    </row>
    <row r="468">
      <c r="H468" s="422"/>
      <c r="I468" s="423"/>
    </row>
    <row r="469">
      <c r="H469" s="422"/>
      <c r="I469" s="423"/>
    </row>
    <row r="470">
      <c r="H470" s="422"/>
      <c r="I470" s="423"/>
    </row>
    <row r="471">
      <c r="H471" s="422"/>
      <c r="I471" s="423"/>
    </row>
    <row r="472">
      <c r="H472" s="422"/>
      <c r="I472" s="423"/>
    </row>
    <row r="473">
      <c r="H473" s="422"/>
      <c r="I473" s="423"/>
    </row>
    <row r="474">
      <c r="H474" s="422"/>
      <c r="I474" s="423"/>
    </row>
    <row r="475">
      <c r="H475" s="422"/>
      <c r="I475" s="423"/>
    </row>
    <row r="476">
      <c r="H476" s="422"/>
      <c r="I476" s="423"/>
    </row>
    <row r="477">
      <c r="H477" s="422"/>
      <c r="I477" s="423"/>
    </row>
    <row r="478">
      <c r="H478" s="422"/>
      <c r="I478" s="423"/>
    </row>
    <row r="479">
      <c r="H479" s="422"/>
      <c r="I479" s="423"/>
    </row>
    <row r="480">
      <c r="H480" s="422"/>
      <c r="I480" s="423"/>
    </row>
    <row r="481">
      <c r="H481" s="422"/>
      <c r="I481" s="423"/>
    </row>
    <row r="482">
      <c r="H482" s="422"/>
      <c r="I482" s="423"/>
    </row>
    <row r="483">
      <c r="H483" s="422"/>
      <c r="I483" s="423"/>
    </row>
    <row r="484">
      <c r="H484" s="422"/>
      <c r="I484" s="423"/>
    </row>
    <row r="485">
      <c r="H485" s="422"/>
      <c r="I485" s="423"/>
    </row>
    <row r="486">
      <c r="H486" s="422"/>
      <c r="I486" s="423"/>
    </row>
    <row r="487">
      <c r="H487" s="422"/>
      <c r="I487" s="423"/>
    </row>
    <row r="488">
      <c r="H488" s="422"/>
      <c r="I488" s="423"/>
    </row>
    <row r="489">
      <c r="H489" s="422"/>
      <c r="I489" s="423"/>
    </row>
    <row r="490">
      <c r="H490" s="422"/>
      <c r="I490" s="423"/>
    </row>
    <row r="491">
      <c r="H491" s="422"/>
      <c r="I491" s="423"/>
    </row>
    <row r="492">
      <c r="H492" s="422"/>
      <c r="I492" s="423"/>
    </row>
    <row r="493">
      <c r="H493" s="422"/>
      <c r="I493" s="423"/>
    </row>
    <row r="494">
      <c r="H494" s="422"/>
      <c r="I494" s="423"/>
    </row>
    <row r="495">
      <c r="H495" s="422"/>
      <c r="I495" s="423"/>
    </row>
    <row r="496">
      <c r="H496" s="422"/>
      <c r="I496" s="423"/>
    </row>
    <row r="497">
      <c r="H497" s="422"/>
      <c r="I497" s="423"/>
    </row>
    <row r="498">
      <c r="H498" s="422"/>
      <c r="I498" s="423"/>
    </row>
    <row r="499">
      <c r="H499" s="422"/>
      <c r="I499" s="423"/>
    </row>
    <row r="500">
      <c r="H500" s="422"/>
      <c r="I500" s="423"/>
    </row>
    <row r="501">
      <c r="H501" s="422"/>
      <c r="I501" s="423"/>
    </row>
    <row r="502">
      <c r="H502" s="422"/>
      <c r="I502" s="423"/>
    </row>
    <row r="503">
      <c r="H503" s="422"/>
      <c r="I503" s="423"/>
    </row>
    <row r="504">
      <c r="H504" s="422"/>
      <c r="I504" s="423"/>
    </row>
    <row r="505">
      <c r="H505" s="422"/>
      <c r="I505" s="423"/>
    </row>
    <row r="506">
      <c r="H506" s="422"/>
      <c r="I506" s="423"/>
    </row>
    <row r="507">
      <c r="H507" s="422"/>
      <c r="I507" s="423"/>
    </row>
    <row r="508">
      <c r="H508" s="422"/>
      <c r="I508" s="423"/>
    </row>
    <row r="509">
      <c r="H509" s="422"/>
      <c r="I509" s="423"/>
    </row>
    <row r="510">
      <c r="H510" s="422"/>
      <c r="I510" s="423"/>
    </row>
    <row r="511">
      <c r="H511" s="422"/>
      <c r="I511" s="423"/>
    </row>
    <row r="512">
      <c r="H512" s="422"/>
      <c r="I512" s="423"/>
    </row>
    <row r="513">
      <c r="H513" s="422"/>
      <c r="I513" s="423"/>
    </row>
    <row r="514">
      <c r="H514" s="422"/>
      <c r="I514" s="423"/>
    </row>
    <row r="515">
      <c r="H515" s="422"/>
      <c r="I515" s="423"/>
    </row>
    <row r="516">
      <c r="H516" s="422"/>
      <c r="I516" s="423"/>
    </row>
    <row r="517">
      <c r="H517" s="422"/>
      <c r="I517" s="423"/>
    </row>
    <row r="518">
      <c r="H518" s="422"/>
      <c r="I518" s="423"/>
    </row>
    <row r="519">
      <c r="H519" s="422"/>
      <c r="I519" s="423"/>
    </row>
    <row r="520">
      <c r="H520" s="422"/>
      <c r="I520" s="423"/>
    </row>
    <row r="521">
      <c r="H521" s="422"/>
      <c r="I521" s="423"/>
    </row>
    <row r="522">
      <c r="H522" s="422"/>
      <c r="I522" s="423"/>
    </row>
    <row r="523">
      <c r="H523" s="422"/>
      <c r="I523" s="423"/>
    </row>
    <row r="524">
      <c r="H524" s="422"/>
      <c r="I524" s="423"/>
    </row>
    <row r="525">
      <c r="H525" s="422"/>
      <c r="I525" s="423"/>
    </row>
    <row r="526">
      <c r="H526" s="422"/>
      <c r="I526" s="423"/>
    </row>
    <row r="527">
      <c r="H527" s="422"/>
      <c r="I527" s="423"/>
    </row>
    <row r="528">
      <c r="H528" s="422"/>
      <c r="I528" s="423"/>
    </row>
    <row r="529">
      <c r="H529" s="422"/>
      <c r="I529" s="423"/>
    </row>
    <row r="530">
      <c r="H530" s="422"/>
      <c r="I530" s="423"/>
    </row>
    <row r="531">
      <c r="H531" s="422"/>
      <c r="I531" s="423"/>
    </row>
    <row r="532">
      <c r="H532" s="422"/>
      <c r="I532" s="423"/>
    </row>
    <row r="533">
      <c r="H533" s="422"/>
      <c r="I533" s="423"/>
    </row>
    <row r="534">
      <c r="H534" s="422"/>
      <c r="I534" s="423"/>
    </row>
    <row r="535">
      <c r="H535" s="422"/>
      <c r="I535" s="423"/>
    </row>
    <row r="536">
      <c r="H536" s="422"/>
      <c r="I536" s="423"/>
    </row>
    <row r="537">
      <c r="H537" s="422"/>
      <c r="I537" s="423"/>
    </row>
    <row r="538">
      <c r="H538" s="422"/>
      <c r="I538" s="423"/>
    </row>
    <row r="539">
      <c r="H539" s="422"/>
      <c r="I539" s="423"/>
    </row>
    <row r="540">
      <c r="H540" s="422"/>
      <c r="I540" s="423"/>
    </row>
    <row r="541">
      <c r="H541" s="422"/>
      <c r="I541" s="423"/>
    </row>
    <row r="542">
      <c r="H542" s="422"/>
      <c r="I542" s="423"/>
    </row>
    <row r="543">
      <c r="H543" s="422"/>
      <c r="I543" s="423"/>
    </row>
    <row r="544">
      <c r="H544" s="422"/>
      <c r="I544" s="423"/>
    </row>
    <row r="545">
      <c r="H545" s="422"/>
      <c r="I545" s="423"/>
    </row>
    <row r="546">
      <c r="H546" s="422"/>
      <c r="I546" s="423"/>
    </row>
    <row r="547">
      <c r="H547" s="422"/>
      <c r="I547" s="423"/>
    </row>
    <row r="548">
      <c r="H548" s="422"/>
      <c r="I548" s="423"/>
    </row>
    <row r="549">
      <c r="H549" s="422"/>
      <c r="I549" s="423"/>
    </row>
    <row r="550">
      <c r="H550" s="422"/>
      <c r="I550" s="423"/>
    </row>
    <row r="551">
      <c r="H551" s="422"/>
      <c r="I551" s="423"/>
    </row>
    <row r="552">
      <c r="H552" s="422"/>
      <c r="I552" s="423"/>
    </row>
    <row r="553">
      <c r="H553" s="422"/>
      <c r="I553" s="423"/>
    </row>
    <row r="554">
      <c r="H554" s="422"/>
      <c r="I554" s="423"/>
    </row>
    <row r="555">
      <c r="H555" s="422"/>
      <c r="I555" s="423"/>
    </row>
    <row r="556">
      <c r="H556" s="422"/>
      <c r="I556" s="423"/>
    </row>
    <row r="557">
      <c r="H557" s="422"/>
      <c r="I557" s="423"/>
    </row>
    <row r="558">
      <c r="H558" s="422"/>
      <c r="I558" s="423"/>
    </row>
    <row r="559">
      <c r="H559" s="422"/>
      <c r="I559" s="423"/>
    </row>
    <row r="560">
      <c r="H560" s="422"/>
      <c r="I560" s="423"/>
    </row>
    <row r="561">
      <c r="H561" s="422"/>
      <c r="I561" s="423"/>
    </row>
    <row r="562">
      <c r="H562" s="422"/>
      <c r="I562" s="423"/>
    </row>
    <row r="563">
      <c r="H563" s="422"/>
      <c r="I563" s="423"/>
    </row>
    <row r="564">
      <c r="H564" s="422"/>
      <c r="I564" s="423"/>
    </row>
    <row r="565">
      <c r="H565" s="422"/>
      <c r="I565" s="423"/>
    </row>
    <row r="566">
      <c r="H566" s="422"/>
      <c r="I566" s="423"/>
    </row>
    <row r="567">
      <c r="H567" s="422"/>
      <c r="I567" s="423"/>
    </row>
    <row r="568">
      <c r="H568" s="422"/>
      <c r="I568" s="423"/>
    </row>
    <row r="569">
      <c r="H569" s="422"/>
      <c r="I569" s="423"/>
    </row>
    <row r="570">
      <c r="H570" s="422"/>
      <c r="I570" s="423"/>
    </row>
    <row r="571">
      <c r="H571" s="422"/>
      <c r="I571" s="423"/>
    </row>
    <row r="572">
      <c r="H572" s="422"/>
      <c r="I572" s="423"/>
    </row>
    <row r="573">
      <c r="H573" s="422"/>
      <c r="I573" s="423"/>
    </row>
    <row r="574">
      <c r="H574" s="422"/>
      <c r="I574" s="423"/>
    </row>
    <row r="575">
      <c r="H575" s="422"/>
      <c r="I575" s="423"/>
    </row>
    <row r="576">
      <c r="H576" s="422"/>
      <c r="I576" s="423"/>
    </row>
    <row r="577">
      <c r="H577" s="422"/>
      <c r="I577" s="423"/>
    </row>
    <row r="578">
      <c r="H578" s="422"/>
      <c r="I578" s="423"/>
    </row>
    <row r="579">
      <c r="H579" s="422"/>
      <c r="I579" s="423"/>
    </row>
    <row r="580">
      <c r="H580" s="422"/>
      <c r="I580" s="423"/>
    </row>
    <row r="581">
      <c r="H581" s="422"/>
      <c r="I581" s="423"/>
    </row>
    <row r="582">
      <c r="H582" s="422"/>
      <c r="I582" s="423"/>
    </row>
    <row r="583">
      <c r="H583" s="422"/>
      <c r="I583" s="423"/>
    </row>
    <row r="584">
      <c r="H584" s="422"/>
      <c r="I584" s="423"/>
    </row>
    <row r="585">
      <c r="H585" s="422"/>
      <c r="I585" s="423"/>
    </row>
    <row r="586">
      <c r="H586" s="422"/>
      <c r="I586" s="423"/>
    </row>
    <row r="587">
      <c r="H587" s="422"/>
      <c r="I587" s="423"/>
    </row>
    <row r="588">
      <c r="H588" s="422"/>
      <c r="I588" s="423"/>
    </row>
    <row r="589">
      <c r="H589" s="422"/>
      <c r="I589" s="423"/>
    </row>
    <row r="590">
      <c r="H590" s="422"/>
      <c r="I590" s="423"/>
    </row>
    <row r="591">
      <c r="H591" s="422"/>
      <c r="I591" s="423"/>
    </row>
    <row r="592">
      <c r="H592" s="422"/>
      <c r="I592" s="423"/>
    </row>
    <row r="593">
      <c r="H593" s="422"/>
      <c r="I593" s="423"/>
    </row>
    <row r="594">
      <c r="H594" s="422"/>
      <c r="I594" s="423"/>
    </row>
    <row r="595">
      <c r="H595" s="422"/>
      <c r="I595" s="423"/>
    </row>
    <row r="596">
      <c r="H596" s="422"/>
      <c r="I596" s="423"/>
    </row>
    <row r="597">
      <c r="H597" s="422"/>
      <c r="I597" s="423"/>
    </row>
    <row r="598">
      <c r="H598" s="422"/>
      <c r="I598" s="423"/>
    </row>
    <row r="599">
      <c r="H599" s="422"/>
      <c r="I599" s="423"/>
    </row>
    <row r="600">
      <c r="H600" s="422"/>
      <c r="I600" s="423"/>
    </row>
    <row r="601">
      <c r="H601" s="422"/>
      <c r="I601" s="423"/>
    </row>
    <row r="602">
      <c r="H602" s="422"/>
      <c r="I602" s="423"/>
    </row>
    <row r="603">
      <c r="H603" s="422"/>
      <c r="I603" s="423"/>
    </row>
    <row r="604">
      <c r="H604" s="422"/>
      <c r="I604" s="423"/>
    </row>
    <row r="605">
      <c r="H605" s="422"/>
      <c r="I605" s="423"/>
    </row>
    <row r="606">
      <c r="H606" s="422"/>
      <c r="I606" s="423"/>
    </row>
    <row r="607">
      <c r="H607" s="422"/>
      <c r="I607" s="423"/>
    </row>
    <row r="608">
      <c r="H608" s="422"/>
      <c r="I608" s="423"/>
    </row>
    <row r="609">
      <c r="H609" s="422"/>
      <c r="I609" s="423"/>
    </row>
    <row r="610">
      <c r="H610" s="422"/>
      <c r="I610" s="423"/>
    </row>
    <row r="611">
      <c r="H611" s="422"/>
      <c r="I611" s="423"/>
    </row>
    <row r="612">
      <c r="H612" s="422"/>
      <c r="I612" s="423"/>
    </row>
    <row r="613">
      <c r="H613" s="422"/>
      <c r="I613" s="423"/>
    </row>
    <row r="614">
      <c r="H614" s="422"/>
      <c r="I614" s="423"/>
    </row>
    <row r="615">
      <c r="H615" s="422"/>
      <c r="I615" s="423"/>
    </row>
    <row r="616">
      <c r="H616" s="422"/>
      <c r="I616" s="423"/>
    </row>
    <row r="617">
      <c r="H617" s="422"/>
      <c r="I617" s="423"/>
    </row>
    <row r="618">
      <c r="H618" s="422"/>
      <c r="I618" s="423"/>
    </row>
    <row r="619">
      <c r="H619" s="422"/>
      <c r="I619" s="423"/>
    </row>
    <row r="620">
      <c r="H620" s="422"/>
      <c r="I620" s="423"/>
    </row>
    <row r="621">
      <c r="H621" s="422"/>
      <c r="I621" s="423"/>
    </row>
    <row r="622">
      <c r="H622" s="422"/>
      <c r="I622" s="423"/>
    </row>
    <row r="623">
      <c r="H623" s="422"/>
      <c r="I623" s="423"/>
    </row>
    <row r="624">
      <c r="H624" s="422"/>
      <c r="I624" s="423"/>
    </row>
    <row r="625">
      <c r="H625" s="422"/>
      <c r="I625" s="423"/>
    </row>
    <row r="626">
      <c r="H626" s="422"/>
      <c r="I626" s="423"/>
    </row>
    <row r="627">
      <c r="H627" s="422"/>
      <c r="I627" s="423"/>
    </row>
    <row r="628">
      <c r="H628" s="422"/>
      <c r="I628" s="423"/>
    </row>
    <row r="629">
      <c r="H629" s="422"/>
      <c r="I629" s="423"/>
    </row>
    <row r="630">
      <c r="H630" s="422"/>
      <c r="I630" s="423"/>
    </row>
    <row r="631">
      <c r="H631" s="422"/>
      <c r="I631" s="423"/>
    </row>
    <row r="632">
      <c r="H632" s="422"/>
      <c r="I632" s="423"/>
    </row>
    <row r="633">
      <c r="H633" s="422"/>
      <c r="I633" s="423"/>
    </row>
    <row r="634">
      <c r="H634" s="422"/>
      <c r="I634" s="423"/>
    </row>
    <row r="635">
      <c r="H635" s="422"/>
      <c r="I635" s="423"/>
    </row>
    <row r="636">
      <c r="H636" s="422"/>
      <c r="I636" s="423"/>
    </row>
    <row r="637">
      <c r="H637" s="422"/>
      <c r="I637" s="423"/>
    </row>
    <row r="638">
      <c r="H638" s="422"/>
      <c r="I638" s="423"/>
    </row>
    <row r="639">
      <c r="H639" s="422"/>
      <c r="I639" s="423"/>
    </row>
    <row r="640">
      <c r="H640" s="422"/>
      <c r="I640" s="423"/>
    </row>
    <row r="641">
      <c r="H641" s="422"/>
      <c r="I641" s="423"/>
    </row>
    <row r="642">
      <c r="H642" s="422"/>
      <c r="I642" s="423"/>
    </row>
    <row r="643">
      <c r="H643" s="422"/>
      <c r="I643" s="423"/>
    </row>
    <row r="644">
      <c r="H644" s="422"/>
      <c r="I644" s="423"/>
    </row>
    <row r="645">
      <c r="H645" s="422"/>
      <c r="I645" s="423"/>
    </row>
    <row r="646">
      <c r="H646" s="422"/>
      <c r="I646" s="423"/>
    </row>
    <row r="647">
      <c r="H647" s="422"/>
      <c r="I647" s="423"/>
    </row>
    <row r="648">
      <c r="H648" s="422"/>
      <c r="I648" s="423"/>
    </row>
    <row r="649">
      <c r="H649" s="422"/>
      <c r="I649" s="423"/>
    </row>
    <row r="650">
      <c r="H650" s="422"/>
      <c r="I650" s="423"/>
    </row>
    <row r="651">
      <c r="H651" s="422"/>
      <c r="I651" s="423"/>
    </row>
    <row r="652">
      <c r="H652" s="422"/>
      <c r="I652" s="423"/>
    </row>
    <row r="653">
      <c r="H653" s="422"/>
      <c r="I653" s="423"/>
    </row>
    <row r="654">
      <c r="H654" s="422"/>
      <c r="I654" s="423"/>
    </row>
    <row r="655">
      <c r="H655" s="422"/>
      <c r="I655" s="423"/>
    </row>
    <row r="656">
      <c r="H656" s="422"/>
      <c r="I656" s="423"/>
    </row>
    <row r="657">
      <c r="H657" s="422"/>
      <c r="I657" s="423"/>
    </row>
    <row r="658">
      <c r="H658" s="422"/>
      <c r="I658" s="423"/>
    </row>
    <row r="659">
      <c r="H659" s="422"/>
      <c r="I659" s="423"/>
    </row>
    <row r="660">
      <c r="H660" s="422"/>
      <c r="I660" s="423"/>
    </row>
    <row r="661">
      <c r="H661" s="422"/>
      <c r="I661" s="423"/>
    </row>
    <row r="662">
      <c r="H662" s="422"/>
      <c r="I662" s="423"/>
    </row>
    <row r="663">
      <c r="H663" s="422"/>
      <c r="I663" s="423"/>
    </row>
    <row r="664">
      <c r="H664" s="422"/>
      <c r="I664" s="423"/>
    </row>
    <row r="665">
      <c r="H665" s="422"/>
      <c r="I665" s="423"/>
    </row>
    <row r="666">
      <c r="H666" s="422"/>
      <c r="I666" s="423"/>
    </row>
    <row r="667">
      <c r="H667" s="422"/>
      <c r="I667" s="423"/>
    </row>
    <row r="668">
      <c r="H668" s="422"/>
      <c r="I668" s="423"/>
    </row>
    <row r="669">
      <c r="H669" s="422"/>
      <c r="I669" s="423"/>
    </row>
    <row r="670">
      <c r="H670" s="422"/>
      <c r="I670" s="423"/>
    </row>
    <row r="671">
      <c r="H671" s="422"/>
      <c r="I671" s="423"/>
    </row>
    <row r="672">
      <c r="H672" s="422"/>
      <c r="I672" s="423"/>
    </row>
    <row r="673">
      <c r="H673" s="422"/>
      <c r="I673" s="423"/>
    </row>
    <row r="674">
      <c r="H674" s="422"/>
      <c r="I674" s="423"/>
    </row>
    <row r="675">
      <c r="H675" s="422"/>
      <c r="I675" s="423"/>
    </row>
    <row r="676">
      <c r="H676" s="422"/>
      <c r="I676" s="423"/>
    </row>
    <row r="677">
      <c r="H677" s="422"/>
      <c r="I677" s="423"/>
    </row>
    <row r="678">
      <c r="H678" s="422"/>
      <c r="I678" s="423"/>
    </row>
    <row r="679">
      <c r="H679" s="422"/>
      <c r="I679" s="423"/>
    </row>
    <row r="680">
      <c r="H680" s="422"/>
      <c r="I680" s="423"/>
    </row>
    <row r="681">
      <c r="H681" s="422"/>
      <c r="I681" s="423"/>
    </row>
    <row r="682">
      <c r="H682" s="422"/>
      <c r="I682" s="423"/>
    </row>
    <row r="683">
      <c r="H683" s="422"/>
      <c r="I683" s="423"/>
    </row>
    <row r="684">
      <c r="H684" s="422"/>
      <c r="I684" s="423"/>
    </row>
    <row r="685">
      <c r="H685" s="422"/>
      <c r="I685" s="423"/>
    </row>
    <row r="686">
      <c r="H686" s="422"/>
      <c r="I686" s="423"/>
    </row>
    <row r="687">
      <c r="H687" s="422"/>
      <c r="I687" s="423"/>
    </row>
    <row r="688">
      <c r="H688" s="422"/>
      <c r="I688" s="423"/>
    </row>
    <row r="689">
      <c r="H689" s="422"/>
      <c r="I689" s="423"/>
    </row>
    <row r="690">
      <c r="H690" s="422"/>
      <c r="I690" s="423"/>
    </row>
    <row r="691">
      <c r="H691" s="422"/>
      <c r="I691" s="423"/>
    </row>
    <row r="692">
      <c r="H692" s="422"/>
      <c r="I692" s="423"/>
    </row>
    <row r="693">
      <c r="H693" s="422"/>
      <c r="I693" s="423"/>
    </row>
    <row r="694">
      <c r="H694" s="422"/>
      <c r="I694" s="423"/>
    </row>
    <row r="695">
      <c r="H695" s="422"/>
      <c r="I695" s="423"/>
    </row>
    <row r="696">
      <c r="H696" s="422"/>
      <c r="I696" s="423"/>
    </row>
    <row r="697">
      <c r="H697" s="422"/>
      <c r="I697" s="423"/>
    </row>
    <row r="698">
      <c r="H698" s="422"/>
      <c r="I698" s="423"/>
    </row>
    <row r="699">
      <c r="H699" s="422"/>
      <c r="I699" s="423"/>
    </row>
    <row r="700">
      <c r="H700" s="422"/>
      <c r="I700" s="423"/>
    </row>
    <row r="701">
      <c r="H701" s="422"/>
      <c r="I701" s="423"/>
    </row>
    <row r="702">
      <c r="H702" s="422"/>
      <c r="I702" s="423"/>
    </row>
    <row r="703">
      <c r="H703" s="422"/>
      <c r="I703" s="423"/>
    </row>
    <row r="704">
      <c r="H704" s="422"/>
      <c r="I704" s="423"/>
    </row>
    <row r="705">
      <c r="H705" s="422"/>
      <c r="I705" s="423"/>
    </row>
    <row r="706">
      <c r="H706" s="422"/>
      <c r="I706" s="423"/>
    </row>
    <row r="707">
      <c r="H707" s="422"/>
      <c r="I707" s="423"/>
    </row>
    <row r="708">
      <c r="H708" s="422"/>
      <c r="I708" s="423"/>
    </row>
    <row r="709">
      <c r="H709" s="422"/>
      <c r="I709" s="423"/>
    </row>
    <row r="710">
      <c r="H710" s="422"/>
      <c r="I710" s="423"/>
    </row>
    <row r="711">
      <c r="H711" s="422"/>
      <c r="I711" s="423"/>
    </row>
    <row r="712">
      <c r="H712" s="422"/>
      <c r="I712" s="423"/>
    </row>
    <row r="713">
      <c r="H713" s="422"/>
      <c r="I713" s="423"/>
    </row>
    <row r="714">
      <c r="H714" s="422"/>
      <c r="I714" s="423"/>
    </row>
    <row r="715">
      <c r="H715" s="422"/>
      <c r="I715" s="423"/>
    </row>
    <row r="716">
      <c r="H716" s="422"/>
      <c r="I716" s="423"/>
    </row>
    <row r="717">
      <c r="H717" s="422"/>
      <c r="I717" s="423"/>
    </row>
    <row r="718">
      <c r="H718" s="422"/>
      <c r="I718" s="423"/>
    </row>
    <row r="719">
      <c r="H719" s="422"/>
      <c r="I719" s="423"/>
    </row>
    <row r="720">
      <c r="H720" s="422"/>
      <c r="I720" s="423"/>
    </row>
    <row r="721">
      <c r="H721" s="422"/>
      <c r="I721" s="423"/>
    </row>
    <row r="722">
      <c r="H722" s="422"/>
      <c r="I722" s="423"/>
    </row>
    <row r="723">
      <c r="H723" s="422"/>
      <c r="I723" s="423"/>
    </row>
    <row r="724">
      <c r="H724" s="422"/>
      <c r="I724" s="423"/>
    </row>
    <row r="725">
      <c r="H725" s="422"/>
      <c r="I725" s="423"/>
    </row>
    <row r="726">
      <c r="H726" s="422"/>
      <c r="I726" s="423"/>
    </row>
    <row r="727">
      <c r="H727" s="422"/>
      <c r="I727" s="423"/>
    </row>
    <row r="728">
      <c r="H728" s="422"/>
      <c r="I728" s="423"/>
    </row>
    <row r="729">
      <c r="H729" s="422"/>
      <c r="I729" s="423"/>
    </row>
    <row r="730">
      <c r="H730" s="422"/>
      <c r="I730" s="423"/>
    </row>
    <row r="731">
      <c r="H731" s="422"/>
      <c r="I731" s="423"/>
    </row>
    <row r="732">
      <c r="H732" s="422"/>
      <c r="I732" s="423"/>
    </row>
    <row r="733">
      <c r="H733" s="422"/>
      <c r="I733" s="423"/>
    </row>
    <row r="734">
      <c r="H734" s="422"/>
      <c r="I734" s="423"/>
    </row>
    <row r="735">
      <c r="H735" s="422"/>
      <c r="I735" s="423"/>
    </row>
    <row r="736">
      <c r="H736" s="422"/>
      <c r="I736" s="423"/>
    </row>
    <row r="737">
      <c r="H737" s="422"/>
      <c r="I737" s="423"/>
    </row>
    <row r="738">
      <c r="H738" s="422"/>
      <c r="I738" s="423"/>
    </row>
    <row r="739">
      <c r="H739" s="422"/>
      <c r="I739" s="423"/>
    </row>
    <row r="740">
      <c r="H740" s="422"/>
      <c r="I740" s="423"/>
    </row>
    <row r="741">
      <c r="H741" s="422"/>
      <c r="I741" s="423"/>
    </row>
    <row r="742">
      <c r="H742" s="422"/>
      <c r="I742" s="423"/>
    </row>
    <row r="743">
      <c r="H743" s="422"/>
      <c r="I743" s="423"/>
    </row>
    <row r="744">
      <c r="H744" s="422"/>
      <c r="I744" s="423"/>
    </row>
    <row r="745">
      <c r="H745" s="422"/>
      <c r="I745" s="423"/>
    </row>
    <row r="746">
      <c r="H746" s="422"/>
      <c r="I746" s="423"/>
    </row>
    <row r="747">
      <c r="H747" s="422"/>
      <c r="I747" s="423"/>
    </row>
    <row r="748">
      <c r="H748" s="422"/>
      <c r="I748" s="423"/>
    </row>
    <row r="749">
      <c r="H749" s="422"/>
      <c r="I749" s="423"/>
    </row>
    <row r="750">
      <c r="H750" s="422"/>
      <c r="I750" s="423"/>
    </row>
    <row r="751">
      <c r="H751" s="422"/>
      <c r="I751" s="423"/>
    </row>
    <row r="752">
      <c r="H752" s="422"/>
      <c r="I752" s="423"/>
    </row>
    <row r="753">
      <c r="H753" s="422"/>
      <c r="I753" s="423"/>
    </row>
    <row r="754">
      <c r="H754" s="422"/>
      <c r="I754" s="423"/>
    </row>
    <row r="755">
      <c r="H755" s="422"/>
      <c r="I755" s="423"/>
    </row>
    <row r="756">
      <c r="H756" s="422"/>
      <c r="I756" s="423"/>
    </row>
    <row r="757">
      <c r="H757" s="422"/>
      <c r="I757" s="423"/>
    </row>
    <row r="758">
      <c r="H758" s="422"/>
      <c r="I758" s="423"/>
    </row>
    <row r="759">
      <c r="H759" s="422"/>
      <c r="I759" s="423"/>
    </row>
    <row r="760">
      <c r="H760" s="422"/>
      <c r="I760" s="423"/>
    </row>
    <row r="761">
      <c r="H761" s="422"/>
      <c r="I761" s="423"/>
    </row>
    <row r="762">
      <c r="H762" s="422"/>
      <c r="I762" s="423"/>
    </row>
    <row r="763">
      <c r="H763" s="422"/>
      <c r="I763" s="423"/>
    </row>
    <row r="764">
      <c r="H764" s="422"/>
      <c r="I764" s="423"/>
    </row>
    <row r="765">
      <c r="H765" s="422"/>
      <c r="I765" s="423"/>
    </row>
    <row r="766">
      <c r="H766" s="422"/>
      <c r="I766" s="423"/>
    </row>
    <row r="767">
      <c r="H767" s="422"/>
      <c r="I767" s="423"/>
    </row>
    <row r="768">
      <c r="H768" s="422"/>
      <c r="I768" s="423"/>
    </row>
    <row r="769">
      <c r="H769" s="422"/>
      <c r="I769" s="423"/>
    </row>
    <row r="770">
      <c r="H770" s="422"/>
      <c r="I770" s="423"/>
    </row>
    <row r="771">
      <c r="H771" s="422"/>
      <c r="I771" s="423"/>
    </row>
    <row r="772">
      <c r="H772" s="422"/>
      <c r="I772" s="423"/>
    </row>
    <row r="773">
      <c r="H773" s="422"/>
      <c r="I773" s="423"/>
    </row>
    <row r="774">
      <c r="H774" s="422"/>
      <c r="I774" s="423"/>
    </row>
    <row r="775">
      <c r="H775" s="422"/>
      <c r="I775" s="423"/>
    </row>
    <row r="776">
      <c r="H776" s="422"/>
      <c r="I776" s="423"/>
    </row>
    <row r="777">
      <c r="H777" s="422"/>
      <c r="I777" s="423"/>
    </row>
    <row r="778">
      <c r="H778" s="422"/>
      <c r="I778" s="423"/>
    </row>
    <row r="779">
      <c r="H779" s="422"/>
      <c r="I779" s="423"/>
    </row>
    <row r="780">
      <c r="H780" s="422"/>
      <c r="I780" s="423"/>
    </row>
    <row r="781">
      <c r="H781" s="422"/>
      <c r="I781" s="423"/>
    </row>
    <row r="782">
      <c r="H782" s="422"/>
      <c r="I782" s="423"/>
    </row>
    <row r="783">
      <c r="H783" s="422"/>
      <c r="I783" s="423"/>
    </row>
    <row r="784">
      <c r="H784" s="422"/>
      <c r="I784" s="423"/>
    </row>
    <row r="785">
      <c r="H785" s="422"/>
      <c r="I785" s="423"/>
    </row>
    <row r="786">
      <c r="H786" s="422"/>
      <c r="I786" s="423"/>
    </row>
    <row r="787">
      <c r="H787" s="422"/>
      <c r="I787" s="423"/>
    </row>
    <row r="788">
      <c r="H788" s="422"/>
      <c r="I788" s="423"/>
    </row>
    <row r="789">
      <c r="H789" s="422"/>
      <c r="I789" s="423"/>
    </row>
    <row r="790">
      <c r="H790" s="422"/>
      <c r="I790" s="423"/>
    </row>
    <row r="791">
      <c r="H791" s="422"/>
      <c r="I791" s="423"/>
    </row>
    <row r="792">
      <c r="H792" s="422"/>
      <c r="I792" s="423"/>
    </row>
    <row r="793">
      <c r="H793" s="422"/>
      <c r="I793" s="423"/>
    </row>
    <row r="794">
      <c r="H794" s="422"/>
      <c r="I794" s="423"/>
    </row>
    <row r="795">
      <c r="H795" s="422"/>
      <c r="I795" s="423"/>
    </row>
    <row r="796">
      <c r="H796" s="422"/>
      <c r="I796" s="423"/>
    </row>
    <row r="797">
      <c r="H797" s="422"/>
      <c r="I797" s="423"/>
    </row>
    <row r="798">
      <c r="H798" s="422"/>
      <c r="I798" s="423"/>
    </row>
    <row r="799">
      <c r="H799" s="422"/>
      <c r="I799" s="423"/>
    </row>
    <row r="800">
      <c r="H800" s="422"/>
      <c r="I800" s="423"/>
    </row>
    <row r="801">
      <c r="H801" s="422"/>
      <c r="I801" s="423"/>
    </row>
    <row r="802">
      <c r="H802" s="422"/>
      <c r="I802" s="423"/>
    </row>
    <row r="803">
      <c r="H803" s="422"/>
      <c r="I803" s="423"/>
    </row>
    <row r="804">
      <c r="H804" s="422"/>
      <c r="I804" s="423"/>
    </row>
    <row r="805">
      <c r="H805" s="422"/>
      <c r="I805" s="423"/>
    </row>
    <row r="806">
      <c r="H806" s="422"/>
      <c r="I806" s="423"/>
    </row>
    <row r="807">
      <c r="H807" s="422"/>
      <c r="I807" s="423"/>
    </row>
    <row r="808">
      <c r="H808" s="422"/>
      <c r="I808" s="423"/>
    </row>
    <row r="809">
      <c r="H809" s="422"/>
      <c r="I809" s="423"/>
    </row>
    <row r="810">
      <c r="H810" s="422"/>
      <c r="I810" s="423"/>
    </row>
    <row r="811">
      <c r="H811" s="422"/>
      <c r="I811" s="423"/>
    </row>
    <row r="812">
      <c r="H812" s="422"/>
      <c r="I812" s="423"/>
    </row>
    <row r="813">
      <c r="H813" s="422"/>
      <c r="I813" s="423"/>
    </row>
    <row r="814">
      <c r="H814" s="422"/>
      <c r="I814" s="423"/>
    </row>
    <row r="815">
      <c r="H815" s="422"/>
      <c r="I815" s="423"/>
    </row>
    <row r="816">
      <c r="H816" s="422"/>
      <c r="I816" s="423"/>
    </row>
    <row r="817">
      <c r="H817" s="422"/>
      <c r="I817" s="423"/>
    </row>
    <row r="818">
      <c r="H818" s="422"/>
      <c r="I818" s="423"/>
    </row>
    <row r="819">
      <c r="H819" s="422"/>
      <c r="I819" s="423"/>
    </row>
    <row r="820">
      <c r="H820" s="422"/>
      <c r="I820" s="423"/>
    </row>
    <row r="821">
      <c r="H821" s="422"/>
      <c r="I821" s="423"/>
    </row>
    <row r="822">
      <c r="H822" s="422"/>
      <c r="I822" s="423"/>
    </row>
    <row r="823">
      <c r="H823" s="422"/>
      <c r="I823" s="423"/>
    </row>
    <row r="824">
      <c r="H824" s="422"/>
      <c r="I824" s="423"/>
    </row>
    <row r="825">
      <c r="H825" s="422"/>
      <c r="I825" s="423"/>
    </row>
    <row r="826">
      <c r="H826" s="422"/>
      <c r="I826" s="423"/>
    </row>
    <row r="827">
      <c r="H827" s="422"/>
      <c r="I827" s="423"/>
    </row>
    <row r="828">
      <c r="H828" s="422"/>
      <c r="I828" s="423"/>
    </row>
    <row r="829">
      <c r="H829" s="422"/>
      <c r="I829" s="423"/>
    </row>
    <row r="830">
      <c r="H830" s="422"/>
      <c r="I830" s="423"/>
    </row>
    <row r="831">
      <c r="H831" s="422"/>
      <c r="I831" s="423"/>
    </row>
    <row r="832">
      <c r="H832" s="422"/>
      <c r="I832" s="423"/>
    </row>
    <row r="833">
      <c r="H833" s="422"/>
      <c r="I833" s="423"/>
    </row>
    <row r="834">
      <c r="H834" s="422"/>
      <c r="I834" s="423"/>
    </row>
    <row r="835">
      <c r="H835" s="422"/>
      <c r="I835" s="423"/>
    </row>
    <row r="836">
      <c r="H836" s="422"/>
      <c r="I836" s="423"/>
    </row>
    <row r="837">
      <c r="H837" s="422"/>
      <c r="I837" s="423"/>
    </row>
    <row r="838">
      <c r="H838" s="422"/>
      <c r="I838" s="423"/>
    </row>
    <row r="839">
      <c r="H839" s="422"/>
      <c r="I839" s="423"/>
    </row>
    <row r="840">
      <c r="H840" s="422"/>
      <c r="I840" s="423"/>
    </row>
    <row r="841">
      <c r="H841" s="422"/>
      <c r="I841" s="423"/>
    </row>
    <row r="842">
      <c r="H842" s="422"/>
      <c r="I842" s="423"/>
    </row>
    <row r="843">
      <c r="H843" s="422"/>
      <c r="I843" s="423"/>
    </row>
    <row r="844">
      <c r="H844" s="422"/>
      <c r="I844" s="423"/>
    </row>
    <row r="845">
      <c r="H845" s="422"/>
      <c r="I845" s="423"/>
    </row>
    <row r="846">
      <c r="H846" s="422"/>
      <c r="I846" s="423"/>
    </row>
    <row r="847">
      <c r="H847" s="422"/>
      <c r="I847" s="423"/>
    </row>
    <row r="848">
      <c r="H848" s="422"/>
      <c r="I848" s="423"/>
    </row>
    <row r="849">
      <c r="H849" s="422"/>
      <c r="I849" s="423"/>
    </row>
    <row r="850">
      <c r="H850" s="422"/>
      <c r="I850" s="423"/>
    </row>
    <row r="851">
      <c r="H851" s="422"/>
      <c r="I851" s="423"/>
    </row>
    <row r="852">
      <c r="H852" s="422"/>
      <c r="I852" s="423"/>
    </row>
    <row r="853">
      <c r="H853" s="422"/>
      <c r="I853" s="423"/>
    </row>
    <row r="854">
      <c r="H854" s="422"/>
      <c r="I854" s="423"/>
    </row>
    <row r="855">
      <c r="H855" s="422"/>
      <c r="I855" s="423"/>
    </row>
    <row r="856">
      <c r="H856" s="422"/>
      <c r="I856" s="423"/>
    </row>
    <row r="857">
      <c r="H857" s="422"/>
      <c r="I857" s="423"/>
    </row>
    <row r="858">
      <c r="H858" s="422"/>
      <c r="I858" s="423"/>
    </row>
    <row r="859">
      <c r="H859" s="422"/>
      <c r="I859" s="423"/>
    </row>
    <row r="860">
      <c r="H860" s="422"/>
      <c r="I860" s="423"/>
    </row>
    <row r="861">
      <c r="H861" s="422"/>
      <c r="I861" s="423"/>
    </row>
    <row r="862">
      <c r="H862" s="422"/>
      <c r="I862" s="423"/>
    </row>
    <row r="863">
      <c r="H863" s="422"/>
      <c r="I863" s="423"/>
    </row>
    <row r="864">
      <c r="H864" s="422"/>
      <c r="I864" s="423"/>
    </row>
    <row r="865">
      <c r="H865" s="422"/>
      <c r="I865" s="423"/>
    </row>
    <row r="866">
      <c r="H866" s="422"/>
      <c r="I866" s="423"/>
    </row>
    <row r="867">
      <c r="H867" s="422"/>
      <c r="I867" s="423"/>
    </row>
    <row r="868">
      <c r="H868" s="422"/>
      <c r="I868" s="423"/>
    </row>
    <row r="869">
      <c r="H869" s="422"/>
      <c r="I869" s="423"/>
    </row>
    <row r="870">
      <c r="H870" s="422"/>
      <c r="I870" s="423"/>
    </row>
    <row r="871">
      <c r="H871" s="422"/>
      <c r="I871" s="423"/>
    </row>
    <row r="872">
      <c r="H872" s="422"/>
      <c r="I872" s="423"/>
    </row>
    <row r="873">
      <c r="H873" s="422"/>
      <c r="I873" s="423"/>
    </row>
    <row r="874">
      <c r="H874" s="422"/>
      <c r="I874" s="423"/>
    </row>
    <row r="875">
      <c r="H875" s="422"/>
      <c r="I875" s="423"/>
    </row>
    <row r="876">
      <c r="H876" s="422"/>
      <c r="I876" s="423"/>
    </row>
    <row r="877">
      <c r="H877" s="422"/>
      <c r="I877" s="423"/>
    </row>
    <row r="878">
      <c r="H878" s="422"/>
      <c r="I878" s="423"/>
    </row>
    <row r="879">
      <c r="H879" s="422"/>
      <c r="I879" s="423"/>
    </row>
    <row r="880">
      <c r="H880" s="422"/>
      <c r="I880" s="423"/>
    </row>
    <row r="881">
      <c r="H881" s="422"/>
      <c r="I881" s="423"/>
    </row>
    <row r="882">
      <c r="H882" s="422"/>
      <c r="I882" s="423"/>
    </row>
    <row r="883">
      <c r="H883" s="422"/>
      <c r="I883" s="423"/>
    </row>
    <row r="884">
      <c r="H884" s="422"/>
      <c r="I884" s="423"/>
    </row>
    <row r="885">
      <c r="H885" s="422"/>
      <c r="I885" s="423"/>
    </row>
    <row r="886">
      <c r="H886" s="422"/>
      <c r="I886" s="423"/>
    </row>
    <row r="887">
      <c r="H887" s="422"/>
      <c r="I887" s="423"/>
    </row>
    <row r="888">
      <c r="H888" s="422"/>
      <c r="I888" s="423"/>
    </row>
    <row r="889">
      <c r="H889" s="422"/>
      <c r="I889" s="423"/>
    </row>
    <row r="890">
      <c r="H890" s="422"/>
      <c r="I890" s="423"/>
    </row>
    <row r="891">
      <c r="H891" s="422"/>
      <c r="I891" s="423"/>
    </row>
    <row r="892">
      <c r="H892" s="422"/>
      <c r="I892" s="423"/>
    </row>
    <row r="893">
      <c r="H893" s="422"/>
      <c r="I893" s="423"/>
    </row>
    <row r="894">
      <c r="H894" s="422"/>
      <c r="I894" s="423"/>
    </row>
    <row r="895">
      <c r="H895" s="422"/>
      <c r="I895" s="423"/>
    </row>
    <row r="896">
      <c r="H896" s="422"/>
      <c r="I896" s="423"/>
    </row>
    <row r="897">
      <c r="H897" s="422"/>
      <c r="I897" s="423"/>
    </row>
    <row r="898">
      <c r="H898" s="422"/>
      <c r="I898" s="423"/>
    </row>
    <row r="899">
      <c r="H899" s="422"/>
      <c r="I899" s="423"/>
    </row>
    <row r="900">
      <c r="H900" s="422"/>
      <c r="I900" s="423"/>
    </row>
    <row r="901">
      <c r="H901" s="422"/>
      <c r="I901" s="423"/>
    </row>
    <row r="902">
      <c r="H902" s="422"/>
      <c r="I902" s="423"/>
    </row>
    <row r="903">
      <c r="H903" s="422"/>
      <c r="I903" s="423"/>
    </row>
    <row r="904">
      <c r="H904" s="422"/>
      <c r="I904" s="423"/>
    </row>
    <row r="905">
      <c r="H905" s="422"/>
      <c r="I905" s="423"/>
    </row>
    <row r="906">
      <c r="H906" s="422"/>
      <c r="I906" s="423"/>
    </row>
    <row r="907">
      <c r="H907" s="422"/>
      <c r="I907" s="423"/>
    </row>
    <row r="908">
      <c r="H908" s="422"/>
      <c r="I908" s="423"/>
    </row>
    <row r="909">
      <c r="H909" s="422"/>
      <c r="I909" s="423"/>
    </row>
    <row r="910">
      <c r="H910" s="422"/>
      <c r="I910" s="423"/>
    </row>
    <row r="911">
      <c r="H911" s="422"/>
      <c r="I911" s="423"/>
    </row>
    <row r="912">
      <c r="H912" s="422"/>
      <c r="I912" s="423"/>
    </row>
    <row r="913">
      <c r="H913" s="422"/>
      <c r="I913" s="423"/>
    </row>
    <row r="914">
      <c r="H914" s="422"/>
      <c r="I914" s="423"/>
    </row>
    <row r="915">
      <c r="H915" s="422"/>
      <c r="I915" s="423"/>
    </row>
    <row r="916">
      <c r="H916" s="422"/>
      <c r="I916" s="423"/>
    </row>
    <row r="917">
      <c r="H917" s="422"/>
      <c r="I917" s="423"/>
    </row>
    <row r="918">
      <c r="H918" s="422"/>
      <c r="I918" s="423"/>
    </row>
    <row r="919">
      <c r="H919" s="422"/>
      <c r="I919" s="423"/>
    </row>
    <row r="920">
      <c r="H920" s="422"/>
      <c r="I920" s="423"/>
    </row>
    <row r="921">
      <c r="H921" s="422"/>
      <c r="I921" s="423"/>
    </row>
    <row r="922">
      <c r="H922" s="422"/>
      <c r="I922" s="423"/>
    </row>
    <row r="923">
      <c r="H923" s="422"/>
      <c r="I923" s="423"/>
    </row>
    <row r="924">
      <c r="H924" s="422"/>
      <c r="I924" s="423"/>
    </row>
    <row r="925">
      <c r="H925" s="422"/>
      <c r="I925" s="423"/>
    </row>
    <row r="926">
      <c r="H926" s="422"/>
      <c r="I926" s="423"/>
    </row>
    <row r="927">
      <c r="H927" s="422"/>
      <c r="I927" s="423"/>
    </row>
    <row r="928">
      <c r="H928" s="422"/>
      <c r="I928" s="423"/>
    </row>
    <row r="929">
      <c r="H929" s="422"/>
      <c r="I929" s="423"/>
    </row>
    <row r="930">
      <c r="H930" s="422"/>
      <c r="I930" s="423"/>
    </row>
    <row r="931">
      <c r="H931" s="422"/>
      <c r="I931" s="423"/>
    </row>
    <row r="932">
      <c r="H932" s="422"/>
      <c r="I932" s="423"/>
    </row>
    <row r="933">
      <c r="H933" s="422"/>
      <c r="I933" s="423"/>
    </row>
    <row r="934">
      <c r="H934" s="422"/>
      <c r="I934" s="423"/>
    </row>
    <row r="935">
      <c r="H935" s="422"/>
      <c r="I935" s="423"/>
    </row>
    <row r="936">
      <c r="H936" s="422"/>
      <c r="I936" s="423"/>
    </row>
    <row r="937">
      <c r="H937" s="422"/>
      <c r="I937" s="423"/>
    </row>
    <row r="938">
      <c r="H938" s="422"/>
      <c r="I938" s="423"/>
    </row>
    <row r="939">
      <c r="H939" s="422"/>
      <c r="I939" s="423"/>
    </row>
    <row r="940">
      <c r="H940" s="422"/>
      <c r="I940" s="423"/>
    </row>
    <row r="941">
      <c r="H941" s="422"/>
      <c r="I941" s="423"/>
    </row>
    <row r="942">
      <c r="H942" s="422"/>
      <c r="I942" s="423"/>
    </row>
    <row r="943">
      <c r="H943" s="422"/>
      <c r="I943" s="423"/>
    </row>
    <row r="944">
      <c r="H944" s="422"/>
      <c r="I944" s="423"/>
    </row>
    <row r="945">
      <c r="H945" s="422"/>
      <c r="I945" s="423"/>
    </row>
    <row r="946">
      <c r="H946" s="422"/>
      <c r="I946" s="423"/>
    </row>
    <row r="947">
      <c r="H947" s="422"/>
      <c r="I947" s="423"/>
    </row>
    <row r="948">
      <c r="H948" s="422"/>
      <c r="I948" s="423"/>
    </row>
    <row r="949">
      <c r="H949" s="422"/>
      <c r="I949" s="423"/>
    </row>
    <row r="950">
      <c r="H950" s="422"/>
      <c r="I950" s="423"/>
    </row>
    <row r="951">
      <c r="H951" s="422"/>
      <c r="I951" s="423"/>
    </row>
    <row r="952">
      <c r="H952" s="422"/>
      <c r="I952" s="423"/>
    </row>
    <row r="953">
      <c r="H953" s="422"/>
      <c r="I953" s="423"/>
    </row>
    <row r="954">
      <c r="H954" s="422"/>
      <c r="I954" s="423"/>
    </row>
    <row r="955">
      <c r="H955" s="422"/>
      <c r="I955" s="423"/>
    </row>
    <row r="956">
      <c r="H956" s="422"/>
      <c r="I956" s="423"/>
    </row>
    <row r="957">
      <c r="H957" s="422"/>
      <c r="I957" s="423"/>
    </row>
    <row r="958">
      <c r="H958" s="422"/>
      <c r="I958" s="423"/>
    </row>
    <row r="959">
      <c r="H959" s="422"/>
      <c r="I959" s="423"/>
    </row>
    <row r="960">
      <c r="H960" s="422"/>
      <c r="I960" s="423"/>
    </row>
    <row r="961">
      <c r="H961" s="422"/>
      <c r="I961" s="423"/>
    </row>
    <row r="962">
      <c r="H962" s="422"/>
      <c r="I962" s="423"/>
    </row>
    <row r="963">
      <c r="H963" s="422"/>
      <c r="I963" s="423"/>
    </row>
    <row r="964">
      <c r="H964" s="422"/>
      <c r="I964" s="423"/>
    </row>
    <row r="965">
      <c r="H965" s="422"/>
      <c r="I965" s="423"/>
    </row>
    <row r="966">
      <c r="H966" s="422"/>
      <c r="I966" s="423"/>
    </row>
    <row r="967">
      <c r="H967" s="422"/>
      <c r="I967" s="423"/>
    </row>
    <row r="968">
      <c r="H968" s="422"/>
      <c r="I968" s="423"/>
    </row>
    <row r="969">
      <c r="H969" s="422"/>
      <c r="I969" s="423"/>
    </row>
    <row r="970">
      <c r="H970" s="422"/>
      <c r="I970" s="423"/>
    </row>
    <row r="971">
      <c r="H971" s="422"/>
      <c r="I971" s="423"/>
    </row>
    <row r="972">
      <c r="H972" s="422"/>
      <c r="I972" s="423"/>
    </row>
    <row r="973">
      <c r="H973" s="422"/>
      <c r="I973" s="423"/>
    </row>
    <row r="974">
      <c r="H974" s="422"/>
      <c r="I974" s="423"/>
    </row>
    <row r="975">
      <c r="H975" s="422"/>
      <c r="I975" s="423"/>
    </row>
    <row r="976">
      <c r="H976" s="422"/>
      <c r="I976" s="423"/>
    </row>
    <row r="977">
      <c r="H977" s="422"/>
      <c r="I977" s="423"/>
    </row>
    <row r="978">
      <c r="H978" s="422"/>
      <c r="I978" s="423"/>
    </row>
    <row r="979">
      <c r="H979" s="422"/>
      <c r="I979" s="423"/>
    </row>
    <row r="980">
      <c r="H980" s="422"/>
      <c r="I980" s="423"/>
    </row>
    <row r="981">
      <c r="H981" s="422"/>
      <c r="I981" s="423"/>
    </row>
    <row r="982">
      <c r="H982" s="422"/>
      <c r="I982" s="423"/>
    </row>
    <row r="983">
      <c r="H983" s="422"/>
      <c r="I983" s="423"/>
    </row>
    <row r="984">
      <c r="H984" s="422"/>
      <c r="I984" s="423"/>
    </row>
    <row r="985">
      <c r="H985" s="422"/>
      <c r="I985" s="423"/>
    </row>
    <row r="986">
      <c r="H986" s="422"/>
      <c r="I986" s="423"/>
    </row>
    <row r="987">
      <c r="H987" s="422"/>
      <c r="I987" s="423"/>
    </row>
    <row r="988">
      <c r="H988" s="422"/>
      <c r="I988" s="423"/>
    </row>
    <row r="989">
      <c r="H989" s="422"/>
      <c r="I989" s="423"/>
    </row>
    <row r="990">
      <c r="H990" s="422"/>
      <c r="I990" s="423"/>
    </row>
    <row r="991">
      <c r="H991" s="422"/>
      <c r="I991" s="423"/>
    </row>
    <row r="992">
      <c r="H992" s="422"/>
      <c r="I992" s="423"/>
    </row>
    <row r="993">
      <c r="H993" s="422"/>
      <c r="I993" s="423"/>
    </row>
    <row r="994">
      <c r="H994" s="422"/>
      <c r="I994" s="423"/>
    </row>
    <row r="995">
      <c r="H995" s="422"/>
      <c r="I995" s="423"/>
    </row>
    <row r="996">
      <c r="H996" s="422"/>
      <c r="I996" s="423"/>
    </row>
    <row r="997">
      <c r="H997" s="422"/>
      <c r="I997" s="423"/>
    </row>
    <row r="998">
      <c r="H998" s="422"/>
      <c r="I998" s="423"/>
    </row>
    <row r="999">
      <c r="H999" s="422"/>
      <c r="I999" s="423"/>
    </row>
    <row r="1000">
      <c r="H1000" s="422"/>
      <c r="I1000" s="423"/>
    </row>
    <row r="1001">
      <c r="H1001" s="422"/>
      <c r="I1001" s="423"/>
    </row>
    <row r="1002">
      <c r="H1002" s="422"/>
      <c r="I1002" s="423"/>
    </row>
    <row r="1003">
      <c r="H1003" s="422"/>
      <c r="I1003" s="423"/>
    </row>
  </sheetData>
  <conditionalFormatting sqref="G1:G10 G14 H18 G20:G24 H33 H35 H39 H44:H45 G45 H48:H49">
    <cfRule type="containsText" dxfId="0" priority="1" operator="containsText" text="Y">
      <formula>NOT(ISERROR(SEARCH(("Y"),(G1))))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0"/>
    <col customWidth="1" min="2" max="2" width="4.43"/>
    <col customWidth="1" min="3" max="3" width="26.86"/>
    <col customWidth="1" min="4" max="4" width="13.43"/>
    <col customWidth="1" min="5" max="5" width="91.29"/>
    <col customWidth="1" min="6" max="7" width="8.43"/>
    <col customWidth="1" min="8" max="8" width="3.0"/>
    <col customWidth="1" hidden="1" min="9" max="9" width="8.71"/>
    <col customWidth="1" hidden="1" min="10" max="10" width="9.71"/>
    <col customWidth="1" hidden="1" min="11" max="11" width="9.14"/>
    <col customWidth="1" hidden="1" min="12" max="12" width="8.43"/>
    <col customWidth="1" hidden="1" min="13" max="13" width="11.29"/>
    <col customWidth="1" hidden="1" min="14" max="16" width="10.0"/>
    <col customWidth="1" min="17" max="17" width="10.71"/>
  </cols>
  <sheetData>
    <row r="1" ht="15.0" customHeight="1">
      <c r="A1" s="370" t="s">
        <v>604</v>
      </c>
      <c r="B1" s="371" t="s">
        <v>606</v>
      </c>
      <c r="C1" s="373" t="s">
        <v>607</v>
      </c>
      <c r="D1" s="373" t="s">
        <v>608</v>
      </c>
      <c r="E1" s="373" t="s">
        <v>609</v>
      </c>
      <c r="F1" s="373" t="s">
        <v>610</v>
      </c>
      <c r="G1" s="373"/>
      <c r="H1" s="370" t="s">
        <v>611</v>
      </c>
      <c r="I1" s="375" t="s">
        <v>612</v>
      </c>
      <c r="J1" s="375" t="s">
        <v>613</v>
      </c>
      <c r="K1" s="375" t="s">
        <v>614</v>
      </c>
      <c r="L1" s="375" t="s">
        <v>84</v>
      </c>
      <c r="M1" s="377"/>
      <c r="N1" s="371" t="s">
        <v>21</v>
      </c>
      <c r="O1" s="379" t="s">
        <v>24</v>
      </c>
      <c r="P1" s="381" t="s">
        <v>46</v>
      </c>
      <c r="Q1" s="232" t="s">
        <v>615</v>
      </c>
    </row>
    <row r="2" ht="15.0" customHeight="1">
      <c r="A2" s="383"/>
      <c r="B2" s="377"/>
      <c r="C2" s="371" t="s">
        <v>616</v>
      </c>
      <c r="D2" s="377"/>
      <c r="E2" s="377"/>
      <c r="F2" s="377"/>
      <c r="G2" s="377"/>
      <c r="H2" s="385">
        <v>1.0</v>
      </c>
      <c r="I2" s="383"/>
      <c r="J2" s="383"/>
      <c r="K2" s="387">
        <v>500.0</v>
      </c>
      <c r="L2" s="383"/>
      <c r="M2" s="377"/>
      <c r="N2" s="377"/>
      <c r="O2" s="377"/>
      <c r="P2" s="377"/>
      <c r="Q2" s="232"/>
    </row>
    <row r="3" ht="15.0" customHeight="1">
      <c r="A3" s="383"/>
      <c r="B3" s="377"/>
      <c r="C3" s="377"/>
      <c r="D3" s="371" t="s">
        <v>620</v>
      </c>
      <c r="E3" s="371" t="s">
        <v>621</v>
      </c>
      <c r="F3" s="371" t="s">
        <v>622</v>
      </c>
      <c r="G3" s="377"/>
      <c r="H3" s="385">
        <v>1.0</v>
      </c>
      <c r="I3" s="387">
        <v>1549.99</v>
      </c>
      <c r="J3" s="383"/>
      <c r="K3" s="383"/>
      <c r="L3" s="383"/>
      <c r="M3" s="377"/>
      <c r="N3" s="377"/>
      <c r="O3" s="377"/>
      <c r="P3" s="377"/>
      <c r="Q3" s="232"/>
    </row>
    <row r="4" ht="15.0" customHeight="1">
      <c r="A4" s="389"/>
      <c r="B4" s="377"/>
      <c r="C4" s="377"/>
      <c r="D4" s="379" t="s">
        <v>24</v>
      </c>
      <c r="E4" s="396" t="str">
        <f>HYPERLINK("https://us.vwr.com/store/catalog/product.jsp?catalog_number=97055-724","VWR® symphony™ General-Purpose Refrigerators, Solid Door, 20Cu Ft, 115V Manual Defrost")</f>
        <v>VWR® symphony™ General-Purpose Refrigerators, Solid Door, 20Cu Ft, 115V Manual Defrost</v>
      </c>
      <c r="F4" s="379" t="s">
        <v>24</v>
      </c>
      <c r="G4" s="389" t="s">
        <v>631</v>
      </c>
      <c r="H4" s="389">
        <v>1.0</v>
      </c>
      <c r="I4" s="398"/>
      <c r="J4" s="398"/>
      <c r="K4" s="398">
        <v>1845.0</v>
      </c>
      <c r="L4" s="398"/>
      <c r="M4" s="399"/>
      <c r="N4" s="377"/>
      <c r="O4" s="377"/>
      <c r="P4" s="377"/>
      <c r="Q4" s="400"/>
    </row>
    <row r="5" ht="15.0" customHeight="1">
      <c r="A5" s="401"/>
      <c r="B5" s="377"/>
      <c r="C5" s="377"/>
      <c r="D5" s="381" t="s">
        <v>46</v>
      </c>
      <c r="E5" s="381" t="s">
        <v>632</v>
      </c>
      <c r="F5" s="381" t="s">
        <v>46</v>
      </c>
      <c r="G5" s="381" t="s">
        <v>633</v>
      </c>
      <c r="H5" s="401">
        <v>1.0</v>
      </c>
      <c r="I5" s="402"/>
      <c r="J5" s="402"/>
      <c r="K5" s="404">
        <v>2138.27</v>
      </c>
      <c r="L5" s="402"/>
      <c r="M5" s="377"/>
      <c r="N5" s="377"/>
      <c r="O5" s="377"/>
      <c r="P5" s="377"/>
      <c r="Q5" s="406"/>
    </row>
    <row r="6" ht="15.0" customHeight="1">
      <c r="A6" s="401"/>
      <c r="B6" s="377"/>
      <c r="C6" s="377"/>
      <c r="D6" s="381" t="s">
        <v>634</v>
      </c>
      <c r="E6" s="408" t="s">
        <v>635</v>
      </c>
      <c r="F6" s="381" t="s">
        <v>46</v>
      </c>
      <c r="G6" s="408" t="s">
        <v>638</v>
      </c>
      <c r="H6" s="401"/>
      <c r="I6" s="402"/>
      <c r="J6" s="402"/>
      <c r="K6" s="404">
        <v>2229.63</v>
      </c>
      <c r="L6" s="402"/>
      <c r="M6" s="377"/>
      <c r="N6" s="377"/>
      <c r="O6" s="377"/>
      <c r="P6" s="377"/>
      <c r="Q6" s="406"/>
    </row>
    <row r="7" ht="15.0" customHeight="1">
      <c r="A7" s="385"/>
      <c r="B7" s="371" t="s">
        <v>639</v>
      </c>
      <c r="C7" s="371" t="s">
        <v>639</v>
      </c>
      <c r="D7" s="371" t="s">
        <v>620</v>
      </c>
      <c r="E7" s="371" t="s">
        <v>640</v>
      </c>
      <c r="F7" s="371" t="s">
        <v>622</v>
      </c>
      <c r="G7" s="371">
        <v>4.691033E9</v>
      </c>
      <c r="H7" s="385">
        <v>1.0</v>
      </c>
      <c r="I7" s="387"/>
      <c r="J7" s="387"/>
      <c r="K7" s="411">
        <v>1395.0</v>
      </c>
      <c r="L7" s="387">
        <f>K7*H7</f>
        <v>1395</v>
      </c>
      <c r="M7" s="377"/>
      <c r="N7" s="371" t="s">
        <v>642</v>
      </c>
      <c r="O7" s="377"/>
      <c r="P7" s="377"/>
      <c r="Q7" s="232" t="s">
        <v>639</v>
      </c>
    </row>
    <row r="8" ht="12.75" customHeight="1">
      <c r="A8" s="383"/>
      <c r="B8" s="377"/>
      <c r="C8" s="377"/>
      <c r="D8" s="377"/>
      <c r="E8" s="377"/>
      <c r="F8" s="377"/>
      <c r="G8" s="377"/>
      <c r="H8" s="383"/>
      <c r="I8" s="383"/>
      <c r="J8" s="383"/>
      <c r="K8" s="383"/>
      <c r="L8" s="383"/>
      <c r="M8" s="377"/>
      <c r="N8" s="377"/>
      <c r="O8" s="377"/>
      <c r="P8" s="377"/>
      <c r="Q8" s="232"/>
    </row>
    <row r="9" ht="15.0" customHeight="1">
      <c r="A9" s="383"/>
      <c r="B9" s="377"/>
      <c r="C9" s="371" t="s">
        <v>643</v>
      </c>
      <c r="D9" s="371" t="s">
        <v>46</v>
      </c>
      <c r="E9" s="371" t="s">
        <v>644</v>
      </c>
      <c r="F9" s="371" t="s">
        <v>46</v>
      </c>
      <c r="G9" s="377"/>
      <c r="H9" s="385">
        <v>1.0</v>
      </c>
      <c r="I9" s="383"/>
      <c r="J9" s="383"/>
      <c r="K9" s="387">
        <v>2071.0</v>
      </c>
      <c r="L9" s="383"/>
      <c r="M9" s="377"/>
      <c r="N9" s="377"/>
      <c r="O9" s="377"/>
      <c r="P9" s="377"/>
      <c r="Q9" s="232"/>
    </row>
    <row r="10" ht="15.0" customHeight="1">
      <c r="A10" s="383"/>
      <c r="B10" s="377"/>
      <c r="C10" s="377"/>
      <c r="D10" s="371" t="s">
        <v>46</v>
      </c>
      <c r="E10" s="371" t="s">
        <v>645</v>
      </c>
      <c r="F10" s="371" t="s">
        <v>46</v>
      </c>
      <c r="G10" s="377"/>
      <c r="H10" s="383"/>
      <c r="I10" s="387">
        <f>2306.16</f>
        <v>2306.16</v>
      </c>
      <c r="J10" s="383"/>
      <c r="K10" s="383"/>
      <c r="L10" s="383"/>
      <c r="M10" s="377"/>
      <c r="N10" s="377"/>
      <c r="O10" s="377"/>
      <c r="P10" s="377"/>
      <c r="Q10" s="232"/>
    </row>
    <row r="11" ht="15.0" customHeight="1">
      <c r="A11" s="383"/>
      <c r="B11" s="377"/>
      <c r="C11" s="377"/>
      <c r="D11" s="371" t="s">
        <v>46</v>
      </c>
      <c r="E11" s="371" t="s">
        <v>650</v>
      </c>
      <c r="F11" s="371" t="s">
        <v>46</v>
      </c>
      <c r="G11" s="377"/>
      <c r="H11" s="383"/>
      <c r="I11" s="387">
        <v>1064.64</v>
      </c>
      <c r="J11" s="383"/>
      <c r="K11" s="383"/>
      <c r="L11" s="383"/>
      <c r="M11" s="377"/>
      <c r="N11" s="377"/>
      <c r="O11" s="377"/>
      <c r="P11" s="377"/>
      <c r="Q11" s="232"/>
    </row>
    <row r="12" ht="15.0" customHeight="1">
      <c r="A12" s="383"/>
      <c r="B12" s="377"/>
      <c r="C12" s="377"/>
      <c r="D12" s="377"/>
      <c r="E12" s="371" t="s">
        <v>652</v>
      </c>
      <c r="F12" s="371" t="s">
        <v>622</v>
      </c>
      <c r="G12" s="377"/>
      <c r="H12" s="383"/>
      <c r="I12" s="383"/>
      <c r="J12" s="383"/>
      <c r="K12" s="383"/>
      <c r="L12" s="383"/>
      <c r="M12" s="377"/>
      <c r="N12" s="377"/>
      <c r="O12" s="377"/>
      <c r="P12" s="377"/>
      <c r="Q12" s="232"/>
    </row>
    <row r="13" ht="15.0" customHeight="1">
      <c r="A13" s="389"/>
      <c r="B13" s="379" t="s">
        <v>639</v>
      </c>
      <c r="C13" s="379" t="s">
        <v>639</v>
      </c>
      <c r="D13" s="379" t="s">
        <v>24</v>
      </c>
      <c r="E13" s="396" t="str">
        <f>HYPERLINK("https://us.vwr.com/store/catalog/product.jsp?catalog_number=97043-346","VWR® General-Purpose Laboratory Upright Freezers, Solid Door, 20Cu Ft 115V, Manual Defrost")</f>
        <v>VWR® General-Purpose Laboratory Upright Freezers, Solid Door, 20Cu Ft 115V, Manual Defrost</v>
      </c>
      <c r="F13" s="379" t="s">
        <v>24</v>
      </c>
      <c r="G13" s="389" t="s">
        <v>467</v>
      </c>
      <c r="H13" s="389">
        <v>1.0</v>
      </c>
      <c r="I13" s="398"/>
      <c r="J13" s="398"/>
      <c r="K13" s="398">
        <v>1118.97</v>
      </c>
      <c r="L13" s="429">
        <f>K13*H13</f>
        <v>1118.97</v>
      </c>
      <c r="M13" s="377"/>
      <c r="N13" s="377"/>
      <c r="O13" s="377"/>
      <c r="P13" s="377"/>
      <c r="Q13" s="400"/>
    </row>
    <row r="14" ht="15.0" customHeight="1">
      <c r="A14" s="401"/>
      <c r="B14" s="377"/>
      <c r="C14" s="377"/>
      <c r="D14" s="381" t="s">
        <v>46</v>
      </c>
      <c r="E14" s="381" t="s">
        <v>658</v>
      </c>
      <c r="F14" s="381" t="s">
        <v>46</v>
      </c>
      <c r="G14" s="381" t="s">
        <v>659</v>
      </c>
      <c r="H14" s="401">
        <v>1.0</v>
      </c>
      <c r="I14" s="402"/>
      <c r="J14" s="402"/>
      <c r="K14" s="404">
        <v>1358.39</v>
      </c>
      <c r="L14" s="402"/>
      <c r="M14" s="377"/>
      <c r="N14" s="377"/>
      <c r="O14" s="377"/>
      <c r="P14" s="377"/>
      <c r="Q14" s="406"/>
    </row>
    <row r="15" ht="12.75" customHeight="1">
      <c r="A15" s="383"/>
      <c r="B15" s="377"/>
      <c r="C15" s="377"/>
      <c r="D15" s="377"/>
      <c r="E15" s="377"/>
      <c r="F15" s="377"/>
      <c r="G15" s="377"/>
      <c r="H15" s="383"/>
      <c r="I15" s="383"/>
      <c r="J15" s="383"/>
      <c r="K15" s="383"/>
      <c r="L15" s="383"/>
      <c r="M15" s="377"/>
      <c r="N15" s="377"/>
      <c r="O15" s="377"/>
      <c r="P15" s="377"/>
      <c r="Q15" s="232"/>
    </row>
    <row r="16" ht="15.0" customHeight="1">
      <c r="A16" s="383"/>
      <c r="B16" s="377"/>
      <c r="C16" s="371" t="s">
        <v>661</v>
      </c>
      <c r="D16" s="371" t="s">
        <v>662</v>
      </c>
      <c r="E16" s="371" t="s">
        <v>663</v>
      </c>
      <c r="F16" s="371" t="s">
        <v>662</v>
      </c>
      <c r="G16" s="377"/>
      <c r="H16" s="385">
        <v>1.0</v>
      </c>
      <c r="I16" s="387">
        <v>9997.0</v>
      </c>
      <c r="J16" s="383"/>
      <c r="K16" s="383"/>
      <c r="L16" s="383"/>
      <c r="M16" s="377"/>
      <c r="N16" s="377"/>
      <c r="O16" s="377"/>
      <c r="P16" s="377"/>
      <c r="Q16" s="232"/>
    </row>
    <row r="17" ht="15.0" customHeight="1">
      <c r="A17" s="383"/>
      <c r="B17" s="377"/>
      <c r="C17" s="371"/>
      <c r="D17" s="371" t="s">
        <v>40</v>
      </c>
      <c r="E17" s="431" t="s">
        <v>665</v>
      </c>
      <c r="F17" s="371" t="s">
        <v>24</v>
      </c>
      <c r="G17" s="377"/>
      <c r="H17" s="383"/>
      <c r="I17" s="383"/>
      <c r="J17" s="387">
        <v>10149.97</v>
      </c>
      <c r="K17" s="383"/>
      <c r="L17" s="383"/>
      <c r="M17" s="377"/>
      <c r="N17" s="377"/>
      <c r="O17" s="377"/>
      <c r="P17" s="377"/>
      <c r="Q17" s="232"/>
    </row>
    <row r="18" ht="15.0" customHeight="1">
      <c r="A18" s="383"/>
      <c r="B18" s="377"/>
      <c r="C18" s="371"/>
      <c r="D18" s="371" t="s">
        <v>40</v>
      </c>
      <c r="E18" s="431" t="s">
        <v>667</v>
      </c>
      <c r="F18" s="371" t="s">
        <v>24</v>
      </c>
      <c r="G18" s="377"/>
      <c r="H18" s="383"/>
      <c r="I18" s="383"/>
      <c r="J18" s="387">
        <v>1050.0</v>
      </c>
      <c r="K18" s="383"/>
      <c r="L18" s="383"/>
      <c r="M18" s="377"/>
      <c r="N18" s="377"/>
      <c r="O18" s="377"/>
      <c r="P18" s="377"/>
      <c r="Q18" s="232"/>
    </row>
    <row r="19" ht="15.0" customHeight="1">
      <c r="A19" s="383"/>
      <c r="B19" s="377"/>
      <c r="C19" s="371"/>
      <c r="D19" s="371" t="s">
        <v>634</v>
      </c>
      <c r="E19" s="431" t="s">
        <v>668</v>
      </c>
      <c r="F19" s="377"/>
      <c r="G19" s="377"/>
      <c r="H19" s="383"/>
      <c r="I19" s="383"/>
      <c r="J19" s="383"/>
      <c r="K19" s="383"/>
      <c r="L19" s="383"/>
      <c r="M19" s="377"/>
      <c r="N19" s="377"/>
      <c r="O19" s="377"/>
      <c r="P19" s="377"/>
      <c r="Q19" s="232"/>
    </row>
    <row r="20" ht="15.0" customHeight="1">
      <c r="A20" s="389"/>
      <c r="B20" s="377"/>
      <c r="C20" s="379"/>
      <c r="D20" s="379" t="s">
        <v>40</v>
      </c>
      <c r="E20" s="379" t="s">
        <v>669</v>
      </c>
      <c r="F20" s="379" t="s">
        <v>24</v>
      </c>
      <c r="G20" s="377"/>
      <c r="H20" s="389">
        <v>0.0</v>
      </c>
      <c r="I20" s="398"/>
      <c r="J20" s="398"/>
      <c r="K20" s="398">
        <v>10149.97</v>
      </c>
      <c r="L20" s="398"/>
      <c r="M20" s="377"/>
      <c r="N20" s="379" t="s">
        <v>670</v>
      </c>
      <c r="O20" s="379" t="s">
        <v>671</v>
      </c>
      <c r="P20" s="377"/>
      <c r="Q20" s="400"/>
    </row>
    <row r="21" ht="15.0" customHeight="1">
      <c r="A21" s="389"/>
      <c r="B21" s="377"/>
      <c r="C21" s="379" t="s">
        <v>639</v>
      </c>
      <c r="D21" s="379" t="s">
        <v>40</v>
      </c>
      <c r="E21" s="379" t="s">
        <v>673</v>
      </c>
      <c r="F21" s="379" t="s">
        <v>24</v>
      </c>
      <c r="G21" s="377"/>
      <c r="H21" s="389">
        <v>1.0</v>
      </c>
      <c r="I21" s="398"/>
      <c r="J21" s="398"/>
      <c r="K21" s="398">
        <v>9357.7</v>
      </c>
      <c r="L21" s="398">
        <f t="shared" ref="L21:L22" si="1">K21*H21</f>
        <v>9357.7</v>
      </c>
      <c r="M21" s="377"/>
      <c r="N21" s="379" t="s">
        <v>679</v>
      </c>
      <c r="O21" s="379" t="s">
        <v>680</v>
      </c>
      <c r="P21" s="377"/>
      <c r="Q21" s="400"/>
    </row>
    <row r="22" ht="15.0" customHeight="1">
      <c r="A22" s="389"/>
      <c r="B22" s="377"/>
      <c r="C22" s="379"/>
      <c r="D22" s="379" t="s">
        <v>40</v>
      </c>
      <c r="E22" s="379" t="s">
        <v>681</v>
      </c>
      <c r="F22" s="379" t="s">
        <v>24</v>
      </c>
      <c r="G22" s="377"/>
      <c r="H22" s="389">
        <v>0.0</v>
      </c>
      <c r="I22" s="398"/>
      <c r="J22" s="398"/>
      <c r="K22" s="398">
        <v>9021.97</v>
      </c>
      <c r="L22" s="398">
        <f t="shared" si="1"/>
        <v>0</v>
      </c>
      <c r="M22" s="377"/>
      <c r="N22" s="379" t="s">
        <v>683</v>
      </c>
      <c r="O22" s="379" t="s">
        <v>680</v>
      </c>
      <c r="P22" s="377"/>
      <c r="Q22" s="400"/>
    </row>
    <row r="23" ht="15.0" customHeight="1">
      <c r="A23" s="389"/>
      <c r="B23" s="377"/>
      <c r="C23" s="379"/>
      <c r="D23" s="379" t="s">
        <v>40</v>
      </c>
      <c r="E23" s="379" t="s">
        <v>684</v>
      </c>
      <c r="F23" s="379" t="s">
        <v>24</v>
      </c>
      <c r="G23" s="377"/>
      <c r="H23" s="389"/>
      <c r="I23" s="398"/>
      <c r="J23" s="398"/>
      <c r="K23" s="398">
        <v>7864.97</v>
      </c>
      <c r="L23" s="398"/>
      <c r="M23" s="377"/>
      <c r="N23" s="379" t="s">
        <v>686</v>
      </c>
      <c r="O23" s="379" t="s">
        <v>680</v>
      </c>
      <c r="P23" s="377"/>
      <c r="Q23" s="400"/>
    </row>
    <row r="24" ht="15.0" customHeight="1">
      <c r="A24" s="389"/>
      <c r="B24" s="377"/>
      <c r="C24" s="379" t="s">
        <v>639</v>
      </c>
      <c r="D24" s="379" t="s">
        <v>40</v>
      </c>
      <c r="E24" s="379" t="s">
        <v>687</v>
      </c>
      <c r="F24" s="379" t="s">
        <v>24</v>
      </c>
      <c r="G24" s="377"/>
      <c r="H24" s="389">
        <v>1.0</v>
      </c>
      <c r="I24" s="398"/>
      <c r="J24" s="398"/>
      <c r="K24" s="398">
        <v>1075.0</v>
      </c>
      <c r="L24" s="398">
        <f>K24*H24</f>
        <v>1075</v>
      </c>
      <c r="M24" s="377"/>
      <c r="N24" s="379" t="s">
        <v>689</v>
      </c>
      <c r="O24" s="377"/>
      <c r="P24" s="377"/>
      <c r="Q24" s="400"/>
    </row>
    <row r="25" ht="15.0" customHeight="1">
      <c r="A25" s="401"/>
      <c r="B25" s="377"/>
      <c r="C25" s="381"/>
      <c r="D25" s="381" t="s">
        <v>46</v>
      </c>
      <c r="E25" s="381" t="s">
        <v>690</v>
      </c>
      <c r="F25" s="381" t="s">
        <v>46</v>
      </c>
      <c r="G25" s="381" t="s">
        <v>691</v>
      </c>
      <c r="H25" s="401">
        <v>1.0</v>
      </c>
      <c r="I25" s="402"/>
      <c r="J25" s="402"/>
      <c r="K25" s="404">
        <v>8798.02</v>
      </c>
      <c r="L25" s="402"/>
      <c r="M25" s="377"/>
      <c r="N25" s="381" t="s">
        <v>693</v>
      </c>
      <c r="O25" s="381" t="s">
        <v>694</v>
      </c>
      <c r="P25" s="377"/>
      <c r="Q25" s="406"/>
    </row>
    <row r="26" ht="15.0" customHeight="1">
      <c r="A26" s="401"/>
      <c r="B26" s="377"/>
      <c r="C26" s="381"/>
      <c r="D26" s="381" t="s">
        <v>46</v>
      </c>
      <c r="E26" s="381" t="s">
        <v>695</v>
      </c>
      <c r="F26" s="381" t="s">
        <v>46</v>
      </c>
      <c r="G26" s="381"/>
      <c r="H26" s="401"/>
      <c r="I26" s="402"/>
      <c r="J26" s="402"/>
      <c r="K26" s="404">
        <v>11692.14</v>
      </c>
      <c r="L26" s="402"/>
      <c r="M26" s="377"/>
      <c r="N26" s="381" t="s">
        <v>696</v>
      </c>
      <c r="O26" s="381" t="s">
        <v>697</v>
      </c>
      <c r="P26" s="377"/>
      <c r="Q26" s="406"/>
    </row>
    <row r="27" ht="15.0" customHeight="1">
      <c r="A27" s="401"/>
      <c r="B27" s="377"/>
      <c r="C27" s="381"/>
      <c r="D27" s="381"/>
      <c r="E27" s="381" t="s">
        <v>699</v>
      </c>
      <c r="F27" s="381" t="s">
        <v>46</v>
      </c>
      <c r="G27" s="381"/>
      <c r="H27" s="401"/>
      <c r="I27" s="402"/>
      <c r="J27" s="402"/>
      <c r="K27" s="404" t="s">
        <v>701</v>
      </c>
      <c r="L27" s="402"/>
      <c r="M27" s="377"/>
      <c r="N27" s="377"/>
      <c r="O27" s="377"/>
      <c r="P27" s="377"/>
      <c r="Q27" s="406"/>
    </row>
    <row r="28" ht="15.0" customHeight="1">
      <c r="A28" s="383"/>
      <c r="B28" s="377"/>
      <c r="C28" s="371"/>
      <c r="D28" s="371"/>
      <c r="E28" s="377"/>
      <c r="F28" s="377"/>
      <c r="G28" s="377"/>
      <c r="H28" s="383"/>
      <c r="I28" s="383"/>
      <c r="J28" s="383"/>
      <c r="K28" s="383"/>
      <c r="L28" s="383"/>
      <c r="M28" s="377"/>
      <c r="N28" s="377"/>
      <c r="O28" s="377"/>
      <c r="P28" s="377"/>
      <c r="Q28" s="232"/>
    </row>
    <row r="29" ht="15.0" customHeight="1">
      <c r="A29" s="383"/>
      <c r="B29" s="377"/>
      <c r="C29" s="371" t="s">
        <v>702</v>
      </c>
      <c r="D29" s="371" t="s">
        <v>40</v>
      </c>
      <c r="E29" s="371" t="s">
        <v>703</v>
      </c>
      <c r="F29" s="371" t="s">
        <v>24</v>
      </c>
      <c r="G29" s="377"/>
      <c r="H29" s="385">
        <v>1.0</v>
      </c>
      <c r="I29" s="383"/>
      <c r="J29" s="383"/>
      <c r="K29" s="387">
        <v>9510.0</v>
      </c>
      <c r="L29" s="383"/>
      <c r="M29" s="377"/>
      <c r="N29" s="377"/>
      <c r="O29" s="377"/>
      <c r="P29" s="377"/>
      <c r="Q29" s="232"/>
    </row>
    <row r="30" ht="15.0" customHeight="1">
      <c r="A30" s="383"/>
      <c r="B30" s="377"/>
      <c r="C30" s="377"/>
      <c r="D30" s="371" t="s">
        <v>40</v>
      </c>
      <c r="E30" s="371" t="s">
        <v>704</v>
      </c>
      <c r="F30" s="371" t="s">
        <v>24</v>
      </c>
      <c r="G30" s="377"/>
      <c r="H30" s="385">
        <v>1.0</v>
      </c>
      <c r="I30" s="383"/>
      <c r="J30" s="383"/>
      <c r="K30" s="387">
        <v>8466.0</v>
      </c>
      <c r="L30" s="383"/>
      <c r="M30" s="377"/>
      <c r="N30" s="377"/>
      <c r="O30" s="377"/>
      <c r="P30" s="377"/>
      <c r="Q30" s="232"/>
    </row>
    <row r="31" ht="15.0" customHeight="1">
      <c r="A31" s="383"/>
      <c r="B31" s="377"/>
      <c r="C31" s="371"/>
      <c r="D31" s="371" t="s">
        <v>40</v>
      </c>
      <c r="E31" s="371" t="s">
        <v>705</v>
      </c>
      <c r="F31" s="371" t="s">
        <v>24</v>
      </c>
      <c r="G31" s="377"/>
      <c r="H31" s="385">
        <v>1.0</v>
      </c>
      <c r="I31" s="387">
        <v>3850.0</v>
      </c>
      <c r="J31" s="383"/>
      <c r="K31" s="383"/>
      <c r="L31" s="383"/>
      <c r="M31" s="377"/>
      <c r="N31" s="377"/>
      <c r="O31" s="377"/>
      <c r="P31" s="377"/>
      <c r="Q31" s="232"/>
    </row>
    <row r="32" ht="15.0" customHeight="1">
      <c r="A32" s="383"/>
      <c r="B32" s="377"/>
      <c r="C32" s="377"/>
      <c r="D32" s="371" t="s">
        <v>40</v>
      </c>
      <c r="E32" s="371" t="s">
        <v>707</v>
      </c>
      <c r="F32" s="371" t="s">
        <v>24</v>
      </c>
      <c r="G32" s="377"/>
      <c r="H32" s="385">
        <v>1.0</v>
      </c>
      <c r="I32" s="387">
        <v>5670.0</v>
      </c>
      <c r="J32" s="383"/>
      <c r="K32" s="383"/>
      <c r="L32" s="383"/>
      <c r="M32" s="377"/>
      <c r="N32" s="371" t="s">
        <v>709</v>
      </c>
      <c r="O32" s="377"/>
      <c r="P32" s="377"/>
      <c r="Q32" s="232"/>
    </row>
    <row r="33" ht="15.0" customHeight="1">
      <c r="A33" s="383"/>
      <c r="B33" s="377"/>
      <c r="C33" s="377"/>
      <c r="D33" s="371" t="s">
        <v>710</v>
      </c>
      <c r="E33" s="377"/>
      <c r="F33" s="371" t="s">
        <v>46</v>
      </c>
      <c r="G33" s="377"/>
      <c r="H33" s="383"/>
      <c r="I33" s="383"/>
      <c r="J33" s="383"/>
      <c r="K33" s="383"/>
      <c r="L33" s="383"/>
      <c r="M33" s="377"/>
      <c r="N33" s="371"/>
      <c r="O33" s="377"/>
      <c r="P33" s="377"/>
      <c r="Q33" s="232"/>
    </row>
    <row r="34" ht="15.0" customHeight="1">
      <c r="A34" s="383"/>
      <c r="B34" s="377"/>
      <c r="C34" s="377"/>
      <c r="D34" s="371" t="s">
        <v>40</v>
      </c>
      <c r="E34" s="431" t="s">
        <v>711</v>
      </c>
      <c r="F34" s="371" t="s">
        <v>24</v>
      </c>
      <c r="G34" s="377"/>
      <c r="H34" s="383"/>
      <c r="I34" s="383"/>
      <c r="J34" s="387">
        <v>5600.0</v>
      </c>
      <c r="K34" s="383"/>
      <c r="L34" s="383"/>
      <c r="M34" s="377"/>
      <c r="N34" s="371"/>
      <c r="O34" s="377"/>
      <c r="P34" s="377"/>
      <c r="Q34" s="232"/>
    </row>
    <row r="35" ht="15.0" customHeight="1">
      <c r="A35" s="383"/>
      <c r="B35" s="377"/>
      <c r="C35" s="377"/>
      <c r="D35" s="371" t="s">
        <v>40</v>
      </c>
      <c r="E35" s="431" t="s">
        <v>712</v>
      </c>
      <c r="F35" s="371" t="s">
        <v>24</v>
      </c>
      <c r="G35" s="377"/>
      <c r="H35" s="383"/>
      <c r="I35" s="383"/>
      <c r="J35" s="387">
        <v>3795.0</v>
      </c>
      <c r="K35" s="383"/>
      <c r="L35" s="383"/>
      <c r="M35" s="377"/>
      <c r="N35" s="371"/>
      <c r="O35" s="377"/>
      <c r="P35" s="377"/>
      <c r="Q35" s="232"/>
    </row>
    <row r="36" ht="15.0" customHeight="1">
      <c r="A36" s="383"/>
      <c r="B36" s="371" t="s">
        <v>639</v>
      </c>
      <c r="C36" s="371" t="s">
        <v>639</v>
      </c>
      <c r="D36" s="371" t="s">
        <v>713</v>
      </c>
      <c r="E36" s="431" t="s">
        <v>714</v>
      </c>
      <c r="F36" s="371" t="s">
        <v>713</v>
      </c>
      <c r="G36" s="377"/>
      <c r="H36" s="385">
        <v>2.0</v>
      </c>
      <c r="I36" s="383"/>
      <c r="J36" s="383"/>
      <c r="K36" s="387">
        <v>4495.0</v>
      </c>
      <c r="L36" s="387">
        <f>K36*H36</f>
        <v>8990</v>
      </c>
      <c r="M36" s="377"/>
      <c r="N36" s="371" t="s">
        <v>719</v>
      </c>
      <c r="O36" s="377"/>
      <c r="P36" s="377"/>
      <c r="Q36" s="232" t="s">
        <v>639</v>
      </c>
    </row>
    <row r="37" ht="15.0" customHeight="1">
      <c r="A37" s="383"/>
      <c r="B37" s="377"/>
      <c r="C37" s="377"/>
      <c r="D37" s="371" t="s">
        <v>713</v>
      </c>
      <c r="E37" s="431" t="s">
        <v>720</v>
      </c>
      <c r="F37" s="371" t="s">
        <v>713</v>
      </c>
      <c r="G37" s="377"/>
      <c r="H37" s="385">
        <v>1.0</v>
      </c>
      <c r="I37" s="383"/>
      <c r="J37" s="383"/>
      <c r="K37" s="387">
        <v>4495.0</v>
      </c>
      <c r="L37" s="383"/>
      <c r="M37" s="377"/>
      <c r="N37" s="371"/>
      <c r="O37" s="377"/>
      <c r="P37" s="377"/>
      <c r="Q37" s="232"/>
    </row>
    <row r="38" ht="15.0" customHeight="1">
      <c r="A38" s="389"/>
      <c r="B38" s="377"/>
      <c r="C38" s="377"/>
      <c r="D38" s="379" t="s">
        <v>40</v>
      </c>
      <c r="E38" s="379" t="s">
        <v>721</v>
      </c>
      <c r="F38" s="379" t="s">
        <v>24</v>
      </c>
      <c r="G38" s="377"/>
      <c r="H38" s="389">
        <v>1.0</v>
      </c>
      <c r="I38" s="398"/>
      <c r="J38" s="398"/>
      <c r="K38" s="398">
        <v>5589.0</v>
      </c>
      <c r="L38" s="398"/>
      <c r="M38" s="377"/>
      <c r="N38" s="377"/>
      <c r="O38" s="377"/>
      <c r="P38" s="377"/>
      <c r="Q38" s="400"/>
    </row>
    <row r="39" ht="15.0" customHeight="1">
      <c r="A39" s="389"/>
      <c r="B39" s="377"/>
      <c r="C39" s="377"/>
      <c r="D39" s="379" t="s">
        <v>40</v>
      </c>
      <c r="E39" s="379" t="s">
        <v>722</v>
      </c>
      <c r="F39" s="379" t="s">
        <v>24</v>
      </c>
      <c r="G39" s="377"/>
      <c r="H39" s="389">
        <v>1.0</v>
      </c>
      <c r="I39" s="398"/>
      <c r="J39" s="398"/>
      <c r="K39" s="398">
        <v>3795.0</v>
      </c>
      <c r="L39" s="398"/>
      <c r="M39" s="377"/>
      <c r="N39" s="377"/>
      <c r="O39" s="377"/>
      <c r="P39" s="377"/>
      <c r="Q39" s="400"/>
    </row>
    <row r="40" ht="15.0" customHeight="1">
      <c r="A40" s="401"/>
      <c r="B40" s="377"/>
      <c r="C40" s="377"/>
      <c r="D40" s="381" t="s">
        <v>40</v>
      </c>
      <c r="E40" s="381" t="s">
        <v>723</v>
      </c>
      <c r="F40" s="381" t="s">
        <v>46</v>
      </c>
      <c r="G40" s="377"/>
      <c r="H40" s="401">
        <v>1.0</v>
      </c>
      <c r="I40" s="402"/>
      <c r="J40" s="402"/>
      <c r="K40" s="404">
        <v>7403.23</v>
      </c>
      <c r="L40" s="402"/>
      <c r="M40" s="377"/>
      <c r="N40" s="377"/>
      <c r="O40" s="377"/>
      <c r="P40" s="377"/>
      <c r="Q40" s="406"/>
    </row>
    <row r="41" ht="15.0" customHeight="1">
      <c r="A41" s="401"/>
      <c r="B41" s="377"/>
      <c r="C41" s="377"/>
      <c r="D41" s="381" t="s">
        <v>40</v>
      </c>
      <c r="E41" s="381" t="s">
        <v>724</v>
      </c>
      <c r="F41" s="381" t="s">
        <v>46</v>
      </c>
      <c r="G41" s="377"/>
      <c r="H41" s="401">
        <v>1.0</v>
      </c>
      <c r="I41" s="402"/>
      <c r="J41" s="402"/>
      <c r="K41" s="404">
        <v>4731.18</v>
      </c>
      <c r="L41" s="402"/>
      <c r="M41" s="377"/>
      <c r="N41" s="377"/>
      <c r="O41" s="377"/>
      <c r="P41" s="377"/>
      <c r="Q41" s="406"/>
    </row>
    <row r="42" ht="15.0" customHeight="1">
      <c r="A42" s="401"/>
      <c r="B42" s="377"/>
      <c r="C42" s="377"/>
      <c r="D42" s="377"/>
      <c r="E42" s="381" t="s">
        <v>725</v>
      </c>
      <c r="F42" s="381" t="s">
        <v>46</v>
      </c>
      <c r="G42" s="377"/>
      <c r="H42" s="401">
        <v>1.0</v>
      </c>
      <c r="I42" s="402"/>
      <c r="J42" s="402"/>
      <c r="K42" s="404">
        <v>3029.33</v>
      </c>
      <c r="L42" s="402"/>
      <c r="M42" s="377"/>
      <c r="N42" s="377"/>
      <c r="O42" s="377"/>
      <c r="P42" s="377"/>
      <c r="Q42" s="406"/>
    </row>
    <row r="43" ht="15.0" customHeight="1">
      <c r="A43" s="401"/>
      <c r="B43" s="377"/>
      <c r="C43" s="377"/>
      <c r="D43" s="377"/>
      <c r="E43" s="381" t="s">
        <v>726</v>
      </c>
      <c r="F43" s="381" t="s">
        <v>46</v>
      </c>
      <c r="G43" s="377"/>
      <c r="H43" s="401">
        <v>1.0</v>
      </c>
      <c r="I43" s="402"/>
      <c r="J43" s="402"/>
      <c r="K43" s="404">
        <v>1208.39</v>
      </c>
      <c r="L43" s="402"/>
      <c r="M43" s="377"/>
      <c r="N43" s="377"/>
      <c r="O43" s="377"/>
      <c r="P43" s="377"/>
      <c r="Q43" s="406"/>
    </row>
    <row r="44" ht="15.0" customHeight="1">
      <c r="A44" s="385"/>
      <c r="B44" s="377"/>
      <c r="C44" s="377"/>
      <c r="D44" s="377"/>
      <c r="E44" s="371"/>
      <c r="F44" s="377"/>
      <c r="G44" s="377"/>
      <c r="H44" s="385"/>
      <c r="I44" s="387"/>
      <c r="J44" s="387"/>
      <c r="K44" s="411"/>
      <c r="L44" s="387"/>
      <c r="M44" s="377"/>
      <c r="N44" s="377"/>
      <c r="O44" s="377"/>
      <c r="P44" s="377"/>
      <c r="Q44" s="232"/>
    </row>
    <row r="45" ht="15.0" customHeight="1">
      <c r="A45" s="455"/>
      <c r="B45" s="377"/>
      <c r="C45" s="377"/>
      <c r="D45" s="377"/>
      <c r="E45" s="457"/>
      <c r="F45" s="377"/>
      <c r="G45" s="377"/>
      <c r="H45" s="455"/>
      <c r="I45" s="459"/>
      <c r="J45" s="459"/>
      <c r="K45" s="460"/>
      <c r="L45" s="459"/>
      <c r="M45" s="377"/>
      <c r="N45" s="377"/>
      <c r="O45" s="377"/>
      <c r="P45" s="377"/>
      <c r="Q45" s="461"/>
    </row>
    <row r="46" ht="15.0" customHeight="1">
      <c r="A46" s="385">
        <v>1.0</v>
      </c>
      <c r="B46" s="377"/>
      <c r="C46" s="371" t="s">
        <v>736</v>
      </c>
      <c r="D46" s="377"/>
      <c r="E46" s="377"/>
      <c r="F46" s="371" t="s">
        <v>46</v>
      </c>
      <c r="G46" s="377"/>
      <c r="H46" s="385">
        <v>1.0</v>
      </c>
      <c r="I46" s="383"/>
      <c r="J46" s="383"/>
      <c r="K46" s="387">
        <v>900.0</v>
      </c>
      <c r="L46" s="383"/>
      <c r="M46" s="377"/>
      <c r="N46" s="377"/>
      <c r="O46" s="377"/>
      <c r="P46" s="377"/>
      <c r="Q46" s="232"/>
    </row>
    <row r="47" ht="15.0" customHeight="1">
      <c r="A47" s="401"/>
      <c r="B47" s="377"/>
      <c r="C47" s="377"/>
      <c r="D47" s="381" t="s">
        <v>46</v>
      </c>
      <c r="E47" s="381" t="s">
        <v>737</v>
      </c>
      <c r="F47" s="381" t="s">
        <v>46</v>
      </c>
      <c r="G47" s="381" t="s">
        <v>738</v>
      </c>
      <c r="H47" s="401"/>
      <c r="I47" s="402"/>
      <c r="J47" s="402"/>
      <c r="K47" s="402">
        <f>503.05+31.24</f>
        <v>534.29</v>
      </c>
      <c r="L47" s="402"/>
      <c r="M47" s="377"/>
      <c r="N47" s="377"/>
      <c r="O47" s="377"/>
      <c r="P47" s="377"/>
      <c r="Q47" s="406"/>
    </row>
    <row r="48" ht="12.75" customHeight="1">
      <c r="A48" s="383"/>
      <c r="B48" s="377"/>
      <c r="C48" s="377"/>
      <c r="D48" s="377"/>
      <c r="E48" s="377"/>
      <c r="F48" s="377"/>
      <c r="G48" s="377"/>
      <c r="H48" s="383"/>
      <c r="I48" s="383"/>
      <c r="J48" s="383"/>
      <c r="K48" s="383"/>
      <c r="L48" s="383"/>
      <c r="M48" s="377"/>
      <c r="N48" s="377"/>
      <c r="O48" s="377"/>
      <c r="P48" s="377"/>
      <c r="Q48" s="232"/>
    </row>
    <row r="49" ht="15.0" customHeight="1">
      <c r="A49" s="383"/>
      <c r="B49" s="377"/>
      <c r="C49" s="371" t="s">
        <v>743</v>
      </c>
      <c r="D49" s="377"/>
      <c r="E49" s="377"/>
      <c r="F49" s="377"/>
      <c r="G49" s="377"/>
      <c r="H49" s="383"/>
      <c r="I49" s="383"/>
      <c r="J49" s="383"/>
      <c r="K49" s="383"/>
      <c r="L49" s="383"/>
      <c r="M49" s="377"/>
      <c r="N49" s="377"/>
      <c r="O49" s="377"/>
      <c r="P49" s="377"/>
      <c r="Q49" s="232"/>
    </row>
    <row r="50" ht="15.0" customHeight="1">
      <c r="A50" s="383"/>
      <c r="B50" s="377"/>
      <c r="C50" s="377"/>
      <c r="D50" s="371" t="s">
        <v>40</v>
      </c>
      <c r="E50" s="431" t="s">
        <v>744</v>
      </c>
      <c r="F50" s="371" t="s">
        <v>24</v>
      </c>
      <c r="G50" s="377"/>
      <c r="H50" s="385">
        <v>1.0</v>
      </c>
      <c r="I50" s="383"/>
      <c r="J50" s="387">
        <v>2375.0</v>
      </c>
      <c r="K50" s="383"/>
      <c r="L50" s="383"/>
      <c r="M50" s="377"/>
      <c r="N50" s="377"/>
      <c r="O50" s="377"/>
      <c r="P50" s="377"/>
      <c r="Q50" s="232"/>
    </row>
    <row r="51" ht="15.0" customHeight="1">
      <c r="A51" s="389"/>
      <c r="B51" s="377"/>
      <c r="C51" s="379" t="s">
        <v>639</v>
      </c>
      <c r="D51" s="379" t="s">
        <v>40</v>
      </c>
      <c r="E51" s="379" t="s">
        <v>745</v>
      </c>
      <c r="F51" s="379" t="s">
        <v>24</v>
      </c>
      <c r="G51" s="379">
        <v>5.382000023E9</v>
      </c>
      <c r="H51" s="389">
        <v>1.0</v>
      </c>
      <c r="I51" s="398"/>
      <c r="J51" s="398"/>
      <c r="K51" s="398">
        <v>0.01</v>
      </c>
      <c r="L51" s="429">
        <f t="shared" ref="L51:L53" si="2">K51*H51</f>
        <v>0.01</v>
      </c>
      <c r="M51" s="377"/>
      <c r="N51" s="379" t="s">
        <v>746</v>
      </c>
      <c r="O51" s="377"/>
      <c r="P51" s="377"/>
      <c r="Q51" s="400" t="s">
        <v>639</v>
      </c>
    </row>
    <row r="52" ht="15.0" customHeight="1">
      <c r="A52" s="389"/>
      <c r="B52" s="377"/>
      <c r="C52" s="379" t="s">
        <v>639</v>
      </c>
      <c r="D52" s="379" t="s">
        <v>40</v>
      </c>
      <c r="E52" s="379" t="s">
        <v>747</v>
      </c>
      <c r="F52" s="379" t="s">
        <v>24</v>
      </c>
      <c r="G52" s="379">
        <v>5.360000038E9</v>
      </c>
      <c r="H52" s="389">
        <v>1.0</v>
      </c>
      <c r="I52" s="398"/>
      <c r="J52" s="398"/>
      <c r="K52" s="398">
        <v>0.01</v>
      </c>
      <c r="L52" s="429">
        <f t="shared" si="2"/>
        <v>0.01</v>
      </c>
      <c r="M52" s="377"/>
      <c r="N52" s="379" t="s">
        <v>746</v>
      </c>
      <c r="O52" s="377"/>
      <c r="P52" s="377"/>
      <c r="Q52" s="400"/>
    </row>
    <row r="53" ht="15.0" customHeight="1">
      <c r="A53" s="389"/>
      <c r="B53" s="377"/>
      <c r="C53" s="379" t="s">
        <v>639</v>
      </c>
      <c r="D53" s="379" t="s">
        <v>40</v>
      </c>
      <c r="E53" s="379" t="s">
        <v>748</v>
      </c>
      <c r="F53" s="379" t="s">
        <v>24</v>
      </c>
      <c r="G53" s="379">
        <v>5.306000006E9</v>
      </c>
      <c r="H53" s="389">
        <v>1.0</v>
      </c>
      <c r="I53" s="398"/>
      <c r="J53" s="398"/>
      <c r="K53" s="398">
        <v>0.01</v>
      </c>
      <c r="L53" s="429">
        <f t="shared" si="2"/>
        <v>0.01</v>
      </c>
      <c r="M53" s="377"/>
      <c r="N53" s="379" t="s">
        <v>746</v>
      </c>
      <c r="O53" s="377"/>
      <c r="P53" s="377"/>
      <c r="Q53" s="400" t="s">
        <v>749</v>
      </c>
    </row>
    <row r="54" ht="12.75" customHeight="1">
      <c r="A54" s="383"/>
      <c r="B54" s="377"/>
      <c r="C54" s="377"/>
      <c r="D54" s="377"/>
      <c r="E54" s="377"/>
      <c r="F54" s="377"/>
      <c r="G54" s="377"/>
      <c r="H54" s="383"/>
      <c r="I54" s="383"/>
      <c r="J54" s="383"/>
      <c r="K54" s="383"/>
      <c r="L54" s="383"/>
      <c r="M54" s="377"/>
      <c r="N54" s="377"/>
      <c r="O54" s="377"/>
      <c r="P54" s="377"/>
      <c r="Q54" s="232"/>
    </row>
    <row r="55" ht="15.0" customHeight="1">
      <c r="A55" s="383"/>
      <c r="B55" s="377"/>
      <c r="C55" s="371" t="s">
        <v>750</v>
      </c>
      <c r="D55" s="371" t="s">
        <v>40</v>
      </c>
      <c r="E55" s="371" t="s">
        <v>751</v>
      </c>
      <c r="F55" s="371" t="s">
        <v>24</v>
      </c>
      <c r="G55" s="377"/>
      <c r="H55" s="385">
        <v>1.0</v>
      </c>
      <c r="I55" s="383"/>
      <c r="J55" s="383"/>
      <c r="K55" s="387">
        <v>9750.0</v>
      </c>
      <c r="L55" s="383"/>
      <c r="M55" s="377"/>
      <c r="N55" s="377"/>
      <c r="O55" s="377"/>
      <c r="P55" s="377"/>
      <c r="Q55" s="232"/>
    </row>
    <row r="56" ht="15.0" customHeight="1">
      <c r="A56" s="383"/>
      <c r="B56" s="377"/>
      <c r="C56" s="377"/>
      <c r="D56" s="371" t="s">
        <v>40</v>
      </c>
      <c r="E56" s="371" t="s">
        <v>752</v>
      </c>
      <c r="F56" s="371" t="s">
        <v>46</v>
      </c>
      <c r="G56" s="377"/>
      <c r="H56" s="383"/>
      <c r="I56" s="387">
        <v>6745.0</v>
      </c>
      <c r="J56" s="383"/>
      <c r="K56" s="383"/>
      <c r="L56" s="383"/>
      <c r="M56" s="377"/>
      <c r="N56" s="377"/>
      <c r="O56" s="377"/>
      <c r="P56" s="377"/>
      <c r="Q56" s="232"/>
    </row>
    <row r="57" ht="15.0" customHeight="1">
      <c r="A57" s="383"/>
      <c r="B57" s="377"/>
      <c r="C57" s="377"/>
      <c r="D57" s="371" t="s">
        <v>634</v>
      </c>
      <c r="E57" s="377"/>
      <c r="F57" s="371" t="s">
        <v>46</v>
      </c>
      <c r="G57" s="377"/>
      <c r="H57" s="383"/>
      <c r="I57" s="383"/>
      <c r="J57" s="383"/>
      <c r="K57" s="383"/>
      <c r="L57" s="383"/>
      <c r="M57" s="377"/>
      <c r="N57" s="377"/>
      <c r="O57" s="377"/>
      <c r="P57" s="377"/>
      <c r="Q57" s="232"/>
    </row>
    <row r="58" ht="15.0" customHeight="1">
      <c r="A58" s="383"/>
      <c r="B58" s="377"/>
      <c r="C58" s="377"/>
      <c r="D58" s="371" t="s">
        <v>40</v>
      </c>
      <c r="E58" s="431" t="s">
        <v>753</v>
      </c>
      <c r="F58" s="371" t="s">
        <v>24</v>
      </c>
      <c r="G58" s="377"/>
      <c r="H58" s="383"/>
      <c r="I58" s="383"/>
      <c r="J58" s="387">
        <v>7772.0</v>
      </c>
      <c r="K58" s="383"/>
      <c r="L58" s="383"/>
      <c r="M58" s="377"/>
      <c r="N58" s="377"/>
      <c r="O58" s="377"/>
      <c r="P58" s="377"/>
      <c r="Q58" s="232"/>
    </row>
    <row r="59" ht="15.0" customHeight="1">
      <c r="A59" s="385"/>
      <c r="B59" s="377"/>
      <c r="C59" s="377"/>
      <c r="D59" s="371" t="s">
        <v>40</v>
      </c>
      <c r="E59" s="431" t="s">
        <v>754</v>
      </c>
      <c r="F59" s="371" t="s">
        <v>24</v>
      </c>
      <c r="G59" s="377"/>
      <c r="H59" s="385"/>
      <c r="I59" s="387"/>
      <c r="J59" s="387"/>
      <c r="K59" s="387">
        <v>6696.63</v>
      </c>
      <c r="L59" s="387"/>
      <c r="M59" s="377"/>
      <c r="N59" s="377"/>
      <c r="O59" s="377"/>
      <c r="P59" s="377"/>
      <c r="Q59" s="232"/>
    </row>
    <row r="60" ht="15.0" customHeight="1">
      <c r="A60" s="389"/>
      <c r="B60" s="377"/>
      <c r="C60" s="377"/>
      <c r="D60" s="379" t="s">
        <v>40</v>
      </c>
      <c r="E60" s="465" t="s">
        <v>755</v>
      </c>
      <c r="F60" s="379" t="s">
        <v>24</v>
      </c>
      <c r="G60" s="377"/>
      <c r="H60" s="389">
        <v>0.0</v>
      </c>
      <c r="I60" s="398"/>
      <c r="J60" s="398"/>
      <c r="K60" s="398">
        <v>6160.0</v>
      </c>
      <c r="L60" s="429"/>
      <c r="M60" s="377"/>
      <c r="N60" s="377"/>
      <c r="O60" s="377"/>
      <c r="P60" s="377"/>
      <c r="Q60" s="400"/>
    </row>
    <row r="61" ht="15.0" customHeight="1">
      <c r="A61" s="389"/>
      <c r="B61" s="377"/>
      <c r="C61" s="379" t="s">
        <v>639</v>
      </c>
      <c r="D61" s="379" t="s">
        <v>40</v>
      </c>
      <c r="E61" s="379" t="s">
        <v>756</v>
      </c>
      <c r="F61" s="379" t="s">
        <v>24</v>
      </c>
      <c r="G61" s="377"/>
      <c r="H61" s="389">
        <v>1.0</v>
      </c>
      <c r="I61" s="398"/>
      <c r="J61" s="398"/>
      <c r="K61" s="398">
        <v>7520.97</v>
      </c>
      <c r="L61" s="398">
        <f>K61*H61</f>
        <v>7520.97</v>
      </c>
      <c r="M61" s="377"/>
      <c r="N61" s="379" t="s">
        <v>757</v>
      </c>
      <c r="O61" s="377"/>
      <c r="P61" s="377"/>
      <c r="Q61" s="400" t="s">
        <v>639</v>
      </c>
    </row>
    <row r="62" ht="15.0" customHeight="1">
      <c r="A62" s="401"/>
      <c r="B62" s="377"/>
      <c r="C62" s="377"/>
      <c r="D62" s="381" t="s">
        <v>758</v>
      </c>
      <c r="E62" s="381" t="s">
        <v>759</v>
      </c>
      <c r="F62" s="381" t="s">
        <v>46</v>
      </c>
      <c r="G62" s="381" t="s">
        <v>760</v>
      </c>
      <c r="H62" s="401"/>
      <c r="I62" s="402"/>
      <c r="J62" s="402"/>
      <c r="K62" s="404">
        <v>5894.92</v>
      </c>
      <c r="L62" s="402"/>
      <c r="M62" s="377"/>
      <c r="N62" s="381" t="s">
        <v>761</v>
      </c>
      <c r="O62" s="377"/>
      <c r="P62" s="377"/>
      <c r="Q62" s="406"/>
    </row>
    <row r="63" ht="15.0" customHeight="1">
      <c r="A63" s="401"/>
      <c r="B63" s="377"/>
      <c r="C63" s="377"/>
      <c r="D63" s="381" t="s">
        <v>758</v>
      </c>
      <c r="E63" s="381" t="s">
        <v>762</v>
      </c>
      <c r="F63" s="381" t="s">
        <v>46</v>
      </c>
      <c r="G63" s="381" t="s">
        <v>763</v>
      </c>
      <c r="H63" s="401"/>
      <c r="I63" s="402"/>
      <c r="J63" s="402"/>
      <c r="K63" s="404">
        <v>722.04</v>
      </c>
      <c r="L63" s="402"/>
      <c r="M63" s="377"/>
      <c r="N63" s="381" t="s">
        <v>764</v>
      </c>
      <c r="O63" s="377"/>
      <c r="P63" s="377"/>
      <c r="Q63" s="406"/>
    </row>
    <row r="64" ht="12.75" customHeight="1">
      <c r="A64" s="383"/>
      <c r="B64" s="377"/>
      <c r="C64" s="377"/>
      <c r="D64" s="377"/>
      <c r="E64" s="377"/>
      <c r="F64" s="377"/>
      <c r="G64" s="377"/>
      <c r="H64" s="383"/>
      <c r="I64" s="383"/>
      <c r="J64" s="383"/>
      <c r="K64" s="383"/>
      <c r="L64" s="383"/>
      <c r="M64" s="377"/>
      <c r="N64" s="377"/>
      <c r="O64" s="377"/>
      <c r="P64" s="377"/>
      <c r="Q64" s="232"/>
    </row>
    <row r="65" ht="15.0" customHeight="1">
      <c r="A65" s="383"/>
      <c r="B65" s="377"/>
      <c r="C65" s="371" t="s">
        <v>765</v>
      </c>
      <c r="D65" s="371" t="s">
        <v>40</v>
      </c>
      <c r="E65" s="371" t="s">
        <v>766</v>
      </c>
      <c r="F65" s="371" t="s">
        <v>46</v>
      </c>
      <c r="G65" s="371" t="s">
        <v>767</v>
      </c>
      <c r="H65" s="383"/>
      <c r="I65" s="387">
        <v>1913.47</v>
      </c>
      <c r="J65" s="383"/>
      <c r="K65" s="383"/>
      <c r="L65" s="383"/>
      <c r="M65" s="377"/>
      <c r="N65" s="377"/>
      <c r="O65" s="377"/>
      <c r="P65" s="377"/>
      <c r="Q65" s="232"/>
    </row>
    <row r="66" ht="15.0" customHeight="1">
      <c r="A66" s="383"/>
      <c r="B66" s="377"/>
      <c r="C66" s="377"/>
      <c r="D66" s="371" t="s">
        <v>634</v>
      </c>
      <c r="E66" s="377"/>
      <c r="F66" s="371" t="s">
        <v>46</v>
      </c>
      <c r="G66" s="377"/>
      <c r="H66" s="383"/>
      <c r="I66" s="383"/>
      <c r="J66" s="383"/>
      <c r="K66" s="383"/>
      <c r="L66" s="383"/>
      <c r="M66" s="377"/>
      <c r="N66" s="377"/>
      <c r="O66" s="377"/>
      <c r="P66" s="377"/>
      <c r="Q66" s="232"/>
    </row>
    <row r="67" ht="15.0" customHeight="1">
      <c r="A67" s="383"/>
      <c r="B67" s="377"/>
      <c r="C67" s="377"/>
      <c r="D67" s="371" t="s">
        <v>40</v>
      </c>
      <c r="E67" s="431" t="s">
        <v>768</v>
      </c>
      <c r="F67" s="371" t="s">
        <v>24</v>
      </c>
      <c r="G67" s="377"/>
      <c r="H67" s="383"/>
      <c r="I67" s="383"/>
      <c r="J67" s="387">
        <v>1275.0</v>
      </c>
      <c r="K67" s="383"/>
      <c r="L67" s="383"/>
      <c r="M67" s="377"/>
      <c r="N67" s="377"/>
      <c r="O67" s="377"/>
      <c r="P67" s="377"/>
      <c r="Q67" s="232"/>
    </row>
    <row r="68" ht="15.0" customHeight="1">
      <c r="A68" s="383"/>
      <c r="B68" s="377"/>
      <c r="C68" s="377"/>
      <c r="D68" s="371" t="s">
        <v>40</v>
      </c>
      <c r="E68" s="431" t="s">
        <v>769</v>
      </c>
      <c r="F68" s="371" t="s">
        <v>24</v>
      </c>
      <c r="G68" s="377"/>
      <c r="H68" s="383"/>
      <c r="I68" s="383"/>
      <c r="J68" s="387">
        <v>4053.5</v>
      </c>
      <c r="K68" s="383"/>
      <c r="L68" s="383"/>
      <c r="M68" s="377"/>
      <c r="N68" s="377"/>
      <c r="O68" s="377"/>
      <c r="P68" s="377"/>
      <c r="Q68" s="232"/>
    </row>
    <row r="69" ht="15.0" customHeight="1">
      <c r="A69" s="389"/>
      <c r="B69" s="377"/>
      <c r="C69" s="379" t="s">
        <v>639</v>
      </c>
      <c r="D69" s="379" t="s">
        <v>40</v>
      </c>
      <c r="E69" s="465" t="s">
        <v>770</v>
      </c>
      <c r="F69" s="379" t="s">
        <v>24</v>
      </c>
      <c r="G69" s="377"/>
      <c r="H69" s="389">
        <v>1.0</v>
      </c>
      <c r="I69" s="398"/>
      <c r="J69" s="398"/>
      <c r="K69" s="398">
        <v>1574.5</v>
      </c>
      <c r="L69" s="429">
        <f>K69*H69</f>
        <v>1574.5</v>
      </c>
      <c r="M69" s="377"/>
      <c r="N69" s="377"/>
      <c r="O69" s="377"/>
      <c r="P69" s="377"/>
      <c r="Q69" s="400" t="s">
        <v>639</v>
      </c>
    </row>
    <row r="70" ht="15.0" customHeight="1">
      <c r="A70" s="401"/>
      <c r="B70" s="377"/>
      <c r="C70" s="377"/>
      <c r="D70" s="381" t="s">
        <v>46</v>
      </c>
      <c r="E70" s="381" t="s">
        <v>771</v>
      </c>
      <c r="F70" s="381" t="s">
        <v>46</v>
      </c>
      <c r="G70" s="381" t="s">
        <v>772</v>
      </c>
      <c r="H70" s="401"/>
      <c r="I70" s="402"/>
      <c r="J70" s="402"/>
      <c r="K70" s="404">
        <v>1138.52</v>
      </c>
      <c r="L70" s="402"/>
      <c r="M70" s="377"/>
      <c r="N70" s="377"/>
      <c r="O70" s="377"/>
      <c r="P70" s="377"/>
      <c r="Q70" s="406"/>
    </row>
    <row r="71" ht="12.75" customHeight="1">
      <c r="A71" s="383"/>
      <c r="B71" s="377"/>
      <c r="C71" s="377"/>
      <c r="D71" s="377"/>
      <c r="E71" s="377"/>
      <c r="F71" s="377"/>
      <c r="G71" s="377"/>
      <c r="H71" s="383"/>
      <c r="I71" s="383"/>
      <c r="J71" s="383"/>
      <c r="K71" s="383"/>
      <c r="L71" s="383"/>
      <c r="M71" s="377"/>
      <c r="N71" s="377"/>
      <c r="O71" s="377"/>
      <c r="P71" s="377"/>
      <c r="Q71" s="232"/>
    </row>
    <row r="72" ht="15.0" customHeight="1">
      <c r="A72" s="383"/>
      <c r="B72" s="377"/>
      <c r="C72" s="371" t="s">
        <v>773</v>
      </c>
      <c r="D72" s="377"/>
      <c r="E72" s="377"/>
      <c r="F72" s="371" t="s">
        <v>46</v>
      </c>
      <c r="G72" s="377"/>
      <c r="H72" s="385">
        <v>2.0</v>
      </c>
      <c r="I72" s="383"/>
      <c r="J72" s="383"/>
      <c r="K72" s="387">
        <v>425.0</v>
      </c>
      <c r="L72" s="383"/>
      <c r="M72" s="377"/>
      <c r="N72" s="377"/>
      <c r="O72" s="377"/>
      <c r="P72" s="377"/>
      <c r="Q72" s="232"/>
    </row>
    <row r="73" ht="15.0" customHeight="1">
      <c r="A73" s="383"/>
      <c r="B73" s="377"/>
      <c r="C73" s="377"/>
      <c r="D73" s="371" t="s">
        <v>774</v>
      </c>
      <c r="E73" s="371" t="s">
        <v>775</v>
      </c>
      <c r="F73" s="371" t="s">
        <v>46</v>
      </c>
      <c r="G73" s="371" t="s">
        <v>776</v>
      </c>
      <c r="H73" s="385">
        <v>1.0</v>
      </c>
      <c r="I73" s="387">
        <v>208.67</v>
      </c>
      <c r="J73" s="383"/>
      <c r="K73" s="383"/>
      <c r="L73" s="383"/>
      <c r="M73" s="377"/>
      <c r="N73" s="377"/>
      <c r="O73" s="377"/>
      <c r="P73" s="377"/>
      <c r="Q73" s="232"/>
    </row>
    <row r="74" ht="15.0" customHeight="1">
      <c r="A74" s="383"/>
      <c r="B74" s="377"/>
      <c r="C74" s="377"/>
      <c r="D74" s="371" t="s">
        <v>40</v>
      </c>
      <c r="E74" s="377"/>
      <c r="F74" s="371" t="s">
        <v>24</v>
      </c>
      <c r="G74" s="377"/>
      <c r="H74" s="383"/>
      <c r="I74" s="383"/>
      <c r="J74" s="383"/>
      <c r="K74" s="383"/>
      <c r="L74" s="383"/>
      <c r="M74" s="377"/>
      <c r="N74" s="377"/>
      <c r="O74" s="377"/>
      <c r="P74" s="377"/>
      <c r="Q74" s="232"/>
    </row>
    <row r="75" ht="15.0" customHeight="1">
      <c r="A75" s="383"/>
      <c r="B75" s="377"/>
      <c r="C75" s="377"/>
      <c r="D75" s="371" t="s">
        <v>634</v>
      </c>
      <c r="E75" s="377"/>
      <c r="F75" s="371" t="s">
        <v>46</v>
      </c>
      <c r="G75" s="377"/>
      <c r="H75" s="383"/>
      <c r="I75" s="383"/>
      <c r="J75" s="383"/>
      <c r="K75" s="383"/>
      <c r="L75" s="383"/>
      <c r="M75" s="377"/>
      <c r="N75" s="377"/>
      <c r="O75" s="377"/>
      <c r="P75" s="377"/>
      <c r="Q75" s="232"/>
    </row>
    <row r="76" ht="15.0" customHeight="1">
      <c r="A76" s="383"/>
      <c r="B76" s="377"/>
      <c r="C76" s="377"/>
      <c r="D76" s="377"/>
      <c r="E76" s="371" t="s">
        <v>777</v>
      </c>
      <c r="F76" s="371" t="s">
        <v>24</v>
      </c>
      <c r="G76" s="385" t="s">
        <v>404</v>
      </c>
      <c r="H76" s="385">
        <v>2.0</v>
      </c>
      <c r="I76" s="383"/>
      <c r="J76" s="387">
        <v>387.02</v>
      </c>
      <c r="K76" s="383"/>
      <c r="L76" s="383"/>
      <c r="M76" s="377"/>
      <c r="N76" s="377"/>
      <c r="O76" s="377"/>
      <c r="P76" s="377"/>
      <c r="Q76" s="232"/>
    </row>
    <row r="77" ht="15.0" customHeight="1">
      <c r="A77" s="389"/>
      <c r="B77" s="379" t="s">
        <v>639</v>
      </c>
      <c r="C77" s="379" t="s">
        <v>639</v>
      </c>
      <c r="D77" s="379" t="s">
        <v>24</v>
      </c>
      <c r="E77" s="466" t="str">
        <f>HYPERLINK("https://us.vwr.com/store/catalog/product.jsp?catalog_number=93000-196","VWR® MiniFuge Minicentrifuge")</f>
        <v>VWR® MiniFuge Minicentrifuge</v>
      </c>
      <c r="F77" s="379" t="s">
        <v>24</v>
      </c>
      <c r="G77" s="467" t="s">
        <v>404</v>
      </c>
      <c r="H77" s="389">
        <v>2.0</v>
      </c>
      <c r="I77" s="398"/>
      <c r="J77" s="398"/>
      <c r="K77" s="398">
        <v>212.0</v>
      </c>
      <c r="L77" s="429">
        <f>K77*H77</f>
        <v>424</v>
      </c>
      <c r="M77" s="377"/>
      <c r="N77" s="377"/>
      <c r="O77" s="377"/>
      <c r="P77" s="377"/>
      <c r="Q77" s="400" t="s">
        <v>639</v>
      </c>
    </row>
    <row r="78" ht="15.0" customHeight="1">
      <c r="A78" s="401"/>
      <c r="B78" s="377"/>
      <c r="C78" s="377"/>
      <c r="D78" s="381" t="s">
        <v>46</v>
      </c>
      <c r="E78" s="381" t="s">
        <v>778</v>
      </c>
      <c r="F78" s="381" t="s">
        <v>46</v>
      </c>
      <c r="G78" s="381" t="s">
        <v>779</v>
      </c>
      <c r="H78" s="401"/>
      <c r="I78" s="402"/>
      <c r="J78" s="402"/>
      <c r="K78" s="404">
        <v>211.31</v>
      </c>
      <c r="L78" s="402"/>
      <c r="M78" s="377"/>
      <c r="N78" s="377"/>
      <c r="O78" s="377"/>
      <c r="P78" s="377"/>
      <c r="Q78" s="406"/>
    </row>
    <row r="79" ht="15.0" customHeight="1">
      <c r="A79" s="383"/>
      <c r="B79" s="377"/>
      <c r="C79" s="377"/>
      <c r="D79" s="377"/>
      <c r="E79" s="371"/>
      <c r="F79" s="377"/>
      <c r="G79" s="377"/>
      <c r="H79" s="383"/>
      <c r="I79" s="383"/>
      <c r="J79" s="383"/>
      <c r="K79" s="383"/>
      <c r="L79" s="383"/>
      <c r="M79" s="377"/>
      <c r="N79" s="377"/>
      <c r="O79" s="377"/>
      <c r="P79" s="377"/>
      <c r="Q79" s="232"/>
    </row>
    <row r="80" ht="15.0" customHeight="1">
      <c r="A80" s="383"/>
      <c r="B80" s="377"/>
      <c r="C80" s="371" t="s">
        <v>780</v>
      </c>
      <c r="D80" s="371" t="s">
        <v>781</v>
      </c>
      <c r="E80" s="371" t="s">
        <v>780</v>
      </c>
      <c r="F80" s="371" t="s">
        <v>781</v>
      </c>
      <c r="G80" s="371" t="s">
        <v>782</v>
      </c>
      <c r="H80" s="385">
        <v>1.0</v>
      </c>
      <c r="I80" s="383"/>
      <c r="J80" s="383"/>
      <c r="K80" s="387">
        <v>9900.0</v>
      </c>
      <c r="L80" s="387">
        <f>K80*H80</f>
        <v>9900</v>
      </c>
      <c r="M80" s="377"/>
      <c r="N80" s="371" t="s">
        <v>783</v>
      </c>
      <c r="O80" s="377"/>
      <c r="P80" s="377"/>
      <c r="Q80" s="232"/>
    </row>
    <row r="81" ht="12.75" customHeight="1">
      <c r="A81" s="383"/>
      <c r="B81" s="377"/>
      <c r="C81" s="377"/>
      <c r="D81" s="377"/>
      <c r="E81" s="377"/>
      <c r="F81" s="377"/>
      <c r="G81" s="377"/>
      <c r="H81" s="383"/>
      <c r="I81" s="383"/>
      <c r="J81" s="383"/>
      <c r="K81" s="383"/>
      <c r="L81" s="383"/>
      <c r="M81" s="377"/>
      <c r="N81" s="377"/>
      <c r="O81" s="377"/>
      <c r="P81" s="377"/>
      <c r="Q81" s="232"/>
    </row>
    <row r="82" ht="12.75" customHeight="1">
      <c r="A82" s="383"/>
      <c r="B82" s="377"/>
      <c r="C82" s="377"/>
      <c r="D82" s="377"/>
      <c r="E82" s="377"/>
      <c r="F82" s="377"/>
      <c r="G82" s="377"/>
      <c r="H82" s="383"/>
      <c r="I82" s="383"/>
      <c r="J82" s="383"/>
      <c r="K82" s="383"/>
      <c r="L82" s="383"/>
      <c r="M82" s="377"/>
      <c r="N82" s="377"/>
      <c r="O82" s="377"/>
      <c r="P82" s="377"/>
      <c r="Q82" s="232"/>
    </row>
    <row r="83" ht="12.75" customHeight="1">
      <c r="A83" s="383"/>
      <c r="B83" s="377"/>
      <c r="C83" s="377"/>
      <c r="D83" s="377"/>
      <c r="E83" s="377"/>
      <c r="F83" s="377"/>
      <c r="G83" s="377"/>
      <c r="H83" s="383"/>
      <c r="I83" s="383"/>
      <c r="J83" s="383"/>
      <c r="K83" s="383"/>
      <c r="L83" s="383"/>
      <c r="M83" s="377"/>
      <c r="N83" s="377"/>
      <c r="O83" s="377"/>
      <c r="P83" s="377"/>
      <c r="Q83" s="232"/>
    </row>
    <row r="84" ht="12.75" customHeight="1">
      <c r="A84" s="383"/>
      <c r="B84" s="377"/>
      <c r="C84" s="377"/>
      <c r="D84" s="377"/>
      <c r="E84" s="377"/>
      <c r="F84" s="377"/>
      <c r="G84" s="377"/>
      <c r="H84" s="383"/>
      <c r="I84" s="383"/>
      <c r="J84" s="383"/>
      <c r="K84" s="383"/>
      <c r="L84" s="383"/>
      <c r="M84" s="377"/>
      <c r="N84" s="377"/>
      <c r="O84" s="377"/>
      <c r="P84" s="377"/>
      <c r="Q84" s="232"/>
    </row>
    <row r="85" ht="15.0" customHeight="1">
      <c r="A85" s="383"/>
      <c r="B85" s="377"/>
      <c r="C85" s="371" t="s">
        <v>784</v>
      </c>
      <c r="D85" s="371" t="s">
        <v>785</v>
      </c>
      <c r="E85" s="371" t="s">
        <v>786</v>
      </c>
      <c r="F85" s="371" t="s">
        <v>24</v>
      </c>
      <c r="G85" s="377"/>
      <c r="H85" s="385">
        <v>1.0</v>
      </c>
      <c r="I85" s="383"/>
      <c r="J85" s="383"/>
      <c r="K85" s="387">
        <v>5105.0</v>
      </c>
      <c r="L85" s="383"/>
      <c r="M85" s="377"/>
      <c r="N85" s="377"/>
      <c r="O85" s="377"/>
      <c r="P85" s="377"/>
      <c r="Q85" s="232"/>
    </row>
    <row r="86" ht="15.0" customHeight="1">
      <c r="A86" s="383"/>
      <c r="B86" s="377"/>
      <c r="C86" s="377"/>
      <c r="D86" s="371" t="s">
        <v>46</v>
      </c>
      <c r="E86" s="371" t="s">
        <v>787</v>
      </c>
      <c r="F86" s="371" t="s">
        <v>46</v>
      </c>
      <c r="G86" s="371" t="s">
        <v>788</v>
      </c>
      <c r="H86" s="385">
        <v>1.0</v>
      </c>
      <c r="I86" s="387">
        <v>974.84</v>
      </c>
      <c r="J86" s="383"/>
      <c r="K86" s="383"/>
      <c r="L86" s="383"/>
      <c r="M86" s="377"/>
      <c r="N86" s="377"/>
      <c r="O86" s="377"/>
      <c r="P86" s="377"/>
      <c r="Q86" s="232"/>
    </row>
    <row r="87" ht="15.0" customHeight="1">
      <c r="A87" s="383"/>
      <c r="B87" s="377"/>
      <c r="C87" s="377"/>
      <c r="D87" s="371" t="s">
        <v>789</v>
      </c>
      <c r="E87" s="431" t="s">
        <v>790</v>
      </c>
      <c r="F87" s="371" t="s">
        <v>46</v>
      </c>
      <c r="G87" s="385" t="s">
        <v>791</v>
      </c>
      <c r="H87" s="383"/>
      <c r="I87" s="383"/>
      <c r="J87" s="387">
        <v>826.03</v>
      </c>
      <c r="K87" s="383"/>
      <c r="L87" s="383"/>
      <c r="M87" s="377"/>
      <c r="N87" s="377"/>
      <c r="O87" s="377"/>
      <c r="P87" s="377"/>
      <c r="Q87" s="232"/>
    </row>
    <row r="88" ht="30.0" customHeight="1">
      <c r="A88" s="389"/>
      <c r="B88" s="377"/>
      <c r="C88" s="377"/>
      <c r="D88" s="379" t="s">
        <v>792</v>
      </c>
      <c r="E88" s="466" t="str">
        <f>HYPERLINK("https://us.vwr.com/store/catalog/product.jsp?catalog_number=97035-674","ML Series Precision Balances, METTLER TOLEDO®, 820g, 0.01g Readability")</f>
        <v>ML Series Precision Balances, METTLER TOLEDO®, 820g, 0.01g Readability</v>
      </c>
      <c r="F88" s="379" t="s">
        <v>24</v>
      </c>
      <c r="G88" s="468" t="s">
        <v>793</v>
      </c>
      <c r="H88" s="389">
        <v>1.0</v>
      </c>
      <c r="I88" s="398"/>
      <c r="J88" s="398"/>
      <c r="K88" s="429">
        <v>902.5</v>
      </c>
      <c r="L88" s="398"/>
      <c r="M88" s="377"/>
      <c r="N88" s="377"/>
      <c r="O88" s="377"/>
      <c r="P88" s="377"/>
      <c r="Q88" s="400"/>
    </row>
    <row r="89" ht="15.0" customHeight="1">
      <c r="A89" s="455"/>
      <c r="B89" s="377"/>
      <c r="C89" s="377"/>
      <c r="D89" s="457" t="s">
        <v>792</v>
      </c>
      <c r="E89" s="457" t="s">
        <v>794</v>
      </c>
      <c r="F89" s="457" t="s">
        <v>46</v>
      </c>
      <c r="G89" s="457" t="s">
        <v>795</v>
      </c>
      <c r="H89" s="455"/>
      <c r="I89" s="459"/>
      <c r="J89" s="459"/>
      <c r="K89" s="460">
        <v>1099.08</v>
      </c>
      <c r="L89" s="459"/>
      <c r="M89" s="377"/>
      <c r="N89" s="457" t="s">
        <v>796</v>
      </c>
      <c r="O89" s="377"/>
      <c r="P89" s="377"/>
      <c r="Q89" s="461"/>
    </row>
    <row r="90" ht="15.0" customHeight="1">
      <c r="A90" s="401"/>
      <c r="B90" s="381" t="s">
        <v>639</v>
      </c>
      <c r="C90" s="381" t="s">
        <v>639</v>
      </c>
      <c r="D90" s="381" t="s">
        <v>792</v>
      </c>
      <c r="E90" s="381" t="s">
        <v>797</v>
      </c>
      <c r="F90" s="381" t="s">
        <v>46</v>
      </c>
      <c r="G90" s="381" t="s">
        <v>417</v>
      </c>
      <c r="H90" s="401">
        <v>1.0</v>
      </c>
      <c r="I90" s="402"/>
      <c r="J90" s="402"/>
      <c r="K90" s="402">
        <v>794.82</v>
      </c>
      <c r="L90" s="469">
        <f>K90*H90</f>
        <v>794.82</v>
      </c>
      <c r="M90" s="377"/>
      <c r="N90" s="377"/>
      <c r="O90" s="377"/>
      <c r="P90" s="377"/>
      <c r="Q90" s="406" t="s">
        <v>639</v>
      </c>
    </row>
    <row r="91" ht="12.75" customHeight="1">
      <c r="A91" s="383"/>
      <c r="B91" s="377"/>
      <c r="C91" s="377"/>
      <c r="D91" s="377"/>
      <c r="E91" s="377"/>
      <c r="F91" s="377"/>
      <c r="G91" s="377"/>
      <c r="H91" s="383"/>
      <c r="I91" s="383"/>
      <c r="J91" s="383"/>
      <c r="K91" s="383"/>
      <c r="L91" s="383"/>
      <c r="M91" s="377"/>
      <c r="N91" s="377"/>
      <c r="O91" s="377"/>
      <c r="P91" s="377"/>
      <c r="Q91" s="232"/>
    </row>
    <row r="92" ht="15.0" customHeight="1">
      <c r="A92" s="385">
        <v>1.0</v>
      </c>
      <c r="B92" s="377"/>
      <c r="C92" s="371" t="s">
        <v>798</v>
      </c>
      <c r="D92" s="371" t="s">
        <v>799</v>
      </c>
      <c r="E92" s="371" t="s">
        <v>800</v>
      </c>
      <c r="F92" s="371" t="s">
        <v>46</v>
      </c>
      <c r="G92" s="377"/>
      <c r="H92" s="385">
        <v>1.0</v>
      </c>
      <c r="I92" s="383"/>
      <c r="J92" s="383"/>
      <c r="K92" s="387">
        <f>(3600+950)+40</f>
        <v>4590</v>
      </c>
      <c r="L92" s="383"/>
      <c r="M92" s="377"/>
      <c r="N92" s="371" t="s">
        <v>801</v>
      </c>
      <c r="O92" s="377"/>
      <c r="P92" s="377"/>
      <c r="Q92" s="232"/>
    </row>
    <row r="93" ht="15.0" customHeight="1">
      <c r="A93" s="383"/>
      <c r="B93" s="377"/>
      <c r="C93" s="377"/>
      <c r="D93" s="371" t="s">
        <v>799</v>
      </c>
      <c r="E93" s="371" t="s">
        <v>802</v>
      </c>
      <c r="F93" s="371" t="s">
        <v>803</v>
      </c>
      <c r="G93" s="377"/>
      <c r="H93" s="385">
        <v>1.0</v>
      </c>
      <c r="I93" s="387">
        <v>5253.0</v>
      </c>
      <c r="J93" s="383"/>
      <c r="K93" s="383"/>
      <c r="L93" s="383"/>
      <c r="M93" s="377"/>
      <c r="N93" s="377"/>
      <c r="O93" s="377"/>
      <c r="P93" s="377"/>
      <c r="Q93" s="232"/>
    </row>
    <row r="94" ht="15.0" customHeight="1">
      <c r="A94" s="401"/>
      <c r="B94" s="377"/>
      <c r="C94" s="377"/>
      <c r="D94" s="381" t="s">
        <v>804</v>
      </c>
      <c r="E94" s="381" t="s">
        <v>805</v>
      </c>
      <c r="F94" s="381" t="s">
        <v>46</v>
      </c>
      <c r="G94" s="381" t="s">
        <v>806</v>
      </c>
      <c r="H94" s="401"/>
      <c r="I94" s="402"/>
      <c r="J94" s="402"/>
      <c r="K94" s="404">
        <v>3922.24</v>
      </c>
      <c r="L94" s="402"/>
      <c r="M94" s="377"/>
      <c r="N94" s="377"/>
      <c r="O94" s="377"/>
      <c r="P94" s="377"/>
      <c r="Q94" s="406"/>
    </row>
    <row r="95" ht="12.75" customHeight="1">
      <c r="A95" s="383"/>
      <c r="B95" s="377"/>
      <c r="C95" s="377"/>
      <c r="D95" s="377"/>
      <c r="E95" s="377"/>
      <c r="F95" s="377"/>
      <c r="G95" s="377"/>
      <c r="H95" s="383"/>
      <c r="I95" s="383"/>
      <c r="J95" s="383"/>
      <c r="K95" s="383"/>
      <c r="L95" s="383"/>
      <c r="M95" s="377"/>
      <c r="N95" s="377"/>
      <c r="O95" s="377"/>
      <c r="P95" s="377"/>
      <c r="Q95" s="232"/>
    </row>
    <row r="96" ht="12.75" customHeight="1">
      <c r="A96" s="383"/>
      <c r="B96" s="377"/>
      <c r="C96" s="377"/>
      <c r="D96" s="377"/>
      <c r="E96" s="377"/>
      <c r="F96" s="377"/>
      <c r="G96" s="377"/>
      <c r="H96" s="383"/>
      <c r="I96" s="383"/>
      <c r="J96" s="383"/>
      <c r="K96" s="383"/>
      <c r="L96" s="383"/>
      <c r="M96" s="377"/>
      <c r="N96" s="377"/>
      <c r="O96" s="377"/>
      <c r="P96" s="377"/>
      <c r="Q96" s="232"/>
    </row>
    <row r="97" ht="15.0" customHeight="1">
      <c r="A97" s="383"/>
      <c r="B97" s="377"/>
      <c r="C97" s="371" t="s">
        <v>807</v>
      </c>
      <c r="D97" s="377"/>
      <c r="E97" s="371" t="s">
        <v>808</v>
      </c>
      <c r="F97" s="371" t="s">
        <v>24</v>
      </c>
      <c r="G97" s="377"/>
      <c r="H97" s="385">
        <v>2.0</v>
      </c>
      <c r="I97" s="383"/>
      <c r="J97" s="383"/>
      <c r="K97" s="387">
        <v>800.0</v>
      </c>
      <c r="L97" s="383"/>
      <c r="M97" s="377"/>
      <c r="N97" s="377"/>
      <c r="O97" s="377"/>
      <c r="P97" s="377"/>
      <c r="Q97" s="232"/>
    </row>
    <row r="98" ht="15.0" customHeight="1">
      <c r="A98" s="383"/>
      <c r="B98" s="377"/>
      <c r="C98" s="377"/>
      <c r="D98" s="371" t="s">
        <v>40</v>
      </c>
      <c r="E98" s="371" t="s">
        <v>809</v>
      </c>
      <c r="F98" s="371" t="s">
        <v>46</v>
      </c>
      <c r="G98" s="377"/>
      <c r="H98" s="385">
        <v>1.0</v>
      </c>
      <c r="I98" s="387">
        <v>613.93</v>
      </c>
      <c r="J98" s="383"/>
      <c r="K98" s="383"/>
      <c r="L98" s="383"/>
      <c r="M98" s="377"/>
      <c r="N98" s="377"/>
      <c r="O98" s="377"/>
      <c r="P98" s="377"/>
      <c r="Q98" s="232"/>
    </row>
    <row r="99" ht="15.0" customHeight="1">
      <c r="A99" s="389"/>
      <c r="B99" s="377"/>
      <c r="C99" s="379" t="s">
        <v>639</v>
      </c>
      <c r="D99" s="379" t="s">
        <v>40</v>
      </c>
      <c r="E99" s="379" t="s">
        <v>810</v>
      </c>
      <c r="F99" s="379" t="s">
        <v>24</v>
      </c>
      <c r="G99" s="377"/>
      <c r="H99" s="389">
        <v>2.0</v>
      </c>
      <c r="I99" s="398"/>
      <c r="J99" s="398"/>
      <c r="K99" s="398">
        <v>535.0</v>
      </c>
      <c r="L99" s="398">
        <f>K99*H99</f>
        <v>1070</v>
      </c>
      <c r="M99" s="377"/>
      <c r="N99" s="379" t="s">
        <v>811</v>
      </c>
      <c r="O99" s="377"/>
      <c r="P99" s="377"/>
      <c r="Q99" s="400" t="s">
        <v>639</v>
      </c>
    </row>
    <row r="100" ht="15.0" customHeight="1">
      <c r="A100" s="401"/>
      <c r="B100" s="377"/>
      <c r="C100" s="377"/>
      <c r="D100" s="381" t="s">
        <v>40</v>
      </c>
      <c r="E100" s="381" t="s">
        <v>812</v>
      </c>
      <c r="F100" s="381" t="s">
        <v>46</v>
      </c>
      <c r="G100" s="381" t="s">
        <v>813</v>
      </c>
      <c r="H100" s="401">
        <v>2.0</v>
      </c>
      <c r="I100" s="402"/>
      <c r="J100" s="402"/>
      <c r="K100" s="404">
        <v>510.96</v>
      </c>
      <c r="L100" s="402"/>
      <c r="M100" s="377"/>
      <c r="N100" s="377"/>
      <c r="O100" s="377"/>
      <c r="P100" s="377"/>
      <c r="Q100" s="406"/>
    </row>
    <row r="101" ht="15.0" customHeight="1">
      <c r="A101" s="401"/>
      <c r="B101" s="377"/>
      <c r="C101" s="377"/>
      <c r="D101" s="381" t="s">
        <v>814</v>
      </c>
      <c r="E101" s="381" t="s">
        <v>815</v>
      </c>
      <c r="F101" s="381" t="s">
        <v>46</v>
      </c>
      <c r="G101" s="381" t="s">
        <v>816</v>
      </c>
      <c r="H101" s="401"/>
      <c r="I101" s="402"/>
      <c r="J101" s="402"/>
      <c r="K101" s="404">
        <v>1063.52</v>
      </c>
      <c r="L101" s="402"/>
      <c r="M101" s="377"/>
      <c r="N101" s="377"/>
      <c r="O101" s="377"/>
      <c r="P101" s="377"/>
      <c r="Q101" s="406"/>
    </row>
    <row r="102" ht="15.0" customHeight="1">
      <c r="A102" s="401"/>
      <c r="B102" s="377"/>
      <c r="C102" s="377"/>
      <c r="D102" s="381" t="s">
        <v>46</v>
      </c>
      <c r="E102" s="381" t="s">
        <v>817</v>
      </c>
      <c r="F102" s="381" t="s">
        <v>46</v>
      </c>
      <c r="G102" s="381"/>
      <c r="H102" s="401">
        <v>2.0</v>
      </c>
      <c r="I102" s="402"/>
      <c r="J102" s="402"/>
      <c r="K102" s="404">
        <v>383.58</v>
      </c>
      <c r="L102" s="402"/>
      <c r="M102" s="377"/>
      <c r="N102" s="377"/>
      <c r="O102" s="377"/>
      <c r="P102" s="377"/>
      <c r="Q102" s="406"/>
    </row>
    <row r="103" ht="12.75" customHeight="1">
      <c r="A103" s="383"/>
      <c r="B103" s="377"/>
      <c r="C103" s="377"/>
      <c r="D103" s="377"/>
      <c r="E103" s="377"/>
      <c r="F103" s="377"/>
      <c r="G103" s="377"/>
      <c r="H103" s="383"/>
      <c r="I103" s="383"/>
      <c r="J103" s="383"/>
      <c r="K103" s="383"/>
      <c r="L103" s="383"/>
      <c r="M103" s="377"/>
      <c r="N103" s="377"/>
      <c r="O103" s="377"/>
      <c r="P103" s="377"/>
      <c r="Q103" s="232"/>
    </row>
    <row r="104" ht="15.0" customHeight="1">
      <c r="A104" s="383"/>
      <c r="B104" s="377"/>
      <c r="C104" s="371" t="s">
        <v>818</v>
      </c>
      <c r="D104" s="371" t="s">
        <v>40</v>
      </c>
      <c r="E104" s="371" t="s">
        <v>819</v>
      </c>
      <c r="F104" s="371" t="s">
        <v>46</v>
      </c>
      <c r="G104" s="377"/>
      <c r="H104" s="385">
        <v>2.0</v>
      </c>
      <c r="I104" s="387">
        <v>613.93</v>
      </c>
      <c r="J104" s="383"/>
      <c r="K104" s="383"/>
      <c r="L104" s="383"/>
      <c r="M104" s="377"/>
      <c r="N104" s="377"/>
      <c r="O104" s="377"/>
      <c r="P104" s="377"/>
      <c r="Q104" s="232"/>
    </row>
    <row r="105" ht="15.0" customHeight="1">
      <c r="A105" s="389"/>
      <c r="B105" s="377"/>
      <c r="C105" s="379" t="s">
        <v>639</v>
      </c>
      <c r="D105" s="379" t="s">
        <v>40</v>
      </c>
      <c r="E105" s="379" t="s">
        <v>820</v>
      </c>
      <c r="F105" s="379" t="s">
        <v>24</v>
      </c>
      <c r="G105" s="377"/>
      <c r="H105" s="389">
        <v>2.0</v>
      </c>
      <c r="I105" s="398"/>
      <c r="J105" s="398"/>
      <c r="K105" s="398">
        <v>535.0</v>
      </c>
      <c r="L105" s="398">
        <f>K105*H105</f>
        <v>1070</v>
      </c>
      <c r="M105" s="377"/>
      <c r="N105" s="379" t="s">
        <v>811</v>
      </c>
      <c r="O105" s="377"/>
      <c r="P105" s="377"/>
      <c r="Q105" s="400" t="s">
        <v>639</v>
      </c>
    </row>
    <row r="106" ht="15.0" customHeight="1">
      <c r="A106" s="401"/>
      <c r="B106" s="377"/>
      <c r="C106" s="377"/>
      <c r="D106" s="381" t="s">
        <v>40</v>
      </c>
      <c r="E106" s="381" t="s">
        <v>821</v>
      </c>
      <c r="F106" s="381" t="s">
        <v>46</v>
      </c>
      <c r="G106" s="381" t="s">
        <v>822</v>
      </c>
      <c r="H106" s="401">
        <v>2.0</v>
      </c>
      <c r="I106" s="402"/>
      <c r="J106" s="402"/>
      <c r="K106" s="404">
        <v>510.96</v>
      </c>
      <c r="L106" s="402"/>
      <c r="M106" s="377"/>
      <c r="N106" s="377"/>
      <c r="O106" s="377"/>
      <c r="P106" s="377"/>
      <c r="Q106" s="406"/>
    </row>
    <row r="107" ht="15.0" customHeight="1">
      <c r="A107" s="401"/>
      <c r="B107" s="377"/>
      <c r="C107" s="377"/>
      <c r="D107" s="381" t="s">
        <v>814</v>
      </c>
      <c r="E107" s="381" t="s">
        <v>823</v>
      </c>
      <c r="F107" s="381" t="s">
        <v>46</v>
      </c>
      <c r="G107" s="381" t="s">
        <v>824</v>
      </c>
      <c r="H107" s="401"/>
      <c r="I107" s="402"/>
      <c r="J107" s="402"/>
      <c r="K107" s="404">
        <v>1063.52</v>
      </c>
      <c r="L107" s="402"/>
      <c r="M107" s="377"/>
      <c r="N107" s="377"/>
      <c r="O107" s="377"/>
      <c r="P107" s="377"/>
      <c r="Q107" s="406"/>
    </row>
    <row r="108" ht="15.0" customHeight="1">
      <c r="A108" s="401"/>
      <c r="B108" s="377"/>
      <c r="C108" s="377"/>
      <c r="D108" s="377"/>
      <c r="E108" s="371" t="s">
        <v>825</v>
      </c>
      <c r="F108" s="381" t="s">
        <v>46</v>
      </c>
      <c r="G108" s="381"/>
      <c r="H108" s="401">
        <v>2.0</v>
      </c>
      <c r="I108" s="402"/>
      <c r="J108" s="402"/>
      <c r="K108" s="404">
        <v>383.58</v>
      </c>
      <c r="L108" s="402"/>
      <c r="M108" s="377"/>
      <c r="N108" s="377"/>
      <c r="O108" s="377"/>
      <c r="P108" s="377"/>
      <c r="Q108" s="406"/>
    </row>
    <row r="109" ht="12.75" customHeight="1">
      <c r="A109" s="383"/>
      <c r="B109" s="377"/>
      <c r="C109" s="377"/>
      <c r="D109" s="377"/>
      <c r="E109" s="377"/>
      <c r="F109" s="377"/>
      <c r="G109" s="377"/>
      <c r="H109" s="383"/>
      <c r="I109" s="383"/>
      <c r="J109" s="383"/>
      <c r="K109" s="383"/>
      <c r="L109" s="383"/>
      <c r="M109" s="377"/>
      <c r="N109" s="377"/>
      <c r="O109" s="377"/>
      <c r="P109" s="377"/>
      <c r="Q109" s="232"/>
    </row>
    <row r="110" ht="15.0" customHeight="1">
      <c r="A110" s="383"/>
      <c r="B110" s="377"/>
      <c r="C110" s="371" t="s">
        <v>826</v>
      </c>
      <c r="D110" s="371" t="s">
        <v>40</v>
      </c>
      <c r="E110" s="377"/>
      <c r="F110" s="371" t="s">
        <v>46</v>
      </c>
      <c r="G110" s="377"/>
      <c r="H110" s="385">
        <v>1.0</v>
      </c>
      <c r="I110" s="383"/>
      <c r="J110" s="383"/>
      <c r="K110" s="383"/>
      <c r="L110" s="383"/>
      <c r="M110" s="377"/>
      <c r="N110" s="377"/>
      <c r="O110" s="377"/>
      <c r="P110" s="377"/>
      <c r="Q110" s="232"/>
    </row>
    <row r="111" ht="15.0" customHeight="1">
      <c r="A111" s="389"/>
      <c r="B111" s="377"/>
      <c r="C111" s="379" t="s">
        <v>639</v>
      </c>
      <c r="D111" s="379" t="s">
        <v>40</v>
      </c>
      <c r="E111" s="379" t="s">
        <v>827</v>
      </c>
      <c r="F111" s="379" t="s">
        <v>24</v>
      </c>
      <c r="G111" s="377"/>
      <c r="H111" s="389">
        <v>1.0</v>
      </c>
      <c r="I111" s="398"/>
      <c r="J111" s="398"/>
      <c r="K111" s="398">
        <v>535.0</v>
      </c>
      <c r="L111" s="398">
        <f>K111*H111</f>
        <v>535</v>
      </c>
      <c r="M111" s="377"/>
      <c r="N111" s="377"/>
      <c r="O111" s="377"/>
      <c r="P111" s="377"/>
      <c r="Q111" s="400" t="s">
        <v>639</v>
      </c>
    </row>
    <row r="112" ht="15.0" customHeight="1">
      <c r="A112" s="401"/>
      <c r="B112" s="377"/>
      <c r="C112" s="377"/>
      <c r="D112" s="381" t="s">
        <v>40</v>
      </c>
      <c r="E112" s="408" t="s">
        <v>828</v>
      </c>
      <c r="F112" s="381" t="s">
        <v>46</v>
      </c>
      <c r="G112" s="408" t="s">
        <v>829</v>
      </c>
      <c r="H112" s="401">
        <v>1.0</v>
      </c>
      <c r="I112" s="402"/>
      <c r="J112" s="402"/>
      <c r="K112" s="402">
        <v>510.96</v>
      </c>
      <c r="L112" s="402"/>
      <c r="M112" s="377"/>
      <c r="N112" s="377"/>
      <c r="O112" s="377"/>
      <c r="P112" s="377"/>
      <c r="Q112" s="406"/>
    </row>
    <row r="113" ht="15.0" customHeight="1">
      <c r="A113" s="401"/>
      <c r="B113" s="377"/>
      <c r="C113" s="377"/>
      <c r="D113" s="381" t="s">
        <v>814</v>
      </c>
      <c r="E113" s="381" t="s">
        <v>830</v>
      </c>
      <c r="F113" s="381" t="s">
        <v>46</v>
      </c>
      <c r="G113" s="381" t="s">
        <v>831</v>
      </c>
      <c r="H113" s="401"/>
      <c r="I113" s="402"/>
      <c r="J113" s="402"/>
      <c r="K113" s="402">
        <v>531.76</v>
      </c>
      <c r="L113" s="402"/>
      <c r="M113" s="377"/>
      <c r="N113" s="377"/>
      <c r="O113" s="377"/>
      <c r="P113" s="377"/>
      <c r="Q113" s="406"/>
    </row>
    <row r="114" ht="15.0" customHeight="1">
      <c r="A114" s="401"/>
      <c r="B114" s="377"/>
      <c r="C114" s="377"/>
      <c r="D114" s="381" t="s">
        <v>46</v>
      </c>
      <c r="E114" s="381" t="s">
        <v>832</v>
      </c>
      <c r="F114" s="381" t="s">
        <v>46</v>
      </c>
      <c r="G114" s="381"/>
      <c r="H114" s="401">
        <v>1.0</v>
      </c>
      <c r="I114" s="402"/>
      <c r="J114" s="402"/>
      <c r="K114" s="402">
        <v>383.58</v>
      </c>
      <c r="L114" s="402"/>
      <c r="M114" s="377"/>
      <c r="N114" s="377"/>
      <c r="O114" s="377"/>
      <c r="P114" s="377"/>
      <c r="Q114" s="406"/>
    </row>
    <row r="115" ht="12.75" customHeight="1">
      <c r="A115" s="383"/>
      <c r="B115" s="377"/>
      <c r="C115" s="377"/>
      <c r="D115" s="377"/>
      <c r="E115" s="377"/>
      <c r="F115" s="377"/>
      <c r="G115" s="377"/>
      <c r="H115" s="383"/>
      <c r="I115" s="383"/>
      <c r="J115" s="383"/>
      <c r="K115" s="383"/>
      <c r="L115" s="383"/>
      <c r="M115" s="377"/>
      <c r="N115" s="377"/>
      <c r="O115" s="377"/>
      <c r="P115" s="377"/>
      <c r="Q115" s="232"/>
    </row>
    <row r="116" ht="15.0" customHeight="1">
      <c r="A116" s="383"/>
      <c r="B116" s="377"/>
      <c r="C116" s="371" t="s">
        <v>833</v>
      </c>
      <c r="D116" s="377"/>
      <c r="E116" s="371" t="s">
        <v>834</v>
      </c>
      <c r="F116" s="371" t="s">
        <v>24</v>
      </c>
      <c r="G116" s="377"/>
      <c r="H116" s="385">
        <v>24.0</v>
      </c>
      <c r="I116" s="383"/>
      <c r="J116" s="383"/>
      <c r="K116" s="387">
        <v>300.0</v>
      </c>
      <c r="L116" s="383"/>
      <c r="M116" s="377"/>
      <c r="N116" s="377"/>
      <c r="O116" s="377"/>
      <c r="P116" s="377"/>
      <c r="Q116" s="232"/>
    </row>
    <row r="117" ht="15.0" customHeight="1">
      <c r="A117" s="383"/>
      <c r="B117" s="377"/>
      <c r="C117" s="377"/>
      <c r="D117" s="371" t="s">
        <v>40</v>
      </c>
      <c r="E117" s="371" t="s">
        <v>835</v>
      </c>
      <c r="F117" s="371" t="s">
        <v>46</v>
      </c>
      <c r="G117" s="377"/>
      <c r="H117" s="385">
        <v>2.0</v>
      </c>
      <c r="I117" s="387">
        <v>846.07</v>
      </c>
      <c r="J117" s="383"/>
      <c r="K117" s="383"/>
      <c r="L117" s="383"/>
      <c r="M117" s="377"/>
      <c r="N117" s="377"/>
      <c r="O117" s="377"/>
      <c r="P117" s="377"/>
      <c r="Q117" s="232"/>
    </row>
    <row r="118" ht="15.0" customHeight="1">
      <c r="A118" s="383"/>
      <c r="B118" s="377"/>
      <c r="C118" s="377"/>
      <c r="D118" s="371" t="s">
        <v>601</v>
      </c>
      <c r="E118" s="371" t="s">
        <v>836</v>
      </c>
      <c r="F118" s="371" t="s">
        <v>601</v>
      </c>
      <c r="G118" s="377"/>
      <c r="H118" s="385">
        <v>1.0</v>
      </c>
      <c r="I118" s="387">
        <v>783.84</v>
      </c>
      <c r="J118" s="383"/>
      <c r="K118" s="383"/>
      <c r="L118" s="383"/>
      <c r="M118" s="377"/>
      <c r="N118" s="377"/>
      <c r="O118" s="377"/>
      <c r="P118" s="377"/>
      <c r="Q118" s="232"/>
    </row>
    <row r="119" ht="15.0" customHeight="1">
      <c r="A119" s="383"/>
      <c r="B119" s="377"/>
      <c r="C119" s="377"/>
      <c r="D119" s="371" t="s">
        <v>40</v>
      </c>
      <c r="E119" s="431" t="s">
        <v>837</v>
      </c>
      <c r="F119" s="371" t="s">
        <v>24</v>
      </c>
      <c r="G119" s="377"/>
      <c r="H119" s="385">
        <v>2.0</v>
      </c>
      <c r="I119" s="383"/>
      <c r="J119" s="387">
        <v>440.0</v>
      </c>
      <c r="K119" s="383"/>
      <c r="L119" s="383"/>
      <c r="M119" s="377"/>
      <c r="N119" s="377"/>
      <c r="O119" s="377"/>
      <c r="P119" s="377"/>
      <c r="Q119" s="232"/>
    </row>
    <row r="120" ht="15.0" customHeight="1">
      <c r="A120" s="389"/>
      <c r="B120" s="377"/>
      <c r="C120" s="379" t="s">
        <v>639</v>
      </c>
      <c r="D120" s="379" t="s">
        <v>40</v>
      </c>
      <c r="E120" s="379" t="s">
        <v>838</v>
      </c>
      <c r="F120" s="379" t="s">
        <v>24</v>
      </c>
      <c r="G120" s="379">
        <v>2.2575443E7</v>
      </c>
      <c r="H120" s="389">
        <v>3.0</v>
      </c>
      <c r="I120" s="398"/>
      <c r="J120" s="398"/>
      <c r="K120" s="398">
        <v>776.53</v>
      </c>
      <c r="L120" s="429">
        <f>K120*H120</f>
        <v>2329.59</v>
      </c>
      <c r="M120" s="377"/>
      <c r="N120" s="377"/>
      <c r="O120" s="377"/>
      <c r="P120" s="377"/>
      <c r="Q120" s="400" t="s">
        <v>639</v>
      </c>
    </row>
    <row r="121" ht="15.0" customHeight="1">
      <c r="A121" s="389"/>
      <c r="B121" s="377"/>
      <c r="C121" s="377"/>
      <c r="D121" s="379" t="s">
        <v>40</v>
      </c>
      <c r="E121" s="379" t="s">
        <v>839</v>
      </c>
      <c r="F121" s="379" t="s">
        <v>24</v>
      </c>
      <c r="G121" s="377"/>
      <c r="H121" s="389">
        <v>0.0</v>
      </c>
      <c r="I121" s="398"/>
      <c r="J121" s="398"/>
      <c r="K121" s="398">
        <v>220.0</v>
      </c>
      <c r="L121" s="398"/>
      <c r="M121" s="377"/>
      <c r="N121" s="377"/>
      <c r="O121" s="377"/>
      <c r="P121" s="377"/>
      <c r="Q121" s="400"/>
    </row>
    <row r="122" ht="15.0" customHeight="1">
      <c r="A122" s="401"/>
      <c r="B122" s="377"/>
      <c r="C122" s="377"/>
      <c r="D122" s="381" t="s">
        <v>40</v>
      </c>
      <c r="E122" s="381" t="s">
        <v>840</v>
      </c>
      <c r="F122" s="381" t="s">
        <v>46</v>
      </c>
      <c r="G122" s="381" t="s">
        <v>841</v>
      </c>
      <c r="H122" s="401">
        <v>3.0</v>
      </c>
      <c r="I122" s="402"/>
      <c r="J122" s="402"/>
      <c r="K122" s="404">
        <v>210.11</v>
      </c>
      <c r="L122" s="402"/>
      <c r="M122" s="377"/>
      <c r="N122" s="377"/>
      <c r="O122" s="377"/>
      <c r="P122" s="377"/>
      <c r="Q122" s="406"/>
    </row>
    <row r="123" ht="15.0" customHeight="1">
      <c r="A123" s="401"/>
      <c r="B123" s="377"/>
      <c r="C123" s="377"/>
      <c r="D123" s="381" t="s">
        <v>814</v>
      </c>
      <c r="E123" s="381" t="s">
        <v>842</v>
      </c>
      <c r="F123" s="381" t="s">
        <v>46</v>
      </c>
      <c r="G123" s="381" t="s">
        <v>843</v>
      </c>
      <c r="H123" s="401"/>
      <c r="I123" s="402"/>
      <c r="J123" s="402"/>
      <c r="K123" s="404">
        <v>1861.44</v>
      </c>
      <c r="L123" s="402"/>
      <c r="M123" s="377"/>
      <c r="N123" s="377"/>
      <c r="O123" s="377"/>
      <c r="P123" s="377"/>
      <c r="Q123" s="406"/>
    </row>
    <row r="124" ht="15.0" customHeight="1">
      <c r="A124" s="401"/>
      <c r="B124" s="377"/>
      <c r="C124" s="377"/>
      <c r="D124" s="377"/>
      <c r="E124" s="381" t="s">
        <v>844</v>
      </c>
      <c r="F124" s="381" t="s">
        <v>46</v>
      </c>
      <c r="G124" s="381"/>
      <c r="H124" s="401">
        <v>3.0</v>
      </c>
      <c r="I124" s="402"/>
      <c r="J124" s="402"/>
      <c r="K124" s="404">
        <v>149.85</v>
      </c>
      <c r="L124" s="402"/>
      <c r="M124" s="377"/>
      <c r="N124" s="377"/>
      <c r="O124" s="377"/>
      <c r="P124" s="377"/>
      <c r="Q124" s="406"/>
    </row>
    <row r="125" ht="12.75" customHeight="1">
      <c r="A125" s="383"/>
      <c r="B125" s="377"/>
      <c r="C125" s="377"/>
      <c r="D125" s="377"/>
      <c r="E125" s="377"/>
      <c r="F125" s="377"/>
      <c r="G125" s="377"/>
      <c r="H125" s="383"/>
      <c r="I125" s="383"/>
      <c r="J125" s="383"/>
      <c r="K125" s="383"/>
      <c r="L125" s="383"/>
      <c r="M125" s="377"/>
      <c r="N125" s="377"/>
      <c r="O125" s="377"/>
      <c r="P125" s="377"/>
      <c r="Q125" s="232"/>
    </row>
    <row r="126" ht="15.0" customHeight="1">
      <c r="A126" s="383"/>
      <c r="B126" s="377"/>
      <c r="C126" s="371" t="s">
        <v>845</v>
      </c>
      <c r="D126" s="371" t="s">
        <v>40</v>
      </c>
      <c r="E126" s="431" t="s">
        <v>846</v>
      </c>
      <c r="F126" s="371" t="s">
        <v>24</v>
      </c>
      <c r="G126" s="377"/>
      <c r="H126" s="385">
        <v>1.0</v>
      </c>
      <c r="I126" s="383"/>
      <c r="J126" s="387">
        <v>535.0</v>
      </c>
      <c r="K126" s="383"/>
      <c r="L126" s="383"/>
      <c r="M126" s="377"/>
      <c r="N126" s="377"/>
      <c r="O126" s="377"/>
      <c r="P126" s="377"/>
      <c r="Q126" s="232"/>
    </row>
    <row r="127" ht="15.0" customHeight="1">
      <c r="A127" s="383"/>
      <c r="B127" s="377"/>
      <c r="C127" s="377"/>
      <c r="D127" s="377"/>
      <c r="E127" s="431" t="s">
        <v>847</v>
      </c>
      <c r="F127" s="371" t="s">
        <v>24</v>
      </c>
      <c r="G127" s="377"/>
      <c r="H127" s="383"/>
      <c r="I127" s="383"/>
      <c r="J127" s="383"/>
      <c r="K127" s="383"/>
      <c r="L127" s="383"/>
      <c r="M127" s="377"/>
      <c r="N127" s="377"/>
      <c r="O127" s="377"/>
      <c r="P127" s="377"/>
      <c r="Q127" s="232"/>
    </row>
    <row r="128" ht="15.0" customHeight="1">
      <c r="A128" s="401"/>
      <c r="B128" s="377"/>
      <c r="C128" s="377"/>
      <c r="D128" s="381" t="s">
        <v>40</v>
      </c>
      <c r="E128" s="381" t="s">
        <v>848</v>
      </c>
      <c r="F128" s="381" t="s">
        <v>46</v>
      </c>
      <c r="G128" s="381" t="s">
        <v>849</v>
      </c>
      <c r="H128" s="401">
        <v>4.0</v>
      </c>
      <c r="I128" s="402"/>
      <c r="J128" s="402"/>
      <c r="K128" s="404">
        <v>210.11</v>
      </c>
      <c r="L128" s="402"/>
      <c r="M128" s="377"/>
      <c r="N128" s="377"/>
      <c r="O128" s="377"/>
      <c r="P128" s="377"/>
      <c r="Q128" s="406"/>
    </row>
    <row r="129" ht="15.0" customHeight="1">
      <c r="A129" s="401"/>
      <c r="B129" s="377"/>
      <c r="C129" s="377"/>
      <c r="D129" s="377"/>
      <c r="E129" s="381" t="s">
        <v>850</v>
      </c>
      <c r="F129" s="381" t="s">
        <v>46</v>
      </c>
      <c r="G129" s="381"/>
      <c r="H129" s="401">
        <v>4.0</v>
      </c>
      <c r="I129" s="402"/>
      <c r="J129" s="402"/>
      <c r="K129" s="404">
        <v>149.31</v>
      </c>
      <c r="L129" s="402"/>
      <c r="M129" s="377"/>
      <c r="N129" s="377"/>
      <c r="O129" s="377"/>
      <c r="P129" s="377"/>
      <c r="Q129" s="406"/>
    </row>
    <row r="130" ht="15.0" customHeight="1">
      <c r="A130" s="383"/>
      <c r="B130" s="377"/>
      <c r="C130" s="377"/>
      <c r="D130" s="377"/>
      <c r="E130" s="431"/>
      <c r="F130" s="377"/>
      <c r="G130" s="377"/>
      <c r="H130" s="383"/>
      <c r="I130" s="383"/>
      <c r="J130" s="383"/>
      <c r="K130" s="383"/>
      <c r="L130" s="383"/>
      <c r="M130" s="377"/>
      <c r="N130" s="377"/>
      <c r="O130" s="377"/>
      <c r="P130" s="377"/>
      <c r="Q130" s="232"/>
    </row>
    <row r="131" ht="15.0" customHeight="1">
      <c r="A131" s="383"/>
      <c r="B131" s="377"/>
      <c r="C131" s="371" t="s">
        <v>851</v>
      </c>
      <c r="D131" s="371" t="s">
        <v>40</v>
      </c>
      <c r="E131" s="431" t="s">
        <v>852</v>
      </c>
      <c r="F131" s="371" t="s">
        <v>24</v>
      </c>
      <c r="G131" s="377"/>
      <c r="H131" s="385">
        <v>1.0</v>
      </c>
      <c r="I131" s="383"/>
      <c r="J131" s="387">
        <v>535.0</v>
      </c>
      <c r="K131" s="383"/>
      <c r="L131" s="383"/>
      <c r="M131" s="377"/>
      <c r="N131" s="377"/>
      <c r="O131" s="377"/>
      <c r="P131" s="377"/>
      <c r="Q131" s="232"/>
    </row>
    <row r="132" ht="15.0" customHeight="1">
      <c r="A132" s="383"/>
      <c r="B132" s="377"/>
      <c r="C132" s="377"/>
      <c r="D132" s="377"/>
      <c r="E132" s="431" t="s">
        <v>847</v>
      </c>
      <c r="F132" s="371" t="s">
        <v>24</v>
      </c>
      <c r="G132" s="377"/>
      <c r="H132" s="383"/>
      <c r="I132" s="383"/>
      <c r="J132" s="383"/>
      <c r="K132" s="383"/>
      <c r="L132" s="383"/>
      <c r="M132" s="377"/>
      <c r="N132" s="377"/>
      <c r="O132" s="377"/>
      <c r="P132" s="377"/>
      <c r="Q132" s="232"/>
    </row>
    <row r="133" ht="15.0" customHeight="1">
      <c r="A133" s="401"/>
      <c r="B133" s="377"/>
      <c r="C133" s="377"/>
      <c r="D133" s="381" t="s">
        <v>40</v>
      </c>
      <c r="E133" s="381" t="s">
        <v>853</v>
      </c>
      <c r="F133" s="381" t="s">
        <v>46</v>
      </c>
      <c r="G133" s="381" t="s">
        <v>854</v>
      </c>
      <c r="H133" s="401">
        <v>4.0</v>
      </c>
      <c r="I133" s="402"/>
      <c r="J133" s="402"/>
      <c r="K133" s="404">
        <v>210.11</v>
      </c>
      <c r="L133" s="402"/>
      <c r="M133" s="377"/>
      <c r="N133" s="377"/>
      <c r="O133" s="377"/>
      <c r="P133" s="377"/>
      <c r="Q133" s="406"/>
    </row>
    <row r="134" ht="15.0" customHeight="1">
      <c r="A134" s="401"/>
      <c r="B134" s="377"/>
      <c r="C134" s="377"/>
      <c r="D134" s="377"/>
      <c r="E134" s="381" t="s">
        <v>855</v>
      </c>
      <c r="F134" s="381" t="s">
        <v>46</v>
      </c>
      <c r="G134" s="381"/>
      <c r="H134" s="401">
        <v>4.0</v>
      </c>
      <c r="I134" s="402"/>
      <c r="J134" s="402"/>
      <c r="K134" s="404">
        <v>149.31</v>
      </c>
      <c r="L134" s="402"/>
      <c r="M134" s="377"/>
      <c r="N134" s="377"/>
      <c r="O134" s="377"/>
      <c r="P134" s="377"/>
      <c r="Q134" s="406"/>
    </row>
    <row r="135" ht="15.0" customHeight="1">
      <c r="A135" s="383"/>
      <c r="B135" s="377"/>
      <c r="C135" s="377"/>
      <c r="D135" s="377"/>
      <c r="E135" s="431"/>
      <c r="F135" s="377"/>
      <c r="G135" s="377"/>
      <c r="H135" s="383"/>
      <c r="I135" s="383"/>
      <c r="J135" s="383"/>
      <c r="K135" s="383"/>
      <c r="L135" s="383"/>
      <c r="M135" s="377"/>
      <c r="N135" s="377"/>
      <c r="O135" s="377"/>
      <c r="P135" s="377"/>
      <c r="Q135" s="232"/>
    </row>
    <row r="136" ht="15.0" customHeight="1">
      <c r="A136" s="383"/>
      <c r="B136" s="377"/>
      <c r="C136" s="371" t="s">
        <v>856</v>
      </c>
      <c r="D136" s="377"/>
      <c r="E136" s="377"/>
      <c r="F136" s="377"/>
      <c r="G136" s="377"/>
      <c r="H136" s="383"/>
      <c r="I136" s="383"/>
      <c r="J136" s="383"/>
      <c r="K136" s="383"/>
      <c r="L136" s="383"/>
      <c r="M136" s="377"/>
      <c r="N136" s="377"/>
      <c r="O136" s="377"/>
      <c r="P136" s="377"/>
      <c r="Q136" s="232"/>
    </row>
    <row r="137" ht="15.0" customHeight="1">
      <c r="A137" s="401"/>
      <c r="B137" s="377"/>
      <c r="C137" s="377"/>
      <c r="D137" s="381" t="s">
        <v>40</v>
      </c>
      <c r="E137" s="381" t="s">
        <v>857</v>
      </c>
      <c r="F137" s="381" t="s">
        <v>46</v>
      </c>
      <c r="G137" s="381" t="s">
        <v>858</v>
      </c>
      <c r="H137" s="401">
        <v>3.0</v>
      </c>
      <c r="I137" s="402"/>
      <c r="J137" s="402"/>
      <c r="K137" s="404">
        <v>210.11</v>
      </c>
      <c r="L137" s="402"/>
      <c r="M137" s="377"/>
      <c r="N137" s="377"/>
      <c r="O137" s="377"/>
      <c r="P137" s="377"/>
      <c r="Q137" s="406"/>
    </row>
    <row r="138" ht="15.0" customHeight="1">
      <c r="A138" s="401"/>
      <c r="B138" s="377"/>
      <c r="C138" s="377"/>
      <c r="D138" s="377"/>
      <c r="E138" s="381" t="s">
        <v>859</v>
      </c>
      <c r="F138" s="381" t="s">
        <v>46</v>
      </c>
      <c r="G138" s="377"/>
      <c r="H138" s="401">
        <v>3.0</v>
      </c>
      <c r="I138" s="402"/>
      <c r="J138" s="402"/>
      <c r="K138" s="402">
        <v>149.31</v>
      </c>
      <c r="L138" s="402"/>
      <c r="M138" s="377"/>
      <c r="N138" s="377"/>
      <c r="O138" s="377"/>
      <c r="P138" s="377"/>
      <c r="Q138" s="406"/>
    </row>
    <row r="139" ht="12.75" customHeight="1">
      <c r="A139" s="383"/>
      <c r="B139" s="377"/>
      <c r="C139" s="377"/>
      <c r="D139" s="377"/>
      <c r="E139" s="377"/>
      <c r="F139" s="377"/>
      <c r="G139" s="377"/>
      <c r="H139" s="383"/>
      <c r="I139" s="383"/>
      <c r="J139" s="383"/>
      <c r="K139" s="383"/>
      <c r="L139" s="383"/>
      <c r="M139" s="377"/>
      <c r="N139" s="377"/>
      <c r="O139" s="377"/>
      <c r="P139" s="377"/>
      <c r="Q139" s="232"/>
    </row>
    <row r="140" ht="15.0" customHeight="1">
      <c r="A140" s="383"/>
      <c r="B140" s="377"/>
      <c r="C140" s="371" t="s">
        <v>860</v>
      </c>
      <c r="D140" s="371" t="s">
        <v>861</v>
      </c>
      <c r="E140" s="371" t="s">
        <v>862</v>
      </c>
      <c r="F140" s="377"/>
      <c r="G140" s="377"/>
      <c r="H140" s="383"/>
      <c r="I140" s="383"/>
      <c r="J140" s="383"/>
      <c r="K140" s="383"/>
      <c r="L140" s="383"/>
      <c r="M140" s="377"/>
      <c r="N140" s="377"/>
      <c r="O140" s="377"/>
      <c r="P140" s="377"/>
      <c r="Q140" s="232"/>
    </row>
    <row r="141" ht="15.0" customHeight="1">
      <c r="A141" s="383"/>
      <c r="B141" s="377"/>
      <c r="C141" s="377"/>
      <c r="D141" s="371" t="s">
        <v>40</v>
      </c>
      <c r="E141" s="371" t="s">
        <v>862</v>
      </c>
      <c r="F141" s="377"/>
      <c r="G141" s="377"/>
      <c r="H141" s="383"/>
      <c r="I141" s="383"/>
      <c r="J141" s="383"/>
      <c r="K141" s="383"/>
      <c r="L141" s="383"/>
      <c r="M141" s="377"/>
      <c r="N141" s="377"/>
      <c r="O141" s="377"/>
      <c r="P141" s="377"/>
      <c r="Q141" s="232"/>
    </row>
    <row r="142" ht="15.0" customHeight="1">
      <c r="A142" s="389"/>
      <c r="B142" s="377"/>
      <c r="C142" s="377"/>
      <c r="D142" s="379" t="s">
        <v>40</v>
      </c>
      <c r="E142" s="379" t="s">
        <v>863</v>
      </c>
      <c r="F142" s="379" t="s">
        <v>24</v>
      </c>
      <c r="G142" s="377"/>
      <c r="H142" s="389">
        <v>1.0</v>
      </c>
      <c r="I142" s="398"/>
      <c r="J142" s="398"/>
      <c r="K142" s="398">
        <v>296.14</v>
      </c>
      <c r="L142" s="398"/>
      <c r="M142" s="377"/>
      <c r="N142" s="379" t="s">
        <v>864</v>
      </c>
      <c r="O142" s="377"/>
      <c r="P142" s="377"/>
      <c r="Q142" s="400"/>
    </row>
    <row r="143" ht="15.0" customHeight="1">
      <c r="A143" s="401"/>
      <c r="B143" s="377"/>
      <c r="C143" s="377"/>
      <c r="D143" s="381" t="s">
        <v>46</v>
      </c>
      <c r="E143" s="381" t="s">
        <v>865</v>
      </c>
      <c r="F143" s="381" t="s">
        <v>46</v>
      </c>
      <c r="G143" s="381" t="s">
        <v>866</v>
      </c>
      <c r="H143" s="401"/>
      <c r="I143" s="402"/>
      <c r="J143" s="402"/>
      <c r="K143" s="402">
        <v>167.04</v>
      </c>
      <c r="L143" s="402"/>
      <c r="M143" s="377"/>
      <c r="N143" s="377"/>
      <c r="O143" s="377"/>
      <c r="P143" s="377"/>
      <c r="Q143" s="406"/>
    </row>
    <row r="144" ht="12.75" customHeight="1">
      <c r="A144" s="383"/>
      <c r="B144" s="377"/>
      <c r="C144" s="377"/>
      <c r="D144" s="377"/>
      <c r="E144" s="377"/>
      <c r="F144" s="377"/>
      <c r="G144" s="377"/>
      <c r="H144" s="383"/>
      <c r="I144" s="383"/>
      <c r="J144" s="383"/>
      <c r="K144" s="383"/>
      <c r="L144" s="383"/>
      <c r="M144" s="377"/>
      <c r="N144" s="377"/>
      <c r="O144" s="377"/>
      <c r="P144" s="377"/>
      <c r="Q144" s="232"/>
    </row>
    <row r="145" ht="15.0" customHeight="1">
      <c r="A145" s="383"/>
      <c r="B145" s="377"/>
      <c r="C145" s="371" t="s">
        <v>867</v>
      </c>
      <c r="D145" s="377"/>
      <c r="E145" s="371" t="s">
        <v>868</v>
      </c>
      <c r="F145" s="371" t="s">
        <v>869</v>
      </c>
      <c r="G145" s="377"/>
      <c r="H145" s="385">
        <v>1.0</v>
      </c>
      <c r="I145" s="383"/>
      <c r="J145" s="383"/>
      <c r="K145" s="387">
        <v>2600.0</v>
      </c>
      <c r="L145" s="383"/>
      <c r="M145" s="377"/>
      <c r="N145" s="371" t="s">
        <v>870</v>
      </c>
      <c r="O145" s="377"/>
      <c r="P145" s="377"/>
      <c r="Q145" s="232"/>
    </row>
    <row r="146" ht="15.0" customHeight="1">
      <c r="A146" s="383"/>
      <c r="B146" s="377"/>
      <c r="C146" s="377"/>
      <c r="D146" s="377"/>
      <c r="E146" s="377"/>
      <c r="F146" s="371" t="s">
        <v>871</v>
      </c>
      <c r="G146" s="377"/>
      <c r="H146" s="385">
        <v>1.0</v>
      </c>
      <c r="I146" s="383"/>
      <c r="J146" s="383"/>
      <c r="K146" s="387" t="s">
        <v>872</v>
      </c>
      <c r="L146" s="383"/>
      <c r="M146" s="377"/>
      <c r="N146" s="377"/>
      <c r="O146" s="377"/>
      <c r="P146" s="377"/>
      <c r="Q146" s="232"/>
    </row>
    <row r="147" ht="15.0" customHeight="1">
      <c r="A147" s="383"/>
      <c r="B147" s="377"/>
      <c r="C147" s="377"/>
      <c r="D147" s="377"/>
      <c r="E147" s="371" t="s">
        <v>873</v>
      </c>
      <c r="F147" s="371" t="s">
        <v>541</v>
      </c>
      <c r="G147" s="385" t="s">
        <v>874</v>
      </c>
      <c r="H147" s="385">
        <v>1.0</v>
      </c>
      <c r="I147" s="383"/>
      <c r="J147" s="387">
        <v>2153.5</v>
      </c>
      <c r="K147" s="383"/>
      <c r="L147" s="383"/>
      <c r="M147" s="377"/>
      <c r="N147" s="377"/>
      <c r="O147" s="377"/>
      <c r="P147" s="377"/>
      <c r="Q147" s="232"/>
    </row>
    <row r="148" ht="15.0" customHeight="1">
      <c r="A148" s="383"/>
      <c r="B148" s="377"/>
      <c r="C148" s="371" t="s">
        <v>639</v>
      </c>
      <c r="D148" s="377"/>
      <c r="E148" s="371" t="s">
        <v>875</v>
      </c>
      <c r="F148" s="371" t="s">
        <v>541</v>
      </c>
      <c r="G148" s="385"/>
      <c r="H148" s="385">
        <v>1.0</v>
      </c>
      <c r="I148" s="383"/>
      <c r="J148" s="387"/>
      <c r="K148" s="387">
        <v>1775.65</v>
      </c>
      <c r="L148" s="387">
        <f>K148*H148</f>
        <v>1775.65</v>
      </c>
      <c r="M148" s="377"/>
      <c r="N148" s="377"/>
      <c r="O148" s="377"/>
      <c r="P148" s="377"/>
      <c r="Q148" s="232"/>
    </row>
    <row r="149" ht="12.75" customHeight="1">
      <c r="A149" s="383"/>
      <c r="B149" s="377"/>
      <c r="C149" s="377"/>
      <c r="D149" s="377"/>
      <c r="E149" s="377"/>
      <c r="F149" s="377"/>
      <c r="G149" s="377"/>
      <c r="H149" s="383"/>
      <c r="I149" s="383"/>
      <c r="J149" s="383"/>
      <c r="K149" s="383"/>
      <c r="L149" s="383"/>
      <c r="M149" s="377"/>
      <c r="N149" s="377"/>
      <c r="O149" s="377"/>
      <c r="P149" s="377"/>
      <c r="Q149" s="232"/>
    </row>
    <row r="150" ht="15.0" customHeight="1">
      <c r="A150" s="385">
        <v>1.0</v>
      </c>
      <c r="B150" s="377"/>
      <c r="C150" s="371" t="s">
        <v>876</v>
      </c>
      <c r="D150" s="371" t="s">
        <v>877</v>
      </c>
      <c r="E150" s="371" t="s">
        <v>878</v>
      </c>
      <c r="F150" s="371" t="s">
        <v>46</v>
      </c>
      <c r="G150" s="371" t="s">
        <v>879</v>
      </c>
      <c r="H150" s="383"/>
      <c r="I150" s="387">
        <v>5000.0</v>
      </c>
      <c r="J150" s="383"/>
      <c r="K150" s="383"/>
      <c r="L150" s="383"/>
      <c r="M150" s="377"/>
      <c r="N150" s="377"/>
      <c r="O150" s="377"/>
      <c r="P150" s="377"/>
      <c r="Q150" s="232"/>
    </row>
    <row r="151" ht="15.0" customHeight="1">
      <c r="A151" s="401"/>
      <c r="B151" s="377"/>
      <c r="C151" s="377"/>
      <c r="D151" s="381" t="s">
        <v>877</v>
      </c>
      <c r="E151" s="381" t="s">
        <v>880</v>
      </c>
      <c r="F151" s="381" t="s">
        <v>46</v>
      </c>
      <c r="G151" s="381" t="s">
        <v>881</v>
      </c>
      <c r="H151" s="401">
        <v>1.0</v>
      </c>
      <c r="I151" s="402"/>
      <c r="J151" s="402"/>
      <c r="K151" s="404">
        <v>9007.06</v>
      </c>
      <c r="L151" s="402">
        <f>K151*H151</f>
        <v>9007.06</v>
      </c>
      <c r="M151" s="377"/>
      <c r="N151" s="377"/>
      <c r="O151" s="377"/>
      <c r="P151" s="377"/>
      <c r="Q151" s="406"/>
    </row>
    <row r="152" ht="15.0" customHeight="1">
      <c r="A152" s="383"/>
      <c r="B152" s="377"/>
      <c r="C152" s="377"/>
      <c r="D152" s="371" t="s">
        <v>877</v>
      </c>
      <c r="E152" s="457" t="s">
        <v>880</v>
      </c>
      <c r="F152" s="371" t="s">
        <v>877</v>
      </c>
      <c r="G152" s="377"/>
      <c r="H152" s="383"/>
      <c r="I152" s="383"/>
      <c r="J152" s="383"/>
      <c r="K152" s="387">
        <v>9605.0</v>
      </c>
      <c r="L152" s="383"/>
      <c r="M152" s="377"/>
      <c r="N152" s="377"/>
      <c r="O152" s="377"/>
      <c r="P152" s="377"/>
      <c r="Q152" s="232"/>
    </row>
    <row r="153" ht="15.0" customHeight="1">
      <c r="A153" s="383"/>
      <c r="B153" s="377"/>
      <c r="C153" s="377"/>
      <c r="D153" s="371" t="s">
        <v>882</v>
      </c>
      <c r="E153" s="457" t="s">
        <v>883</v>
      </c>
      <c r="F153" s="377"/>
      <c r="G153" s="377"/>
      <c r="H153" s="383"/>
      <c r="I153" s="383"/>
      <c r="J153" s="383"/>
      <c r="K153" s="383"/>
      <c r="L153" s="383"/>
      <c r="M153" s="377"/>
      <c r="N153" s="371" t="s">
        <v>884</v>
      </c>
      <c r="O153" s="377"/>
      <c r="P153" s="377"/>
      <c r="Q153" s="232"/>
    </row>
    <row r="154" ht="15.0" customHeight="1">
      <c r="A154" s="389"/>
      <c r="B154" s="377"/>
      <c r="C154" s="377"/>
      <c r="D154" s="379" t="s">
        <v>40</v>
      </c>
      <c r="E154" s="379" t="s">
        <v>885</v>
      </c>
      <c r="F154" s="379" t="s">
        <v>24</v>
      </c>
      <c r="G154" s="377"/>
      <c r="H154" s="389"/>
      <c r="I154" s="398"/>
      <c r="J154" s="398"/>
      <c r="K154" s="398">
        <f>8500+1750</f>
        <v>10250</v>
      </c>
      <c r="L154" s="398"/>
      <c r="M154" s="377"/>
      <c r="N154" s="377"/>
      <c r="O154" s="377"/>
      <c r="P154" s="377"/>
      <c r="Q154" s="400"/>
    </row>
    <row r="155" ht="15.0" customHeight="1">
      <c r="A155" s="383"/>
      <c r="B155" s="377"/>
      <c r="C155" s="377"/>
      <c r="D155" s="377"/>
      <c r="E155" s="457"/>
      <c r="F155" s="377"/>
      <c r="G155" s="377"/>
      <c r="H155" s="383"/>
      <c r="I155" s="383"/>
      <c r="J155" s="383"/>
      <c r="K155" s="383"/>
      <c r="L155" s="383"/>
      <c r="M155" s="377"/>
      <c r="N155" s="377"/>
      <c r="O155" s="377"/>
      <c r="P155" s="377"/>
      <c r="Q155" s="232"/>
    </row>
    <row r="156" ht="15.0" customHeight="1">
      <c r="A156" s="385">
        <v>1.0</v>
      </c>
      <c r="B156" s="377"/>
      <c r="C156" s="371" t="s">
        <v>886</v>
      </c>
      <c r="D156" s="377"/>
      <c r="E156" s="377"/>
      <c r="F156" s="377"/>
      <c r="G156" s="377"/>
      <c r="H156" s="383"/>
      <c r="I156" s="383"/>
      <c r="J156" s="383"/>
      <c r="K156" s="383"/>
      <c r="L156" s="383"/>
      <c r="M156" s="377"/>
      <c r="N156" s="371" t="s">
        <v>887</v>
      </c>
      <c r="O156" s="377"/>
      <c r="P156" s="377"/>
      <c r="Q156" s="232"/>
    </row>
    <row r="157" ht="12.75" customHeight="1">
      <c r="A157" s="383"/>
      <c r="B157" s="377"/>
      <c r="C157" s="377"/>
      <c r="D157" s="377"/>
      <c r="E157" s="377"/>
      <c r="F157" s="377"/>
      <c r="G157" s="377"/>
      <c r="H157" s="383"/>
      <c r="I157" s="383"/>
      <c r="J157" s="383"/>
      <c r="K157" s="383"/>
      <c r="L157" s="383"/>
      <c r="M157" s="377"/>
      <c r="N157" s="377"/>
      <c r="O157" s="377"/>
      <c r="P157" s="377"/>
      <c r="Q157" s="232"/>
    </row>
    <row r="158" ht="15.0" customHeight="1">
      <c r="A158" s="385">
        <v>1.0</v>
      </c>
      <c r="B158" s="377"/>
      <c r="C158" s="371" t="s">
        <v>888</v>
      </c>
      <c r="D158" s="377"/>
      <c r="E158" s="377"/>
      <c r="F158" s="371" t="s">
        <v>46</v>
      </c>
      <c r="G158" s="377"/>
      <c r="H158" s="385">
        <v>1.0</v>
      </c>
      <c r="I158" s="383"/>
      <c r="J158" s="383"/>
      <c r="K158" s="387">
        <v>1000.0</v>
      </c>
      <c r="L158" s="383"/>
      <c r="M158" s="377"/>
      <c r="N158" s="377"/>
      <c r="O158" s="377"/>
      <c r="P158" s="377"/>
      <c r="Q158" s="232"/>
    </row>
    <row r="159" ht="15.0" customHeight="1">
      <c r="A159" s="383"/>
      <c r="B159" s="377"/>
      <c r="C159" s="377"/>
      <c r="D159" s="377"/>
      <c r="E159" s="371" t="s">
        <v>889</v>
      </c>
      <c r="F159" s="371" t="s">
        <v>46</v>
      </c>
      <c r="G159" s="371" t="s">
        <v>890</v>
      </c>
      <c r="H159" s="383"/>
      <c r="I159" s="387">
        <v>564.35</v>
      </c>
      <c r="J159" s="383"/>
      <c r="K159" s="383"/>
      <c r="L159" s="383"/>
      <c r="M159" s="377"/>
      <c r="N159" s="377"/>
      <c r="O159" s="377"/>
      <c r="P159" s="377"/>
      <c r="Q159" s="232"/>
    </row>
    <row r="160" ht="30.0" customHeight="1">
      <c r="A160" s="389"/>
      <c r="B160" s="377"/>
      <c r="C160" s="377"/>
      <c r="D160" s="379" t="s">
        <v>24</v>
      </c>
      <c r="E160" s="396" t="s">
        <v>891</v>
      </c>
      <c r="F160" s="379" t="s">
        <v>24</v>
      </c>
      <c r="G160" s="471" t="s">
        <v>892</v>
      </c>
      <c r="H160" s="389"/>
      <c r="I160" s="398"/>
      <c r="J160" s="398"/>
      <c r="K160" s="398">
        <v>1011.0</v>
      </c>
      <c r="L160" s="398"/>
      <c r="M160" s="377"/>
      <c r="N160" s="377"/>
      <c r="O160" s="377"/>
      <c r="P160" s="377"/>
      <c r="Q160" s="400"/>
    </row>
    <row r="161" ht="30.0" customHeight="1">
      <c r="A161" s="389"/>
      <c r="B161" s="377"/>
      <c r="C161" s="377"/>
      <c r="D161" s="379" t="s">
        <v>24</v>
      </c>
      <c r="E161" s="396" t="str">
        <f>HYPERLINK("https://us.vwr.com/store/catalog/product.jsp?catalog_number=89231-664","B10P Meter (89231-662) and Refillable Glass pH Electrode (89231-580)")</f>
        <v>B10P Meter (89231-662) and Refillable Glass pH Electrode (89231-580)</v>
      </c>
      <c r="F161" s="379" t="s">
        <v>24</v>
      </c>
      <c r="G161" s="471" t="s">
        <v>893</v>
      </c>
      <c r="H161" s="389">
        <v>1.0</v>
      </c>
      <c r="I161" s="398"/>
      <c r="J161" s="398"/>
      <c r="K161" s="429">
        <v>449.99</v>
      </c>
      <c r="L161" s="398">
        <f>K161*H161</f>
        <v>449.99</v>
      </c>
      <c r="M161" s="377"/>
      <c r="N161" s="377"/>
      <c r="O161" s="377"/>
      <c r="P161" s="377"/>
      <c r="Q161" s="400"/>
    </row>
    <row r="162" ht="15.0" customHeight="1">
      <c r="A162" s="401"/>
      <c r="B162" s="377"/>
      <c r="C162" s="377"/>
      <c r="D162" s="381" t="s">
        <v>894</v>
      </c>
      <c r="E162" s="408" t="s">
        <v>895</v>
      </c>
      <c r="F162" s="381" t="s">
        <v>46</v>
      </c>
      <c r="G162" s="408" t="s">
        <v>896</v>
      </c>
      <c r="H162" s="401">
        <v>1.0</v>
      </c>
      <c r="I162" s="402"/>
      <c r="J162" s="402"/>
      <c r="K162" s="469">
        <v>592.26</v>
      </c>
      <c r="L162" s="402"/>
      <c r="M162" s="377"/>
      <c r="N162" s="377"/>
      <c r="O162" s="377"/>
      <c r="P162" s="377"/>
      <c r="Q162" s="406"/>
    </row>
    <row r="163" ht="12.75" customHeight="1">
      <c r="A163" s="383"/>
      <c r="B163" s="377"/>
      <c r="C163" s="377"/>
      <c r="D163" s="377"/>
      <c r="E163" s="377"/>
      <c r="F163" s="377"/>
      <c r="G163" s="377"/>
      <c r="H163" s="383"/>
      <c r="I163" s="383"/>
      <c r="J163" s="383"/>
      <c r="K163" s="383"/>
      <c r="L163" s="383"/>
      <c r="M163" s="377"/>
      <c r="N163" s="377"/>
      <c r="O163" s="377"/>
      <c r="P163" s="377"/>
      <c r="Q163" s="232"/>
    </row>
    <row r="164" ht="15.0" customHeight="1">
      <c r="A164" s="383"/>
      <c r="B164" s="377"/>
      <c r="C164" s="371" t="s">
        <v>897</v>
      </c>
      <c r="D164" s="377"/>
      <c r="E164" s="371" t="s">
        <v>898</v>
      </c>
      <c r="F164" s="371" t="s">
        <v>899</v>
      </c>
      <c r="G164" s="377"/>
      <c r="H164" s="385">
        <v>1.0</v>
      </c>
      <c r="I164" s="383"/>
      <c r="J164" s="383"/>
      <c r="K164" s="387">
        <v>2000.0</v>
      </c>
      <c r="L164" s="383"/>
      <c r="M164" s="377"/>
      <c r="N164" s="377"/>
      <c r="O164" s="377"/>
      <c r="P164" s="377"/>
      <c r="Q164" s="232"/>
    </row>
    <row r="165" ht="15.0" customHeight="1">
      <c r="A165" s="383"/>
      <c r="B165" s="377"/>
      <c r="C165" s="371" t="s">
        <v>639</v>
      </c>
      <c r="D165" s="371" t="s">
        <v>541</v>
      </c>
      <c r="E165" s="371" t="s">
        <v>900</v>
      </c>
      <c r="F165" s="371" t="s">
        <v>541</v>
      </c>
      <c r="G165" s="472" t="s">
        <v>901</v>
      </c>
      <c r="H165" s="385">
        <v>1.0</v>
      </c>
      <c r="I165" s="383"/>
      <c r="J165" s="383"/>
      <c r="K165" s="387">
        <v>296.37</v>
      </c>
      <c r="L165" s="387" t="s">
        <v>902</v>
      </c>
      <c r="M165" s="377"/>
      <c r="N165" s="371" t="s">
        <v>903</v>
      </c>
      <c r="O165" s="377"/>
      <c r="P165" s="377"/>
      <c r="Q165" s="232"/>
    </row>
    <row r="166" ht="15.0" customHeight="1">
      <c r="A166" s="383"/>
      <c r="B166" s="377"/>
      <c r="C166" s="377"/>
      <c r="D166" s="377"/>
      <c r="E166" s="371" t="s">
        <v>904</v>
      </c>
      <c r="F166" s="371" t="s">
        <v>541</v>
      </c>
      <c r="G166" s="472" t="s">
        <v>905</v>
      </c>
      <c r="H166" s="385">
        <v>1.0</v>
      </c>
      <c r="I166" s="383"/>
      <c r="J166" s="383"/>
      <c r="K166" s="387">
        <v>665.0</v>
      </c>
      <c r="L166" s="383"/>
      <c r="M166" s="377"/>
      <c r="N166" s="377"/>
      <c r="O166" s="377"/>
      <c r="P166" s="377"/>
      <c r="Q166" s="232"/>
    </row>
    <row r="167" ht="15.0" customHeight="1">
      <c r="A167" s="383"/>
      <c r="B167" s="377"/>
      <c r="C167" s="377"/>
      <c r="D167" s="371" t="s">
        <v>906</v>
      </c>
      <c r="E167" s="431" t="s">
        <v>907</v>
      </c>
      <c r="F167" s="431" t="s">
        <v>899</v>
      </c>
      <c r="G167" s="431" t="s">
        <v>908</v>
      </c>
      <c r="H167" s="383"/>
      <c r="I167" s="383"/>
      <c r="J167" s="383"/>
      <c r="K167" s="383"/>
      <c r="L167" s="383"/>
      <c r="M167" s="377"/>
      <c r="N167" s="377"/>
      <c r="O167" s="377"/>
      <c r="P167" s="377"/>
      <c r="Q167" s="232"/>
    </row>
    <row r="168" ht="12.75" customHeight="1">
      <c r="A168" s="383"/>
      <c r="B168" s="377"/>
      <c r="C168" s="377"/>
      <c r="D168" s="377"/>
      <c r="E168" s="377"/>
      <c r="F168" s="377"/>
      <c r="G168" s="377"/>
      <c r="H168" s="383"/>
      <c r="I168" s="383"/>
      <c r="J168" s="383"/>
      <c r="K168" s="383"/>
      <c r="L168" s="383"/>
      <c r="M168" s="377"/>
      <c r="N168" s="377"/>
      <c r="O168" s="377"/>
      <c r="P168" s="377"/>
      <c r="Q168" s="232"/>
    </row>
    <row r="169" ht="15.0" customHeight="1">
      <c r="A169" s="383"/>
      <c r="B169" s="377"/>
      <c r="C169" s="371" t="s">
        <v>909</v>
      </c>
      <c r="D169" s="377"/>
      <c r="E169" s="371" t="s">
        <v>910</v>
      </c>
      <c r="F169" s="371" t="s">
        <v>46</v>
      </c>
      <c r="G169" s="371" t="s">
        <v>911</v>
      </c>
      <c r="H169" s="385">
        <v>1.0</v>
      </c>
      <c r="I169" s="387">
        <v>297.79</v>
      </c>
      <c r="J169" s="383"/>
      <c r="K169" s="387">
        <v>600.0</v>
      </c>
      <c r="L169" s="383"/>
      <c r="M169" s="377"/>
      <c r="N169" s="377"/>
      <c r="O169" s="377"/>
      <c r="P169" s="377"/>
      <c r="Q169" s="232"/>
    </row>
    <row r="170" ht="15.0" customHeight="1">
      <c r="A170" s="383"/>
      <c r="B170" s="377"/>
      <c r="C170" s="377"/>
      <c r="D170" s="377"/>
      <c r="E170" s="371" t="s">
        <v>912</v>
      </c>
      <c r="F170" s="371" t="s">
        <v>46</v>
      </c>
      <c r="G170" s="371" t="s">
        <v>913</v>
      </c>
      <c r="H170" s="385">
        <v>1.0</v>
      </c>
      <c r="I170" s="387">
        <v>471.5</v>
      </c>
      <c r="J170" s="383"/>
      <c r="K170" s="383"/>
      <c r="L170" s="383"/>
      <c r="M170" s="377"/>
      <c r="N170" s="377"/>
      <c r="O170" s="377"/>
      <c r="P170" s="377"/>
      <c r="Q170" s="232"/>
    </row>
    <row r="171" ht="15.0" customHeight="1">
      <c r="A171" s="383"/>
      <c r="B171" s="377"/>
      <c r="C171" s="377"/>
      <c r="D171" s="377"/>
      <c r="E171" s="431" t="s">
        <v>914</v>
      </c>
      <c r="F171" s="371" t="s">
        <v>46</v>
      </c>
      <c r="G171" s="385" t="s">
        <v>915</v>
      </c>
      <c r="H171" s="385">
        <v>2.0</v>
      </c>
      <c r="I171" s="383"/>
      <c r="J171" s="387">
        <f>2*434.38</f>
        <v>868.76</v>
      </c>
      <c r="K171" s="383"/>
      <c r="L171" s="383"/>
      <c r="M171" s="377"/>
      <c r="N171" s="377"/>
      <c r="O171" s="377"/>
      <c r="P171" s="377"/>
      <c r="Q171" s="232"/>
    </row>
    <row r="172" ht="15.0" customHeight="1">
      <c r="A172" s="383"/>
      <c r="B172" s="377"/>
      <c r="C172" s="377"/>
      <c r="D172" s="377"/>
      <c r="E172" s="431" t="s">
        <v>916</v>
      </c>
      <c r="F172" s="371" t="s">
        <v>46</v>
      </c>
      <c r="G172" s="385" t="s">
        <v>917</v>
      </c>
      <c r="H172" s="385">
        <v>1.0</v>
      </c>
      <c r="I172" s="383"/>
      <c r="J172" s="387">
        <v>58.8</v>
      </c>
      <c r="K172" s="383"/>
      <c r="L172" s="383"/>
      <c r="M172" s="377"/>
      <c r="N172" s="377"/>
      <c r="O172" s="377"/>
      <c r="P172" s="377"/>
      <c r="Q172" s="232"/>
    </row>
    <row r="173" ht="15.0" customHeight="1">
      <c r="A173" s="389"/>
      <c r="B173" s="377"/>
      <c r="C173" s="377"/>
      <c r="D173" s="379" t="s">
        <v>918</v>
      </c>
      <c r="E173" s="473" t="s">
        <v>919</v>
      </c>
      <c r="F173" s="379" t="s">
        <v>24</v>
      </c>
      <c r="G173" s="474" t="s">
        <v>920</v>
      </c>
      <c r="H173" s="389">
        <v>1.0</v>
      </c>
      <c r="I173" s="398"/>
      <c r="J173" s="398"/>
      <c r="K173" s="398">
        <v>259.97</v>
      </c>
      <c r="L173" s="398"/>
      <c r="M173" s="377"/>
      <c r="N173" s="379" t="s">
        <v>921</v>
      </c>
      <c r="O173" s="377"/>
      <c r="P173" s="377"/>
      <c r="Q173" s="400"/>
    </row>
    <row r="174" ht="15.0" customHeight="1">
      <c r="A174" s="401"/>
      <c r="B174" s="381" t="s">
        <v>639</v>
      </c>
      <c r="C174" s="381" t="s">
        <v>639</v>
      </c>
      <c r="D174" s="381" t="s">
        <v>46</v>
      </c>
      <c r="E174" s="381" t="s">
        <v>922</v>
      </c>
      <c r="F174" s="381" t="s">
        <v>46</v>
      </c>
      <c r="G174" s="381" t="s">
        <v>380</v>
      </c>
      <c r="H174" s="401">
        <v>1.0</v>
      </c>
      <c r="I174" s="402"/>
      <c r="J174" s="402"/>
      <c r="K174" s="404">
        <v>151.19</v>
      </c>
      <c r="L174" s="402">
        <f>K174*H174</f>
        <v>151.19</v>
      </c>
      <c r="M174" s="377"/>
      <c r="N174" s="381" t="s">
        <v>923</v>
      </c>
      <c r="O174" s="377"/>
      <c r="P174" s="377"/>
      <c r="Q174" s="406" t="s">
        <v>639</v>
      </c>
    </row>
    <row r="175" ht="15.0" customHeight="1">
      <c r="A175" s="383"/>
      <c r="B175" s="377"/>
      <c r="C175" s="377"/>
      <c r="D175" s="377"/>
      <c r="E175" s="431"/>
      <c r="F175" s="377"/>
      <c r="G175" s="385"/>
      <c r="H175" s="383"/>
      <c r="I175" s="383"/>
      <c r="J175" s="387"/>
      <c r="K175" s="383"/>
      <c r="L175" s="383"/>
      <c r="M175" s="377"/>
      <c r="N175" s="377"/>
      <c r="O175" s="377"/>
      <c r="P175" s="377"/>
      <c r="Q175" s="232"/>
    </row>
    <row r="176" ht="15.0" customHeight="1">
      <c r="A176" s="383"/>
      <c r="B176" s="377"/>
      <c r="C176" s="371" t="s">
        <v>924</v>
      </c>
      <c r="D176" s="377"/>
      <c r="E176" s="431" t="s">
        <v>925</v>
      </c>
      <c r="F176" s="371" t="s">
        <v>46</v>
      </c>
      <c r="G176" s="476" t="s">
        <v>926</v>
      </c>
      <c r="H176" s="385">
        <v>1.0</v>
      </c>
      <c r="I176" s="383"/>
      <c r="J176" s="387">
        <v>717.43</v>
      </c>
      <c r="K176" s="383"/>
      <c r="L176" s="383"/>
      <c r="M176" s="377"/>
      <c r="N176" s="377"/>
      <c r="O176" s="377"/>
      <c r="P176" s="377"/>
      <c r="Q176" s="232"/>
    </row>
    <row r="177" ht="15.0" customHeight="1">
      <c r="A177" s="383"/>
      <c r="B177" s="377"/>
      <c r="C177" s="377"/>
      <c r="D177" s="377"/>
      <c r="E177" s="431" t="s">
        <v>927</v>
      </c>
      <c r="F177" s="377"/>
      <c r="G177" s="385"/>
      <c r="H177" s="383"/>
      <c r="I177" s="383"/>
      <c r="J177" s="387"/>
      <c r="K177" s="383"/>
      <c r="L177" s="383"/>
      <c r="M177" s="377"/>
      <c r="N177" s="377"/>
      <c r="O177" s="377"/>
      <c r="P177" s="377"/>
      <c r="Q177" s="232"/>
    </row>
    <row r="178" ht="15.0" customHeight="1">
      <c r="A178" s="389"/>
      <c r="B178" s="377"/>
      <c r="C178" s="377"/>
      <c r="D178" s="379" t="s">
        <v>918</v>
      </c>
      <c r="E178" s="379" t="s">
        <v>928</v>
      </c>
      <c r="F178" s="379" t="s">
        <v>24</v>
      </c>
      <c r="G178" s="474" t="s">
        <v>929</v>
      </c>
      <c r="H178" s="389"/>
      <c r="I178" s="398"/>
      <c r="J178" s="398"/>
      <c r="K178" s="398">
        <v>280.35</v>
      </c>
      <c r="L178" s="398"/>
      <c r="M178" s="377"/>
      <c r="N178" s="379" t="s">
        <v>930</v>
      </c>
      <c r="O178" s="377"/>
      <c r="P178" s="377"/>
      <c r="Q178" s="400"/>
    </row>
    <row r="179" ht="15.0" customHeight="1">
      <c r="A179" s="389"/>
      <c r="B179" s="379" t="s">
        <v>639</v>
      </c>
      <c r="C179" s="379" t="s">
        <v>639</v>
      </c>
      <c r="D179" s="379" t="s">
        <v>918</v>
      </c>
      <c r="E179" s="379" t="s">
        <v>931</v>
      </c>
      <c r="F179" s="379" t="s">
        <v>24</v>
      </c>
      <c r="G179" s="379" t="s">
        <v>362</v>
      </c>
      <c r="H179" s="389">
        <v>1.0</v>
      </c>
      <c r="I179" s="398"/>
      <c r="J179" s="398"/>
      <c r="K179" s="398">
        <v>497.97</v>
      </c>
      <c r="L179" s="429">
        <f>K179*H179</f>
        <v>497.97</v>
      </c>
      <c r="M179" s="377"/>
      <c r="N179" s="379" t="s">
        <v>932</v>
      </c>
      <c r="O179" s="377"/>
      <c r="P179" s="377"/>
      <c r="Q179" s="400" t="s">
        <v>639</v>
      </c>
    </row>
    <row r="180" ht="15.0" customHeight="1">
      <c r="A180" s="389"/>
      <c r="B180" s="377"/>
      <c r="C180" s="377"/>
      <c r="D180" s="379" t="s">
        <v>918</v>
      </c>
      <c r="E180" s="379" t="s">
        <v>933</v>
      </c>
      <c r="F180" s="379" t="s">
        <v>24</v>
      </c>
      <c r="G180" s="379" t="s">
        <v>934</v>
      </c>
      <c r="H180" s="389">
        <v>1.0</v>
      </c>
      <c r="I180" s="398"/>
      <c r="J180" s="398"/>
      <c r="K180" s="398">
        <v>559.84</v>
      </c>
      <c r="L180" s="398"/>
      <c r="M180" s="377"/>
      <c r="N180" s="377"/>
      <c r="O180" s="377"/>
      <c r="P180" s="377"/>
      <c r="Q180" s="400"/>
    </row>
    <row r="181" ht="15.0" customHeight="1">
      <c r="A181" s="389"/>
      <c r="B181" s="377"/>
      <c r="C181" s="377"/>
      <c r="D181" s="379" t="s">
        <v>918</v>
      </c>
      <c r="E181" s="379" t="s">
        <v>935</v>
      </c>
      <c r="F181" s="379" t="s">
        <v>24</v>
      </c>
      <c r="G181" s="379" t="s">
        <v>936</v>
      </c>
      <c r="H181" s="389"/>
      <c r="I181" s="398"/>
      <c r="J181" s="398"/>
      <c r="K181" s="398">
        <v>622.71</v>
      </c>
      <c r="L181" s="398"/>
      <c r="M181" s="377"/>
      <c r="N181" s="377"/>
      <c r="O181" s="377"/>
      <c r="P181" s="377"/>
      <c r="Q181" s="400"/>
    </row>
    <row r="182" ht="15.0" customHeight="1">
      <c r="A182" s="401"/>
      <c r="B182" s="377"/>
      <c r="C182" s="377"/>
      <c r="D182" s="381" t="s">
        <v>937</v>
      </c>
      <c r="E182" s="408" t="s">
        <v>938</v>
      </c>
      <c r="F182" s="381" t="s">
        <v>46</v>
      </c>
      <c r="G182" s="408" t="s">
        <v>939</v>
      </c>
      <c r="H182" s="401">
        <v>1.0</v>
      </c>
      <c r="I182" s="402"/>
      <c r="J182" s="402"/>
      <c r="K182" s="402">
        <v>357.9</v>
      </c>
      <c r="L182" s="469">
        <f>K182*H182</f>
        <v>357.9</v>
      </c>
      <c r="M182" s="377"/>
      <c r="N182" s="381" t="s">
        <v>940</v>
      </c>
      <c r="O182" s="377"/>
      <c r="P182" s="377"/>
      <c r="Q182" s="406"/>
    </row>
    <row r="183" ht="15.0" customHeight="1">
      <c r="A183" s="401"/>
      <c r="B183" s="377"/>
      <c r="C183" s="377"/>
      <c r="D183" s="377"/>
      <c r="E183" s="408" t="s">
        <v>941</v>
      </c>
      <c r="F183" s="381" t="s">
        <v>46</v>
      </c>
      <c r="G183" s="408" t="s">
        <v>942</v>
      </c>
      <c r="H183" s="401">
        <v>1.0</v>
      </c>
      <c r="I183" s="402"/>
      <c r="J183" s="402"/>
      <c r="K183" s="402">
        <v>560.25</v>
      </c>
      <c r="L183" s="469"/>
      <c r="M183" s="377"/>
      <c r="N183" s="377"/>
      <c r="O183" s="377"/>
      <c r="P183" s="377"/>
      <c r="Q183" s="406"/>
    </row>
    <row r="184" ht="15.0" customHeight="1">
      <c r="A184" s="383"/>
      <c r="B184" s="377"/>
      <c r="C184" s="377"/>
      <c r="D184" s="377"/>
      <c r="E184" s="431"/>
      <c r="F184" s="377"/>
      <c r="G184" s="377"/>
      <c r="H184" s="383"/>
      <c r="I184" s="383"/>
      <c r="J184" s="383"/>
      <c r="K184" s="383"/>
      <c r="L184" s="383"/>
      <c r="M184" s="377"/>
      <c r="N184" s="377"/>
      <c r="O184" s="377"/>
      <c r="P184" s="377"/>
      <c r="Q184" s="232"/>
    </row>
    <row r="185" ht="15.0" customHeight="1">
      <c r="A185" s="383"/>
      <c r="B185" s="377"/>
      <c r="C185" s="371" t="s">
        <v>943</v>
      </c>
      <c r="D185" s="377"/>
      <c r="E185" s="377"/>
      <c r="F185" s="377"/>
      <c r="G185" s="377"/>
      <c r="H185" s="385">
        <v>1.0</v>
      </c>
      <c r="I185" s="383"/>
      <c r="J185" s="383"/>
      <c r="K185" s="387">
        <v>700.0</v>
      </c>
      <c r="L185" s="383"/>
      <c r="M185" s="377"/>
      <c r="N185" s="377"/>
      <c r="O185" s="377"/>
      <c r="P185" s="377"/>
      <c r="Q185" s="232"/>
    </row>
    <row r="186" ht="15.0" customHeight="1">
      <c r="A186" s="383"/>
      <c r="B186" s="377"/>
      <c r="C186" s="377"/>
      <c r="D186" s="377"/>
      <c r="E186" s="431" t="s">
        <v>944</v>
      </c>
      <c r="F186" s="371" t="s">
        <v>24</v>
      </c>
      <c r="G186" s="385" t="s">
        <v>406</v>
      </c>
      <c r="H186" s="383"/>
      <c r="I186" s="383"/>
      <c r="J186" s="387">
        <v>406.9</v>
      </c>
      <c r="K186" s="383"/>
      <c r="L186" s="383"/>
      <c r="M186" s="377"/>
      <c r="N186" s="377"/>
      <c r="O186" s="377"/>
      <c r="P186" s="377"/>
      <c r="Q186" s="232"/>
    </row>
    <row r="187" ht="15.0" customHeight="1">
      <c r="A187" s="389"/>
      <c r="B187" s="379" t="s">
        <v>639</v>
      </c>
      <c r="C187" s="379" t="s">
        <v>639</v>
      </c>
      <c r="D187" s="379" t="s">
        <v>24</v>
      </c>
      <c r="E187" s="379" t="s">
        <v>945</v>
      </c>
      <c r="F187" s="379" t="s">
        <v>24</v>
      </c>
      <c r="G187" s="379" t="s">
        <v>406</v>
      </c>
      <c r="H187" s="389">
        <v>1.0</v>
      </c>
      <c r="I187" s="398"/>
      <c r="J187" s="398"/>
      <c r="K187" s="398">
        <v>367.5</v>
      </c>
      <c r="L187" s="398">
        <f>K187*H187</f>
        <v>367.5</v>
      </c>
      <c r="M187" s="377"/>
      <c r="N187" s="379" t="s">
        <v>946</v>
      </c>
      <c r="O187" s="377"/>
      <c r="P187" s="377"/>
      <c r="Q187" s="400" t="s">
        <v>639</v>
      </c>
    </row>
    <row r="188" ht="15.0" customHeight="1">
      <c r="A188" s="401"/>
      <c r="B188" s="377"/>
      <c r="C188" s="377"/>
      <c r="D188" s="381" t="s">
        <v>46</v>
      </c>
      <c r="E188" s="381" t="s">
        <v>947</v>
      </c>
      <c r="F188" s="381" t="s">
        <v>46</v>
      </c>
      <c r="G188" s="381" t="s">
        <v>948</v>
      </c>
      <c r="H188" s="401">
        <v>0.0</v>
      </c>
      <c r="I188" s="402"/>
      <c r="J188" s="402"/>
      <c r="K188" s="404">
        <v>363.61</v>
      </c>
      <c r="L188" s="402"/>
      <c r="M188" s="377"/>
      <c r="N188" s="377"/>
      <c r="O188" s="377"/>
      <c r="P188" s="377"/>
      <c r="Q188" s="406"/>
    </row>
    <row r="189" ht="15.0" customHeight="1">
      <c r="A189" s="383"/>
      <c r="B189" s="377"/>
      <c r="C189" s="377"/>
      <c r="D189" s="377"/>
      <c r="E189" s="431"/>
      <c r="F189" s="377"/>
      <c r="G189" s="377"/>
      <c r="H189" s="383"/>
      <c r="I189" s="383"/>
      <c r="J189" s="383"/>
      <c r="K189" s="383"/>
      <c r="L189" s="383"/>
      <c r="M189" s="377"/>
      <c r="N189" s="377"/>
      <c r="O189" s="377"/>
      <c r="P189" s="377"/>
      <c r="Q189" s="232"/>
    </row>
    <row r="190" ht="15.0" customHeight="1">
      <c r="A190" s="383"/>
      <c r="B190" s="377"/>
      <c r="C190" s="371" t="s">
        <v>949</v>
      </c>
      <c r="D190" s="377"/>
      <c r="E190" s="371" t="s">
        <v>950</v>
      </c>
      <c r="F190" s="371" t="s">
        <v>951</v>
      </c>
      <c r="G190" s="377"/>
      <c r="H190" s="385">
        <v>1.0</v>
      </c>
      <c r="I190" s="383"/>
      <c r="J190" s="383"/>
      <c r="K190" s="387">
        <v>1200.0</v>
      </c>
      <c r="L190" s="383"/>
      <c r="M190" s="377"/>
      <c r="N190" s="371" t="s">
        <v>952</v>
      </c>
      <c r="O190" s="377"/>
      <c r="P190" s="377"/>
      <c r="Q190" s="232"/>
    </row>
    <row r="191" ht="15.0" customHeight="1">
      <c r="A191" s="401"/>
      <c r="B191" s="377"/>
      <c r="C191" s="377"/>
      <c r="D191" s="381" t="s">
        <v>46</v>
      </c>
      <c r="E191" s="381" t="s">
        <v>953</v>
      </c>
      <c r="F191" s="381" t="s">
        <v>46</v>
      </c>
      <c r="G191" s="381" t="s">
        <v>954</v>
      </c>
      <c r="H191" s="401">
        <v>1.0</v>
      </c>
      <c r="I191" s="402"/>
      <c r="J191" s="402"/>
      <c r="K191" s="404">
        <v>1148.0</v>
      </c>
      <c r="L191" s="402"/>
      <c r="M191" s="377"/>
      <c r="N191" s="377"/>
      <c r="O191" s="377"/>
      <c r="P191" s="377"/>
      <c r="Q191" s="406"/>
    </row>
    <row r="192" ht="12.75" customHeight="1">
      <c r="A192" s="383"/>
      <c r="B192" s="377"/>
      <c r="C192" s="377"/>
      <c r="D192" s="377"/>
      <c r="E192" s="377"/>
      <c r="F192" s="377"/>
      <c r="G192" s="377"/>
      <c r="H192" s="383"/>
      <c r="I192" s="383"/>
      <c r="J192" s="383"/>
      <c r="K192" s="383"/>
      <c r="L192" s="383"/>
      <c r="M192" s="377"/>
      <c r="N192" s="377"/>
      <c r="O192" s="377"/>
      <c r="P192" s="377"/>
      <c r="Q192" s="232"/>
    </row>
    <row r="193" ht="15.0" customHeight="1">
      <c r="A193" s="383"/>
      <c r="B193" s="377"/>
      <c r="C193" s="371" t="s">
        <v>955</v>
      </c>
      <c r="D193" s="377"/>
      <c r="E193" s="371" t="s">
        <v>956</v>
      </c>
      <c r="F193" s="371" t="s">
        <v>951</v>
      </c>
      <c r="G193" s="377"/>
      <c r="H193" s="385">
        <v>1.0</v>
      </c>
      <c r="I193" s="383"/>
      <c r="J193" s="383"/>
      <c r="K193" s="387">
        <v>130.0</v>
      </c>
      <c r="L193" s="383"/>
      <c r="M193" s="377"/>
      <c r="N193" s="377"/>
      <c r="O193" s="377"/>
      <c r="P193" s="377"/>
      <c r="Q193" s="232"/>
    </row>
    <row r="194" ht="15.0" customHeight="1">
      <c r="A194" s="389"/>
      <c r="B194" s="377"/>
      <c r="C194" s="377"/>
      <c r="D194" s="377"/>
      <c r="E194" s="474" t="s">
        <v>957</v>
      </c>
      <c r="F194" s="379" t="s">
        <v>24</v>
      </c>
      <c r="G194" s="474" t="s">
        <v>958</v>
      </c>
      <c r="H194" s="389">
        <v>1.0</v>
      </c>
      <c r="I194" s="398"/>
      <c r="J194" s="398"/>
      <c r="K194" s="398">
        <v>70.6</v>
      </c>
      <c r="L194" s="398">
        <f>H194*K194</f>
        <v>70.6</v>
      </c>
      <c r="M194" s="377"/>
      <c r="N194" s="379" t="s">
        <v>959</v>
      </c>
      <c r="O194" s="377"/>
      <c r="P194" s="377"/>
      <c r="Q194" s="400"/>
    </row>
    <row r="195" ht="15.0" customHeight="1">
      <c r="A195" s="401"/>
      <c r="B195" s="381" t="s">
        <v>639</v>
      </c>
      <c r="C195" s="381" t="s">
        <v>639</v>
      </c>
      <c r="D195" s="377"/>
      <c r="E195" s="408" t="s">
        <v>960</v>
      </c>
      <c r="F195" s="381" t="s">
        <v>46</v>
      </c>
      <c r="G195" s="408" t="s">
        <v>961</v>
      </c>
      <c r="H195" s="401"/>
      <c r="I195" s="402"/>
      <c r="J195" s="402"/>
      <c r="K195" s="402">
        <v>80.68</v>
      </c>
      <c r="L195" s="402"/>
      <c r="M195" s="377"/>
      <c r="N195" s="377"/>
      <c r="O195" s="377"/>
      <c r="P195" s="377"/>
      <c r="Q195" s="406" t="s">
        <v>639</v>
      </c>
    </row>
    <row r="196" ht="12.75" customHeight="1">
      <c r="A196" s="383"/>
      <c r="B196" s="377"/>
      <c r="C196" s="377"/>
      <c r="D196" s="377"/>
      <c r="E196" s="377"/>
      <c r="F196" s="377"/>
      <c r="G196" s="377"/>
      <c r="H196" s="383"/>
      <c r="I196" s="383"/>
      <c r="J196" s="383"/>
      <c r="K196" s="383"/>
      <c r="L196" s="383"/>
      <c r="M196" s="377"/>
      <c r="N196" s="377"/>
      <c r="O196" s="377"/>
      <c r="P196" s="377"/>
      <c r="Q196" s="232"/>
    </row>
    <row r="197" ht="15.0" customHeight="1">
      <c r="A197" s="383"/>
      <c r="B197" s="377"/>
      <c r="C197" s="371" t="s">
        <v>962</v>
      </c>
      <c r="D197" s="377"/>
      <c r="E197" s="377"/>
      <c r="F197" s="377"/>
      <c r="G197" s="377"/>
      <c r="H197" s="385">
        <v>1.0</v>
      </c>
      <c r="I197" s="383"/>
      <c r="J197" s="383"/>
      <c r="K197" s="383"/>
      <c r="L197" s="383"/>
      <c r="M197" s="377"/>
      <c r="N197" s="377"/>
      <c r="O197" s="377"/>
      <c r="P197" s="377"/>
      <c r="Q197" s="232"/>
    </row>
    <row r="198" ht="15.0" customHeight="1">
      <c r="A198" s="389"/>
      <c r="B198" s="377"/>
      <c r="C198" s="377"/>
      <c r="D198" s="377"/>
      <c r="E198" s="474" t="s">
        <v>963</v>
      </c>
      <c r="F198" s="379" t="s">
        <v>24</v>
      </c>
      <c r="G198" s="474" t="s">
        <v>964</v>
      </c>
      <c r="H198" s="389"/>
      <c r="I198" s="398"/>
      <c r="J198" s="398"/>
      <c r="K198" s="398">
        <v>61.49</v>
      </c>
      <c r="L198" s="398"/>
      <c r="M198" s="377"/>
      <c r="N198" s="377"/>
      <c r="O198" s="377"/>
      <c r="P198" s="377"/>
      <c r="Q198" s="400"/>
    </row>
    <row r="199" ht="15.0" customHeight="1">
      <c r="A199" s="401"/>
      <c r="B199" s="381" t="s">
        <v>639</v>
      </c>
      <c r="C199" s="381" t="s">
        <v>639</v>
      </c>
      <c r="D199" s="381" t="s">
        <v>46</v>
      </c>
      <c r="E199" s="381" t="s">
        <v>965</v>
      </c>
      <c r="F199" s="381" t="s">
        <v>46</v>
      </c>
      <c r="G199" s="381" t="s">
        <v>400</v>
      </c>
      <c r="H199" s="401">
        <v>1.0</v>
      </c>
      <c r="I199" s="402"/>
      <c r="J199" s="402"/>
      <c r="K199" s="478">
        <v>10.7</v>
      </c>
      <c r="L199" s="402">
        <f>K199*H199</f>
        <v>10.7</v>
      </c>
      <c r="M199" s="377"/>
      <c r="N199" s="377"/>
      <c r="O199" s="377"/>
      <c r="P199" s="377"/>
      <c r="Q199" s="406" t="s">
        <v>639</v>
      </c>
    </row>
    <row r="200" ht="15.0" customHeight="1">
      <c r="A200" s="383"/>
      <c r="B200" s="377"/>
      <c r="C200" s="377"/>
      <c r="D200" s="377"/>
      <c r="E200" s="371"/>
      <c r="F200" s="377"/>
      <c r="G200" s="371"/>
      <c r="H200" s="383"/>
      <c r="I200" s="383"/>
      <c r="J200" s="383"/>
      <c r="K200" s="479"/>
      <c r="L200" s="383"/>
      <c r="M200" s="377"/>
      <c r="N200" s="377"/>
      <c r="O200" s="377"/>
      <c r="P200" s="377"/>
      <c r="Q200" s="232"/>
    </row>
    <row r="201" ht="12.75" customHeight="1">
      <c r="A201" s="383"/>
      <c r="B201" s="377"/>
      <c r="C201" s="377"/>
      <c r="D201" s="377"/>
      <c r="E201" s="377"/>
      <c r="F201" s="377"/>
      <c r="G201" s="377"/>
      <c r="H201" s="383"/>
      <c r="I201" s="383"/>
      <c r="J201" s="383"/>
      <c r="K201" s="383"/>
      <c r="L201" s="383"/>
      <c r="M201" s="377"/>
      <c r="N201" s="377"/>
      <c r="O201" s="377"/>
      <c r="P201" s="377"/>
      <c r="Q201" s="232"/>
    </row>
    <row r="202" ht="15.0" customHeight="1">
      <c r="A202" s="383"/>
      <c r="B202" s="377"/>
      <c r="C202" s="371" t="s">
        <v>966</v>
      </c>
      <c r="D202" s="371" t="s">
        <v>967</v>
      </c>
      <c r="E202" s="371" t="s">
        <v>968</v>
      </c>
      <c r="F202" s="371" t="s">
        <v>24</v>
      </c>
      <c r="G202" s="377"/>
      <c r="H202" s="385">
        <v>1.0</v>
      </c>
      <c r="I202" s="383"/>
      <c r="J202" s="383"/>
      <c r="K202" s="387">
        <v>7080.0</v>
      </c>
      <c r="L202" s="383"/>
      <c r="M202" s="377"/>
      <c r="N202" s="371" t="s">
        <v>952</v>
      </c>
      <c r="O202" s="377"/>
      <c r="P202" s="377"/>
      <c r="Q202" s="232"/>
    </row>
    <row r="203" ht="15.0" customHeight="1">
      <c r="A203" s="383"/>
      <c r="B203" s="377"/>
      <c r="C203" s="377"/>
      <c r="D203" s="371" t="s">
        <v>969</v>
      </c>
      <c r="E203" s="431" t="s">
        <v>970</v>
      </c>
      <c r="F203" s="371" t="s">
        <v>971</v>
      </c>
      <c r="G203" s="377"/>
      <c r="H203" s="385">
        <v>1.0</v>
      </c>
      <c r="I203" s="383"/>
      <c r="J203" s="387">
        <f>9915.25+1406.75</f>
        <v>11322</v>
      </c>
      <c r="K203" s="383"/>
      <c r="L203" s="383"/>
      <c r="M203" s="377"/>
      <c r="N203" s="377"/>
      <c r="O203" s="377"/>
      <c r="P203" s="377"/>
      <c r="Q203" s="232"/>
    </row>
    <row r="204" ht="15.0" customHeight="1">
      <c r="A204" s="401"/>
      <c r="B204" s="377"/>
      <c r="C204" s="377"/>
      <c r="D204" s="381" t="s">
        <v>967</v>
      </c>
      <c r="E204" s="381" t="s">
        <v>972</v>
      </c>
      <c r="F204" s="381" t="s">
        <v>46</v>
      </c>
      <c r="G204" s="381" t="s">
        <v>973</v>
      </c>
      <c r="H204" s="401"/>
      <c r="I204" s="402"/>
      <c r="J204" s="402"/>
      <c r="K204" s="404">
        <v>2870.85</v>
      </c>
      <c r="L204" s="402"/>
      <c r="M204" s="377"/>
      <c r="N204" s="377"/>
      <c r="O204" s="377"/>
      <c r="P204" s="377"/>
      <c r="Q204" s="406"/>
    </row>
    <row r="205" ht="15.0" customHeight="1">
      <c r="A205" s="385"/>
      <c r="B205" s="377"/>
      <c r="C205" s="377"/>
      <c r="D205" s="377"/>
      <c r="E205" s="371" t="s">
        <v>974</v>
      </c>
      <c r="F205" s="371" t="s">
        <v>46</v>
      </c>
      <c r="G205" s="371" t="s">
        <v>975</v>
      </c>
      <c r="H205" s="385"/>
      <c r="I205" s="387"/>
      <c r="J205" s="387"/>
      <c r="K205" s="411"/>
      <c r="L205" s="387"/>
      <c r="M205" s="377"/>
      <c r="N205" s="371" t="s">
        <v>976</v>
      </c>
      <c r="O205" s="377"/>
      <c r="P205" s="377"/>
      <c r="Q205" s="232"/>
    </row>
    <row r="206" ht="15.0" customHeight="1">
      <c r="A206" s="389"/>
      <c r="B206" s="377"/>
      <c r="C206" s="377"/>
      <c r="D206" s="379" t="s">
        <v>24</v>
      </c>
      <c r="E206" s="379" t="s">
        <v>977</v>
      </c>
      <c r="F206" s="379" t="s">
        <v>24</v>
      </c>
      <c r="G206" s="379" t="s">
        <v>978</v>
      </c>
      <c r="H206" s="389">
        <v>1.0</v>
      </c>
      <c r="I206" s="398"/>
      <c r="J206" s="398"/>
      <c r="K206" s="480">
        <v>2865.0</v>
      </c>
      <c r="L206" s="398"/>
      <c r="M206" s="377"/>
      <c r="N206" s="377"/>
      <c r="O206" s="377"/>
      <c r="P206" s="377"/>
      <c r="Q206" s="400"/>
    </row>
    <row r="207" ht="15.0" customHeight="1">
      <c r="A207" s="385"/>
      <c r="B207" s="377"/>
      <c r="C207" s="377"/>
      <c r="D207" s="377"/>
      <c r="E207" s="371" t="s">
        <v>979</v>
      </c>
      <c r="F207" s="373" t="s">
        <v>980</v>
      </c>
      <c r="G207" s="371"/>
      <c r="H207" s="385"/>
      <c r="I207" s="387"/>
      <c r="J207" s="387"/>
      <c r="K207" s="411"/>
      <c r="L207" s="387">
        <v>1000.0</v>
      </c>
      <c r="M207" s="377"/>
      <c r="N207" s="377"/>
      <c r="O207" s="377"/>
      <c r="P207" s="377"/>
      <c r="Q207" s="232"/>
    </row>
    <row r="208" ht="12.75" customHeight="1">
      <c r="A208" s="383"/>
      <c r="B208" s="377"/>
      <c r="C208" s="377"/>
      <c r="D208" s="377"/>
      <c r="E208" s="377"/>
      <c r="F208" s="377"/>
      <c r="G208" s="377"/>
      <c r="H208" s="383"/>
      <c r="I208" s="383"/>
      <c r="J208" s="383"/>
      <c r="K208" s="383"/>
      <c r="L208" s="383"/>
      <c r="M208" s="377"/>
      <c r="N208" s="377"/>
      <c r="O208" s="377"/>
      <c r="P208" s="377"/>
      <c r="Q208" s="232"/>
    </row>
    <row r="209" ht="15.0" customHeight="1">
      <c r="A209" s="383"/>
      <c r="B209" s="377"/>
      <c r="C209" s="371" t="s">
        <v>981</v>
      </c>
      <c r="D209" s="377"/>
      <c r="E209" s="371" t="s">
        <v>982</v>
      </c>
      <c r="F209" s="377"/>
      <c r="G209" s="377"/>
      <c r="H209" s="385">
        <v>3.0</v>
      </c>
      <c r="I209" s="383"/>
      <c r="J209" s="383"/>
      <c r="K209" s="387">
        <v>500.0</v>
      </c>
      <c r="L209" s="383"/>
      <c r="M209" s="377"/>
      <c r="N209" s="377"/>
      <c r="O209" s="377"/>
      <c r="P209" s="377"/>
      <c r="Q209" s="232"/>
    </row>
    <row r="210" ht="15.0" customHeight="1">
      <c r="A210" s="383"/>
      <c r="B210" s="377"/>
      <c r="C210" s="377"/>
      <c r="D210" s="377"/>
      <c r="E210" s="371" t="s">
        <v>983</v>
      </c>
      <c r="F210" s="371" t="s">
        <v>46</v>
      </c>
      <c r="G210" s="371" t="s">
        <v>465</v>
      </c>
      <c r="H210" s="385">
        <v>1.0</v>
      </c>
      <c r="I210" s="387">
        <v>152.13</v>
      </c>
      <c r="J210" s="383"/>
      <c r="K210" s="383"/>
      <c r="L210" s="383"/>
      <c r="M210" s="377"/>
      <c r="N210" s="377"/>
      <c r="O210" s="377"/>
      <c r="P210" s="377"/>
      <c r="Q210" s="232"/>
    </row>
    <row r="211" ht="15.0" customHeight="1">
      <c r="A211" s="383"/>
      <c r="B211" s="377"/>
      <c r="C211" s="377"/>
      <c r="D211" s="377"/>
      <c r="E211" s="431" t="s">
        <v>984</v>
      </c>
      <c r="F211" s="371" t="s">
        <v>46</v>
      </c>
      <c r="G211" s="385" t="s">
        <v>985</v>
      </c>
      <c r="H211" s="385">
        <v>2.0</v>
      </c>
      <c r="I211" s="383"/>
      <c r="J211" s="387">
        <v>496.0</v>
      </c>
      <c r="K211" s="383"/>
      <c r="L211" s="383"/>
      <c r="M211" s="377"/>
      <c r="N211" s="377"/>
      <c r="O211" s="377"/>
      <c r="P211" s="377"/>
      <c r="Q211" s="232"/>
    </row>
    <row r="212" ht="15.0" customHeight="1">
      <c r="A212" s="389"/>
      <c r="B212" s="377"/>
      <c r="C212" s="377"/>
      <c r="D212" s="468" t="s">
        <v>24</v>
      </c>
      <c r="E212" s="396" t="str">
        <f>HYPERLINK("https://us.vwr.com/store/catalog/product.jsp?catalog_number=58816-121","VWR® Vortex Mixers, Analog with Speed control, 5 Year Warranty")</f>
        <v>VWR® Vortex Mixers, Analog with Speed control, 5 Year Warranty</v>
      </c>
      <c r="F212" s="379" t="s">
        <v>24</v>
      </c>
      <c r="G212" s="468" t="s">
        <v>986</v>
      </c>
      <c r="H212" s="389">
        <v>2.0</v>
      </c>
      <c r="I212" s="398"/>
      <c r="J212" s="398"/>
      <c r="K212" s="398">
        <v>210.0</v>
      </c>
      <c r="L212" s="398"/>
      <c r="M212" s="399"/>
      <c r="N212" s="377"/>
      <c r="O212" s="377"/>
      <c r="P212" s="377"/>
      <c r="Q212" s="400"/>
    </row>
    <row r="213" ht="15.0" customHeight="1">
      <c r="A213" s="401"/>
      <c r="B213" s="381" t="s">
        <v>639</v>
      </c>
      <c r="C213" s="381" t="s">
        <v>639</v>
      </c>
      <c r="D213" s="482" t="s">
        <v>46</v>
      </c>
      <c r="E213" s="381" t="s">
        <v>983</v>
      </c>
      <c r="F213" s="381" t="s">
        <v>46</v>
      </c>
      <c r="G213" s="381" t="s">
        <v>465</v>
      </c>
      <c r="H213" s="401">
        <v>2.0</v>
      </c>
      <c r="I213" s="402"/>
      <c r="J213" s="402"/>
      <c r="K213" s="404">
        <v>148.42</v>
      </c>
      <c r="L213" s="402">
        <f>H213*K213</f>
        <v>296.84</v>
      </c>
      <c r="M213" s="377"/>
      <c r="N213" s="377"/>
      <c r="O213" s="377"/>
      <c r="P213" s="377"/>
      <c r="Q213" s="406" t="s">
        <v>639</v>
      </c>
    </row>
    <row r="214" ht="12.75" customHeight="1">
      <c r="A214" s="383"/>
      <c r="B214" s="377"/>
      <c r="C214" s="377"/>
      <c r="D214" s="377"/>
      <c r="E214" s="377"/>
      <c r="F214" s="377"/>
      <c r="G214" s="377"/>
      <c r="H214" s="383"/>
      <c r="I214" s="383"/>
      <c r="J214" s="383"/>
      <c r="K214" s="383"/>
      <c r="L214" s="383"/>
      <c r="M214" s="377"/>
      <c r="N214" s="377"/>
      <c r="O214" s="377"/>
      <c r="P214" s="377"/>
      <c r="Q214" s="232"/>
    </row>
    <row r="215" ht="15.0" customHeight="1">
      <c r="A215" s="383"/>
      <c r="B215" s="377"/>
      <c r="C215" s="371" t="s">
        <v>987</v>
      </c>
      <c r="D215" s="377"/>
      <c r="E215" s="371" t="s">
        <v>988</v>
      </c>
      <c r="F215" s="371" t="s">
        <v>989</v>
      </c>
      <c r="G215" s="377"/>
      <c r="H215" s="385">
        <v>2.0</v>
      </c>
      <c r="I215" s="383"/>
      <c r="J215" s="383"/>
      <c r="K215" s="387">
        <v>600.0</v>
      </c>
      <c r="L215" s="383"/>
      <c r="M215" s="377"/>
      <c r="N215" s="377"/>
      <c r="O215" s="377"/>
      <c r="P215" s="377"/>
      <c r="Q215" s="232"/>
    </row>
    <row r="216" ht="15.0" customHeight="1">
      <c r="A216" s="383"/>
      <c r="B216" s="377"/>
      <c r="C216" s="377"/>
      <c r="D216" s="377"/>
      <c r="E216" s="371" t="s">
        <v>990</v>
      </c>
      <c r="F216" s="371" t="s">
        <v>46</v>
      </c>
      <c r="G216" s="377"/>
      <c r="H216" s="385">
        <v>1.0</v>
      </c>
      <c r="I216" s="387">
        <v>337.86</v>
      </c>
      <c r="J216" s="383"/>
      <c r="K216" s="383"/>
      <c r="L216" s="383"/>
      <c r="M216" s="377"/>
      <c r="N216" s="377"/>
      <c r="O216" s="377"/>
      <c r="P216" s="377"/>
      <c r="Q216" s="232"/>
    </row>
    <row r="217" ht="15.0" customHeight="1">
      <c r="A217" s="389"/>
      <c r="B217" s="377"/>
      <c r="C217" s="377"/>
      <c r="D217" s="379" t="s">
        <v>24</v>
      </c>
      <c r="E217" s="396" t="s">
        <v>991</v>
      </c>
      <c r="F217" s="379" t="s">
        <v>24</v>
      </c>
      <c r="G217" s="468" t="s">
        <v>992</v>
      </c>
      <c r="H217" s="389">
        <v>1.0</v>
      </c>
      <c r="I217" s="398"/>
      <c r="J217" s="398"/>
      <c r="K217" s="398">
        <v>325.0</v>
      </c>
      <c r="L217" s="398"/>
      <c r="M217" s="399"/>
      <c r="N217" s="377"/>
      <c r="O217" s="377"/>
      <c r="P217" s="377"/>
      <c r="Q217" s="400"/>
    </row>
    <row r="218" ht="15.0" customHeight="1">
      <c r="A218" s="401"/>
      <c r="B218" s="381" t="s">
        <v>639</v>
      </c>
      <c r="C218" s="381" t="s">
        <v>639</v>
      </c>
      <c r="D218" s="381" t="s">
        <v>46</v>
      </c>
      <c r="E218" s="408" t="s">
        <v>993</v>
      </c>
      <c r="F218" s="381" t="s">
        <v>46</v>
      </c>
      <c r="G218" s="408" t="s">
        <v>444</v>
      </c>
      <c r="H218" s="401">
        <v>1.0</v>
      </c>
      <c r="I218" s="402"/>
      <c r="J218" s="402"/>
      <c r="K218" s="404">
        <v>267.77</v>
      </c>
      <c r="L218" s="402">
        <f>K218*H218</f>
        <v>267.77</v>
      </c>
      <c r="M218" s="377"/>
      <c r="N218" s="377"/>
      <c r="O218" s="377"/>
      <c r="P218" s="377"/>
      <c r="Q218" s="406" t="s">
        <v>639</v>
      </c>
    </row>
    <row r="219" ht="12.75" customHeight="1">
      <c r="A219" s="383"/>
      <c r="B219" s="377"/>
      <c r="C219" s="377"/>
      <c r="D219" s="377"/>
      <c r="E219" s="377"/>
      <c r="F219" s="377"/>
      <c r="G219" s="377"/>
      <c r="H219" s="383"/>
      <c r="I219" s="383"/>
      <c r="J219" s="383"/>
      <c r="K219" s="383"/>
      <c r="L219" s="383"/>
      <c r="M219" s="377"/>
      <c r="N219" s="377"/>
      <c r="O219" s="377"/>
      <c r="P219" s="377"/>
      <c r="Q219" s="232"/>
    </row>
    <row r="220" ht="15.0" customHeight="1">
      <c r="A220" s="383"/>
      <c r="B220" s="377"/>
      <c r="C220" s="371" t="s">
        <v>994</v>
      </c>
      <c r="D220" s="377"/>
      <c r="E220" s="377"/>
      <c r="F220" s="377"/>
      <c r="G220" s="377"/>
      <c r="H220" s="385" t="s">
        <v>995</v>
      </c>
      <c r="I220" s="383"/>
      <c r="J220" s="383"/>
      <c r="K220" s="383"/>
      <c r="L220" s="383"/>
      <c r="M220" s="377"/>
      <c r="N220" s="377"/>
      <c r="O220" s="377"/>
      <c r="P220" s="377"/>
      <c r="Q220" s="232"/>
    </row>
    <row r="221" ht="15.0" customHeight="1">
      <c r="A221" s="383"/>
      <c r="B221" s="377"/>
      <c r="C221" s="377"/>
      <c r="D221" s="371" t="s">
        <v>774</v>
      </c>
      <c r="E221" s="371" t="s">
        <v>996</v>
      </c>
      <c r="F221" s="371" t="s">
        <v>46</v>
      </c>
      <c r="G221" s="371" t="s">
        <v>997</v>
      </c>
      <c r="H221" s="383"/>
      <c r="I221" s="387">
        <v>133.73</v>
      </c>
      <c r="J221" s="383"/>
      <c r="K221" s="383"/>
      <c r="L221" s="383"/>
      <c r="M221" s="377"/>
      <c r="N221" s="377"/>
      <c r="O221" s="377"/>
      <c r="P221" s="377"/>
      <c r="Q221" s="232"/>
    </row>
    <row r="222" ht="15.0" customHeight="1">
      <c r="A222" s="389"/>
      <c r="B222" s="377"/>
      <c r="C222" s="377"/>
      <c r="D222" s="379" t="s">
        <v>24</v>
      </c>
      <c r="E222" s="466" t="str">
        <f>HYPERLINK("https://us.vwr.com/store/catalog/product.jsp?catalog_number=65000-000","VWR® Graduated Cylinders, Polypropylene, 10mL, ea")</f>
        <v>VWR® Graduated Cylinders, Polypropylene, 10mL, ea</v>
      </c>
      <c r="F222" s="379" t="s">
        <v>24</v>
      </c>
      <c r="G222" s="468" t="s">
        <v>998</v>
      </c>
      <c r="H222" s="389">
        <v>2.0</v>
      </c>
      <c r="I222" s="398"/>
      <c r="J222" s="398"/>
      <c r="K222" s="429">
        <v>3.0</v>
      </c>
      <c r="L222" s="398"/>
      <c r="M222" s="377"/>
      <c r="N222" s="377"/>
      <c r="O222" s="377"/>
      <c r="P222" s="377"/>
      <c r="Q222" s="400"/>
    </row>
    <row r="223" ht="15.0" customHeight="1">
      <c r="A223" s="389"/>
      <c r="B223" s="377"/>
      <c r="C223" s="377"/>
      <c r="D223" s="379" t="s">
        <v>24</v>
      </c>
      <c r="E223" s="466" t="str">
        <f>HYPERLINK("https://us.vwr.com/store/catalog/product.jsp?catalog_number=65000-002","VWR® Graduated Cylinders, Polypropylene, 25mL, ea")</f>
        <v>VWR® Graduated Cylinders, Polypropylene, 25mL, ea</v>
      </c>
      <c r="F223" s="379" t="s">
        <v>24</v>
      </c>
      <c r="G223" s="468" t="s">
        <v>999</v>
      </c>
      <c r="H223" s="389">
        <v>2.0</v>
      </c>
      <c r="I223" s="398"/>
      <c r="J223" s="398"/>
      <c r="K223" s="429">
        <v>3.1</v>
      </c>
      <c r="L223" s="398"/>
      <c r="M223" s="377"/>
      <c r="N223" s="377"/>
      <c r="O223" s="377"/>
      <c r="P223" s="377"/>
      <c r="Q223" s="400"/>
    </row>
    <row r="224" ht="15.0" customHeight="1">
      <c r="A224" s="389"/>
      <c r="B224" s="377"/>
      <c r="C224" s="377"/>
      <c r="D224" s="379" t="s">
        <v>24</v>
      </c>
      <c r="E224" s="466" t="str">
        <f>HYPERLINK("https://us.vwr.com/store/catalog/product.jsp?catalog_number=65000-004","VWR® Graduated Cylinders, Polypropylene, 50mL, ea")</f>
        <v>VWR® Graduated Cylinders, Polypropylene, 50mL, ea</v>
      </c>
      <c r="F224" s="379" t="s">
        <v>24</v>
      </c>
      <c r="G224" s="468" t="s">
        <v>1000</v>
      </c>
      <c r="H224" s="389">
        <v>2.0</v>
      </c>
      <c r="I224" s="398"/>
      <c r="J224" s="398"/>
      <c r="K224" s="429">
        <v>3.2</v>
      </c>
      <c r="L224" s="398"/>
      <c r="M224" s="377"/>
      <c r="N224" s="377"/>
      <c r="O224" s="377"/>
      <c r="P224" s="377"/>
      <c r="Q224" s="400"/>
    </row>
    <row r="225" ht="15.0" customHeight="1">
      <c r="A225" s="389"/>
      <c r="B225" s="377"/>
      <c r="C225" s="377"/>
      <c r="D225" s="379" t="s">
        <v>24</v>
      </c>
      <c r="E225" s="466" t="str">
        <f>HYPERLINK("https://us.vwr.com/store/catalog/product.jsp?catalog_number=65000-006","VWR® Graduated Cylinders, Polypropylene, 100mL, ea")</f>
        <v>VWR® Graduated Cylinders, Polypropylene, 100mL, ea</v>
      </c>
      <c r="F225" s="379" t="s">
        <v>24</v>
      </c>
      <c r="G225" s="468" t="s">
        <v>1001</v>
      </c>
      <c r="H225" s="389">
        <v>2.0</v>
      </c>
      <c r="I225" s="398"/>
      <c r="J225" s="398"/>
      <c r="K225" s="429">
        <v>3.25</v>
      </c>
      <c r="L225" s="398"/>
      <c r="M225" s="377"/>
      <c r="N225" s="377"/>
      <c r="O225" s="377"/>
      <c r="P225" s="377"/>
      <c r="Q225" s="400"/>
    </row>
    <row r="226" ht="15.0" customHeight="1">
      <c r="A226" s="389"/>
      <c r="B226" s="377"/>
      <c r="C226" s="377"/>
      <c r="D226" s="379" t="s">
        <v>24</v>
      </c>
      <c r="E226" s="466" t="str">
        <f>HYPERLINK("https://us.vwr.com/store/catalog/product.jsp?catalog_number=65000-008","VWR® Graduated Cylinders, Polypropylene, 250mL, ea")</f>
        <v>VWR® Graduated Cylinders, Polypropylene, 250mL, ea</v>
      </c>
      <c r="F226" s="379" t="s">
        <v>24</v>
      </c>
      <c r="G226" s="468" t="s">
        <v>1002</v>
      </c>
      <c r="H226" s="389">
        <v>2.0</v>
      </c>
      <c r="I226" s="398"/>
      <c r="J226" s="398"/>
      <c r="K226" s="429">
        <v>4.45</v>
      </c>
      <c r="L226" s="398"/>
      <c r="M226" s="377"/>
      <c r="N226" s="377"/>
      <c r="O226" s="377"/>
      <c r="P226" s="377"/>
      <c r="Q226" s="400"/>
    </row>
    <row r="227" ht="15.0" customHeight="1">
      <c r="A227" s="389"/>
      <c r="B227" s="377"/>
      <c r="C227" s="377"/>
      <c r="D227" s="379" t="s">
        <v>24</v>
      </c>
      <c r="E227" s="466" t="str">
        <f>HYPERLINK("https://us.vwr.com/store/catalog/product.jsp?catalog_number=65000-010","VWR® Graduated Cylinders, Polypropylene, 500mL, ea")</f>
        <v>VWR® Graduated Cylinders, Polypropylene, 500mL, ea</v>
      </c>
      <c r="F227" s="379" t="s">
        <v>24</v>
      </c>
      <c r="G227" s="468" t="s">
        <v>1003</v>
      </c>
      <c r="H227" s="389">
        <v>1.0</v>
      </c>
      <c r="I227" s="398"/>
      <c r="J227" s="398"/>
      <c r="K227" s="429">
        <v>5.65</v>
      </c>
      <c r="L227" s="398"/>
      <c r="M227" s="377"/>
      <c r="N227" s="377"/>
      <c r="O227" s="377"/>
      <c r="P227" s="377"/>
      <c r="Q227" s="400"/>
    </row>
    <row r="228" ht="15.0" customHeight="1">
      <c r="A228" s="389"/>
      <c r="B228" s="377"/>
      <c r="C228" s="377"/>
      <c r="D228" s="379" t="s">
        <v>24</v>
      </c>
      <c r="E228" s="466" t="str">
        <f>HYPERLINK("https://us.vwr.com/store/catalog/product.jsp?catalog_number=65000-000","VWR® Graduated Cylinders, Polypropylene, 1000mL, ea")</f>
        <v>VWR® Graduated Cylinders, Polypropylene, 1000mL, ea</v>
      </c>
      <c r="F228" s="379" t="s">
        <v>24</v>
      </c>
      <c r="G228" s="468" t="s">
        <v>1004</v>
      </c>
      <c r="H228" s="389">
        <v>1.0</v>
      </c>
      <c r="I228" s="398"/>
      <c r="J228" s="398"/>
      <c r="K228" s="429">
        <v>8.25</v>
      </c>
      <c r="L228" s="398"/>
      <c r="M228" s="377"/>
      <c r="N228" s="377"/>
      <c r="O228" s="377"/>
      <c r="P228" s="377"/>
      <c r="Q228" s="400"/>
    </row>
    <row r="229" ht="15.0" customHeight="1">
      <c r="A229" s="401"/>
      <c r="B229" s="381" t="s">
        <v>639</v>
      </c>
      <c r="C229" s="381" t="s">
        <v>639</v>
      </c>
      <c r="D229" s="377"/>
      <c r="E229" s="381" t="s">
        <v>1005</v>
      </c>
      <c r="F229" s="381" t="s">
        <v>46</v>
      </c>
      <c r="G229" s="377"/>
      <c r="H229" s="401">
        <v>2.0</v>
      </c>
      <c r="I229" s="402"/>
      <c r="J229" s="402"/>
      <c r="K229" s="402">
        <v>0.92</v>
      </c>
      <c r="L229" s="402">
        <f t="shared" ref="L229:L235" si="3">K229*H229</f>
        <v>1.84</v>
      </c>
      <c r="M229" s="377"/>
      <c r="N229" s="377"/>
      <c r="O229" s="377"/>
      <c r="P229" s="377"/>
      <c r="Q229" s="406" t="s">
        <v>639</v>
      </c>
    </row>
    <row r="230" ht="15.0" customHeight="1">
      <c r="A230" s="401"/>
      <c r="B230" s="381" t="s">
        <v>639</v>
      </c>
      <c r="C230" s="381" t="s">
        <v>639</v>
      </c>
      <c r="D230" s="377"/>
      <c r="E230" s="381" t="s">
        <v>1006</v>
      </c>
      <c r="F230" s="381" t="s">
        <v>46</v>
      </c>
      <c r="G230" s="377"/>
      <c r="H230" s="401">
        <v>2.0</v>
      </c>
      <c r="I230" s="402"/>
      <c r="J230" s="402"/>
      <c r="K230" s="402">
        <v>0.99</v>
      </c>
      <c r="L230" s="402">
        <f t="shared" si="3"/>
        <v>1.98</v>
      </c>
      <c r="M230" s="377"/>
      <c r="N230" s="377"/>
      <c r="O230" s="377"/>
      <c r="P230" s="377"/>
      <c r="Q230" s="406" t="s">
        <v>639</v>
      </c>
    </row>
    <row r="231" ht="15.0" customHeight="1">
      <c r="A231" s="401"/>
      <c r="B231" s="381" t="s">
        <v>639</v>
      </c>
      <c r="C231" s="381" t="s">
        <v>639</v>
      </c>
      <c r="D231" s="377"/>
      <c r="E231" s="381" t="s">
        <v>1007</v>
      </c>
      <c r="F231" s="381" t="s">
        <v>46</v>
      </c>
      <c r="G231" s="377"/>
      <c r="H231" s="401">
        <v>2.0</v>
      </c>
      <c r="I231" s="402"/>
      <c r="J231" s="402"/>
      <c r="K231" s="402">
        <v>1.16</v>
      </c>
      <c r="L231" s="402">
        <f t="shared" si="3"/>
        <v>2.32</v>
      </c>
      <c r="M231" s="377"/>
      <c r="N231" s="377"/>
      <c r="O231" s="377"/>
      <c r="P231" s="377"/>
      <c r="Q231" s="406" t="s">
        <v>639</v>
      </c>
    </row>
    <row r="232" ht="15.0" customHeight="1">
      <c r="A232" s="401"/>
      <c r="B232" s="381" t="s">
        <v>639</v>
      </c>
      <c r="C232" s="381" t="s">
        <v>639</v>
      </c>
      <c r="D232" s="377"/>
      <c r="E232" s="381" t="s">
        <v>1008</v>
      </c>
      <c r="F232" s="381" t="s">
        <v>46</v>
      </c>
      <c r="G232" s="377"/>
      <c r="H232" s="401">
        <v>2.0</v>
      </c>
      <c r="I232" s="402"/>
      <c r="J232" s="402"/>
      <c r="K232" s="402">
        <v>1.38</v>
      </c>
      <c r="L232" s="402">
        <f t="shared" si="3"/>
        <v>2.76</v>
      </c>
      <c r="M232" s="377"/>
      <c r="N232" s="377"/>
      <c r="O232" s="377"/>
      <c r="P232" s="377"/>
      <c r="Q232" s="406" t="s">
        <v>639</v>
      </c>
    </row>
    <row r="233" ht="15.0" customHeight="1">
      <c r="A233" s="401"/>
      <c r="B233" s="381" t="s">
        <v>639</v>
      </c>
      <c r="C233" s="381" t="s">
        <v>639</v>
      </c>
      <c r="D233" s="377"/>
      <c r="E233" s="381" t="s">
        <v>1009</v>
      </c>
      <c r="F233" s="381" t="s">
        <v>46</v>
      </c>
      <c r="G233" s="377"/>
      <c r="H233" s="401">
        <v>2.0</v>
      </c>
      <c r="I233" s="402"/>
      <c r="J233" s="402"/>
      <c r="K233" s="402">
        <v>2.01</v>
      </c>
      <c r="L233" s="402">
        <f t="shared" si="3"/>
        <v>4.02</v>
      </c>
      <c r="M233" s="377"/>
      <c r="N233" s="377"/>
      <c r="O233" s="377"/>
      <c r="P233" s="377"/>
      <c r="Q233" s="406" t="s">
        <v>639</v>
      </c>
    </row>
    <row r="234" ht="15.0" customHeight="1">
      <c r="A234" s="401"/>
      <c r="B234" s="381" t="s">
        <v>639</v>
      </c>
      <c r="C234" s="381" t="s">
        <v>639</v>
      </c>
      <c r="D234" s="377"/>
      <c r="E234" s="381" t="s">
        <v>1010</v>
      </c>
      <c r="F234" s="381" t="s">
        <v>46</v>
      </c>
      <c r="G234" s="377"/>
      <c r="H234" s="401">
        <v>1.0</v>
      </c>
      <c r="I234" s="402"/>
      <c r="J234" s="402"/>
      <c r="K234" s="402">
        <v>2.61</v>
      </c>
      <c r="L234" s="402">
        <f t="shared" si="3"/>
        <v>2.61</v>
      </c>
      <c r="M234" s="377"/>
      <c r="N234" s="377"/>
      <c r="O234" s="377"/>
      <c r="P234" s="377"/>
      <c r="Q234" s="406" t="s">
        <v>639</v>
      </c>
    </row>
    <row r="235" ht="15.0" customHeight="1">
      <c r="A235" s="401"/>
      <c r="B235" s="381" t="s">
        <v>639</v>
      </c>
      <c r="C235" s="381" t="s">
        <v>639</v>
      </c>
      <c r="D235" s="377"/>
      <c r="E235" s="381" t="s">
        <v>1011</v>
      </c>
      <c r="F235" s="381" t="s">
        <v>46</v>
      </c>
      <c r="G235" s="377"/>
      <c r="H235" s="401">
        <v>1.0</v>
      </c>
      <c r="I235" s="402"/>
      <c r="J235" s="402"/>
      <c r="K235" s="402">
        <v>5.32</v>
      </c>
      <c r="L235" s="402">
        <f t="shared" si="3"/>
        <v>5.32</v>
      </c>
      <c r="M235" s="377"/>
      <c r="N235" s="377"/>
      <c r="O235" s="377"/>
      <c r="P235" s="377"/>
      <c r="Q235" s="406" t="s">
        <v>639</v>
      </c>
    </row>
    <row r="236" ht="15.0" customHeight="1">
      <c r="A236" s="401"/>
      <c r="B236" s="377"/>
      <c r="C236" s="377"/>
      <c r="D236" s="377"/>
      <c r="E236" s="377"/>
      <c r="F236" s="381" t="s">
        <v>46</v>
      </c>
      <c r="G236" s="377"/>
      <c r="H236" s="401"/>
      <c r="I236" s="402"/>
      <c r="J236" s="402"/>
      <c r="K236" s="402"/>
      <c r="L236" s="402"/>
      <c r="M236" s="377"/>
      <c r="N236" s="377"/>
      <c r="O236" s="377"/>
      <c r="P236" s="377"/>
      <c r="Q236" s="406"/>
    </row>
    <row r="237" ht="15.0" customHeight="1">
      <c r="A237" s="385"/>
      <c r="B237" s="377"/>
      <c r="C237" s="377"/>
      <c r="D237" s="377"/>
      <c r="E237" s="377"/>
      <c r="F237" s="377"/>
      <c r="G237" s="377"/>
      <c r="H237" s="385"/>
      <c r="I237" s="387"/>
      <c r="J237" s="387"/>
      <c r="K237" s="387"/>
      <c r="L237" s="387"/>
      <c r="M237" s="377"/>
      <c r="N237" s="377"/>
      <c r="O237" s="377"/>
      <c r="P237" s="377"/>
      <c r="Q237" s="232"/>
    </row>
    <row r="238" ht="12.75" customHeight="1">
      <c r="A238" s="383"/>
      <c r="B238" s="377"/>
      <c r="C238" s="377"/>
      <c r="D238" s="377"/>
      <c r="E238" s="377"/>
      <c r="F238" s="377"/>
      <c r="G238" s="377"/>
      <c r="H238" s="383"/>
      <c r="I238" s="383"/>
      <c r="J238" s="383"/>
      <c r="K238" s="383"/>
      <c r="L238" s="383"/>
      <c r="M238" s="377"/>
      <c r="N238" s="377"/>
      <c r="O238" s="377"/>
      <c r="P238" s="377"/>
      <c r="Q238" s="232"/>
    </row>
    <row r="239" ht="15.0" customHeight="1">
      <c r="A239" s="383"/>
      <c r="B239" s="377"/>
      <c r="C239" s="371" t="s">
        <v>1012</v>
      </c>
      <c r="D239" s="377"/>
      <c r="E239" s="377"/>
      <c r="F239" s="377"/>
      <c r="G239" s="377"/>
      <c r="H239" s="385" t="s">
        <v>1013</v>
      </c>
      <c r="I239" s="383"/>
      <c r="J239" s="383"/>
      <c r="K239" s="383"/>
      <c r="L239" s="383"/>
      <c r="M239" s="377"/>
      <c r="N239" s="377"/>
      <c r="O239" s="377"/>
      <c r="P239" s="377"/>
      <c r="Q239" s="232"/>
    </row>
    <row r="240" ht="15.0" customHeight="1">
      <c r="A240" s="383"/>
      <c r="B240" s="377"/>
      <c r="C240" s="377"/>
      <c r="D240" s="371" t="s">
        <v>774</v>
      </c>
      <c r="E240" s="371" t="s">
        <v>1014</v>
      </c>
      <c r="F240" s="371" t="s">
        <v>46</v>
      </c>
      <c r="G240" s="371" t="s">
        <v>1015</v>
      </c>
      <c r="H240" s="383"/>
      <c r="I240" s="387">
        <v>34.76</v>
      </c>
      <c r="J240" s="383"/>
      <c r="K240" s="383"/>
      <c r="L240" s="383"/>
      <c r="M240" s="377"/>
      <c r="N240" s="377"/>
      <c r="O240" s="377"/>
      <c r="P240" s="377"/>
      <c r="Q240" s="232"/>
    </row>
    <row r="241" ht="15.0" customHeight="1">
      <c r="A241" s="389"/>
      <c r="B241" s="377"/>
      <c r="C241" s="377"/>
      <c r="D241" s="379" t="s">
        <v>24</v>
      </c>
      <c r="E241" s="396" t="str">
        <f>HYPERLINK("https://us.vwr.com/store/catalog/product.jsp?catalog_number=89000-362","VWR® Erlenmeyer Flasks, Narrow Mouth, Reinforced Beaded Top, 250mL, Pack of 12")</f>
        <v>VWR® Erlenmeyer Flasks, Narrow Mouth, Reinforced Beaded Top, 250mL, Pack of 12</v>
      </c>
      <c r="F241" s="379" t="s">
        <v>24</v>
      </c>
      <c r="G241" s="468" t="s">
        <v>1016</v>
      </c>
      <c r="H241" s="389">
        <v>1.0</v>
      </c>
      <c r="I241" s="398"/>
      <c r="J241" s="398"/>
      <c r="K241" s="429">
        <v>36.47</v>
      </c>
      <c r="L241" s="398"/>
      <c r="M241" s="377"/>
      <c r="N241" s="377"/>
      <c r="O241" s="377"/>
      <c r="P241" s="377"/>
      <c r="Q241" s="400"/>
    </row>
    <row r="242" ht="15.0" customHeight="1">
      <c r="A242" s="389"/>
      <c r="B242" s="377"/>
      <c r="C242" s="377"/>
      <c r="D242" s="379" t="s">
        <v>24</v>
      </c>
      <c r="E242" s="396" t="str">
        <f>HYPERLINK("https://us.vwr.com/store/catalog/product.jsp?catalog_number=89000-366","VWR® Erlenmeyer Flasks, Narrow Mouth, Reinforced Beaded Top, 500mL, Pack of 6")</f>
        <v>VWR® Erlenmeyer Flasks, Narrow Mouth, Reinforced Beaded Top, 500mL, Pack of 6</v>
      </c>
      <c r="F242" s="379" t="s">
        <v>24</v>
      </c>
      <c r="G242" s="468" t="s">
        <v>1017</v>
      </c>
      <c r="H242" s="389">
        <v>1.0</v>
      </c>
      <c r="I242" s="398"/>
      <c r="J242" s="398"/>
      <c r="K242" s="429">
        <v>23.21</v>
      </c>
      <c r="L242" s="398"/>
      <c r="M242" s="377"/>
      <c r="N242" s="377"/>
      <c r="O242" s="377"/>
      <c r="P242" s="377"/>
      <c r="Q242" s="400"/>
    </row>
    <row r="243" ht="15.0" customHeight="1">
      <c r="A243" s="401"/>
      <c r="B243" s="381" t="s">
        <v>639</v>
      </c>
      <c r="C243" s="483" t="s">
        <v>639</v>
      </c>
      <c r="D243" s="377"/>
      <c r="E243" s="484" t="s">
        <v>1018</v>
      </c>
      <c r="F243" s="381" t="s">
        <v>46</v>
      </c>
      <c r="G243" s="482"/>
      <c r="H243" s="401">
        <v>1.0</v>
      </c>
      <c r="I243" s="402"/>
      <c r="J243" s="402"/>
      <c r="K243" s="469">
        <v>28.0</v>
      </c>
      <c r="L243" s="402">
        <f t="shared" ref="L243:L244" si="4">K243*H243</f>
        <v>28</v>
      </c>
      <c r="M243" s="377"/>
      <c r="N243" s="377"/>
      <c r="O243" s="377"/>
      <c r="P243" s="377"/>
      <c r="Q243" s="406" t="s">
        <v>639</v>
      </c>
    </row>
    <row r="244" ht="15.0" customHeight="1">
      <c r="A244" s="401"/>
      <c r="B244" s="381" t="s">
        <v>639</v>
      </c>
      <c r="C244" s="483" t="s">
        <v>639</v>
      </c>
      <c r="D244" s="377"/>
      <c r="E244" s="484" t="s">
        <v>1019</v>
      </c>
      <c r="F244" s="381" t="s">
        <v>46</v>
      </c>
      <c r="G244" s="482"/>
      <c r="H244" s="401">
        <v>1.0</v>
      </c>
      <c r="I244" s="402"/>
      <c r="J244" s="402"/>
      <c r="K244" s="469">
        <v>17.63</v>
      </c>
      <c r="L244" s="402">
        <f t="shared" si="4"/>
        <v>17.63</v>
      </c>
      <c r="M244" s="377"/>
      <c r="N244" s="377"/>
      <c r="O244" s="377"/>
      <c r="P244" s="377"/>
      <c r="Q244" s="406" t="s">
        <v>639</v>
      </c>
    </row>
    <row r="245" ht="12.75" customHeight="1">
      <c r="A245" s="383"/>
      <c r="B245" s="377"/>
      <c r="C245" s="377"/>
      <c r="D245" s="377"/>
      <c r="E245" s="377"/>
      <c r="F245" s="377"/>
      <c r="G245" s="377"/>
      <c r="H245" s="383"/>
      <c r="I245" s="383"/>
      <c r="J245" s="383"/>
      <c r="K245" s="383"/>
      <c r="L245" s="383"/>
      <c r="M245" s="377"/>
      <c r="N245" s="377"/>
      <c r="O245" s="377"/>
      <c r="P245" s="377"/>
      <c r="Q245" s="232"/>
    </row>
    <row r="246" ht="15.0" customHeight="1">
      <c r="A246" s="383"/>
      <c r="B246" s="377"/>
      <c r="C246" s="371" t="s">
        <v>1020</v>
      </c>
      <c r="D246" s="377"/>
      <c r="E246" s="377"/>
      <c r="F246" s="377"/>
      <c r="G246" s="377"/>
      <c r="H246" s="385" t="s">
        <v>1013</v>
      </c>
      <c r="I246" s="383"/>
      <c r="J246" s="383"/>
      <c r="K246" s="383"/>
      <c r="L246" s="383"/>
      <c r="M246" s="377"/>
      <c r="N246" s="377"/>
      <c r="O246" s="377"/>
      <c r="P246" s="377"/>
      <c r="Q246" s="232"/>
    </row>
    <row r="247" ht="15.0" customHeight="1">
      <c r="A247" s="383"/>
      <c r="B247" s="377"/>
      <c r="C247" s="377"/>
      <c r="D247" s="371" t="s">
        <v>774</v>
      </c>
      <c r="E247" s="371" t="s">
        <v>1021</v>
      </c>
      <c r="F247" s="371" t="s">
        <v>46</v>
      </c>
      <c r="G247" s="371" t="s">
        <v>1022</v>
      </c>
      <c r="H247" s="383"/>
      <c r="I247" s="387">
        <v>23.44</v>
      </c>
      <c r="J247" s="383"/>
      <c r="K247" s="383"/>
      <c r="L247" s="383"/>
      <c r="M247" s="377"/>
      <c r="N247" s="377"/>
      <c r="O247" s="377"/>
      <c r="P247" s="377"/>
      <c r="Q247" s="232"/>
    </row>
    <row r="248" ht="15.0" customHeight="1">
      <c r="A248" s="383"/>
      <c r="B248" s="377"/>
      <c r="C248" s="377"/>
      <c r="D248" s="371" t="s">
        <v>774</v>
      </c>
      <c r="E248" s="485" t="s">
        <v>1023</v>
      </c>
      <c r="F248" s="371" t="s">
        <v>308</v>
      </c>
      <c r="G248" s="377"/>
      <c r="H248" s="383"/>
      <c r="I248" s="383"/>
      <c r="J248" s="383"/>
      <c r="K248" s="387">
        <v>28.69</v>
      </c>
      <c r="L248" s="383"/>
      <c r="M248" s="377"/>
      <c r="N248" s="377"/>
      <c r="O248" s="377"/>
      <c r="P248" s="377"/>
      <c r="Q248" s="232"/>
    </row>
    <row r="249" ht="15.0" customHeight="1">
      <c r="A249" s="383"/>
      <c r="B249" s="377"/>
      <c r="C249" s="377"/>
      <c r="D249" s="371" t="s">
        <v>774</v>
      </c>
      <c r="E249" s="371" t="s">
        <v>1024</v>
      </c>
      <c r="F249" s="371" t="s">
        <v>308</v>
      </c>
      <c r="G249" s="377"/>
      <c r="H249" s="383"/>
      <c r="I249" s="383"/>
      <c r="J249" s="383"/>
      <c r="K249" s="387">
        <v>30.35</v>
      </c>
      <c r="L249" s="383"/>
      <c r="M249" s="377"/>
      <c r="N249" s="377"/>
      <c r="O249" s="377"/>
      <c r="P249" s="377"/>
      <c r="Q249" s="232"/>
    </row>
    <row r="250" ht="15.0" customHeight="1">
      <c r="A250" s="383"/>
      <c r="B250" s="377"/>
      <c r="C250" s="377"/>
      <c r="D250" s="371" t="s">
        <v>774</v>
      </c>
      <c r="E250" s="371" t="s">
        <v>1025</v>
      </c>
      <c r="F250" s="371" t="s">
        <v>308</v>
      </c>
      <c r="G250" s="377"/>
      <c r="H250" s="383"/>
      <c r="I250" s="383"/>
      <c r="J250" s="383"/>
      <c r="K250" s="387">
        <v>21.68</v>
      </c>
      <c r="L250" s="383"/>
      <c r="M250" s="377"/>
      <c r="N250" s="377"/>
      <c r="O250" s="377"/>
      <c r="P250" s="377"/>
      <c r="Q250" s="232"/>
    </row>
    <row r="251" ht="15.0" customHeight="1">
      <c r="A251" s="389"/>
      <c r="B251" s="377"/>
      <c r="C251" s="379"/>
      <c r="D251" s="379" t="s">
        <v>24</v>
      </c>
      <c r="E251" s="486" t="str">
        <f>HYPERLINK("https://us.vwr.com/store/catalog/product.jsp?catalog_number=89000-198","VWR® Griffin Low Form Beakers with Double-Capacity Scale, Borosilicate Glass, 50mL, pk of 12")</f>
        <v>VWR® Griffin Low Form Beakers with Double-Capacity Scale, Borosilicate Glass, 50mL, pk of 12</v>
      </c>
      <c r="F251" s="379" t="s">
        <v>24</v>
      </c>
      <c r="G251" s="467" t="s">
        <v>1026</v>
      </c>
      <c r="H251" s="389">
        <v>1.0</v>
      </c>
      <c r="I251" s="398"/>
      <c r="J251" s="398"/>
      <c r="K251" s="429">
        <v>27.01</v>
      </c>
      <c r="L251" s="398"/>
      <c r="M251" s="377"/>
      <c r="N251" s="377"/>
      <c r="O251" s="377"/>
      <c r="P251" s="377"/>
      <c r="Q251" s="400"/>
    </row>
    <row r="252" ht="15.0" customHeight="1">
      <c r="A252" s="389"/>
      <c r="B252" s="379" t="s">
        <v>639</v>
      </c>
      <c r="C252" s="379" t="s">
        <v>639</v>
      </c>
      <c r="D252" s="379" t="s">
        <v>24</v>
      </c>
      <c r="E252" s="396" t="str">
        <f>HYPERLINK("https://us.vwr.com/store/catalog/product.jsp?catalog_number=89000-200","VWR® Griffin Low Form Beakers with Double-Capacity Scale, Borosilicate Glass, 100mL, pk of 12")</f>
        <v>VWR® Griffin Low Form Beakers with Double-Capacity Scale, Borosilicate Glass, 100mL, pk of 12</v>
      </c>
      <c r="F252" s="379" t="s">
        <v>24</v>
      </c>
      <c r="G252" s="467" t="s">
        <v>340</v>
      </c>
      <c r="H252" s="389">
        <v>1.0</v>
      </c>
      <c r="I252" s="398"/>
      <c r="J252" s="398"/>
      <c r="K252" s="429">
        <v>12.5</v>
      </c>
      <c r="L252" s="398">
        <f>K252*H252</f>
        <v>12.5</v>
      </c>
      <c r="M252" s="377"/>
      <c r="N252" s="377"/>
      <c r="O252" s="377"/>
      <c r="P252" s="377"/>
      <c r="Q252" s="400" t="s">
        <v>639</v>
      </c>
    </row>
    <row r="253" ht="15.0" customHeight="1">
      <c r="A253" s="389"/>
      <c r="B253" s="377"/>
      <c r="C253" s="377"/>
      <c r="D253" s="379" t="s">
        <v>24</v>
      </c>
      <c r="E253" s="396" t="str">
        <f>HYPERLINK("https://us.vwr.com/store/catalog/product.jsp?catalog_number=89000-208","VWR® Griffin Low Form Beakers with Double-Capacity Scale, Borosilicate Glass, 600mL, pk of 6")</f>
        <v>VWR® Griffin Low Form Beakers with Double-Capacity Scale, Borosilicate Glass, 600mL, pk of 6</v>
      </c>
      <c r="F253" s="379" t="s">
        <v>24</v>
      </c>
      <c r="G253" s="467" t="s">
        <v>1027</v>
      </c>
      <c r="H253" s="389">
        <v>1.0</v>
      </c>
      <c r="I253" s="398"/>
      <c r="J253" s="398"/>
      <c r="K253" s="429">
        <v>20.0</v>
      </c>
      <c r="L253" s="398"/>
      <c r="M253" s="377"/>
      <c r="N253" s="377"/>
      <c r="O253" s="377"/>
      <c r="P253" s="377"/>
      <c r="Q253" s="400"/>
    </row>
    <row r="254" ht="15.0" customHeight="1">
      <c r="A254" s="401"/>
      <c r="B254" s="381" t="s">
        <v>639</v>
      </c>
      <c r="C254" s="381" t="s">
        <v>639</v>
      </c>
      <c r="D254" s="377"/>
      <c r="E254" s="484" t="s">
        <v>1028</v>
      </c>
      <c r="F254" s="381" t="s">
        <v>46</v>
      </c>
      <c r="G254" s="408" t="s">
        <v>373</v>
      </c>
      <c r="H254" s="401">
        <v>1.0</v>
      </c>
      <c r="I254" s="402"/>
      <c r="J254" s="402"/>
      <c r="K254" s="469">
        <v>23.99</v>
      </c>
      <c r="L254" s="402">
        <f>K254*H254</f>
        <v>23.99</v>
      </c>
      <c r="M254" s="377"/>
      <c r="N254" s="377"/>
      <c r="O254" s="377"/>
      <c r="P254" s="377"/>
      <c r="Q254" s="406" t="s">
        <v>639</v>
      </c>
    </row>
    <row r="255" ht="15.0" customHeight="1">
      <c r="A255" s="401"/>
      <c r="B255" s="377"/>
      <c r="C255" s="377"/>
      <c r="D255" s="377"/>
      <c r="E255" s="484" t="s">
        <v>1029</v>
      </c>
      <c r="F255" s="381" t="s">
        <v>46</v>
      </c>
      <c r="G255" s="487"/>
      <c r="H255" s="401">
        <v>1.0</v>
      </c>
      <c r="I255" s="402"/>
      <c r="J255" s="402"/>
      <c r="K255" s="469">
        <v>23.49</v>
      </c>
      <c r="L255" s="402"/>
      <c r="M255" s="377"/>
      <c r="N255" s="377"/>
      <c r="O255" s="377"/>
      <c r="P255" s="377"/>
      <c r="Q255" s="406"/>
    </row>
    <row r="256" ht="15.0" customHeight="1">
      <c r="A256" s="401"/>
      <c r="B256" s="381" t="s">
        <v>639</v>
      </c>
      <c r="C256" s="483" t="s">
        <v>639</v>
      </c>
      <c r="D256" s="377"/>
      <c r="E256" s="484" t="s">
        <v>1030</v>
      </c>
      <c r="F256" s="381" t="s">
        <v>46</v>
      </c>
      <c r="G256" s="487"/>
      <c r="H256" s="401">
        <v>1.0</v>
      </c>
      <c r="I256" s="402"/>
      <c r="J256" s="402"/>
      <c r="K256" s="469">
        <v>17.38</v>
      </c>
      <c r="L256" s="402">
        <f>K256*H256</f>
        <v>17.38</v>
      </c>
      <c r="M256" s="377"/>
      <c r="N256" s="377"/>
      <c r="O256" s="377"/>
      <c r="P256" s="377"/>
      <c r="Q256" s="406" t="s">
        <v>639</v>
      </c>
    </row>
    <row r="257" ht="12.75" customHeight="1">
      <c r="A257" s="383"/>
      <c r="B257" s="377"/>
      <c r="C257" s="377"/>
      <c r="D257" s="377"/>
      <c r="E257" s="377"/>
      <c r="F257" s="377"/>
      <c r="G257" s="377"/>
      <c r="H257" s="383"/>
      <c r="I257" s="383"/>
      <c r="J257" s="383"/>
      <c r="K257" s="383"/>
      <c r="L257" s="383"/>
      <c r="M257" s="377"/>
      <c r="N257" s="377"/>
      <c r="O257" s="377"/>
      <c r="P257" s="377"/>
      <c r="Q257" s="232"/>
    </row>
    <row r="258" ht="15.0" customHeight="1">
      <c r="A258" s="383"/>
      <c r="B258" s="377"/>
      <c r="C258" s="371" t="s">
        <v>1031</v>
      </c>
      <c r="D258" s="377"/>
      <c r="E258" s="377"/>
      <c r="F258" s="377"/>
      <c r="G258" s="377"/>
      <c r="H258" s="383"/>
      <c r="I258" s="383"/>
      <c r="J258" s="383"/>
      <c r="K258" s="383"/>
      <c r="L258" s="383"/>
      <c r="M258" s="377"/>
      <c r="N258" s="377"/>
      <c r="O258" s="377"/>
      <c r="P258" s="377"/>
      <c r="Q258" s="232"/>
    </row>
    <row r="259" ht="15.0" customHeight="1">
      <c r="A259" s="383"/>
      <c r="B259" s="377"/>
      <c r="C259" s="377"/>
      <c r="D259" s="371" t="s">
        <v>774</v>
      </c>
      <c r="E259" s="488" t="s">
        <v>1032</v>
      </c>
      <c r="F259" s="371" t="s">
        <v>46</v>
      </c>
      <c r="G259" s="488" t="s">
        <v>1033</v>
      </c>
      <c r="H259" s="385">
        <v>1.0</v>
      </c>
      <c r="I259" s="387">
        <v>54.0</v>
      </c>
      <c r="J259" s="383"/>
      <c r="K259" s="489"/>
      <c r="L259" s="383"/>
      <c r="M259" s="377"/>
      <c r="N259" s="371" t="s">
        <v>1034</v>
      </c>
      <c r="O259" s="377"/>
      <c r="P259" s="377"/>
      <c r="Q259" s="232"/>
    </row>
    <row r="260" ht="15.0" customHeight="1">
      <c r="A260" s="389"/>
      <c r="B260" s="377"/>
      <c r="C260" s="377"/>
      <c r="D260" s="490" t="s">
        <v>24</v>
      </c>
      <c r="E260" s="491" t="str">
        <f>HYPERLINK("https://us.vwr.com/store/catalog/product.jsp?catalog_number=89000-236","VWR® Storage/Media Bottles, Bottles with Standard GL45 Polypropylene Caps, 250mL, Case of 10")</f>
        <v>VWR® Storage/Media Bottles, Bottles with Standard GL45 Polypropylene Caps, 250mL, Case of 10</v>
      </c>
      <c r="F260" s="492" t="s">
        <v>24</v>
      </c>
      <c r="G260" s="493" t="s">
        <v>1035</v>
      </c>
      <c r="H260" s="494"/>
      <c r="I260" s="398"/>
      <c r="J260" s="495"/>
      <c r="K260" s="496">
        <v>43.0</v>
      </c>
      <c r="L260" s="497"/>
      <c r="M260" s="377"/>
      <c r="N260" s="377"/>
      <c r="O260" s="377"/>
      <c r="P260" s="377"/>
      <c r="Q260" s="400"/>
    </row>
    <row r="261" ht="15.0" customHeight="1">
      <c r="A261" s="389"/>
      <c r="B261" s="377"/>
      <c r="C261" s="377"/>
      <c r="D261" s="490" t="s">
        <v>24</v>
      </c>
      <c r="E261" s="491" t="str">
        <f>HYPERLINK("https://us.vwr.com/store/catalog/product.jsp?catalog_number=89000-238","VWR® Storage/Media Bottles Bottles with Standard GL45 Polypropylene Caps, 500mL Case of 10")</f>
        <v>VWR® Storage/Media Bottles Bottles with Standard GL45 Polypropylene Caps, 500mL Case of 10</v>
      </c>
      <c r="F261" s="492" t="s">
        <v>24</v>
      </c>
      <c r="G261" s="493" t="s">
        <v>1036</v>
      </c>
      <c r="H261" s="494"/>
      <c r="I261" s="398"/>
      <c r="J261" s="495"/>
      <c r="K261" s="496">
        <v>54.5</v>
      </c>
      <c r="L261" s="497"/>
      <c r="M261" s="377"/>
      <c r="N261" s="377"/>
      <c r="O261" s="377"/>
      <c r="P261" s="377"/>
      <c r="Q261" s="400"/>
    </row>
    <row r="262" ht="15.0" customHeight="1">
      <c r="A262" s="401"/>
      <c r="B262" s="381" t="s">
        <v>639</v>
      </c>
      <c r="C262" s="381" t="s">
        <v>639</v>
      </c>
      <c r="D262" s="377"/>
      <c r="E262" s="498" t="s">
        <v>1037</v>
      </c>
      <c r="F262" s="381" t="s">
        <v>46</v>
      </c>
      <c r="G262" s="499"/>
      <c r="H262" s="401">
        <v>1.0</v>
      </c>
      <c r="I262" s="402"/>
      <c r="J262" s="402"/>
      <c r="K262" s="500">
        <v>26.7</v>
      </c>
      <c r="L262" s="469">
        <f t="shared" ref="L262:L263" si="5">K262*H262</f>
        <v>26.7</v>
      </c>
      <c r="M262" s="377"/>
      <c r="N262" s="377"/>
      <c r="O262" s="377"/>
      <c r="P262" s="377"/>
      <c r="Q262" s="406" t="s">
        <v>639</v>
      </c>
    </row>
    <row r="263" ht="15.0" customHeight="1">
      <c r="A263" s="401"/>
      <c r="B263" s="381" t="s">
        <v>639</v>
      </c>
      <c r="C263" s="381" t="s">
        <v>639</v>
      </c>
      <c r="D263" s="377"/>
      <c r="E263" s="381" t="s">
        <v>1038</v>
      </c>
      <c r="F263" s="381" t="s">
        <v>46</v>
      </c>
      <c r="G263" s="377"/>
      <c r="H263" s="401">
        <v>1.0</v>
      </c>
      <c r="I263" s="402"/>
      <c r="J263" s="402"/>
      <c r="K263" s="402">
        <v>33.53</v>
      </c>
      <c r="L263" s="469">
        <f t="shared" si="5"/>
        <v>33.53</v>
      </c>
      <c r="M263" s="377"/>
      <c r="N263" s="377"/>
      <c r="O263" s="377"/>
      <c r="P263" s="377"/>
      <c r="Q263" s="406" t="s">
        <v>639</v>
      </c>
    </row>
    <row r="264" ht="12.75" customHeight="1">
      <c r="A264" s="383"/>
      <c r="B264" s="377"/>
      <c r="C264" s="377"/>
      <c r="D264" s="377"/>
      <c r="E264" s="377"/>
      <c r="F264" s="377"/>
      <c r="G264" s="377"/>
      <c r="H264" s="383"/>
      <c r="I264" s="383"/>
      <c r="J264" s="383"/>
      <c r="K264" s="383"/>
      <c r="L264" s="383"/>
      <c r="M264" s="377"/>
      <c r="N264" s="377"/>
      <c r="O264" s="377"/>
      <c r="P264" s="377"/>
      <c r="Q264" s="232"/>
    </row>
    <row r="265" ht="15.0" customHeight="1">
      <c r="A265" s="383"/>
      <c r="B265" s="377"/>
      <c r="C265" s="371" t="s">
        <v>1039</v>
      </c>
      <c r="D265" s="377"/>
      <c r="E265" s="431" t="s">
        <v>1040</v>
      </c>
      <c r="F265" s="371" t="s">
        <v>46</v>
      </c>
      <c r="G265" s="385" t="s">
        <v>1041</v>
      </c>
      <c r="H265" s="383"/>
      <c r="I265" s="383"/>
      <c r="J265" s="387">
        <v>131.69</v>
      </c>
      <c r="K265" s="383"/>
      <c r="L265" s="383"/>
      <c r="M265" s="377"/>
      <c r="N265" s="377"/>
      <c r="O265" s="377"/>
      <c r="P265" s="377"/>
      <c r="Q265" s="232"/>
    </row>
    <row r="266" ht="15.0" customHeight="1">
      <c r="A266" s="389"/>
      <c r="B266" s="379" t="s">
        <v>639</v>
      </c>
      <c r="C266" s="379" t="s">
        <v>639</v>
      </c>
      <c r="D266" s="379" t="s">
        <v>24</v>
      </c>
      <c r="E266" s="396" t="str">
        <f>HYPERLINK("https://us.vwr.com/store/catalog/product.jsp?catalog_number=89170-790","VWR® Polypropylene Carboy, 10L   Polypropylene Carboys with Spigot")</f>
        <v>VWR® Polypropylene Carboy, 10L   Polypropylene Carboys with Spigot</v>
      </c>
      <c r="F266" s="379" t="s">
        <v>24</v>
      </c>
      <c r="G266" s="467" t="s">
        <v>346</v>
      </c>
      <c r="H266" s="389">
        <v>2.0</v>
      </c>
      <c r="I266" s="398"/>
      <c r="J266" s="398"/>
      <c r="K266" s="429">
        <v>74.89</v>
      </c>
      <c r="L266" s="398">
        <f>K266*H266</f>
        <v>149.78</v>
      </c>
      <c r="M266" s="377"/>
      <c r="N266" s="379" t="s">
        <v>1042</v>
      </c>
      <c r="O266" s="379">
        <f>150/3</f>
        <v>50</v>
      </c>
      <c r="P266" s="377"/>
      <c r="Q266" s="400">
        <v>1.0</v>
      </c>
    </row>
    <row r="267" ht="15.0" customHeight="1">
      <c r="A267" s="401"/>
      <c r="B267" s="377"/>
      <c r="C267" s="377"/>
      <c r="D267" s="381" t="s">
        <v>46</v>
      </c>
      <c r="E267" s="381" t="s">
        <v>1043</v>
      </c>
      <c r="F267" s="381" t="s">
        <v>46</v>
      </c>
      <c r="G267" s="381" t="s">
        <v>1044</v>
      </c>
      <c r="H267" s="401">
        <v>1.0</v>
      </c>
      <c r="I267" s="402"/>
      <c r="J267" s="402"/>
      <c r="K267" s="402">
        <v>72.51</v>
      </c>
      <c r="L267" s="402"/>
      <c r="M267" s="377"/>
      <c r="N267" s="377"/>
      <c r="O267" s="377"/>
      <c r="P267" s="377"/>
      <c r="Q267" s="406"/>
    </row>
    <row r="268" ht="12.75" customHeight="1">
      <c r="A268" s="383"/>
      <c r="B268" s="377"/>
      <c r="C268" s="377"/>
      <c r="D268" s="377"/>
      <c r="E268" s="377"/>
      <c r="F268" s="377"/>
      <c r="G268" s="377"/>
      <c r="H268" s="383"/>
      <c r="I268" s="383"/>
      <c r="J268" s="383"/>
      <c r="K268" s="383"/>
      <c r="L268" s="383"/>
      <c r="M268" s="377"/>
      <c r="N268" s="377"/>
      <c r="O268" s="377"/>
      <c r="P268" s="377"/>
      <c r="Q268" s="232"/>
    </row>
    <row r="269" ht="15.0" customHeight="1">
      <c r="A269" s="383"/>
      <c r="B269" s="377"/>
      <c r="C269" s="371" t="s">
        <v>1045</v>
      </c>
      <c r="D269" s="377"/>
      <c r="E269" s="377"/>
      <c r="F269" s="377"/>
      <c r="G269" s="377"/>
      <c r="H269" s="385">
        <v>4.0</v>
      </c>
      <c r="I269" s="383"/>
      <c r="J269" s="383"/>
      <c r="K269" s="383"/>
      <c r="L269" s="383"/>
      <c r="M269" s="377"/>
      <c r="N269" s="377"/>
      <c r="O269" s="377"/>
      <c r="P269" s="377"/>
      <c r="Q269" s="232"/>
    </row>
    <row r="270" ht="15.0" customHeight="1">
      <c r="A270" s="383"/>
      <c r="B270" s="377"/>
      <c r="C270" s="377"/>
      <c r="D270" s="377"/>
      <c r="E270" s="371" t="s">
        <v>1046</v>
      </c>
      <c r="F270" s="371" t="s">
        <v>46</v>
      </c>
      <c r="G270" s="371" t="s">
        <v>1047</v>
      </c>
      <c r="H270" s="385">
        <v>4.0</v>
      </c>
      <c r="I270" s="387">
        <v>2.97</v>
      </c>
      <c r="J270" s="383"/>
      <c r="K270" s="383"/>
      <c r="L270" s="383"/>
      <c r="M270" s="377"/>
      <c r="N270" s="377"/>
      <c r="O270" s="377"/>
      <c r="P270" s="377"/>
      <c r="Q270" s="232"/>
    </row>
    <row r="271" ht="15.0" customHeight="1">
      <c r="A271" s="389"/>
      <c r="B271" s="379" t="s">
        <v>639</v>
      </c>
      <c r="C271" s="379" t="s">
        <v>639</v>
      </c>
      <c r="D271" s="379" t="s">
        <v>24</v>
      </c>
      <c r="E271" s="396" t="str">
        <f>HYPERLINK("https://us.vwr.com/store/catalog/product.jsp?catalog_number=16650-264","VWR® Wash Bottles, Low-Density Polyethylene, Wide Mouth 6pk Blue Cap")</f>
        <v>VWR® Wash Bottles, Low-Density Polyethylene, Wide Mouth 6pk Blue Cap</v>
      </c>
      <c r="F271" s="379" t="s">
        <v>24</v>
      </c>
      <c r="G271" s="389" t="s">
        <v>427</v>
      </c>
      <c r="H271" s="389">
        <v>1.0</v>
      </c>
      <c r="I271" s="398"/>
      <c r="J271" s="398"/>
      <c r="K271" s="429">
        <v>19.25</v>
      </c>
      <c r="L271" s="398">
        <f>K271*H271</f>
        <v>19.25</v>
      </c>
      <c r="M271" s="377"/>
      <c r="N271" s="377"/>
      <c r="O271" s="377"/>
      <c r="P271" s="377"/>
      <c r="Q271" s="400" t="s">
        <v>639</v>
      </c>
    </row>
    <row r="272" ht="15.0" customHeight="1">
      <c r="A272" s="401"/>
      <c r="B272" s="377"/>
      <c r="C272" s="377"/>
      <c r="D272" s="377"/>
      <c r="E272" s="381" t="s">
        <v>1048</v>
      </c>
      <c r="F272" s="381" t="s">
        <v>46</v>
      </c>
      <c r="G272" s="401"/>
      <c r="H272" s="401">
        <v>1.0</v>
      </c>
      <c r="I272" s="402"/>
      <c r="J272" s="402"/>
      <c r="K272" s="469">
        <v>20.06</v>
      </c>
      <c r="L272" s="402"/>
      <c r="M272" s="377"/>
      <c r="N272" s="377"/>
      <c r="O272" s="377"/>
      <c r="P272" s="377"/>
      <c r="Q272" s="406"/>
    </row>
    <row r="273" ht="12.75" customHeight="1">
      <c r="A273" s="383"/>
      <c r="B273" s="377"/>
      <c r="C273" s="377"/>
      <c r="D273" s="377"/>
      <c r="E273" s="377"/>
      <c r="F273" s="377"/>
      <c r="G273" s="377"/>
      <c r="H273" s="383"/>
      <c r="I273" s="383"/>
      <c r="J273" s="383"/>
      <c r="K273" s="383"/>
      <c r="L273" s="383"/>
      <c r="M273" s="377"/>
      <c r="N273" s="377"/>
      <c r="O273" s="377"/>
      <c r="P273" s="377"/>
      <c r="Q273" s="232"/>
    </row>
    <row r="274" ht="15.0" customHeight="1">
      <c r="A274" s="383"/>
      <c r="B274" s="377"/>
      <c r="C274" s="371" t="s">
        <v>1049</v>
      </c>
      <c r="D274" s="377"/>
      <c r="E274" s="377"/>
      <c r="F274" s="377"/>
      <c r="G274" s="377"/>
      <c r="H274" s="383"/>
      <c r="I274" s="383"/>
      <c r="J274" s="383"/>
      <c r="K274" s="383"/>
      <c r="L274" s="383"/>
      <c r="M274" s="377"/>
      <c r="N274" s="377"/>
      <c r="O274" s="377"/>
      <c r="P274" s="377"/>
      <c r="Q274" s="232"/>
    </row>
    <row r="275" ht="15.0" customHeight="1">
      <c r="A275" s="389"/>
      <c r="B275" s="377"/>
      <c r="C275" s="377"/>
      <c r="D275" s="501" t="s">
        <v>24</v>
      </c>
      <c r="E275" s="502" t="str">
        <f>HYPERLINK("https://us.vwr.com/store/catalog/product.jsp?catalog_number=23609-182","VWR® Adjustable Spray Wash Bottle 240ml (3/pack)")</f>
        <v>VWR® Adjustable Spray Wash Bottle 240ml (3/pack)</v>
      </c>
      <c r="F275" s="379" t="s">
        <v>24</v>
      </c>
      <c r="G275" s="501" t="s">
        <v>1050</v>
      </c>
      <c r="H275" s="389">
        <v>1.0</v>
      </c>
      <c r="I275" s="398"/>
      <c r="J275" s="398"/>
      <c r="K275" s="429">
        <v>13.75</v>
      </c>
      <c r="L275" s="398"/>
      <c r="M275" s="377"/>
      <c r="N275" s="377"/>
      <c r="O275" s="377"/>
      <c r="P275" s="377"/>
      <c r="Q275" s="400"/>
    </row>
    <row r="276" ht="15.0" customHeight="1">
      <c r="A276" s="401"/>
      <c r="B276" s="381" t="s">
        <v>639</v>
      </c>
      <c r="C276" s="381" t="s">
        <v>639</v>
      </c>
      <c r="D276" s="503"/>
      <c r="E276" s="504" t="s">
        <v>1051</v>
      </c>
      <c r="F276" s="381" t="s">
        <v>46</v>
      </c>
      <c r="G276" s="503"/>
      <c r="H276" s="401">
        <v>1.0</v>
      </c>
      <c r="I276" s="402"/>
      <c r="J276" s="402"/>
      <c r="K276" s="469">
        <v>8.0</v>
      </c>
      <c r="L276" s="402">
        <f>K276*H276</f>
        <v>8</v>
      </c>
      <c r="M276" s="377"/>
      <c r="N276" s="377"/>
      <c r="O276" s="377"/>
      <c r="P276" s="377"/>
      <c r="Q276" s="406" t="s">
        <v>639</v>
      </c>
    </row>
    <row r="277" ht="12.75" customHeight="1">
      <c r="A277" s="383"/>
      <c r="B277" s="377"/>
      <c r="C277" s="377"/>
      <c r="D277" s="377"/>
      <c r="E277" s="377"/>
      <c r="F277" s="377"/>
      <c r="G277" s="377"/>
      <c r="H277" s="383"/>
      <c r="I277" s="383"/>
      <c r="J277" s="383"/>
      <c r="K277" s="383"/>
      <c r="L277" s="383"/>
      <c r="M277" s="377"/>
      <c r="N277" s="377"/>
      <c r="O277" s="377"/>
      <c r="P277" s="377"/>
      <c r="Q277" s="232"/>
    </row>
    <row r="278" ht="15.0" customHeight="1">
      <c r="A278" s="383"/>
      <c r="B278" s="377"/>
      <c r="C278" s="371" t="s">
        <v>1052</v>
      </c>
      <c r="D278" s="377"/>
      <c r="E278" s="431" t="s">
        <v>1053</v>
      </c>
      <c r="F278" s="371" t="s">
        <v>46</v>
      </c>
      <c r="G278" s="476" t="s">
        <v>1054</v>
      </c>
      <c r="H278" s="385">
        <v>1.0</v>
      </c>
      <c r="I278" s="383"/>
      <c r="J278" s="387">
        <v>51.3</v>
      </c>
      <c r="K278" s="383"/>
      <c r="L278" s="383"/>
      <c r="M278" s="377"/>
      <c r="N278" s="377"/>
      <c r="O278" s="377"/>
      <c r="P278" s="377"/>
      <c r="Q278" s="232"/>
    </row>
    <row r="279" ht="15.0" customHeight="1">
      <c r="A279" s="389"/>
      <c r="B279" s="377"/>
      <c r="C279" s="377"/>
      <c r="D279" s="379" t="s">
        <v>24</v>
      </c>
      <c r="E279" s="502" t="str">
        <f>HYPERLINK("https://us.vwr.com/store/catalog/product.jsp?catalog_number=89096-724","VWR® Expandable Bench Rack System")</f>
        <v>VWR® Expandable Bench Rack System</v>
      </c>
      <c r="F279" s="379" t="s">
        <v>24</v>
      </c>
      <c r="G279" s="467" t="s">
        <v>619</v>
      </c>
      <c r="H279" s="389">
        <v>10.0</v>
      </c>
      <c r="I279" s="398"/>
      <c r="J279" s="398"/>
      <c r="K279" s="429">
        <v>34.32</v>
      </c>
      <c r="L279" s="398"/>
      <c r="M279" s="377"/>
      <c r="N279" s="377"/>
      <c r="O279" s="377"/>
      <c r="P279" s="377"/>
      <c r="Q279" s="400"/>
    </row>
    <row r="280" ht="15.0" customHeight="1">
      <c r="A280" s="401"/>
      <c r="B280" s="381" t="s">
        <v>639</v>
      </c>
      <c r="C280" s="381" t="s">
        <v>639</v>
      </c>
      <c r="D280" s="377"/>
      <c r="E280" s="505" t="s">
        <v>1055</v>
      </c>
      <c r="F280" s="381" t="s">
        <v>46</v>
      </c>
      <c r="G280" s="487"/>
      <c r="H280" s="401">
        <v>5.0</v>
      </c>
      <c r="I280" s="402"/>
      <c r="J280" s="402"/>
      <c r="K280" s="469">
        <v>26.6</v>
      </c>
      <c r="L280" s="402">
        <f>K280*H280</f>
        <v>133</v>
      </c>
      <c r="M280" s="377"/>
      <c r="N280" s="377"/>
      <c r="O280" s="377"/>
      <c r="P280" s="377"/>
      <c r="Q280" s="406" t="s">
        <v>639</v>
      </c>
    </row>
    <row r="281" ht="15.0" customHeight="1">
      <c r="A281" s="383"/>
      <c r="B281" s="377"/>
      <c r="C281" s="377"/>
      <c r="D281" s="377"/>
      <c r="E281" s="431"/>
      <c r="F281" s="377"/>
      <c r="G281" s="476"/>
      <c r="H281" s="383"/>
      <c r="I281" s="383"/>
      <c r="J281" s="383"/>
      <c r="K281" s="383"/>
      <c r="L281" s="383"/>
      <c r="M281" s="377"/>
      <c r="N281" s="377"/>
      <c r="O281" s="377"/>
      <c r="P281" s="377"/>
      <c r="Q281" s="232"/>
    </row>
    <row r="282" ht="15.0" customHeight="1">
      <c r="A282" s="383"/>
      <c r="B282" s="377"/>
      <c r="C282" s="371" t="s">
        <v>1056</v>
      </c>
      <c r="D282" s="377"/>
      <c r="E282" s="377"/>
      <c r="F282" s="377"/>
      <c r="G282" s="377"/>
      <c r="H282" s="383"/>
      <c r="I282" s="383"/>
      <c r="J282" s="383"/>
      <c r="K282" s="383"/>
      <c r="L282" s="383"/>
      <c r="M282" s="377"/>
      <c r="N282" s="377"/>
      <c r="O282" s="377"/>
      <c r="P282" s="377"/>
      <c r="Q282" s="232"/>
    </row>
    <row r="283" ht="15.0" customHeight="1">
      <c r="A283" s="383"/>
      <c r="B283" s="377"/>
      <c r="C283" s="377"/>
      <c r="D283" s="377"/>
      <c r="E283" s="371" t="s">
        <v>1057</v>
      </c>
      <c r="F283" s="371" t="s">
        <v>46</v>
      </c>
      <c r="G283" s="371" t="s">
        <v>1058</v>
      </c>
      <c r="H283" s="383"/>
      <c r="I283" s="387">
        <v>21.3</v>
      </c>
      <c r="J283" s="383"/>
      <c r="K283" s="383"/>
      <c r="L283" s="383"/>
      <c r="M283" s="377"/>
      <c r="N283" s="377"/>
      <c r="O283" s="377"/>
      <c r="P283" s="377"/>
      <c r="Q283" s="232"/>
    </row>
    <row r="284" ht="15.0" customHeight="1">
      <c r="A284" s="401"/>
      <c r="B284" s="381" t="s">
        <v>639</v>
      </c>
      <c r="C284" s="381" t="s">
        <v>639</v>
      </c>
      <c r="D284" s="377"/>
      <c r="E284" s="381" t="s">
        <v>1055</v>
      </c>
      <c r="F284" s="381" t="s">
        <v>46</v>
      </c>
      <c r="G284" s="377"/>
      <c r="H284" s="401">
        <v>5.0</v>
      </c>
      <c r="I284" s="402"/>
      <c r="J284" s="402"/>
      <c r="K284" s="402">
        <v>24.14</v>
      </c>
      <c r="L284" s="402">
        <f>K284*H284</f>
        <v>120.7</v>
      </c>
      <c r="M284" s="377"/>
      <c r="N284" s="377"/>
      <c r="O284" s="377"/>
      <c r="P284" s="377"/>
      <c r="Q284" s="406" t="s">
        <v>639</v>
      </c>
    </row>
    <row r="285" ht="12.75" customHeight="1">
      <c r="A285" s="383"/>
      <c r="B285" s="377"/>
      <c r="C285" s="377"/>
      <c r="D285" s="377"/>
      <c r="E285" s="377"/>
      <c r="F285" s="377"/>
      <c r="G285" s="377"/>
      <c r="H285" s="383"/>
      <c r="I285" s="383"/>
      <c r="J285" s="383"/>
      <c r="K285" s="383"/>
      <c r="L285" s="383"/>
      <c r="M285" s="377"/>
      <c r="N285" s="377"/>
      <c r="O285" s="377"/>
      <c r="P285" s="377"/>
      <c r="Q285" s="232"/>
    </row>
    <row r="286" ht="15.0" customHeight="1">
      <c r="A286" s="383"/>
      <c r="B286" s="377"/>
      <c r="C286" s="371" t="s">
        <v>1059</v>
      </c>
      <c r="D286" s="377"/>
      <c r="E286" s="371" t="s">
        <v>1060</v>
      </c>
      <c r="F286" s="371" t="s">
        <v>46</v>
      </c>
      <c r="G286" s="371" t="s">
        <v>1061</v>
      </c>
      <c r="H286" s="385">
        <v>1.0</v>
      </c>
      <c r="I286" s="387">
        <v>104.28</v>
      </c>
      <c r="J286" s="383"/>
      <c r="K286" s="383"/>
      <c r="L286" s="383"/>
      <c r="M286" s="377"/>
      <c r="N286" s="377"/>
      <c r="O286" s="377"/>
      <c r="P286" s="377"/>
      <c r="Q286" s="232"/>
    </row>
    <row r="287" ht="15.0" customHeight="1">
      <c r="A287" s="383"/>
      <c r="B287" s="377"/>
      <c r="C287" s="377"/>
      <c r="D287" s="377"/>
      <c r="E287" s="371" t="s">
        <v>1062</v>
      </c>
      <c r="F287" s="371" t="s">
        <v>24</v>
      </c>
      <c r="G287" s="385" t="s">
        <v>1063</v>
      </c>
      <c r="H287" s="383"/>
      <c r="I287" s="383"/>
      <c r="J287" s="387">
        <v>132.79</v>
      </c>
      <c r="K287" s="383"/>
      <c r="L287" s="383"/>
      <c r="M287" s="377"/>
      <c r="N287" s="377"/>
      <c r="O287" s="377"/>
      <c r="P287" s="377"/>
      <c r="Q287" s="232"/>
    </row>
    <row r="288" ht="15.0" customHeight="1">
      <c r="A288" s="383"/>
      <c r="B288" s="377"/>
      <c r="C288" s="377"/>
      <c r="D288" s="377"/>
      <c r="E288" s="371" t="s">
        <v>1064</v>
      </c>
      <c r="F288" s="371" t="s">
        <v>24</v>
      </c>
      <c r="G288" s="385" t="s">
        <v>1065</v>
      </c>
      <c r="H288" s="385">
        <v>3.0</v>
      </c>
      <c r="I288" s="383"/>
      <c r="J288" s="387">
        <v>32.49</v>
      </c>
      <c r="K288" s="383"/>
      <c r="L288" s="383"/>
      <c r="M288" s="377"/>
      <c r="N288" s="377"/>
      <c r="O288" s="377"/>
      <c r="P288" s="377"/>
      <c r="Q288" s="232"/>
    </row>
    <row r="289" ht="15.0" customHeight="1">
      <c r="A289" s="383"/>
      <c r="B289" s="377"/>
      <c r="C289" s="377"/>
      <c r="D289" s="377"/>
      <c r="E289" s="506" t="s">
        <v>1066</v>
      </c>
      <c r="F289" s="371" t="s">
        <v>24</v>
      </c>
      <c r="G289" s="385" t="s">
        <v>1067</v>
      </c>
      <c r="H289" s="383"/>
      <c r="I289" s="383"/>
      <c r="J289" s="387">
        <v>103.8</v>
      </c>
      <c r="K289" s="489"/>
      <c r="L289" s="383"/>
      <c r="M289" s="377"/>
      <c r="N289" s="377"/>
      <c r="O289" s="377"/>
      <c r="P289" s="377"/>
      <c r="Q289" s="232"/>
    </row>
    <row r="290" ht="15.0" customHeight="1">
      <c r="A290" s="389"/>
      <c r="B290" s="379" t="s">
        <v>639</v>
      </c>
      <c r="C290" s="379" t="s">
        <v>639</v>
      </c>
      <c r="D290" s="490" t="s">
        <v>24</v>
      </c>
      <c r="E290" s="491" t="str">
        <f>HYPERLINK("https://us.vwr.com/store/catalog/product.jsp?catalog_number=30128-266","VWR® 80-Place Storage System (5pk)")</f>
        <v>VWR® 80-Place Storage System (5pk)</v>
      </c>
      <c r="F290" s="507" t="s">
        <v>24</v>
      </c>
      <c r="G290" s="377"/>
      <c r="H290" s="389">
        <v>4.0</v>
      </c>
      <c r="I290" s="398"/>
      <c r="J290" s="495"/>
      <c r="K290" s="496">
        <v>10.99</v>
      </c>
      <c r="L290" s="508">
        <f>K290*H290</f>
        <v>43.96</v>
      </c>
      <c r="M290" s="377"/>
      <c r="N290" s="379" t="s">
        <v>1068</v>
      </c>
      <c r="O290" s="377"/>
      <c r="P290" s="377"/>
      <c r="Q290" s="400" t="s">
        <v>639</v>
      </c>
    </row>
    <row r="291" ht="15.0" customHeight="1">
      <c r="A291" s="389"/>
      <c r="B291" s="377"/>
      <c r="C291" s="377"/>
      <c r="D291" s="379" t="s">
        <v>24</v>
      </c>
      <c r="E291" s="509" t="str">
        <f>HYPERLINK("https://us.vwr.com/store/catalog/product.jsp?catalog_number=30128-330","VWR® 96-Place Storage System, Rack for use with 0.5mL, 1.7mL, and 2.0mL microcentrifuge tubes, Pk of 5")</f>
        <v>VWR® 96-Place Storage System, Rack for use with 0.5mL, 1.7mL, and 2.0mL microcentrifuge tubes, Pk of 5</v>
      </c>
      <c r="F291" s="379" t="s">
        <v>24</v>
      </c>
      <c r="G291" s="467" t="s">
        <v>1069</v>
      </c>
      <c r="H291" s="389">
        <v>4.0</v>
      </c>
      <c r="I291" s="398"/>
      <c r="J291" s="398"/>
      <c r="K291" s="510">
        <v>24.97</v>
      </c>
      <c r="L291" s="398"/>
      <c r="M291" s="377"/>
      <c r="N291" s="379" t="s">
        <v>1070</v>
      </c>
      <c r="O291" s="377"/>
      <c r="P291" s="377"/>
      <c r="Q291" s="400"/>
    </row>
    <row r="292" ht="15.0" customHeight="1">
      <c r="A292" s="401"/>
      <c r="B292" s="377"/>
      <c r="C292" s="377"/>
      <c r="D292" s="381" t="s">
        <v>46</v>
      </c>
      <c r="E292" s="381" t="s">
        <v>1071</v>
      </c>
      <c r="F292" s="381" t="s">
        <v>46</v>
      </c>
      <c r="G292" s="487" t="s">
        <v>1072</v>
      </c>
      <c r="H292" s="401">
        <v>4.0</v>
      </c>
      <c r="I292" s="402"/>
      <c r="J292" s="402"/>
      <c r="K292" s="469">
        <v>22.48</v>
      </c>
      <c r="L292" s="402"/>
      <c r="M292" s="377"/>
      <c r="N292" s="381" t="s">
        <v>1070</v>
      </c>
      <c r="O292" s="377"/>
      <c r="P292" s="377"/>
      <c r="Q292" s="406"/>
    </row>
    <row r="293" ht="15.0" customHeight="1">
      <c r="A293" s="383"/>
      <c r="B293" s="377"/>
      <c r="C293" s="377"/>
      <c r="D293" s="377"/>
      <c r="E293" s="431"/>
      <c r="F293" s="377"/>
      <c r="G293" s="385"/>
      <c r="H293" s="383"/>
      <c r="I293" s="383"/>
      <c r="J293" s="383"/>
      <c r="K293" s="383"/>
      <c r="L293" s="383"/>
      <c r="M293" s="377"/>
      <c r="N293" s="377"/>
      <c r="O293" s="377"/>
      <c r="P293" s="377"/>
      <c r="Q293" s="232"/>
    </row>
    <row r="294" ht="15.0" customHeight="1">
      <c r="A294" s="383"/>
      <c r="B294" s="377"/>
      <c r="C294" s="371" t="s">
        <v>1073</v>
      </c>
      <c r="D294" s="377"/>
      <c r="E294" s="371" t="s">
        <v>1074</v>
      </c>
      <c r="F294" s="371" t="s">
        <v>46</v>
      </c>
      <c r="G294" s="371" t="s">
        <v>1075</v>
      </c>
      <c r="H294" s="385">
        <v>1.0</v>
      </c>
      <c r="I294" s="387">
        <v>131.8</v>
      </c>
      <c r="J294" s="383"/>
      <c r="K294" s="383"/>
      <c r="L294" s="383"/>
      <c r="M294" s="377"/>
      <c r="N294" s="377"/>
      <c r="O294" s="377"/>
      <c r="P294" s="377"/>
      <c r="Q294" s="232"/>
    </row>
    <row r="295" ht="15.0" customHeight="1">
      <c r="A295" s="383"/>
      <c r="B295" s="377"/>
      <c r="C295" s="377"/>
      <c r="D295" s="377"/>
      <c r="E295" s="371" t="s">
        <v>1076</v>
      </c>
      <c r="F295" s="371" t="s">
        <v>46</v>
      </c>
      <c r="G295" s="371" t="s">
        <v>1077</v>
      </c>
      <c r="H295" s="385">
        <v>1.0</v>
      </c>
      <c r="I295" s="387">
        <v>112.39</v>
      </c>
      <c r="J295" s="383"/>
      <c r="K295" s="383"/>
      <c r="L295" s="383"/>
      <c r="M295" s="377"/>
      <c r="N295" s="377"/>
      <c r="O295" s="377"/>
      <c r="P295" s="377"/>
      <c r="Q295" s="232"/>
    </row>
    <row r="296" ht="15.0" customHeight="1">
      <c r="A296" s="383"/>
      <c r="B296" s="377"/>
      <c r="C296" s="377"/>
      <c r="D296" s="377"/>
      <c r="E296" s="431" t="s">
        <v>1078</v>
      </c>
      <c r="F296" s="371" t="s">
        <v>24</v>
      </c>
      <c r="G296" s="385" t="s">
        <v>1079</v>
      </c>
      <c r="H296" s="385">
        <v>2.0</v>
      </c>
      <c r="I296" s="383"/>
      <c r="J296" s="387">
        <v>103.6</v>
      </c>
      <c r="K296" s="383"/>
      <c r="L296" s="383"/>
      <c r="M296" s="377"/>
      <c r="N296" s="377"/>
      <c r="O296" s="377"/>
      <c r="P296" s="377"/>
      <c r="Q296" s="232"/>
    </row>
    <row r="297" ht="15.0" customHeight="1">
      <c r="A297" s="383"/>
      <c r="B297" s="377"/>
      <c r="C297" s="377"/>
      <c r="D297" s="377"/>
      <c r="E297" s="506" t="s">
        <v>1080</v>
      </c>
      <c r="F297" s="488" t="s">
        <v>24</v>
      </c>
      <c r="G297" s="511" t="s">
        <v>1081</v>
      </c>
      <c r="H297" s="385">
        <v>1.0</v>
      </c>
      <c r="I297" s="383"/>
      <c r="J297" s="387">
        <v>112.48</v>
      </c>
      <c r="K297" s="489"/>
      <c r="L297" s="383"/>
      <c r="M297" s="377"/>
      <c r="N297" s="377"/>
      <c r="O297" s="377"/>
      <c r="P297" s="377"/>
      <c r="Q297" s="232"/>
    </row>
    <row r="298" ht="15.0" customHeight="1">
      <c r="A298" s="389"/>
      <c r="B298" s="377"/>
      <c r="C298" s="377"/>
      <c r="D298" s="512"/>
      <c r="E298" s="491" t="str">
        <f>HYPERLINK("https://us.vwr.com/store/catalog/product.jsp?catalog_number=83009-690","VWR® PCR Workstation - removable 96 well rack that holds strips, plates or individual tubes")</f>
        <v>VWR® PCR Workstation - removable 96 well rack that holds strips, plates or individual tubes</v>
      </c>
      <c r="F298" s="513" t="str">
        <f>HYPERLINK("https://us.vwr.com/store/content/externalContentPage.jsp?path=/en_US/promotions_main_current_promos.jsp&amp;navAction=ext&amp;navCount=0","VWR")</f>
        <v>VWR</v>
      </c>
      <c r="G298" s="493" t="s">
        <v>1082</v>
      </c>
      <c r="H298" s="494">
        <v>4.0</v>
      </c>
      <c r="I298" s="398"/>
      <c r="J298" s="495"/>
      <c r="K298" s="496">
        <v>24.66</v>
      </c>
      <c r="L298" s="497"/>
      <c r="M298" s="377"/>
      <c r="N298" s="379" t="s">
        <v>1083</v>
      </c>
      <c r="O298" s="377"/>
      <c r="P298" s="377"/>
      <c r="Q298" s="400"/>
    </row>
    <row r="299" ht="15.0" customHeight="1">
      <c r="A299" s="401"/>
      <c r="B299" s="381" t="s">
        <v>639</v>
      </c>
      <c r="C299" s="381" t="s">
        <v>639</v>
      </c>
      <c r="D299" s="381" t="s">
        <v>46</v>
      </c>
      <c r="E299" s="498" t="s">
        <v>1084</v>
      </c>
      <c r="F299" s="498" t="s">
        <v>46</v>
      </c>
      <c r="G299" s="499"/>
      <c r="H299" s="401">
        <v>1.0</v>
      </c>
      <c r="I299" s="402"/>
      <c r="J299" s="402"/>
      <c r="K299" s="500">
        <v>90.76</v>
      </c>
      <c r="L299" s="469">
        <f>K299*H299</f>
        <v>90.76</v>
      </c>
      <c r="M299" s="377"/>
      <c r="N299" s="381" t="s">
        <v>1085</v>
      </c>
      <c r="O299" s="377"/>
      <c r="P299" s="377"/>
      <c r="Q299" s="406" t="s">
        <v>639</v>
      </c>
    </row>
    <row r="300" ht="12.75" customHeight="1">
      <c r="A300" s="383"/>
      <c r="B300" s="377"/>
      <c r="C300" s="377"/>
      <c r="D300" s="377"/>
      <c r="E300" s="377"/>
      <c r="F300" s="377"/>
      <c r="G300" s="377"/>
      <c r="H300" s="383"/>
      <c r="I300" s="383"/>
      <c r="J300" s="383"/>
      <c r="K300" s="383"/>
      <c r="L300" s="383"/>
      <c r="M300" s="377"/>
      <c r="N300" s="377"/>
      <c r="O300" s="377"/>
      <c r="P300" s="377"/>
      <c r="Q300" s="232"/>
    </row>
    <row r="301" ht="15.0" customHeight="1">
      <c r="A301" s="383"/>
      <c r="B301" s="377"/>
      <c r="C301" s="371" t="s">
        <v>1086</v>
      </c>
      <c r="D301" s="377"/>
      <c r="E301" s="377"/>
      <c r="F301" s="371" t="s">
        <v>1087</v>
      </c>
      <c r="G301" s="377"/>
      <c r="H301" s="385">
        <v>1.0</v>
      </c>
      <c r="I301" s="383"/>
      <c r="J301" s="383"/>
      <c r="K301" s="387">
        <v>150.0</v>
      </c>
      <c r="L301" s="383"/>
      <c r="M301" s="377"/>
      <c r="N301" s="377"/>
      <c r="O301" s="377"/>
      <c r="P301" s="377"/>
      <c r="Q301" s="232"/>
    </row>
    <row r="302" ht="15.0" customHeight="1">
      <c r="A302" s="389"/>
      <c r="B302" s="379" t="s">
        <v>639</v>
      </c>
      <c r="C302" s="379" t="s">
        <v>639</v>
      </c>
      <c r="D302" s="379" t="s">
        <v>24</v>
      </c>
      <c r="E302" s="466" t="str">
        <f>HYPERLINK("https://us.vwr.com/store/catalog/product.jsp?catalog_number=470121-816","Heavy Duty Service/Utility Cart")</f>
        <v>Heavy Duty Service/Utility Cart</v>
      </c>
      <c r="F302" s="379" t="s">
        <v>24</v>
      </c>
      <c r="G302" s="467" t="s">
        <v>458</v>
      </c>
      <c r="H302" s="389">
        <v>1.0</v>
      </c>
      <c r="I302" s="398"/>
      <c r="J302" s="398"/>
      <c r="K302" s="429">
        <v>175.0</v>
      </c>
      <c r="L302" s="398">
        <f>K302*H302</f>
        <v>175</v>
      </c>
      <c r="M302" s="377"/>
      <c r="N302" s="377"/>
      <c r="O302" s="377"/>
      <c r="P302" s="377"/>
      <c r="Q302" s="400" t="s">
        <v>639</v>
      </c>
    </row>
    <row r="303" ht="15.0" customHeight="1">
      <c r="A303" s="401"/>
      <c r="B303" s="377"/>
      <c r="C303" s="377"/>
      <c r="D303" s="381" t="s">
        <v>46</v>
      </c>
      <c r="E303" s="381" t="s">
        <v>1088</v>
      </c>
      <c r="F303" s="381" t="s">
        <v>46</v>
      </c>
      <c r="G303" s="381" t="s">
        <v>1089</v>
      </c>
      <c r="H303" s="401"/>
      <c r="I303" s="402"/>
      <c r="J303" s="402"/>
      <c r="K303" s="402">
        <v>497.24</v>
      </c>
      <c r="L303" s="402"/>
      <c r="M303" s="377"/>
      <c r="N303" s="377"/>
      <c r="O303" s="377"/>
      <c r="P303" s="377"/>
      <c r="Q303" s="406"/>
    </row>
    <row r="304" ht="12.75" customHeight="1">
      <c r="A304" s="383"/>
      <c r="B304" s="377"/>
      <c r="C304" s="377"/>
      <c r="D304" s="377"/>
      <c r="E304" s="377"/>
      <c r="F304" s="377"/>
      <c r="G304" s="377"/>
      <c r="H304" s="383"/>
      <c r="I304" s="383"/>
      <c r="J304" s="383"/>
      <c r="K304" s="383"/>
      <c r="L304" s="383"/>
      <c r="M304" s="377"/>
      <c r="N304" s="377"/>
      <c r="O304" s="377"/>
      <c r="P304" s="377"/>
      <c r="Q304" s="232"/>
    </row>
    <row r="305" ht="15.0" customHeight="1">
      <c r="A305" s="383"/>
      <c r="B305" s="377"/>
      <c r="C305" s="371" t="s">
        <v>1090</v>
      </c>
      <c r="D305" s="377"/>
      <c r="E305" s="377"/>
      <c r="F305" s="377"/>
      <c r="G305" s="377"/>
      <c r="H305" s="385">
        <v>2.0</v>
      </c>
      <c r="I305" s="383"/>
      <c r="J305" s="383"/>
      <c r="K305" s="383"/>
      <c r="L305" s="383"/>
      <c r="M305" s="377"/>
      <c r="N305" s="377"/>
      <c r="O305" s="377"/>
      <c r="P305" s="377"/>
      <c r="Q305" s="232"/>
    </row>
    <row r="306" ht="15.0" customHeight="1">
      <c r="A306" s="383"/>
      <c r="B306" s="377"/>
      <c r="C306" s="377"/>
      <c r="D306" s="377"/>
      <c r="E306" s="431" t="s">
        <v>1091</v>
      </c>
      <c r="F306" s="385" t="s">
        <v>24</v>
      </c>
      <c r="G306" s="385" t="s">
        <v>1092</v>
      </c>
      <c r="H306" s="385">
        <v>2.0</v>
      </c>
      <c r="I306" s="383"/>
      <c r="J306" s="387">
        <v>142.8</v>
      </c>
      <c r="K306" s="383"/>
      <c r="L306" s="383"/>
      <c r="M306" s="377"/>
      <c r="N306" s="377"/>
      <c r="O306" s="377"/>
      <c r="P306" s="377"/>
      <c r="Q306" s="232"/>
    </row>
    <row r="307" ht="15.0" customHeight="1">
      <c r="A307" s="389"/>
      <c r="B307" s="379" t="s">
        <v>639</v>
      </c>
      <c r="C307" s="379" t="s">
        <v>639</v>
      </c>
      <c r="D307" s="379" t="s">
        <v>24</v>
      </c>
      <c r="E307" s="466" t="str">
        <f>HYPERLINK("https://us.vwr.com/store/catalog/product.jsp?catalog_number=414004-245","VWR® Ice Buckets")</f>
        <v>VWR® Ice Buckets</v>
      </c>
      <c r="F307" s="389" t="s">
        <v>24</v>
      </c>
      <c r="G307" s="467" t="s">
        <v>409</v>
      </c>
      <c r="H307" s="389">
        <v>2.0</v>
      </c>
      <c r="I307" s="398"/>
      <c r="J307" s="398"/>
      <c r="K307" s="429">
        <v>30.23</v>
      </c>
      <c r="L307" s="398">
        <f>K307*H307</f>
        <v>60.46</v>
      </c>
      <c r="M307" s="377"/>
      <c r="N307" s="377"/>
      <c r="O307" s="377"/>
      <c r="P307" s="377"/>
      <c r="Q307" s="400" t="s">
        <v>639</v>
      </c>
    </row>
    <row r="308" ht="15.0" customHeight="1">
      <c r="A308" s="401"/>
      <c r="B308" s="377"/>
      <c r="C308" s="377"/>
      <c r="D308" s="381" t="s">
        <v>46</v>
      </c>
      <c r="E308" s="381" t="s">
        <v>1093</v>
      </c>
      <c r="F308" s="401" t="s">
        <v>46</v>
      </c>
      <c r="G308" s="381" t="s">
        <v>1094</v>
      </c>
      <c r="H308" s="401"/>
      <c r="I308" s="402"/>
      <c r="J308" s="402"/>
      <c r="K308" s="402">
        <v>71.85</v>
      </c>
      <c r="L308" s="402"/>
      <c r="M308" s="377"/>
      <c r="N308" s="377"/>
      <c r="O308" s="377"/>
      <c r="P308" s="377"/>
      <c r="Q308" s="406"/>
    </row>
    <row r="309" ht="15.0" customHeight="1">
      <c r="A309" s="385"/>
      <c r="B309" s="377"/>
      <c r="C309" s="377"/>
      <c r="D309" s="377"/>
      <c r="E309" s="371"/>
      <c r="F309" s="385"/>
      <c r="G309" s="385"/>
      <c r="H309" s="385"/>
      <c r="I309" s="387"/>
      <c r="J309" s="387"/>
      <c r="K309" s="387"/>
      <c r="L309" s="387"/>
      <c r="M309" s="377"/>
      <c r="N309" s="377"/>
      <c r="O309" s="377"/>
      <c r="P309" s="377"/>
      <c r="Q309" s="232"/>
    </row>
    <row r="310" ht="15.0" customHeight="1">
      <c r="A310" s="383"/>
      <c r="B310" s="377"/>
      <c r="C310" s="371" t="s">
        <v>1095</v>
      </c>
      <c r="D310" s="377"/>
      <c r="E310" s="377"/>
      <c r="F310" s="377"/>
      <c r="G310" s="377"/>
      <c r="H310" s="385">
        <v>2.0</v>
      </c>
      <c r="I310" s="383"/>
      <c r="J310" s="383"/>
      <c r="K310" s="383"/>
      <c r="L310" s="383"/>
      <c r="M310" s="377"/>
      <c r="N310" s="377"/>
      <c r="O310" s="377"/>
      <c r="P310" s="377"/>
      <c r="Q310" s="232"/>
    </row>
    <row r="311" ht="15.0" customHeight="1">
      <c r="A311" s="389"/>
      <c r="B311" s="379" t="s">
        <v>639</v>
      </c>
      <c r="C311" s="379" t="s">
        <v>639</v>
      </c>
      <c r="D311" s="379" t="s">
        <v>24</v>
      </c>
      <c r="E311" s="466" t="str">
        <f>HYPERLINK("https://us.vwr.com/store/catalog/product.jsp?catalog_number=22940-250","BRUSH FLASK VOLUMETRIC 250ML")</f>
        <v>BRUSH FLASK VOLUMETRIC 250ML</v>
      </c>
      <c r="F311" s="379" t="s">
        <v>24</v>
      </c>
      <c r="G311" s="467" t="s">
        <v>390</v>
      </c>
      <c r="H311" s="389">
        <v>2.0</v>
      </c>
      <c r="I311" s="398"/>
      <c r="J311" s="398"/>
      <c r="K311" s="429">
        <v>5.0</v>
      </c>
      <c r="L311" s="398">
        <f>K311*H311</f>
        <v>10</v>
      </c>
      <c r="M311" s="377"/>
      <c r="N311" s="377"/>
      <c r="O311" s="377"/>
      <c r="P311" s="377"/>
      <c r="Q311" s="400" t="s">
        <v>639</v>
      </c>
    </row>
    <row r="312" ht="15.0" customHeight="1">
      <c r="A312" s="401"/>
      <c r="B312" s="377"/>
      <c r="C312" s="377"/>
      <c r="D312" s="381" t="s">
        <v>46</v>
      </c>
      <c r="E312" s="381" t="s">
        <v>1096</v>
      </c>
      <c r="F312" s="381" t="s">
        <v>46</v>
      </c>
      <c r="G312" s="487"/>
      <c r="H312" s="401">
        <v>1.0</v>
      </c>
      <c r="I312" s="402"/>
      <c r="J312" s="402"/>
      <c r="K312" s="469">
        <v>19.14</v>
      </c>
      <c r="L312" s="402"/>
      <c r="M312" s="377"/>
      <c r="N312" s="377"/>
      <c r="O312" s="377"/>
      <c r="P312" s="377"/>
      <c r="Q312" s="406"/>
    </row>
    <row r="313" ht="12.75" customHeight="1">
      <c r="A313" s="383"/>
      <c r="B313" s="377"/>
      <c r="C313" s="377"/>
      <c r="D313" s="377"/>
      <c r="E313" s="377"/>
      <c r="F313" s="377"/>
      <c r="G313" s="377"/>
      <c r="H313" s="383"/>
      <c r="I313" s="383"/>
      <c r="J313" s="383"/>
      <c r="K313" s="383"/>
      <c r="L313" s="383"/>
      <c r="M313" s="377"/>
      <c r="N313" s="377"/>
      <c r="O313" s="377"/>
      <c r="P313" s="377"/>
      <c r="Q313" s="232"/>
    </row>
    <row r="314" ht="15.0" customHeight="1">
      <c r="A314" s="383"/>
      <c r="B314" s="377"/>
      <c r="C314" s="431" t="s">
        <v>1097</v>
      </c>
      <c r="D314" s="377"/>
      <c r="E314" s="431" t="s">
        <v>1098</v>
      </c>
      <c r="F314" s="371" t="s">
        <v>46</v>
      </c>
      <c r="G314" s="514" t="s">
        <v>1099</v>
      </c>
      <c r="H314" s="385">
        <v>1.0</v>
      </c>
      <c r="I314" s="383"/>
      <c r="J314" s="387">
        <v>11.25</v>
      </c>
      <c r="K314" s="383"/>
      <c r="L314" s="383"/>
      <c r="M314" s="377"/>
      <c r="N314" s="377"/>
      <c r="O314" s="377"/>
      <c r="P314" s="377"/>
      <c r="Q314" s="232"/>
    </row>
    <row r="315" ht="15.0" customHeight="1">
      <c r="A315" s="401"/>
      <c r="B315" s="381" t="s">
        <v>639</v>
      </c>
      <c r="C315" s="515" t="s">
        <v>639</v>
      </c>
      <c r="D315" s="377"/>
      <c r="E315" s="408" t="s">
        <v>1100</v>
      </c>
      <c r="F315" s="381" t="s">
        <v>46</v>
      </c>
      <c r="G315" s="408" t="s">
        <v>1101</v>
      </c>
      <c r="H315" s="401">
        <v>1.0</v>
      </c>
      <c r="I315" s="402"/>
      <c r="J315" s="402"/>
      <c r="K315" s="402">
        <v>18.93</v>
      </c>
      <c r="L315" s="469">
        <f>K315*H315</f>
        <v>18.93</v>
      </c>
      <c r="M315" s="377"/>
      <c r="N315" s="377"/>
      <c r="O315" s="377"/>
      <c r="P315" s="377"/>
      <c r="Q315" s="406" t="s">
        <v>639</v>
      </c>
    </row>
    <row r="316" ht="15.0" customHeight="1">
      <c r="A316" s="383"/>
      <c r="B316" s="377"/>
      <c r="C316" s="431"/>
      <c r="D316" s="377"/>
      <c r="E316" s="431"/>
      <c r="F316" s="377"/>
      <c r="G316" s="514"/>
      <c r="H316" s="383"/>
      <c r="I316" s="383"/>
      <c r="J316" s="387"/>
      <c r="K316" s="383"/>
      <c r="L316" s="383"/>
      <c r="M316" s="377"/>
      <c r="N316" s="377"/>
      <c r="O316" s="377"/>
      <c r="P316" s="377"/>
      <c r="Q316" s="232"/>
    </row>
    <row r="317" ht="15.0" customHeight="1">
      <c r="A317" s="383"/>
      <c r="B317" s="377"/>
      <c r="C317" s="431"/>
      <c r="D317" s="377"/>
      <c r="E317" s="431"/>
      <c r="F317" s="377"/>
      <c r="G317" s="514"/>
      <c r="H317" s="383"/>
      <c r="I317" s="383"/>
      <c r="J317" s="387"/>
      <c r="K317" s="383"/>
      <c r="L317" s="383"/>
      <c r="M317" s="377"/>
      <c r="N317" s="377"/>
      <c r="O317" s="377"/>
      <c r="P317" s="377"/>
      <c r="Q317" s="232"/>
    </row>
    <row r="318" ht="15.0" customHeight="1">
      <c r="A318" s="383"/>
      <c r="B318" s="377"/>
      <c r="C318" s="371" t="s">
        <v>1102</v>
      </c>
      <c r="D318" s="377"/>
      <c r="E318" s="371" t="s">
        <v>1102</v>
      </c>
      <c r="F318" s="371" t="s">
        <v>46</v>
      </c>
      <c r="G318" s="385" t="s">
        <v>1103</v>
      </c>
      <c r="H318" s="385">
        <v>2.0</v>
      </c>
      <c r="I318" s="383"/>
      <c r="J318" s="387">
        <v>88.6</v>
      </c>
      <c r="K318" s="383"/>
      <c r="L318" s="383"/>
      <c r="M318" s="377"/>
      <c r="N318" s="377"/>
      <c r="O318" s="377"/>
      <c r="P318" s="377"/>
      <c r="Q318" s="232"/>
    </row>
    <row r="319" ht="15.0" customHeight="1">
      <c r="A319" s="389"/>
      <c r="B319" s="377"/>
      <c r="C319" s="377"/>
      <c r="D319" s="379" t="s">
        <v>24</v>
      </c>
      <c r="E319" s="466" t="str">
        <f>HYPERLINK("https://us.vwr.com/store/catalog/product.jsp?catalog_number=89097-896","VWR® Multiple Roll Tape Dispenser")</f>
        <v>VWR® Multiple Roll Tape Dispenser</v>
      </c>
      <c r="F319" s="379" t="s">
        <v>24</v>
      </c>
      <c r="G319" s="467" t="s">
        <v>1104</v>
      </c>
      <c r="H319" s="389">
        <v>1.0</v>
      </c>
      <c r="I319" s="398"/>
      <c r="J319" s="383"/>
      <c r="K319" s="429">
        <v>46.17</v>
      </c>
      <c r="L319" s="398"/>
      <c r="M319" s="377"/>
      <c r="N319" s="377"/>
      <c r="O319" s="377"/>
      <c r="P319" s="377"/>
      <c r="Q319" s="400"/>
    </row>
    <row r="320" ht="15.0" customHeight="1">
      <c r="A320" s="401"/>
      <c r="B320" s="381" t="s">
        <v>639</v>
      </c>
      <c r="C320" s="381" t="s">
        <v>639</v>
      </c>
      <c r="D320" s="377"/>
      <c r="E320" s="381" t="s">
        <v>1105</v>
      </c>
      <c r="F320" s="381" t="s">
        <v>46</v>
      </c>
      <c r="G320" s="487"/>
      <c r="H320" s="401">
        <v>1.0</v>
      </c>
      <c r="I320" s="402"/>
      <c r="J320" s="383"/>
      <c r="K320" s="469">
        <v>22.71</v>
      </c>
      <c r="L320" s="402">
        <f>K320*H320</f>
        <v>22.71</v>
      </c>
      <c r="M320" s="377"/>
      <c r="N320" s="377"/>
      <c r="O320" s="377"/>
      <c r="P320" s="377"/>
      <c r="Q320" s="406" t="s">
        <v>639</v>
      </c>
    </row>
    <row r="321" ht="15.0" customHeight="1">
      <c r="A321" s="383"/>
      <c r="B321" s="377"/>
      <c r="C321" s="377"/>
      <c r="D321" s="377"/>
      <c r="E321" s="371"/>
      <c r="F321" s="377"/>
      <c r="G321" s="385"/>
      <c r="H321" s="383"/>
      <c r="I321" s="383"/>
      <c r="J321" s="383"/>
      <c r="K321" s="383"/>
      <c r="L321" s="383"/>
      <c r="M321" s="377"/>
      <c r="N321" s="377"/>
      <c r="O321" s="377"/>
      <c r="P321" s="377"/>
      <c r="Q321" s="232"/>
    </row>
    <row r="322" ht="15.0" customHeight="1">
      <c r="A322" s="383"/>
      <c r="B322" s="377"/>
      <c r="C322" s="371" t="s">
        <v>1106</v>
      </c>
      <c r="D322" s="377"/>
      <c r="E322" s="371"/>
      <c r="F322" s="377"/>
      <c r="G322" s="385"/>
      <c r="H322" s="383"/>
      <c r="I322" s="383"/>
      <c r="J322" s="383"/>
      <c r="K322" s="383"/>
      <c r="L322" s="383"/>
      <c r="M322" s="377"/>
      <c r="N322" s="377"/>
      <c r="O322" s="377"/>
      <c r="P322" s="377"/>
      <c r="Q322" s="232"/>
    </row>
    <row r="323" ht="15.0" customHeight="1">
      <c r="A323" s="383"/>
      <c r="B323" s="377"/>
      <c r="C323" s="371" t="s">
        <v>1107</v>
      </c>
      <c r="D323" s="377"/>
      <c r="E323" s="371"/>
      <c r="F323" s="377"/>
      <c r="G323" s="385"/>
      <c r="H323" s="383"/>
      <c r="I323" s="383"/>
      <c r="J323" s="383"/>
      <c r="K323" s="383"/>
      <c r="L323" s="383"/>
      <c r="M323" s="377"/>
      <c r="N323" s="377"/>
      <c r="O323" s="377"/>
      <c r="P323" s="377"/>
      <c r="Q323" s="232"/>
    </row>
    <row r="324" ht="15.0" customHeight="1">
      <c r="A324" s="383"/>
      <c r="B324" s="377"/>
      <c r="C324" s="377"/>
      <c r="D324" s="377"/>
      <c r="E324" s="371"/>
      <c r="F324" s="377"/>
      <c r="G324" s="385"/>
      <c r="H324" s="383"/>
      <c r="I324" s="383"/>
      <c r="J324" s="383"/>
      <c r="K324" s="383"/>
      <c r="L324" s="383"/>
      <c r="M324" s="377"/>
      <c r="N324" s="377"/>
      <c r="O324" s="377"/>
      <c r="P324" s="377"/>
      <c r="Q324" s="232"/>
    </row>
    <row r="325" ht="15.0" customHeight="1">
      <c r="A325" s="383"/>
      <c r="B325" s="377"/>
      <c r="C325" s="371" t="s">
        <v>1108</v>
      </c>
      <c r="D325" s="377"/>
      <c r="E325" s="377"/>
      <c r="F325" s="371" t="s">
        <v>46</v>
      </c>
      <c r="G325" s="377"/>
      <c r="H325" s="385">
        <v>4.0</v>
      </c>
      <c r="I325" s="383"/>
      <c r="J325" s="383"/>
      <c r="K325" s="383"/>
      <c r="L325" s="383"/>
      <c r="M325" s="377"/>
      <c r="N325" s="377"/>
      <c r="O325" s="377"/>
      <c r="P325" s="377"/>
      <c r="Q325" s="232"/>
    </row>
    <row r="326" ht="15.0" customHeight="1">
      <c r="A326" s="389"/>
      <c r="B326" s="379" t="s">
        <v>639</v>
      </c>
      <c r="C326" s="379" t="s">
        <v>639</v>
      </c>
      <c r="D326" s="379" t="s">
        <v>24</v>
      </c>
      <c r="E326" s="466" t="str">
        <f>HYPERLINK("https://us.vwr.com/store/catalog/product.jsp?catalog_number=63041-406","Tweezers with Straight Fine Tips, Style 1")</f>
        <v>Tweezers with Straight Fine Tips, Style 1</v>
      </c>
      <c r="F326" s="379" t="s">
        <v>24</v>
      </c>
      <c r="G326" s="389" t="s">
        <v>479</v>
      </c>
      <c r="H326" s="389">
        <v>4.0</v>
      </c>
      <c r="I326" s="398"/>
      <c r="J326" s="398"/>
      <c r="K326" s="429">
        <v>3.99</v>
      </c>
      <c r="L326" s="398">
        <f>K326*H326</f>
        <v>15.96</v>
      </c>
      <c r="M326" s="377"/>
      <c r="N326" s="377"/>
      <c r="O326" s="377"/>
      <c r="P326" s="377"/>
      <c r="Q326" s="400" t="s">
        <v>639</v>
      </c>
    </row>
    <row r="327" ht="15.0" customHeight="1">
      <c r="A327" s="385"/>
      <c r="B327" s="377"/>
      <c r="C327" s="377"/>
      <c r="D327" s="371" t="s">
        <v>46</v>
      </c>
      <c r="E327" s="371" t="s">
        <v>1109</v>
      </c>
      <c r="F327" s="371" t="s">
        <v>46</v>
      </c>
      <c r="G327" s="371">
        <v>3120019.0</v>
      </c>
      <c r="H327" s="385">
        <v>4.0</v>
      </c>
      <c r="I327" s="387"/>
      <c r="J327" s="387"/>
      <c r="K327" s="411">
        <v>79.17</v>
      </c>
      <c r="L327" s="387"/>
      <c r="M327" s="377"/>
      <c r="N327" s="377"/>
      <c r="O327" s="377"/>
      <c r="P327" s="377"/>
      <c r="Q327" s="232"/>
    </row>
    <row r="328" ht="15.0" customHeight="1">
      <c r="A328" s="401"/>
      <c r="B328" s="377"/>
      <c r="C328" s="377"/>
      <c r="D328" s="381" t="s">
        <v>46</v>
      </c>
      <c r="E328" s="381" t="s">
        <v>1110</v>
      </c>
      <c r="F328" s="381" t="s">
        <v>46</v>
      </c>
      <c r="G328" s="381" t="s">
        <v>1111</v>
      </c>
      <c r="H328" s="401">
        <v>4.0</v>
      </c>
      <c r="I328" s="402"/>
      <c r="J328" s="402"/>
      <c r="K328" s="404">
        <v>12.85</v>
      </c>
      <c r="L328" s="402"/>
      <c r="M328" s="377"/>
      <c r="N328" s="377"/>
      <c r="O328" s="377"/>
      <c r="P328" s="377"/>
      <c r="Q328" s="406"/>
    </row>
    <row r="329" ht="12.75" customHeight="1">
      <c r="A329" s="383"/>
      <c r="B329" s="377"/>
      <c r="C329" s="377"/>
      <c r="D329" s="377"/>
      <c r="E329" s="377"/>
      <c r="F329" s="377"/>
      <c r="G329" s="377"/>
      <c r="H329" s="383"/>
      <c r="I329" s="383"/>
      <c r="J329" s="383"/>
      <c r="K329" s="383"/>
      <c r="L329" s="383"/>
      <c r="M329" s="377"/>
      <c r="N329" s="377"/>
      <c r="O329" s="377"/>
      <c r="P329" s="377"/>
      <c r="Q329" s="232"/>
    </row>
    <row r="330" ht="15.0" customHeight="1">
      <c r="A330" s="383"/>
      <c r="B330" s="377"/>
      <c r="C330" s="371" t="s">
        <v>1112</v>
      </c>
      <c r="D330" s="377"/>
      <c r="E330" s="377"/>
      <c r="F330" s="377"/>
      <c r="G330" s="377"/>
      <c r="H330" s="383"/>
      <c r="I330" s="383"/>
      <c r="J330" s="383"/>
      <c r="K330" s="383"/>
      <c r="L330" s="383"/>
      <c r="M330" s="377"/>
      <c r="N330" s="377"/>
      <c r="O330" s="377"/>
      <c r="P330" s="377"/>
      <c r="Q330" s="232"/>
    </row>
    <row r="331" ht="12.75" customHeight="1">
      <c r="A331" s="383"/>
      <c r="B331" s="377"/>
      <c r="C331" s="377"/>
      <c r="D331" s="377"/>
      <c r="E331" s="377"/>
      <c r="F331" s="377"/>
      <c r="G331" s="377"/>
      <c r="H331" s="383"/>
      <c r="I331" s="383"/>
      <c r="J331" s="383"/>
      <c r="K331" s="383"/>
      <c r="L331" s="383"/>
      <c r="M331" s="377"/>
      <c r="N331" s="377"/>
      <c r="O331" s="377"/>
      <c r="P331" s="377"/>
      <c r="Q331" s="232"/>
    </row>
    <row r="332" ht="12.75" customHeight="1">
      <c r="A332" s="383"/>
      <c r="B332" s="377"/>
      <c r="C332" s="377"/>
      <c r="D332" s="377"/>
      <c r="E332" s="377"/>
      <c r="F332" s="377"/>
      <c r="G332" s="377"/>
      <c r="H332" s="383"/>
      <c r="I332" s="383"/>
      <c r="J332" s="383"/>
      <c r="K332" s="383"/>
      <c r="L332" s="383"/>
      <c r="M332" s="377"/>
      <c r="N332" s="377"/>
      <c r="O332" s="377"/>
      <c r="P332" s="377"/>
      <c r="Q332" s="232"/>
    </row>
    <row r="333" ht="12.75" customHeight="1">
      <c r="A333" s="383"/>
      <c r="B333" s="377"/>
      <c r="C333" s="377"/>
      <c r="D333" s="377"/>
      <c r="E333" s="377"/>
      <c r="F333" s="377"/>
      <c r="G333" s="377"/>
      <c r="H333" s="383"/>
      <c r="I333" s="383"/>
      <c r="J333" s="383"/>
      <c r="K333" s="383"/>
      <c r="L333" s="383"/>
      <c r="M333" s="377"/>
      <c r="N333" s="377"/>
      <c r="O333" s="377"/>
      <c r="P333" s="377"/>
      <c r="Q333" s="232"/>
    </row>
    <row r="334" ht="15.0" customHeight="1">
      <c r="A334" s="383"/>
      <c r="B334" s="377"/>
      <c r="C334" s="371" t="s">
        <v>1113</v>
      </c>
      <c r="D334" s="377"/>
      <c r="E334" s="516"/>
      <c r="F334" s="516"/>
      <c r="G334" s="516"/>
      <c r="H334" s="383"/>
      <c r="I334" s="383"/>
      <c r="J334" s="383"/>
      <c r="K334" s="489"/>
      <c r="L334" s="383"/>
      <c r="M334" s="377"/>
      <c r="N334" s="377"/>
      <c r="O334" s="377"/>
      <c r="P334" s="377"/>
      <c r="Q334" s="232"/>
    </row>
    <row r="335" ht="15.0" customHeight="1">
      <c r="A335" s="389"/>
      <c r="B335" s="379" t="s">
        <v>639</v>
      </c>
      <c r="C335" s="379" t="s">
        <v>639</v>
      </c>
      <c r="D335" s="512"/>
      <c r="E335" s="491" t="s">
        <v>991</v>
      </c>
      <c r="F335" s="517" t="s">
        <v>24</v>
      </c>
      <c r="G335" s="518" t="s">
        <v>429</v>
      </c>
      <c r="H335" s="494">
        <v>2.0</v>
      </c>
      <c r="I335" s="398"/>
      <c r="J335" s="495"/>
      <c r="K335" s="496">
        <v>2.99</v>
      </c>
      <c r="L335" s="497">
        <f t="shared" ref="L335:L336" si="6">K335*H335</f>
        <v>5.98</v>
      </c>
      <c r="M335" s="377"/>
      <c r="N335" s="377"/>
      <c r="O335" s="377"/>
      <c r="P335" s="377"/>
      <c r="Q335" s="400" t="s">
        <v>639</v>
      </c>
    </row>
    <row r="336" ht="15.0" customHeight="1">
      <c r="A336" s="389"/>
      <c r="B336" s="379" t="s">
        <v>639</v>
      </c>
      <c r="C336" s="379" t="s">
        <v>639</v>
      </c>
      <c r="D336" s="512"/>
      <c r="E336" s="491" t="str">
        <f>HYPERLINK("https://us.vwr.com/store/catalog/product.jsp?catalog_number=470174-844","Scalpel Blades for Handle No. 3, Scalpel Blade, #11, for #3 Handle")</f>
        <v>Scalpel Blades for Handle No. 3, Scalpel Blade, #11, for #3 Handle</v>
      </c>
      <c r="F336" s="517" t="s">
        <v>24</v>
      </c>
      <c r="G336" s="518" t="s">
        <v>208</v>
      </c>
      <c r="H336" s="494">
        <v>1.0</v>
      </c>
      <c r="I336" s="398"/>
      <c r="J336" s="495"/>
      <c r="K336" s="496">
        <v>2.0</v>
      </c>
      <c r="L336" s="497">
        <f t="shared" si="6"/>
        <v>2</v>
      </c>
      <c r="M336" s="377"/>
      <c r="N336" s="377"/>
      <c r="O336" s="377"/>
      <c r="P336" s="377"/>
      <c r="Q336" s="400" t="s">
        <v>639</v>
      </c>
    </row>
    <row r="337" ht="15.0" customHeight="1">
      <c r="A337" s="401"/>
      <c r="B337" s="377"/>
      <c r="C337" s="377"/>
      <c r="D337" s="377"/>
      <c r="E337" s="498" t="s">
        <v>1114</v>
      </c>
      <c r="F337" s="519" t="s">
        <v>46</v>
      </c>
      <c r="G337" s="498"/>
      <c r="H337" s="401"/>
      <c r="I337" s="402"/>
      <c r="J337" s="402"/>
      <c r="K337" s="520">
        <v>21.46</v>
      </c>
      <c r="L337" s="402"/>
      <c r="M337" s="377"/>
      <c r="N337" s="377"/>
      <c r="O337" s="377"/>
      <c r="P337" s="377"/>
      <c r="Q337" s="406"/>
    </row>
    <row r="338" ht="15.0" customHeight="1">
      <c r="A338" s="401"/>
      <c r="B338" s="377"/>
      <c r="C338" s="377"/>
      <c r="D338" s="377"/>
      <c r="E338" s="381" t="s">
        <v>1115</v>
      </c>
      <c r="F338" s="521" t="s">
        <v>46</v>
      </c>
      <c r="G338" s="381"/>
      <c r="H338" s="401"/>
      <c r="I338" s="402"/>
      <c r="J338" s="402"/>
      <c r="K338" s="469">
        <v>6.83</v>
      </c>
      <c r="L338" s="402"/>
      <c r="M338" s="377"/>
      <c r="N338" s="377"/>
      <c r="O338" s="377"/>
      <c r="P338" s="377"/>
      <c r="Q338" s="406"/>
    </row>
    <row r="339" ht="12.75" customHeight="1">
      <c r="A339" s="383"/>
      <c r="B339" s="377"/>
      <c r="C339" s="377"/>
      <c r="D339" s="377"/>
      <c r="E339" s="377"/>
      <c r="F339" s="377"/>
      <c r="G339" s="377"/>
      <c r="H339" s="383"/>
      <c r="I339" s="383"/>
      <c r="J339" s="383"/>
      <c r="K339" s="383"/>
      <c r="L339" s="383"/>
      <c r="M339" s="377"/>
      <c r="N339" s="377"/>
      <c r="O339" s="377"/>
      <c r="P339" s="377"/>
      <c r="Q339" s="232"/>
    </row>
    <row r="340" ht="15.0" customHeight="1">
      <c r="A340" s="383"/>
      <c r="B340" s="377"/>
      <c r="C340" s="371" t="s">
        <v>1116</v>
      </c>
      <c r="D340" s="377"/>
      <c r="E340" s="488" t="s">
        <v>1117</v>
      </c>
      <c r="F340" s="377"/>
      <c r="G340" s="511" t="s">
        <v>434</v>
      </c>
      <c r="H340" s="385">
        <v>1.0</v>
      </c>
      <c r="I340" s="383"/>
      <c r="J340" s="387">
        <v>9.51</v>
      </c>
      <c r="K340" s="489"/>
      <c r="L340" s="383"/>
      <c r="M340" s="377"/>
      <c r="N340" s="377"/>
      <c r="O340" s="377"/>
      <c r="P340" s="377"/>
      <c r="Q340" s="232"/>
    </row>
    <row r="341" ht="15.0" customHeight="1">
      <c r="A341" s="389"/>
      <c r="B341" s="377"/>
      <c r="C341" s="377"/>
      <c r="D341" s="512"/>
      <c r="E341" s="522" t="str">
        <f>HYPERLINK("https://us.vwr.com/store/catalog/product.jsp?catalog_number=470125-222","Scoopula pk/20")</f>
        <v>Scoopula pk/20</v>
      </c>
      <c r="F341" s="492" t="s">
        <v>24</v>
      </c>
      <c r="G341" s="493" t="s">
        <v>1118</v>
      </c>
      <c r="H341" s="494">
        <v>1.0</v>
      </c>
      <c r="I341" s="398"/>
      <c r="J341" s="495"/>
      <c r="K341" s="496">
        <v>3.0</v>
      </c>
      <c r="L341" s="497"/>
      <c r="M341" s="377"/>
      <c r="N341" s="379" t="s">
        <v>1119</v>
      </c>
      <c r="O341" s="377"/>
      <c r="P341" s="377"/>
      <c r="Q341" s="400"/>
    </row>
    <row r="342" ht="15.0" customHeight="1">
      <c r="A342" s="401"/>
      <c r="B342" s="381" t="s">
        <v>639</v>
      </c>
      <c r="C342" s="381" t="s">
        <v>639</v>
      </c>
      <c r="D342" s="377"/>
      <c r="E342" s="498" t="s">
        <v>1120</v>
      </c>
      <c r="F342" s="381" t="s">
        <v>46</v>
      </c>
      <c r="G342" s="523" t="s">
        <v>434</v>
      </c>
      <c r="H342" s="401">
        <v>1.0</v>
      </c>
      <c r="I342" s="402"/>
      <c r="J342" s="402"/>
      <c r="K342" s="520">
        <v>9.25</v>
      </c>
      <c r="L342" s="402">
        <f>K342*H342</f>
        <v>9.25</v>
      </c>
      <c r="M342" s="377"/>
      <c r="N342" s="377"/>
      <c r="O342" s="377"/>
      <c r="P342" s="377"/>
      <c r="Q342" s="406" t="s">
        <v>639</v>
      </c>
    </row>
    <row r="343" ht="12.75" customHeight="1">
      <c r="A343" s="383"/>
      <c r="B343" s="377"/>
      <c r="C343" s="377"/>
      <c r="D343" s="377"/>
      <c r="E343" s="377"/>
      <c r="F343" s="377"/>
      <c r="G343" s="377"/>
      <c r="H343" s="383"/>
      <c r="I343" s="383"/>
      <c r="J343" s="383"/>
      <c r="K343" s="383"/>
      <c r="L343" s="383"/>
      <c r="M343" s="377"/>
      <c r="N343" s="377"/>
      <c r="O343" s="377"/>
      <c r="P343" s="377"/>
      <c r="Q343" s="232"/>
    </row>
    <row r="344" ht="15.0" customHeight="1">
      <c r="A344" s="383"/>
      <c r="B344" s="377"/>
      <c r="C344" s="371" t="s">
        <v>1121</v>
      </c>
      <c r="D344" s="377"/>
      <c r="E344" s="516"/>
      <c r="F344" s="377"/>
      <c r="G344" s="516"/>
      <c r="H344" s="385">
        <v>4.0</v>
      </c>
      <c r="I344" s="383"/>
      <c r="J344" s="383"/>
      <c r="K344" s="383"/>
      <c r="L344" s="383"/>
      <c r="M344" s="377"/>
      <c r="N344" s="377"/>
      <c r="O344" s="377"/>
      <c r="P344" s="377"/>
      <c r="Q344" s="232"/>
    </row>
    <row r="345" ht="15.0" customHeight="1">
      <c r="A345" s="389"/>
      <c r="B345" s="377"/>
      <c r="C345" s="377"/>
      <c r="D345" s="512"/>
      <c r="E345" s="491" t="str">
        <f>HYPERLINK("https://us.vwr.com/store/catalog/product.jsp?catalog_number=62344-641","VWR® Four-Channel Alarm Timer")</f>
        <v>VWR® Four-Channel Alarm Timer</v>
      </c>
      <c r="F345" s="492" t="s">
        <v>24</v>
      </c>
      <c r="G345" s="493" t="s">
        <v>1122</v>
      </c>
      <c r="H345" s="494"/>
      <c r="I345" s="398"/>
      <c r="J345" s="398"/>
      <c r="K345" s="398">
        <v>20.55</v>
      </c>
      <c r="L345" s="398"/>
      <c r="M345" s="377"/>
      <c r="N345" s="377"/>
      <c r="O345" s="377"/>
      <c r="P345" s="377"/>
      <c r="Q345" s="400"/>
    </row>
    <row r="346" ht="15.0" customHeight="1">
      <c r="A346" s="401"/>
      <c r="B346" s="381" t="s">
        <v>639</v>
      </c>
      <c r="C346" s="381" t="s">
        <v>639</v>
      </c>
      <c r="D346" s="381" t="s">
        <v>46</v>
      </c>
      <c r="E346" s="498" t="s">
        <v>1123</v>
      </c>
      <c r="F346" s="381" t="s">
        <v>46</v>
      </c>
      <c r="G346" s="498" t="s">
        <v>453</v>
      </c>
      <c r="H346" s="401">
        <v>6.0</v>
      </c>
      <c r="I346" s="402"/>
      <c r="J346" s="402"/>
      <c r="K346" s="402">
        <v>17.04</v>
      </c>
      <c r="L346" s="402">
        <f>K346*H346</f>
        <v>102.24</v>
      </c>
      <c r="M346" s="377"/>
      <c r="N346" s="377"/>
      <c r="O346" s="377"/>
      <c r="P346" s="377"/>
      <c r="Q346" s="406" t="s">
        <v>639</v>
      </c>
    </row>
    <row r="347" ht="15.0" customHeight="1">
      <c r="A347" s="385"/>
      <c r="B347" s="377"/>
      <c r="C347" s="377"/>
      <c r="D347" s="377"/>
      <c r="E347" s="371"/>
      <c r="F347" s="377"/>
      <c r="G347" s="371"/>
      <c r="H347" s="385"/>
      <c r="I347" s="387"/>
      <c r="J347" s="387"/>
      <c r="K347" s="387"/>
      <c r="L347" s="387"/>
      <c r="M347" s="377"/>
      <c r="N347" s="377"/>
      <c r="O347" s="377"/>
      <c r="P347" s="377"/>
      <c r="Q347" s="232"/>
    </row>
    <row r="348" ht="15.0" customHeight="1">
      <c r="A348" s="383"/>
      <c r="B348" s="377"/>
      <c r="C348" s="371" t="s">
        <v>1124</v>
      </c>
      <c r="D348" s="377"/>
      <c r="E348" s="431" t="s">
        <v>1125</v>
      </c>
      <c r="F348" s="371" t="s">
        <v>1126</v>
      </c>
      <c r="G348" s="385" t="s">
        <v>1127</v>
      </c>
      <c r="H348" s="385">
        <v>1.0</v>
      </c>
      <c r="I348" s="383"/>
      <c r="J348" s="387">
        <v>73.21</v>
      </c>
      <c r="K348" s="383"/>
      <c r="L348" s="383"/>
      <c r="M348" s="377"/>
      <c r="N348" s="377"/>
      <c r="O348" s="377"/>
      <c r="P348" s="377"/>
      <c r="Q348" s="232"/>
    </row>
    <row r="349" ht="15.0" customHeight="1">
      <c r="A349" s="389"/>
      <c r="B349" s="379" t="s">
        <v>639</v>
      </c>
      <c r="C349" s="379" t="s">
        <v>639</v>
      </c>
      <c r="D349" s="377"/>
      <c r="E349" s="396" t="s">
        <v>991</v>
      </c>
      <c r="F349" s="379" t="s">
        <v>24</v>
      </c>
      <c r="G349" s="467" t="s">
        <v>396</v>
      </c>
      <c r="H349" s="389">
        <v>1.0</v>
      </c>
      <c r="I349" s="398"/>
      <c r="J349" s="398"/>
      <c r="K349" s="429">
        <v>12.59</v>
      </c>
      <c r="L349" s="398">
        <f>K349*H349</f>
        <v>12.59</v>
      </c>
      <c r="M349" s="377"/>
      <c r="N349" s="377"/>
      <c r="O349" s="377"/>
      <c r="P349" s="377"/>
      <c r="Q349" s="400" t="s">
        <v>639</v>
      </c>
    </row>
    <row r="350" ht="15.0" customHeight="1">
      <c r="A350" s="401"/>
      <c r="B350" s="377"/>
      <c r="C350" s="377"/>
      <c r="D350" s="377"/>
      <c r="E350" s="381" t="s">
        <v>1128</v>
      </c>
      <c r="F350" s="381" t="s">
        <v>46</v>
      </c>
      <c r="G350" s="381"/>
      <c r="H350" s="401">
        <v>1.0</v>
      </c>
      <c r="I350" s="402"/>
      <c r="J350" s="402"/>
      <c r="K350" s="402">
        <v>34.3</v>
      </c>
      <c r="L350" s="402"/>
      <c r="M350" s="377"/>
      <c r="N350" s="377"/>
      <c r="O350" s="377"/>
      <c r="P350" s="377"/>
      <c r="Q350" s="406"/>
    </row>
    <row r="351" ht="15.0" customHeight="1">
      <c r="A351" s="385"/>
      <c r="B351" s="377"/>
      <c r="C351" s="377"/>
      <c r="D351" s="377"/>
      <c r="E351" s="371"/>
      <c r="F351" s="377"/>
      <c r="G351" s="371"/>
      <c r="H351" s="385"/>
      <c r="I351" s="387"/>
      <c r="J351" s="387"/>
      <c r="K351" s="387"/>
      <c r="L351" s="387"/>
      <c r="M351" s="377"/>
      <c r="N351" s="377"/>
      <c r="O351" s="377"/>
      <c r="P351" s="377"/>
      <c r="Q351" s="232"/>
    </row>
    <row r="352" ht="15.0" customHeight="1">
      <c r="A352" s="383"/>
      <c r="B352" s="377"/>
      <c r="C352" s="371" t="s">
        <v>1129</v>
      </c>
      <c r="D352" s="377"/>
      <c r="E352" s="488"/>
      <c r="F352" s="385"/>
      <c r="G352" s="511"/>
      <c r="H352" s="383"/>
      <c r="I352" s="383"/>
      <c r="J352" s="383"/>
      <c r="K352" s="383"/>
      <c r="L352" s="383"/>
      <c r="M352" s="377"/>
      <c r="N352" s="377"/>
      <c r="O352" s="377"/>
      <c r="P352" s="377"/>
      <c r="Q352" s="232"/>
    </row>
    <row r="353" ht="15.0" customHeight="1">
      <c r="A353" s="389"/>
      <c r="B353" s="379" t="s">
        <v>639</v>
      </c>
      <c r="C353" s="379" t="s">
        <v>639</v>
      </c>
      <c r="D353" s="512"/>
      <c r="E353" s="491" t="str">
        <f>HYPERLINK("https://us.vwr.com/store/catalog/product.jsp?catalog_number=60941-118","Plate Roller")</f>
        <v>Plate Roller</v>
      </c>
      <c r="F353" s="524" t="s">
        <v>24</v>
      </c>
      <c r="G353" s="525" t="s">
        <v>423</v>
      </c>
      <c r="H353" s="494">
        <v>1.0</v>
      </c>
      <c r="I353" s="398"/>
      <c r="J353" s="398"/>
      <c r="K353" s="398">
        <v>21.0</v>
      </c>
      <c r="L353" s="398">
        <f>K353*H353</f>
        <v>21</v>
      </c>
      <c r="M353" s="377"/>
      <c r="N353" s="377"/>
      <c r="O353" s="377"/>
      <c r="P353" s="377"/>
      <c r="Q353" s="400" t="s">
        <v>639</v>
      </c>
    </row>
    <row r="354" ht="15.0" customHeight="1">
      <c r="A354" s="383"/>
      <c r="B354" s="377"/>
      <c r="C354" s="377"/>
      <c r="D354" s="377"/>
      <c r="E354" s="526"/>
      <c r="F354" s="385"/>
      <c r="G354" s="527"/>
      <c r="H354" s="383"/>
      <c r="I354" s="383"/>
      <c r="J354" s="383"/>
      <c r="K354" s="383"/>
      <c r="L354" s="383"/>
      <c r="M354" s="377"/>
      <c r="N354" s="377"/>
      <c r="O354" s="377"/>
      <c r="P354" s="377"/>
      <c r="Q354" s="232"/>
    </row>
    <row r="355" ht="15.0" customHeight="1">
      <c r="A355" s="385"/>
      <c r="B355" s="377"/>
      <c r="C355" s="377"/>
      <c r="D355" s="377"/>
      <c r="E355" s="371"/>
      <c r="F355" s="377"/>
      <c r="G355" s="371"/>
      <c r="H355" s="385"/>
      <c r="I355" s="387"/>
      <c r="J355" s="387"/>
      <c r="K355" s="387"/>
      <c r="L355" s="383"/>
      <c r="M355" s="528">
        <f>SUM(L1:L351)</f>
        <v>62589.9</v>
      </c>
      <c r="N355" s="529" t="s">
        <v>1130</v>
      </c>
      <c r="O355" s="377"/>
      <c r="P355" s="377"/>
      <c r="Q355" s="232"/>
    </row>
    <row r="356" ht="15.0" customHeight="1">
      <c r="A356" s="511"/>
      <c r="B356" s="377"/>
      <c r="C356" s="377"/>
      <c r="D356" s="377"/>
      <c r="E356" s="488"/>
      <c r="F356" s="377"/>
      <c r="G356" s="488"/>
      <c r="H356" s="511"/>
      <c r="I356" s="530"/>
      <c r="J356" s="530"/>
      <c r="K356" s="530"/>
      <c r="L356" s="530"/>
      <c r="M356" s="377"/>
      <c r="N356" s="377"/>
      <c r="O356" s="377"/>
      <c r="P356" s="377"/>
      <c r="Q356" s="232"/>
    </row>
    <row r="357" ht="12.75" customHeight="1">
      <c r="A357" s="531"/>
      <c r="B357" s="377"/>
      <c r="C357" s="377"/>
      <c r="D357" s="377"/>
      <c r="E357" s="499"/>
      <c r="F357" s="377"/>
      <c r="G357" s="499"/>
      <c r="H357" s="531"/>
      <c r="I357" s="531"/>
      <c r="J357" s="531"/>
      <c r="K357" s="531"/>
      <c r="L357" s="531"/>
      <c r="M357" s="377"/>
      <c r="N357" s="377"/>
      <c r="O357" s="377"/>
      <c r="P357" s="377"/>
      <c r="Q357" s="232"/>
    </row>
    <row r="358" ht="15.0" customHeight="1">
      <c r="A358" s="383"/>
      <c r="B358" s="377"/>
      <c r="C358" s="371" t="s">
        <v>1131</v>
      </c>
      <c r="D358" s="377"/>
      <c r="E358" s="431" t="s">
        <v>1132</v>
      </c>
      <c r="F358" s="385" t="s">
        <v>46</v>
      </c>
      <c r="G358" s="385" t="s">
        <v>1133</v>
      </c>
      <c r="H358" s="385">
        <v>2.0</v>
      </c>
      <c r="I358" s="383"/>
      <c r="J358" s="387">
        <v>169.24</v>
      </c>
      <c r="K358" s="383"/>
      <c r="L358" s="383"/>
      <c r="M358" s="377"/>
      <c r="N358" s="377"/>
      <c r="O358" s="377"/>
      <c r="P358" s="377"/>
      <c r="Q358" s="232"/>
    </row>
    <row r="359" ht="15.0" customHeight="1">
      <c r="A359" s="389"/>
      <c r="B359" s="379" t="s">
        <v>639</v>
      </c>
      <c r="C359" s="379" t="s">
        <v>639</v>
      </c>
      <c r="D359" s="379" t="s">
        <v>24</v>
      </c>
      <c r="E359" s="396" t="str">
        <f>HYPERLINK("https://us.vwr.com/store/catalog/product.jsp?catalog_number=89039-664","VWR® High-Performance Centrifuge Tubes with Flat Caps, Polypropylene, Sterile, 15mL, Case of 500")</f>
        <v>VWR® High-Performance Centrifuge Tubes with Flat Caps, Polypropylene, Sterile, 15mL, Case of 500</v>
      </c>
      <c r="F359" s="379" t="s">
        <v>24</v>
      </c>
      <c r="G359" s="467" t="s">
        <v>65</v>
      </c>
      <c r="H359" s="389">
        <v>2.0</v>
      </c>
      <c r="I359" s="398"/>
      <c r="J359" s="398"/>
      <c r="K359" s="429">
        <v>53.33</v>
      </c>
      <c r="L359" s="398">
        <f>K359*H359</f>
        <v>106.66</v>
      </c>
      <c r="M359" s="377"/>
      <c r="N359" s="377"/>
      <c r="O359" s="377"/>
      <c r="P359" s="377"/>
      <c r="Q359" s="400" t="s">
        <v>639</v>
      </c>
    </row>
    <row r="360" ht="15.0" customHeight="1">
      <c r="A360" s="401"/>
      <c r="B360" s="377"/>
      <c r="C360" s="377"/>
      <c r="D360" s="381" t="s">
        <v>46</v>
      </c>
      <c r="E360" s="484" t="s">
        <v>1134</v>
      </c>
      <c r="F360" s="381" t="s">
        <v>46</v>
      </c>
      <c r="G360" s="487"/>
      <c r="H360" s="401">
        <v>1.0</v>
      </c>
      <c r="I360" s="402"/>
      <c r="J360" s="402"/>
      <c r="K360" s="469">
        <v>89.58</v>
      </c>
      <c r="L360" s="402"/>
      <c r="M360" s="377"/>
      <c r="N360" s="377"/>
      <c r="O360" s="377"/>
      <c r="P360" s="377"/>
      <c r="Q360" s="406"/>
    </row>
    <row r="361" ht="12.75" customHeight="1">
      <c r="A361" s="383"/>
      <c r="B361" s="377"/>
      <c r="C361" s="377"/>
      <c r="D361" s="377"/>
      <c r="E361" s="377"/>
      <c r="F361" s="377"/>
      <c r="G361" s="377"/>
      <c r="H361" s="383"/>
      <c r="I361" s="383"/>
      <c r="J361" s="383"/>
      <c r="K361" s="383"/>
      <c r="L361" s="383"/>
      <c r="M361" s="377"/>
      <c r="N361" s="377"/>
      <c r="O361" s="377"/>
      <c r="P361" s="377"/>
      <c r="Q361" s="232"/>
    </row>
    <row r="362" ht="15.0" customHeight="1">
      <c r="A362" s="383"/>
      <c r="B362" s="377"/>
      <c r="C362" s="371" t="s">
        <v>1135</v>
      </c>
      <c r="D362" s="377"/>
      <c r="E362" s="377"/>
      <c r="F362" s="377"/>
      <c r="G362" s="377"/>
      <c r="H362" s="383"/>
      <c r="I362" s="383"/>
      <c r="J362" s="383"/>
      <c r="K362" s="383"/>
      <c r="L362" s="383"/>
      <c r="M362" s="377"/>
      <c r="N362" s="377"/>
      <c r="O362" s="377"/>
      <c r="P362" s="377"/>
      <c r="Q362" s="232"/>
    </row>
    <row r="363" ht="15.0" customHeight="1">
      <c r="A363" s="389"/>
      <c r="B363" s="379" t="s">
        <v>639</v>
      </c>
      <c r="C363" s="379" t="s">
        <v>639</v>
      </c>
      <c r="D363" s="379" t="s">
        <v>24</v>
      </c>
      <c r="E363" s="534" t="str">
        <f>HYPERLINK("https://us.vwr.com/store/catalog/product.jsp?catalog_number=89039-656","VWR® High-Performance Centrifuge Tubes with Flat Caps, Polypropylene, Sterile, 50mL, Case of 500")</f>
        <v>VWR® High-Performance Centrifuge Tubes with Flat Caps, Polypropylene, Sterile, 50mL, Case of 500</v>
      </c>
      <c r="F363" s="379" t="s">
        <v>24</v>
      </c>
      <c r="G363" s="467" t="s">
        <v>82</v>
      </c>
      <c r="H363" s="389">
        <v>2.0</v>
      </c>
      <c r="I363" s="398"/>
      <c r="J363" s="398"/>
      <c r="K363" s="429">
        <v>65.33</v>
      </c>
      <c r="L363" s="398">
        <f>K363*H363</f>
        <v>130.66</v>
      </c>
      <c r="M363" s="377"/>
      <c r="N363" s="377"/>
      <c r="O363" s="377"/>
      <c r="P363" s="377"/>
      <c r="Q363" s="400" t="s">
        <v>639</v>
      </c>
    </row>
    <row r="364" ht="15.0" customHeight="1">
      <c r="A364" s="401"/>
      <c r="B364" s="377"/>
      <c r="C364" s="377"/>
      <c r="D364" s="381" t="s">
        <v>46</v>
      </c>
      <c r="E364" s="535" t="s">
        <v>1136</v>
      </c>
      <c r="F364" s="381" t="s">
        <v>46</v>
      </c>
      <c r="G364" s="487"/>
      <c r="H364" s="401">
        <v>1.0</v>
      </c>
      <c r="I364" s="402"/>
      <c r="J364" s="402"/>
      <c r="K364" s="469">
        <v>101.77</v>
      </c>
      <c r="L364" s="402"/>
      <c r="M364" s="377"/>
      <c r="N364" s="377"/>
      <c r="O364" s="377"/>
      <c r="P364" s="377"/>
      <c r="Q364" s="406"/>
    </row>
    <row r="365" ht="12.75" customHeight="1">
      <c r="A365" s="383"/>
      <c r="B365" s="377"/>
      <c r="C365" s="377"/>
      <c r="D365" s="377"/>
      <c r="E365" s="377"/>
      <c r="F365" s="377"/>
      <c r="G365" s="377"/>
      <c r="H365" s="383"/>
      <c r="I365" s="383"/>
      <c r="J365" s="383"/>
      <c r="K365" s="383"/>
      <c r="L365" s="383"/>
      <c r="M365" s="377"/>
      <c r="N365" s="377"/>
      <c r="O365" s="377"/>
      <c r="P365" s="377"/>
      <c r="Q365" s="232"/>
    </row>
    <row r="366" ht="15.0" customHeight="1">
      <c r="A366" s="383"/>
      <c r="B366" s="377"/>
      <c r="C366" s="371" t="s">
        <v>1137</v>
      </c>
      <c r="D366" s="371" t="s">
        <v>40</v>
      </c>
      <c r="E366" s="377"/>
      <c r="F366" s="371" t="s">
        <v>46</v>
      </c>
      <c r="G366" s="377"/>
      <c r="H366" s="383"/>
      <c r="I366" s="383"/>
      <c r="J366" s="383"/>
      <c r="K366" s="383"/>
      <c r="L366" s="383"/>
      <c r="M366" s="377"/>
      <c r="N366" s="377"/>
      <c r="O366" s="377"/>
      <c r="P366" s="377"/>
      <c r="Q366" s="232"/>
    </row>
    <row r="367" ht="15.0" customHeight="1">
      <c r="A367" s="383"/>
      <c r="B367" s="377"/>
      <c r="C367" s="377"/>
      <c r="D367" s="377"/>
      <c r="E367" s="488" t="s">
        <v>1138</v>
      </c>
      <c r="F367" s="371" t="s">
        <v>24</v>
      </c>
      <c r="G367" s="511" t="s">
        <v>1139</v>
      </c>
      <c r="H367" s="385">
        <v>1.0</v>
      </c>
      <c r="I367" s="383"/>
      <c r="J367" s="387">
        <v>24.69</v>
      </c>
      <c r="K367" s="383"/>
      <c r="L367" s="383"/>
      <c r="M367" s="377"/>
      <c r="N367" s="377"/>
      <c r="O367" s="377"/>
      <c r="P367" s="377"/>
      <c r="Q367" s="232"/>
    </row>
    <row r="368" ht="15.0" customHeight="1">
      <c r="A368" s="383"/>
      <c r="B368" s="377"/>
      <c r="C368" s="377"/>
      <c r="D368" s="512"/>
      <c r="E368" s="536" t="s">
        <v>1140</v>
      </c>
      <c r="F368" s="537" t="s">
        <v>541</v>
      </c>
      <c r="G368" s="536" t="s">
        <v>1141</v>
      </c>
      <c r="H368" s="538">
        <v>1.0</v>
      </c>
      <c r="I368" s="383"/>
      <c r="J368" s="387"/>
      <c r="K368" s="387">
        <v>136.17</v>
      </c>
      <c r="L368" s="383"/>
      <c r="M368" s="377"/>
      <c r="N368" s="377"/>
      <c r="O368" s="377"/>
      <c r="P368" s="377"/>
      <c r="Q368" s="232"/>
    </row>
    <row r="369" ht="15.0" customHeight="1">
      <c r="A369" s="389"/>
      <c r="B369" s="377"/>
      <c r="C369" s="377"/>
      <c r="D369" s="379" t="s">
        <v>24</v>
      </c>
      <c r="E369" s="539" t="s">
        <v>1142</v>
      </c>
      <c r="F369" s="379" t="s">
        <v>24</v>
      </c>
      <c r="G369" s="541" t="s">
        <v>1143</v>
      </c>
      <c r="H369" s="389"/>
      <c r="I369" s="398"/>
      <c r="J369" s="398"/>
      <c r="K369" s="429">
        <v>63.52</v>
      </c>
      <c r="L369" s="398"/>
      <c r="M369" s="377"/>
      <c r="N369" s="379" t="s">
        <v>1144</v>
      </c>
      <c r="O369" s="377"/>
      <c r="P369" s="377"/>
      <c r="Q369" s="400"/>
    </row>
    <row r="370" ht="15.0" customHeight="1">
      <c r="A370" s="389"/>
      <c r="B370" s="377"/>
      <c r="C370" s="377"/>
      <c r="D370" s="490" t="s">
        <v>24</v>
      </c>
      <c r="E370" s="522" t="str">
        <f>HYPERLINK("https://us.vwr.com/store/catalog/product.jsp?catalog_number=82006-606","VWR® PCR 8-Well Tube Strips and Bubble Caps, Tube Strip with Attached Bubble Cap Strip (pack of 125)")</f>
        <v>VWR® PCR 8-Well Tube Strips and Bubble Caps, Tube Strip with Attached Bubble Cap Strip (pack of 125)</v>
      </c>
      <c r="F370" s="492" t="s">
        <v>24</v>
      </c>
      <c r="G370" s="525" t="s">
        <v>1145</v>
      </c>
      <c r="H370" s="494">
        <v>2.0</v>
      </c>
      <c r="I370" s="398"/>
      <c r="J370" s="398"/>
      <c r="K370" s="429">
        <v>88.96</v>
      </c>
      <c r="L370" s="398"/>
      <c r="M370" s="377"/>
      <c r="N370" s="379" t="s">
        <v>1146</v>
      </c>
      <c r="O370" s="377"/>
      <c r="P370" s="377"/>
      <c r="Q370" s="400"/>
    </row>
    <row r="371" ht="15.0" customHeight="1">
      <c r="A371" s="389"/>
      <c r="B371" s="377"/>
      <c r="C371" s="377"/>
      <c r="D371" s="379" t="s">
        <v>24</v>
      </c>
      <c r="E371" s="542" t="s">
        <v>1147</v>
      </c>
      <c r="F371" s="379" t="s">
        <v>24</v>
      </c>
      <c r="G371" s="543" t="s">
        <v>1148</v>
      </c>
      <c r="H371" s="389"/>
      <c r="I371" s="398"/>
      <c r="J371" s="398"/>
      <c r="K371" s="429"/>
      <c r="L371" s="398"/>
      <c r="M371" s="377"/>
      <c r="N371" s="377"/>
      <c r="O371" s="377"/>
      <c r="P371" s="377"/>
      <c r="Q371" s="400"/>
    </row>
    <row r="372" ht="15.0" customHeight="1">
      <c r="A372" s="389"/>
      <c r="B372" s="377"/>
      <c r="C372" s="377"/>
      <c r="D372" s="379" t="s">
        <v>24</v>
      </c>
      <c r="E372" s="534" t="s">
        <v>1149</v>
      </c>
      <c r="F372" s="379" t="s">
        <v>24</v>
      </c>
      <c r="G372" s="379" t="s">
        <v>1139</v>
      </c>
      <c r="H372" s="389"/>
      <c r="I372" s="398"/>
      <c r="J372" s="398"/>
      <c r="K372" s="429"/>
      <c r="L372" s="398"/>
      <c r="M372" s="377"/>
      <c r="N372" s="377"/>
      <c r="O372" s="377"/>
      <c r="P372" s="377"/>
      <c r="Q372" s="400"/>
    </row>
    <row r="373" ht="15.0" customHeight="1">
      <c r="A373" s="401"/>
      <c r="B373" s="381" t="s">
        <v>639</v>
      </c>
      <c r="C373" s="381" t="s">
        <v>639</v>
      </c>
      <c r="D373" s="381" t="s">
        <v>46</v>
      </c>
      <c r="E373" s="381" t="s">
        <v>1150</v>
      </c>
      <c r="F373" s="381" t="s">
        <v>46</v>
      </c>
      <c r="G373" s="381" t="s">
        <v>178</v>
      </c>
      <c r="H373" s="401">
        <v>1.0</v>
      </c>
      <c r="I373" s="402"/>
      <c r="J373" s="402"/>
      <c r="K373" s="402">
        <v>150.0</v>
      </c>
      <c r="L373" s="402">
        <f>K373*H373</f>
        <v>150</v>
      </c>
      <c r="M373" s="377"/>
      <c r="N373" s="377"/>
      <c r="O373" s="377"/>
      <c r="P373" s="377"/>
      <c r="Q373" s="406" t="s">
        <v>639</v>
      </c>
    </row>
    <row r="374" ht="15.0" customHeight="1">
      <c r="A374" s="383"/>
      <c r="B374" s="377"/>
      <c r="C374" s="377"/>
      <c r="D374" s="377"/>
      <c r="E374" s="371"/>
      <c r="F374" s="377"/>
      <c r="G374" s="377"/>
      <c r="H374" s="383"/>
      <c r="I374" s="383"/>
      <c r="J374" s="383"/>
      <c r="K374" s="383"/>
      <c r="L374" s="383"/>
      <c r="M374" s="377"/>
      <c r="N374" s="377"/>
      <c r="O374" s="377"/>
      <c r="P374" s="377"/>
      <c r="Q374" s="232"/>
    </row>
    <row r="375" ht="15.0" customHeight="1">
      <c r="A375" s="383"/>
      <c r="B375" s="377"/>
      <c r="C375" s="371" t="s">
        <v>1151</v>
      </c>
      <c r="D375" s="371" t="s">
        <v>40</v>
      </c>
      <c r="E375" s="377"/>
      <c r="F375" s="371" t="s">
        <v>46</v>
      </c>
      <c r="G375" s="377"/>
      <c r="H375" s="383"/>
      <c r="I375" s="383"/>
      <c r="J375" s="383"/>
      <c r="K375" s="383"/>
      <c r="L375" s="383"/>
      <c r="M375" s="377"/>
      <c r="N375" s="377"/>
      <c r="O375" s="377"/>
      <c r="P375" s="377"/>
      <c r="Q375" s="232"/>
    </row>
    <row r="376" ht="15.0" customHeight="1">
      <c r="A376" s="383"/>
      <c r="B376" s="377"/>
      <c r="C376" s="377"/>
      <c r="D376" s="377"/>
      <c r="E376" s="431" t="s">
        <v>1152</v>
      </c>
      <c r="F376" s="371" t="s">
        <v>24</v>
      </c>
      <c r="G376" s="385" t="s">
        <v>1153</v>
      </c>
      <c r="H376" s="385">
        <v>1.0</v>
      </c>
      <c r="I376" s="383"/>
      <c r="J376" s="387">
        <v>172.94</v>
      </c>
      <c r="K376" s="383"/>
      <c r="L376" s="383"/>
      <c r="M376" s="377"/>
      <c r="N376" s="377"/>
      <c r="O376" s="377"/>
      <c r="P376" s="377"/>
      <c r="Q376" s="232"/>
    </row>
    <row r="377" ht="15.0" customHeight="1">
      <c r="A377" s="383"/>
      <c r="B377" s="377"/>
      <c r="C377" s="371" t="s">
        <v>639</v>
      </c>
      <c r="D377" s="371" t="s">
        <v>713</v>
      </c>
      <c r="E377" s="488" t="s">
        <v>1154</v>
      </c>
      <c r="F377" s="371" t="s">
        <v>308</v>
      </c>
      <c r="G377" s="488" t="s">
        <v>1155</v>
      </c>
      <c r="H377" s="383"/>
      <c r="I377" s="383"/>
      <c r="J377" s="387"/>
      <c r="K377" s="383"/>
      <c r="L377" s="383"/>
      <c r="M377" s="377"/>
      <c r="N377" s="371" t="s">
        <v>1156</v>
      </c>
      <c r="O377" s="377"/>
      <c r="P377" s="377"/>
      <c r="Q377" s="232"/>
    </row>
    <row r="378" ht="15.0" customHeight="1">
      <c r="A378" s="389"/>
      <c r="B378" s="379" t="s">
        <v>639</v>
      </c>
      <c r="C378" s="379" t="s">
        <v>639</v>
      </c>
      <c r="D378" s="490" t="s">
        <v>24</v>
      </c>
      <c r="E378" s="491" t="str">
        <f>HYPERLINK("https://us.vwr.com/store/catalog/product.jsp?catalog_number=82006-636","VWR® 96-Well PCR and Real Time PCR Plates -Flat Plate Natural (100pk)")</f>
        <v>VWR® 96-Well PCR and Real Time PCR Plates -Flat Plate Natural (100pk)</v>
      </c>
      <c r="F378" s="492" t="s">
        <v>24</v>
      </c>
      <c r="G378" s="493" t="s">
        <v>88</v>
      </c>
      <c r="H378" s="494">
        <v>1.0</v>
      </c>
      <c r="I378" s="398"/>
      <c r="J378" s="383"/>
      <c r="K378" s="398">
        <v>175.0</v>
      </c>
      <c r="L378" s="398">
        <f>K378*H378</f>
        <v>175</v>
      </c>
      <c r="M378" s="377"/>
      <c r="N378" s="379" t="s">
        <v>1157</v>
      </c>
      <c r="O378" s="377"/>
      <c r="P378" s="377"/>
      <c r="Q378" s="400" t="s">
        <v>639</v>
      </c>
    </row>
    <row r="379" ht="15.0" customHeight="1">
      <c r="A379" s="401"/>
      <c r="B379" s="377"/>
      <c r="C379" s="377"/>
      <c r="D379" s="381" t="s">
        <v>46</v>
      </c>
      <c r="E379" s="498" t="s">
        <v>1158</v>
      </c>
      <c r="F379" s="381" t="s">
        <v>46</v>
      </c>
      <c r="G379" s="499"/>
      <c r="H379" s="401">
        <v>4.0</v>
      </c>
      <c r="I379" s="402"/>
      <c r="J379" s="402"/>
      <c r="K379" s="402">
        <v>50.0</v>
      </c>
      <c r="L379" s="402"/>
      <c r="M379" s="377"/>
      <c r="N379" s="381" t="s">
        <v>1159</v>
      </c>
      <c r="O379" s="377"/>
      <c r="P379" s="377"/>
      <c r="Q379" s="406"/>
    </row>
    <row r="380" ht="15.0" customHeight="1">
      <c r="A380" s="385"/>
      <c r="B380" s="377"/>
      <c r="C380" s="377"/>
      <c r="D380" s="377"/>
      <c r="E380" s="371"/>
      <c r="F380" s="371" t="s">
        <v>1160</v>
      </c>
      <c r="G380" s="377"/>
      <c r="H380" s="385"/>
      <c r="I380" s="387"/>
      <c r="J380" s="387"/>
      <c r="K380" s="387"/>
      <c r="L380" s="387"/>
      <c r="M380" s="377"/>
      <c r="N380" s="377"/>
      <c r="O380" s="377"/>
      <c r="P380" s="377"/>
      <c r="Q380" s="232"/>
    </row>
    <row r="381" ht="12.75" customHeight="1">
      <c r="A381" s="383"/>
      <c r="B381" s="377"/>
      <c r="C381" s="377"/>
      <c r="D381" s="377"/>
      <c r="E381" s="377"/>
      <c r="F381" s="377"/>
      <c r="G381" s="377"/>
      <c r="H381" s="383"/>
      <c r="I381" s="383"/>
      <c r="J381" s="383"/>
      <c r="K381" s="383"/>
      <c r="L381" s="383"/>
      <c r="M381" s="377"/>
      <c r="N381" s="377"/>
      <c r="O381" s="377"/>
      <c r="P381" s="377"/>
      <c r="Q381" s="232"/>
    </row>
    <row r="382" ht="15.0" customHeight="1">
      <c r="A382" s="383"/>
      <c r="B382" s="377"/>
      <c r="C382" s="371" t="s">
        <v>1161</v>
      </c>
      <c r="D382" s="377"/>
      <c r="E382" s="371" t="s">
        <v>40</v>
      </c>
      <c r="F382" s="371" t="s">
        <v>46</v>
      </c>
      <c r="G382" s="377"/>
      <c r="H382" s="383"/>
      <c r="I382" s="383"/>
      <c r="J382" s="383"/>
      <c r="K382" s="383"/>
      <c r="L382" s="383"/>
      <c r="M382" s="377"/>
      <c r="N382" s="377"/>
      <c r="O382" s="377"/>
      <c r="P382" s="377"/>
      <c r="Q382" s="232"/>
    </row>
    <row r="383" ht="15.0" customHeight="1">
      <c r="A383" s="383"/>
      <c r="B383" s="377"/>
      <c r="C383" s="371" t="s">
        <v>639</v>
      </c>
      <c r="D383" s="371" t="s">
        <v>1162</v>
      </c>
      <c r="E383" s="488" t="s">
        <v>1163</v>
      </c>
      <c r="F383" s="371" t="s">
        <v>308</v>
      </c>
      <c r="G383" s="488" t="s">
        <v>1164</v>
      </c>
      <c r="H383" s="383"/>
      <c r="I383" s="383"/>
      <c r="J383" s="383"/>
      <c r="K383" s="387">
        <v>8.67</v>
      </c>
      <c r="L383" s="383"/>
      <c r="M383" s="377"/>
      <c r="N383" s="377"/>
      <c r="O383" s="377"/>
      <c r="P383" s="377"/>
      <c r="Q383" s="232"/>
    </row>
    <row r="384" ht="15.0" customHeight="1">
      <c r="A384" s="389"/>
      <c r="B384" s="377"/>
      <c r="C384" s="377"/>
      <c r="D384" s="512"/>
      <c r="E384" s="491" t="str">
        <f>HYPERLINK("https://us.vwr.com/store/catalog/product.jsp?catalog_number=20170-650","VWR® Slick Disposable Microcentrifuge Tubes, Polypropylene, 1.5mL Natural (250pk)")</f>
        <v>VWR® Slick Disposable Microcentrifuge Tubes, Polypropylene, 1.5mL Natural (250pk)</v>
      </c>
      <c r="F384" s="492" t="s">
        <v>24</v>
      </c>
      <c r="G384" s="493" t="s">
        <v>1165</v>
      </c>
      <c r="H384" s="494">
        <v>1.0</v>
      </c>
      <c r="I384" s="398"/>
      <c r="J384" s="398"/>
      <c r="K384" s="398">
        <v>88.61</v>
      </c>
      <c r="L384" s="429">
        <f>K384*H384</f>
        <v>88.61</v>
      </c>
      <c r="M384" s="377"/>
      <c r="N384" s="379" t="s">
        <v>1166</v>
      </c>
      <c r="O384" s="377"/>
      <c r="P384" s="377"/>
      <c r="Q384" s="400"/>
    </row>
    <row r="385" ht="15.0" customHeight="1">
      <c r="A385" s="401"/>
      <c r="B385" s="377"/>
      <c r="C385" s="377"/>
      <c r="D385" s="377"/>
      <c r="E385" s="498" t="s">
        <v>1167</v>
      </c>
      <c r="F385" s="381" t="s">
        <v>46</v>
      </c>
      <c r="G385" s="499"/>
      <c r="H385" s="401">
        <v>5.0</v>
      </c>
      <c r="I385" s="402"/>
      <c r="J385" s="402"/>
      <c r="K385" s="402">
        <v>36.0</v>
      </c>
      <c r="L385" s="402"/>
      <c r="M385" s="377"/>
      <c r="N385" s="377"/>
      <c r="O385" s="377"/>
      <c r="P385" s="377"/>
      <c r="Q385" s="406"/>
    </row>
    <row r="386" ht="12.75" customHeight="1">
      <c r="A386" s="383"/>
      <c r="B386" s="377"/>
      <c r="C386" s="377"/>
      <c r="D386" s="377"/>
      <c r="E386" s="377"/>
      <c r="F386" s="377"/>
      <c r="G386" s="377"/>
      <c r="H386" s="383"/>
      <c r="I386" s="383"/>
      <c r="J386" s="383"/>
      <c r="K386" s="383"/>
      <c r="L386" s="383"/>
      <c r="M386" s="377"/>
      <c r="N386" s="377"/>
      <c r="O386" s="377"/>
      <c r="P386" s="377"/>
      <c r="Q386" s="232"/>
    </row>
    <row r="387" ht="15.0" customHeight="1">
      <c r="A387" s="383"/>
      <c r="B387" s="377"/>
      <c r="C387" s="371" t="s">
        <v>1168</v>
      </c>
      <c r="D387" s="377"/>
      <c r="E387" s="371" t="s">
        <v>40</v>
      </c>
      <c r="F387" s="371" t="s">
        <v>46</v>
      </c>
      <c r="G387" s="377"/>
      <c r="H387" s="383"/>
      <c r="I387" s="383"/>
      <c r="J387" s="383"/>
      <c r="K387" s="383"/>
      <c r="L387" s="383"/>
      <c r="M387" s="377"/>
      <c r="N387" s="377"/>
      <c r="O387" s="377"/>
      <c r="P387" s="377"/>
      <c r="Q387" s="232"/>
    </row>
    <row r="388" ht="15.0" customHeight="1">
      <c r="A388" s="383"/>
      <c r="B388" s="377"/>
      <c r="C388" s="377"/>
      <c r="D388" s="377"/>
      <c r="E388" s="371" t="s">
        <v>1169</v>
      </c>
      <c r="F388" s="371" t="s">
        <v>46</v>
      </c>
      <c r="G388" s="385" t="s">
        <v>1170</v>
      </c>
      <c r="H388" s="385">
        <v>1.0</v>
      </c>
      <c r="I388" s="383"/>
      <c r="J388" s="387">
        <v>138.0</v>
      </c>
      <c r="K388" s="383"/>
      <c r="L388" s="383"/>
      <c r="M388" s="377"/>
      <c r="N388" s="377"/>
      <c r="O388" s="377"/>
      <c r="P388" s="377"/>
      <c r="Q388" s="232"/>
    </row>
    <row r="389" ht="15.0" customHeight="1">
      <c r="A389" s="383"/>
      <c r="B389" s="377"/>
      <c r="C389" s="377"/>
      <c r="D389" s="377"/>
      <c r="E389" s="371" t="s">
        <v>1171</v>
      </c>
      <c r="F389" s="371" t="s">
        <v>46</v>
      </c>
      <c r="G389" s="385" t="s">
        <v>1172</v>
      </c>
      <c r="H389" s="385">
        <v>1.0</v>
      </c>
      <c r="I389" s="383"/>
      <c r="J389" s="387">
        <v>108.0</v>
      </c>
      <c r="K389" s="383"/>
      <c r="L389" s="383"/>
      <c r="M389" s="377"/>
      <c r="N389" s="377"/>
      <c r="O389" s="377"/>
      <c r="P389" s="377"/>
      <c r="Q389" s="232"/>
    </row>
    <row r="390" ht="15.0" customHeight="1">
      <c r="A390" s="383"/>
      <c r="B390" s="377"/>
      <c r="C390" s="377"/>
      <c r="D390" s="377"/>
      <c r="E390" s="371" t="s">
        <v>1173</v>
      </c>
      <c r="F390" s="371" t="s">
        <v>46</v>
      </c>
      <c r="G390" s="385" t="s">
        <v>1174</v>
      </c>
      <c r="H390" s="385">
        <v>1.0</v>
      </c>
      <c r="I390" s="383"/>
      <c r="J390" s="387">
        <v>158.66</v>
      </c>
      <c r="K390" s="383"/>
      <c r="L390" s="383"/>
      <c r="M390" s="377"/>
      <c r="N390" s="377"/>
      <c r="O390" s="377"/>
      <c r="P390" s="377"/>
      <c r="Q390" s="232"/>
    </row>
    <row r="391" ht="15.0" customHeight="1">
      <c r="A391" s="389"/>
      <c r="B391" s="377"/>
      <c r="C391" s="377"/>
      <c r="D391" s="377"/>
      <c r="E391" s="396" t="str">
        <f>HYPERLINK("https://us.vwr.com/store/catalog/product.jsp?catalog_number=89096-718","VWR® Next Generation Pipet Tip Refill System, 0.1–10 µL Nonsterile Graduated Tips")</f>
        <v>VWR® Next Generation Pipet Tip Refill System, 0.1–10 µL Nonsterile Graduated Tips</v>
      </c>
      <c r="F391" s="379" t="s">
        <v>24</v>
      </c>
      <c r="G391" s="467" t="s">
        <v>1175</v>
      </c>
      <c r="H391" s="389">
        <v>1.0</v>
      </c>
      <c r="I391" s="398"/>
      <c r="J391" s="398"/>
      <c r="K391" s="429">
        <v>28.8</v>
      </c>
      <c r="L391" s="398"/>
      <c r="M391" s="377"/>
      <c r="N391" s="379" t="s">
        <v>1176</v>
      </c>
      <c r="O391" s="544">
        <f>K391/1248</f>
        <v>0.02307692308</v>
      </c>
      <c r="P391" s="377"/>
      <c r="Q391" s="400"/>
    </row>
    <row r="392" ht="15.0" customHeight="1">
      <c r="A392" s="389"/>
      <c r="B392" s="379" t="s">
        <v>639</v>
      </c>
      <c r="C392" s="379" t="s">
        <v>639</v>
      </c>
      <c r="D392" s="377"/>
      <c r="E392" s="474" t="s">
        <v>1177</v>
      </c>
      <c r="F392" s="379" t="s">
        <v>24</v>
      </c>
      <c r="G392" s="467" t="s">
        <v>264</v>
      </c>
      <c r="H392" s="389">
        <v>1.0</v>
      </c>
      <c r="I392" s="398"/>
      <c r="J392" s="398"/>
      <c r="K392" s="429">
        <v>22.69</v>
      </c>
      <c r="L392" s="398"/>
      <c r="M392" s="377"/>
      <c r="N392" s="379" t="s">
        <v>1178</v>
      </c>
      <c r="O392" s="544">
        <f>K392/960</f>
        <v>0.02363541667</v>
      </c>
      <c r="P392" s="377"/>
      <c r="Q392" s="400" t="s">
        <v>639</v>
      </c>
    </row>
    <row r="393" ht="15.0" customHeight="1">
      <c r="A393" s="389"/>
      <c r="B393" s="379" t="s">
        <v>639</v>
      </c>
      <c r="C393" s="379" t="s">
        <v>639</v>
      </c>
      <c r="D393" s="377"/>
      <c r="E393" s="396" t="str">
        <f>HYPERLINK("https://us.vwr.com/store/catalog/product.jsp?catalog_number=89079-470","VWR® Next Generation Pipet Tip Refill System, 100–1250 µL Nonsterile Ultrafine™ Tips ")</f>
        <v>VWR® Next Generation Pipet Tip Refill System, 100–1250 µL Nonsterile Ultrafine™ Tips </v>
      </c>
      <c r="F393" s="379" t="s">
        <v>24</v>
      </c>
      <c r="G393" s="467" t="s">
        <v>288</v>
      </c>
      <c r="H393" s="389">
        <v>1.0</v>
      </c>
      <c r="I393" s="398"/>
      <c r="J393" s="398"/>
      <c r="K393" s="429">
        <v>13.85</v>
      </c>
      <c r="L393" s="398"/>
      <c r="M393" s="377"/>
      <c r="N393" s="379" t="s">
        <v>1179</v>
      </c>
      <c r="O393" s="544">
        <f>K393/480</f>
        <v>0.02885416667</v>
      </c>
      <c r="P393" s="377"/>
      <c r="Q393" s="400" t="s">
        <v>639</v>
      </c>
    </row>
    <row r="394" ht="15.0" customHeight="1">
      <c r="A394" s="389"/>
      <c r="B394" s="379" t="s">
        <v>639</v>
      </c>
      <c r="C394" s="379" t="s">
        <v>639</v>
      </c>
      <c r="D394" s="377"/>
      <c r="E394" s="486" t="str">
        <f>HYPERLINK("https://us.vwr.com/store/catalog/product.jsp?catalog_number=89079-440","VWR® Next Generation Pipet Tip Refill System 1–300 µL Nonsterile Ultrafine™ Tips")</f>
        <v>VWR® Next Generation Pipet Tip Refill System 1–300 µL Nonsterile Ultrafine™ Tips</v>
      </c>
      <c r="F394" s="379" t="s">
        <v>24</v>
      </c>
      <c r="G394" s="467" t="s">
        <v>293</v>
      </c>
      <c r="H394" s="389">
        <v>1.0</v>
      </c>
      <c r="I394" s="398"/>
      <c r="J394" s="398"/>
      <c r="K394" s="429">
        <v>19.18</v>
      </c>
      <c r="L394" s="398"/>
      <c r="M394" s="377"/>
      <c r="N394" s="379" t="s">
        <v>1180</v>
      </c>
      <c r="O394" s="544">
        <f>K394/576</f>
        <v>0.03329861111</v>
      </c>
      <c r="P394" s="377"/>
      <c r="Q394" s="400" t="s">
        <v>639</v>
      </c>
    </row>
    <row r="395" ht="15.0" customHeight="1">
      <c r="A395" s="401"/>
      <c r="B395" s="377"/>
      <c r="C395" s="377"/>
      <c r="D395" s="377"/>
      <c r="E395" s="408" t="s">
        <v>1181</v>
      </c>
      <c r="F395" s="381" t="s">
        <v>46</v>
      </c>
      <c r="G395" s="408" t="s">
        <v>1182</v>
      </c>
      <c r="H395" s="401"/>
      <c r="I395" s="402"/>
      <c r="J395" s="402"/>
      <c r="K395" s="469">
        <v>30.67</v>
      </c>
      <c r="L395" s="402"/>
      <c r="M395" s="377"/>
      <c r="N395" s="377"/>
      <c r="O395" s="545">
        <f t="shared" ref="O395:O398" si="7">K395/960</f>
        <v>0.03194791667</v>
      </c>
      <c r="P395" s="377"/>
      <c r="Q395" s="406"/>
    </row>
    <row r="396" ht="15.0" customHeight="1">
      <c r="A396" s="401"/>
      <c r="B396" s="381" t="s">
        <v>639</v>
      </c>
      <c r="C396" s="381" t="s">
        <v>639</v>
      </c>
      <c r="D396" s="377"/>
      <c r="E396" s="408" t="s">
        <v>1183</v>
      </c>
      <c r="F396" s="381" t="s">
        <v>46</v>
      </c>
      <c r="G396" s="408" t="s">
        <v>284</v>
      </c>
      <c r="H396" s="401"/>
      <c r="I396" s="402"/>
      <c r="J396" s="402"/>
      <c r="K396" s="469">
        <v>21.28</v>
      </c>
      <c r="L396" s="402"/>
      <c r="M396" s="377"/>
      <c r="N396" s="546"/>
      <c r="O396" s="545">
        <f t="shared" si="7"/>
        <v>0.02216666667</v>
      </c>
      <c r="P396" s="377"/>
      <c r="Q396" s="406" t="s">
        <v>639</v>
      </c>
    </row>
    <row r="397" ht="15.0" customHeight="1">
      <c r="A397" s="401"/>
      <c r="B397" s="377"/>
      <c r="C397" s="377"/>
      <c r="D397" s="377"/>
      <c r="E397" s="408" t="s">
        <v>1184</v>
      </c>
      <c r="F397" s="381" t="s">
        <v>46</v>
      </c>
      <c r="G397" s="408" t="s">
        <v>1185</v>
      </c>
      <c r="H397" s="401"/>
      <c r="I397" s="402"/>
      <c r="J397" s="402"/>
      <c r="K397" s="469">
        <v>17.39</v>
      </c>
      <c r="L397" s="402"/>
      <c r="M397" s="377"/>
      <c r="N397" s="377"/>
      <c r="O397" s="545">
        <f t="shared" si="7"/>
        <v>0.01811458333</v>
      </c>
      <c r="P397" s="377"/>
      <c r="Q397" s="406"/>
    </row>
    <row r="398" ht="15.0" customHeight="1">
      <c r="A398" s="401"/>
      <c r="B398" s="377"/>
      <c r="C398" s="377"/>
      <c r="D398" s="377"/>
      <c r="E398" s="408" t="s">
        <v>1186</v>
      </c>
      <c r="F398" s="381" t="s">
        <v>46</v>
      </c>
      <c r="G398" s="408" t="s">
        <v>1174</v>
      </c>
      <c r="H398" s="401"/>
      <c r="I398" s="402"/>
      <c r="J398" s="402"/>
      <c r="K398" s="469">
        <v>28.13</v>
      </c>
      <c r="L398" s="402"/>
      <c r="M398" s="377"/>
      <c r="N398" s="377"/>
      <c r="O398" s="545">
        <f t="shared" si="7"/>
        <v>0.02930208333</v>
      </c>
      <c r="P398" s="377"/>
      <c r="Q398" s="406"/>
    </row>
    <row r="399" ht="15.0" customHeight="1">
      <c r="A399" s="385"/>
      <c r="B399" s="377"/>
      <c r="C399" s="377"/>
      <c r="D399" s="377"/>
      <c r="E399" s="547"/>
      <c r="F399" s="377"/>
      <c r="G399" s="514"/>
      <c r="H399" s="385"/>
      <c r="I399" s="387"/>
      <c r="J399" s="387"/>
      <c r="K399" s="476"/>
      <c r="L399" s="387"/>
      <c r="M399" s="377"/>
      <c r="N399" s="377"/>
      <c r="O399" s="377"/>
      <c r="P399" s="377"/>
      <c r="Q399" s="232"/>
    </row>
    <row r="400" ht="15.0" customHeight="1">
      <c r="A400" s="385"/>
      <c r="B400" s="377"/>
      <c r="C400" s="377"/>
      <c r="D400" s="377"/>
      <c r="E400" s="547"/>
      <c r="F400" s="377"/>
      <c r="G400" s="514"/>
      <c r="H400" s="385"/>
      <c r="I400" s="387"/>
      <c r="J400" s="387"/>
      <c r="K400" s="476"/>
      <c r="L400" s="387"/>
      <c r="M400" s="377"/>
      <c r="N400" s="377"/>
      <c r="O400" s="377"/>
      <c r="P400" s="377"/>
      <c r="Q400" s="232"/>
    </row>
    <row r="401" ht="15.0" customHeight="1">
      <c r="A401" s="383"/>
      <c r="B401" s="377"/>
      <c r="C401" s="377"/>
      <c r="D401" s="377"/>
      <c r="E401" s="371"/>
      <c r="F401" s="377"/>
      <c r="G401" s="385"/>
      <c r="H401" s="383"/>
      <c r="I401" s="383"/>
      <c r="J401" s="387"/>
      <c r="K401" s="383"/>
      <c r="L401" s="383"/>
      <c r="M401" s="377"/>
      <c r="N401" s="377"/>
      <c r="O401" s="377"/>
      <c r="P401" s="377"/>
      <c r="Q401" s="232"/>
    </row>
    <row r="402" ht="15.0" customHeight="1">
      <c r="A402" s="383"/>
      <c r="B402" s="377"/>
      <c r="C402" s="377"/>
      <c r="D402" s="377"/>
      <c r="E402" s="371"/>
      <c r="F402" s="377"/>
      <c r="G402" s="385"/>
      <c r="H402" s="383"/>
      <c r="I402" s="383"/>
      <c r="J402" s="387"/>
      <c r="K402" s="383"/>
      <c r="L402" s="383"/>
      <c r="M402" s="377"/>
      <c r="N402" s="377"/>
      <c r="O402" s="377"/>
      <c r="P402" s="377"/>
      <c r="Q402" s="232"/>
    </row>
    <row r="403" ht="15.0" customHeight="1">
      <c r="A403" s="383"/>
      <c r="B403" s="377"/>
      <c r="C403" s="371" t="s">
        <v>1187</v>
      </c>
      <c r="D403" s="377"/>
      <c r="E403" s="371"/>
      <c r="F403" s="377"/>
      <c r="G403" s="385"/>
      <c r="H403" s="383"/>
      <c r="I403" s="383"/>
      <c r="J403" s="387"/>
      <c r="K403" s="383"/>
      <c r="L403" s="383"/>
      <c r="M403" s="377"/>
      <c r="N403" s="377"/>
      <c r="O403" s="377"/>
      <c r="P403" s="377"/>
      <c r="Q403" s="232"/>
    </row>
    <row r="404" ht="15.0" customHeight="1">
      <c r="A404" s="383"/>
      <c r="B404" s="377"/>
      <c r="C404" s="377"/>
      <c r="D404" s="377"/>
      <c r="E404" s="371" t="s">
        <v>1188</v>
      </c>
      <c r="F404" s="371" t="s">
        <v>46</v>
      </c>
      <c r="G404" s="385" t="s">
        <v>1189</v>
      </c>
      <c r="H404" s="385">
        <v>1.0</v>
      </c>
      <c r="I404" s="383"/>
      <c r="J404" s="387">
        <v>313.02</v>
      </c>
      <c r="K404" s="383"/>
      <c r="L404" s="383"/>
      <c r="M404" s="377"/>
      <c r="N404" s="377"/>
      <c r="O404" s="377"/>
      <c r="P404" s="377"/>
      <c r="Q404" s="232"/>
    </row>
    <row r="405" ht="15.0" customHeight="1">
      <c r="A405" s="383"/>
      <c r="B405" s="377"/>
      <c r="C405" s="377"/>
      <c r="D405" s="377"/>
      <c r="E405" s="371" t="s">
        <v>1190</v>
      </c>
      <c r="F405" s="371" t="s">
        <v>46</v>
      </c>
      <c r="G405" s="385" t="s">
        <v>1191</v>
      </c>
      <c r="H405" s="385">
        <v>2.0</v>
      </c>
      <c r="I405" s="383"/>
      <c r="J405" s="387">
        <v>613.72</v>
      </c>
      <c r="K405" s="383"/>
      <c r="L405" s="383"/>
      <c r="M405" s="377"/>
      <c r="N405" s="377"/>
      <c r="O405" s="377"/>
      <c r="P405" s="377"/>
      <c r="Q405" s="232"/>
    </row>
    <row r="406" ht="15.0" customHeight="1">
      <c r="A406" s="383"/>
      <c r="B406" s="377"/>
      <c r="C406" s="377"/>
      <c r="D406" s="377"/>
      <c r="E406" s="371" t="s">
        <v>1192</v>
      </c>
      <c r="F406" s="371" t="s">
        <v>46</v>
      </c>
      <c r="G406" s="385" t="s">
        <v>1193</v>
      </c>
      <c r="H406" s="385">
        <v>1.0</v>
      </c>
      <c r="I406" s="383"/>
      <c r="J406" s="387">
        <v>146.6</v>
      </c>
      <c r="K406" s="383"/>
      <c r="L406" s="383"/>
      <c r="M406" s="377"/>
      <c r="N406" s="377"/>
      <c r="O406" s="377"/>
      <c r="P406" s="377"/>
      <c r="Q406" s="232"/>
    </row>
    <row r="407" ht="15.0" customHeight="1">
      <c r="A407" s="383"/>
      <c r="B407" s="377"/>
      <c r="C407" s="377"/>
      <c r="D407" s="377"/>
      <c r="E407" s="371" t="s">
        <v>1194</v>
      </c>
      <c r="F407" s="371" t="s">
        <v>46</v>
      </c>
      <c r="G407" s="385" t="s">
        <v>1195</v>
      </c>
      <c r="H407" s="385">
        <v>1.0</v>
      </c>
      <c r="I407" s="383"/>
      <c r="J407" s="387">
        <v>148.47</v>
      </c>
      <c r="K407" s="383"/>
      <c r="L407" s="383"/>
      <c r="M407" s="377"/>
      <c r="N407" s="377"/>
      <c r="O407" s="377"/>
      <c r="P407" s="377"/>
      <c r="Q407" s="232"/>
    </row>
    <row r="408" ht="15.0" customHeight="1">
      <c r="A408" s="383"/>
      <c r="B408" s="377"/>
      <c r="C408" s="377"/>
      <c r="D408" s="371" t="s">
        <v>1196</v>
      </c>
      <c r="E408" s="371" t="s">
        <v>1197</v>
      </c>
      <c r="F408" s="371" t="s">
        <v>308</v>
      </c>
      <c r="G408" s="371" t="s">
        <v>1198</v>
      </c>
      <c r="H408" s="383"/>
      <c r="I408" s="383"/>
      <c r="J408" s="387"/>
      <c r="K408" s="489"/>
      <c r="L408" s="383"/>
      <c r="M408" s="377"/>
      <c r="N408" s="371" t="s">
        <v>1199</v>
      </c>
      <c r="O408" s="377"/>
      <c r="P408" s="377"/>
      <c r="Q408" s="232"/>
    </row>
    <row r="409" ht="15.0" customHeight="1">
      <c r="A409" s="389"/>
      <c r="B409" s="377"/>
      <c r="C409" s="377"/>
      <c r="D409" s="377"/>
      <c r="E409" s="548" t="s">
        <v>1200</v>
      </c>
      <c r="F409" s="379" t="s">
        <v>24</v>
      </c>
      <c r="G409" s="548" t="s">
        <v>1201</v>
      </c>
      <c r="H409" s="389">
        <v>1.0</v>
      </c>
      <c r="I409" s="398"/>
      <c r="J409" s="495"/>
      <c r="K409" s="549">
        <v>61.9</v>
      </c>
      <c r="L409" s="497"/>
      <c r="M409" s="377"/>
      <c r="N409" s="379" t="s">
        <v>1176</v>
      </c>
      <c r="O409" s="399">
        <f>K409/1248</f>
        <v>0.04959935897</v>
      </c>
      <c r="P409" s="377"/>
      <c r="Q409" s="400"/>
    </row>
    <row r="410" ht="15.0" customHeight="1">
      <c r="A410" s="389"/>
      <c r="B410" s="377"/>
      <c r="C410" s="377"/>
      <c r="D410" s="377"/>
      <c r="E410" s="548" t="s">
        <v>1202</v>
      </c>
      <c r="F410" s="379" t="s">
        <v>24</v>
      </c>
      <c r="G410" s="548" t="s">
        <v>1203</v>
      </c>
      <c r="H410" s="389">
        <v>1.0</v>
      </c>
      <c r="I410" s="398"/>
      <c r="J410" s="495"/>
      <c r="K410" s="549">
        <v>65.24</v>
      </c>
      <c r="L410" s="497"/>
      <c r="M410" s="377"/>
      <c r="N410" s="379" t="s">
        <v>1178</v>
      </c>
      <c r="O410" s="399">
        <f>K410/960</f>
        <v>0.06795833333</v>
      </c>
      <c r="P410" s="377"/>
      <c r="Q410" s="400"/>
    </row>
    <row r="411" ht="15.0" customHeight="1">
      <c r="A411" s="389"/>
      <c r="B411" s="377"/>
      <c r="C411" s="377"/>
      <c r="D411" s="377"/>
      <c r="E411" s="548" t="s">
        <v>1204</v>
      </c>
      <c r="F411" s="379" t="s">
        <v>24</v>
      </c>
      <c r="G411" s="548" t="s">
        <v>1205</v>
      </c>
      <c r="H411" s="389">
        <v>1.0</v>
      </c>
      <c r="I411" s="398"/>
      <c r="J411" s="495"/>
      <c r="K411" s="549">
        <v>49.87</v>
      </c>
      <c r="L411" s="497"/>
      <c r="M411" s="377"/>
      <c r="N411" s="379" t="s">
        <v>1180</v>
      </c>
      <c r="O411" s="399">
        <f>K411/480</f>
        <v>0.1038958333</v>
      </c>
      <c r="P411" s="377"/>
      <c r="Q411" s="400"/>
    </row>
    <row r="412" ht="15.0" customHeight="1">
      <c r="A412" s="389"/>
      <c r="B412" s="379" t="s">
        <v>639</v>
      </c>
      <c r="C412" s="379" t="s">
        <v>639</v>
      </c>
      <c r="D412" s="377"/>
      <c r="E412" s="548" t="s">
        <v>1206</v>
      </c>
      <c r="F412" s="379" t="s">
        <v>24</v>
      </c>
      <c r="G412" s="548" t="s">
        <v>291</v>
      </c>
      <c r="H412" s="389">
        <v>1.0</v>
      </c>
      <c r="I412" s="398"/>
      <c r="J412" s="495"/>
      <c r="K412" s="549">
        <v>43.93</v>
      </c>
      <c r="L412" s="497"/>
      <c r="M412" s="377"/>
      <c r="N412" s="379" t="s">
        <v>1180</v>
      </c>
      <c r="O412" s="399">
        <f>K412/576</f>
        <v>0.07626736111</v>
      </c>
      <c r="P412" s="377"/>
      <c r="Q412" s="400" t="s">
        <v>639</v>
      </c>
    </row>
    <row r="413" ht="15.0" customHeight="1">
      <c r="A413" s="401"/>
      <c r="B413" s="381" t="s">
        <v>639</v>
      </c>
      <c r="C413" s="381" t="s">
        <v>639</v>
      </c>
      <c r="D413" s="377"/>
      <c r="E413" s="408" t="s">
        <v>1207</v>
      </c>
      <c r="F413" s="381" t="s">
        <v>46</v>
      </c>
      <c r="G413" s="408" t="s">
        <v>86</v>
      </c>
      <c r="H413" s="401"/>
      <c r="I413" s="402"/>
      <c r="J413" s="402"/>
      <c r="K413" s="520">
        <v>52.52</v>
      </c>
      <c r="L413" s="402"/>
      <c r="M413" s="377"/>
      <c r="N413" s="381" t="s">
        <v>1178</v>
      </c>
      <c r="O413" s="546">
        <f t="shared" ref="O413:O416" si="8">K413/960</f>
        <v>0.05470833333</v>
      </c>
      <c r="P413" s="377"/>
      <c r="Q413" s="406" t="s">
        <v>639</v>
      </c>
    </row>
    <row r="414" ht="15.0" customHeight="1">
      <c r="A414" s="401"/>
      <c r="B414" s="381" t="s">
        <v>639</v>
      </c>
      <c r="C414" s="381" t="s">
        <v>639</v>
      </c>
      <c r="D414" s="377"/>
      <c r="E414" s="408" t="s">
        <v>1208</v>
      </c>
      <c r="F414" s="381" t="s">
        <v>46</v>
      </c>
      <c r="G414" s="408" t="s">
        <v>282</v>
      </c>
      <c r="H414" s="401"/>
      <c r="I414" s="402"/>
      <c r="J414" s="402"/>
      <c r="K414" s="469">
        <v>52.52</v>
      </c>
      <c r="L414" s="402"/>
      <c r="M414" s="377"/>
      <c r="N414" s="377"/>
      <c r="O414" s="546">
        <f t="shared" si="8"/>
        <v>0.05470833333</v>
      </c>
      <c r="P414" s="377"/>
      <c r="Q414" s="406" t="s">
        <v>639</v>
      </c>
    </row>
    <row r="415" ht="15.0" customHeight="1">
      <c r="A415" s="401"/>
      <c r="B415" s="377"/>
      <c r="C415" s="377"/>
      <c r="D415" s="377"/>
      <c r="E415" s="408" t="s">
        <v>1209</v>
      </c>
      <c r="F415" s="381" t="s">
        <v>46</v>
      </c>
      <c r="G415" s="408" t="s">
        <v>1210</v>
      </c>
      <c r="H415" s="401"/>
      <c r="I415" s="402"/>
      <c r="J415" s="402"/>
      <c r="K415" s="469">
        <v>52.52</v>
      </c>
      <c r="L415" s="402"/>
      <c r="M415" s="377"/>
      <c r="N415" s="377"/>
      <c r="O415" s="546">
        <f t="shared" si="8"/>
        <v>0.05470833333</v>
      </c>
      <c r="P415" s="377"/>
      <c r="Q415" s="406"/>
    </row>
    <row r="416" ht="15.0" customHeight="1">
      <c r="A416" s="401"/>
      <c r="B416" s="381" t="s">
        <v>639</v>
      </c>
      <c r="C416" s="381" t="s">
        <v>639</v>
      </c>
      <c r="D416" s="377"/>
      <c r="E416" s="408" t="s">
        <v>1211</v>
      </c>
      <c r="F416" s="381" t="s">
        <v>46</v>
      </c>
      <c r="G416" s="408" t="s">
        <v>268</v>
      </c>
      <c r="H416" s="401"/>
      <c r="I416" s="402"/>
      <c r="J416" s="402"/>
      <c r="K416" s="469">
        <v>52.52</v>
      </c>
      <c r="L416" s="402"/>
      <c r="M416" s="377"/>
      <c r="N416" s="377"/>
      <c r="O416" s="546">
        <f t="shared" si="8"/>
        <v>0.05470833333</v>
      </c>
      <c r="P416" s="377"/>
      <c r="Q416" s="406" t="s">
        <v>639</v>
      </c>
    </row>
    <row r="417" ht="15.0" customHeight="1">
      <c r="A417" s="401"/>
      <c r="B417" s="381" t="s">
        <v>639</v>
      </c>
      <c r="C417" s="381" t="s">
        <v>639</v>
      </c>
      <c r="D417" s="377"/>
      <c r="E417" s="408" t="s">
        <v>1212</v>
      </c>
      <c r="F417" s="381" t="s">
        <v>46</v>
      </c>
      <c r="G417" s="408" t="s">
        <v>261</v>
      </c>
      <c r="H417" s="401"/>
      <c r="I417" s="402"/>
      <c r="J417" s="402"/>
      <c r="K417" s="469">
        <v>33.43</v>
      </c>
      <c r="L417" s="402"/>
      <c r="M417" s="377"/>
      <c r="N417" s="377"/>
      <c r="O417" s="546">
        <f>K417/560</f>
        <v>0.05969642857</v>
      </c>
      <c r="P417" s="377"/>
      <c r="Q417" s="406" t="s">
        <v>639</v>
      </c>
    </row>
    <row r="418" ht="15.0" customHeight="1">
      <c r="A418" s="385"/>
      <c r="B418" s="377"/>
      <c r="C418" s="377"/>
      <c r="D418" s="377"/>
      <c r="E418" s="550"/>
      <c r="F418" s="377"/>
      <c r="G418" s="551"/>
      <c r="H418" s="385"/>
      <c r="I418" s="387"/>
      <c r="J418" s="387"/>
      <c r="K418" s="476"/>
      <c r="L418" s="387"/>
      <c r="M418" s="377"/>
      <c r="N418" s="377"/>
      <c r="O418" s="377"/>
      <c r="P418" s="377"/>
      <c r="Q418" s="232"/>
    </row>
    <row r="419" ht="12.75" customHeight="1">
      <c r="A419" s="383"/>
      <c r="B419" s="377"/>
      <c r="C419" s="377"/>
      <c r="D419" s="377"/>
      <c r="E419" s="377"/>
      <c r="F419" s="377"/>
      <c r="G419" s="377"/>
      <c r="H419" s="383"/>
      <c r="I419" s="383"/>
      <c r="J419" s="383"/>
      <c r="K419" s="383"/>
      <c r="L419" s="383"/>
      <c r="M419" s="377"/>
      <c r="N419" s="377"/>
      <c r="O419" s="377"/>
      <c r="P419" s="377"/>
      <c r="Q419" s="232"/>
    </row>
    <row r="420" ht="15.0" customHeight="1">
      <c r="A420" s="383"/>
      <c r="B420" s="377"/>
      <c r="C420" s="371" t="s">
        <v>1213</v>
      </c>
      <c r="D420" s="377"/>
      <c r="E420" s="516"/>
      <c r="F420" s="377"/>
      <c r="G420" s="516"/>
      <c r="H420" s="383"/>
      <c r="I420" s="383"/>
      <c r="J420" s="383"/>
      <c r="K420" s="489"/>
      <c r="L420" s="383"/>
      <c r="M420" s="377"/>
      <c r="N420" s="377"/>
      <c r="O420" s="377"/>
      <c r="P420" s="377"/>
      <c r="Q420" s="232"/>
    </row>
    <row r="421" ht="15.0" customHeight="1">
      <c r="A421" s="389"/>
      <c r="B421" s="379" t="s">
        <v>639</v>
      </c>
      <c r="C421" s="379" t="s">
        <v>639</v>
      </c>
      <c r="D421" s="512"/>
      <c r="E421" s="552" t="str">
        <f>HYPERLINK("https://us.vwr.com/store/catalog/product.jsp?catalog_number=89130-898","VWR® Disposable Serological Pipets, Polystyrene, Sterile, Plugged, Individually Wrapped in Paper/Plastic 10ml")</f>
        <v>VWR® Disposable Serological Pipets, Polystyrene, Sterile, Plugged, Individually Wrapped in Paper/Plastic 10ml</v>
      </c>
      <c r="F421" s="492" t="s">
        <v>24</v>
      </c>
      <c r="G421" s="493" t="s">
        <v>58</v>
      </c>
      <c r="H421" s="494">
        <v>1.0</v>
      </c>
      <c r="I421" s="398"/>
      <c r="J421" s="495"/>
      <c r="K421" s="496">
        <v>31.44</v>
      </c>
      <c r="L421" s="497">
        <f t="shared" ref="L421:L422" si="9">K421*H421</f>
        <v>31.44</v>
      </c>
      <c r="M421" s="377"/>
      <c r="N421" s="379" t="s">
        <v>1214</v>
      </c>
      <c r="O421" s="377"/>
      <c r="P421" s="377"/>
      <c r="Q421" s="400" t="s">
        <v>639</v>
      </c>
    </row>
    <row r="422" ht="15.0" customHeight="1">
      <c r="A422" s="389"/>
      <c r="B422" s="379" t="s">
        <v>639</v>
      </c>
      <c r="C422" s="379" t="s">
        <v>639</v>
      </c>
      <c r="D422" s="512"/>
      <c r="E422" s="552" t="str">
        <f>HYPERLINK("https://us.vwr.com/store/catalog/product.jsp?catalog_number=89130-900","VWR® Disposable Serological Pipets, Polystyrene, Sterile, Plugged, Individually Wrapped in Paper/Plastic 25ml")</f>
        <v>VWR® Disposable Serological Pipets, Polystyrene, Sterile, Plugged, Individually Wrapped in Paper/Plastic 25ml</v>
      </c>
      <c r="F422" s="492" t="s">
        <v>24</v>
      </c>
      <c r="G422" s="493" t="s">
        <v>76</v>
      </c>
      <c r="H422" s="494">
        <v>1.0</v>
      </c>
      <c r="I422" s="398"/>
      <c r="J422" s="495"/>
      <c r="K422" s="496">
        <v>76.25</v>
      </c>
      <c r="L422" s="497">
        <f t="shared" si="9"/>
        <v>76.25</v>
      </c>
      <c r="M422" s="377"/>
      <c r="N422" s="379" t="s">
        <v>1214</v>
      </c>
      <c r="O422" s="377"/>
      <c r="P422" s="377"/>
      <c r="Q422" s="400" t="s">
        <v>639</v>
      </c>
    </row>
    <row r="423" ht="15.0" customHeight="1">
      <c r="A423" s="401"/>
      <c r="B423" s="377"/>
      <c r="C423" s="377"/>
      <c r="D423" s="377"/>
      <c r="E423" s="498" t="s">
        <v>1215</v>
      </c>
      <c r="F423" s="381" t="s">
        <v>46</v>
      </c>
      <c r="G423" s="553"/>
      <c r="H423" s="401">
        <v>1.0</v>
      </c>
      <c r="I423" s="402"/>
      <c r="J423" s="402"/>
      <c r="K423" s="500">
        <v>33.38</v>
      </c>
      <c r="L423" s="402"/>
      <c r="M423" s="377"/>
      <c r="N423" s="377"/>
      <c r="O423" s="377"/>
      <c r="P423" s="377"/>
      <c r="Q423" s="406"/>
    </row>
    <row r="424" ht="15.0" customHeight="1">
      <c r="A424" s="401"/>
      <c r="B424" s="377"/>
      <c r="C424" s="377"/>
      <c r="D424" s="377"/>
      <c r="E424" s="381" t="s">
        <v>1217</v>
      </c>
      <c r="F424" s="381" t="s">
        <v>46</v>
      </c>
      <c r="G424" s="487"/>
      <c r="H424" s="401"/>
      <c r="I424" s="402"/>
      <c r="J424" s="402"/>
      <c r="K424" s="402">
        <v>87.89</v>
      </c>
      <c r="L424" s="402"/>
      <c r="M424" s="377"/>
      <c r="N424" s="377"/>
      <c r="O424" s="377"/>
      <c r="P424" s="377"/>
      <c r="Q424" s="406"/>
    </row>
    <row r="425" ht="12.75" customHeight="1">
      <c r="A425" s="383"/>
      <c r="B425" s="377"/>
      <c r="C425" s="377"/>
      <c r="D425" s="377"/>
      <c r="E425" s="377"/>
      <c r="F425" s="377"/>
      <c r="G425" s="377"/>
      <c r="H425" s="383"/>
      <c r="I425" s="383"/>
      <c r="J425" s="383"/>
      <c r="K425" s="383"/>
      <c r="L425" s="383"/>
      <c r="M425" s="377"/>
      <c r="N425" s="377"/>
      <c r="O425" s="377"/>
      <c r="P425" s="377"/>
      <c r="Q425" s="232"/>
    </row>
    <row r="426" ht="15.0" customHeight="1">
      <c r="A426" s="383"/>
      <c r="B426" s="377"/>
      <c r="C426" s="371" t="s">
        <v>1218</v>
      </c>
      <c r="D426" s="377"/>
      <c r="E426" s="371" t="s">
        <v>1219</v>
      </c>
      <c r="F426" s="371" t="s">
        <v>46</v>
      </c>
      <c r="G426" s="371" t="s">
        <v>1220</v>
      </c>
      <c r="H426" s="385">
        <v>1.0</v>
      </c>
      <c r="I426" s="387">
        <v>163.64</v>
      </c>
      <c r="J426" s="383"/>
      <c r="K426" s="383"/>
      <c r="L426" s="383"/>
      <c r="M426" s="377"/>
      <c r="N426" s="377"/>
      <c r="O426" s="377"/>
      <c r="P426" s="377"/>
      <c r="Q426" s="232"/>
    </row>
    <row r="427" ht="15.0" customHeight="1">
      <c r="A427" s="383"/>
      <c r="B427" s="377"/>
      <c r="C427" s="377"/>
      <c r="D427" s="377"/>
      <c r="E427" s="488" t="s">
        <v>1221</v>
      </c>
      <c r="F427" s="371" t="s">
        <v>46</v>
      </c>
      <c r="G427" s="511" t="s">
        <v>1222</v>
      </c>
      <c r="H427" s="383"/>
      <c r="I427" s="383"/>
      <c r="J427" s="387">
        <v>346.0</v>
      </c>
      <c r="K427" s="489"/>
      <c r="L427" s="383"/>
      <c r="M427" s="377"/>
      <c r="N427" s="377"/>
      <c r="O427" s="377"/>
      <c r="P427" s="377"/>
      <c r="Q427" s="232"/>
    </row>
    <row r="428" ht="15.0" customHeight="1">
      <c r="A428" s="389"/>
      <c r="B428" s="379" t="s">
        <v>639</v>
      </c>
      <c r="C428" s="379" t="s">
        <v>639</v>
      </c>
      <c r="D428" s="512"/>
      <c r="E428" s="554" t="s">
        <v>991</v>
      </c>
      <c r="F428" s="492" t="s">
        <v>24</v>
      </c>
      <c r="G428" s="525" t="s">
        <v>143</v>
      </c>
      <c r="H428" s="494">
        <v>1.0</v>
      </c>
      <c r="I428" s="398"/>
      <c r="J428" s="495"/>
      <c r="K428" s="496">
        <v>99.99</v>
      </c>
      <c r="L428" s="497">
        <f>K428*H428</f>
        <v>99.99</v>
      </c>
      <c r="M428" s="377"/>
      <c r="N428" s="379" t="s">
        <v>1223</v>
      </c>
      <c r="O428" s="377"/>
      <c r="P428" s="377"/>
      <c r="Q428" s="400" t="s">
        <v>639</v>
      </c>
    </row>
    <row r="429" ht="15.0" customHeight="1">
      <c r="A429" s="401"/>
      <c r="B429" s="377"/>
      <c r="C429" s="377"/>
      <c r="D429" s="377"/>
      <c r="E429" s="498" t="s">
        <v>1224</v>
      </c>
      <c r="F429" s="381" t="s">
        <v>46</v>
      </c>
      <c r="G429" s="555"/>
      <c r="H429" s="401"/>
      <c r="I429" s="402"/>
      <c r="J429" s="402"/>
      <c r="K429" s="500">
        <v>121.72</v>
      </c>
      <c r="L429" s="402"/>
      <c r="M429" s="377"/>
      <c r="N429" s="381" t="s">
        <v>1223</v>
      </c>
      <c r="O429" s="377"/>
      <c r="P429" s="377"/>
      <c r="Q429" s="406"/>
    </row>
    <row r="430" ht="15.0" customHeight="1">
      <c r="A430" s="383"/>
      <c r="B430" s="377"/>
      <c r="C430" s="377"/>
      <c r="D430" s="377"/>
      <c r="E430" s="371"/>
      <c r="F430" s="377"/>
      <c r="G430" s="385"/>
      <c r="H430" s="383"/>
      <c r="I430" s="383"/>
      <c r="J430" s="387"/>
      <c r="K430" s="383"/>
      <c r="L430" s="383"/>
      <c r="M430" s="377"/>
      <c r="N430" s="377"/>
      <c r="O430" s="377"/>
      <c r="P430" s="377"/>
      <c r="Q430" s="232"/>
    </row>
    <row r="431" ht="15.0" customHeight="1">
      <c r="A431" s="383"/>
      <c r="B431" s="377"/>
      <c r="C431" s="371" t="s">
        <v>1225</v>
      </c>
      <c r="D431" s="377"/>
      <c r="E431" s="377"/>
      <c r="F431" s="377"/>
      <c r="G431" s="377"/>
      <c r="H431" s="383"/>
      <c r="I431" s="383"/>
      <c r="J431" s="383"/>
      <c r="K431" s="383"/>
      <c r="L431" s="383"/>
      <c r="M431" s="377"/>
      <c r="N431" s="377"/>
      <c r="O431" s="377"/>
      <c r="P431" s="377"/>
      <c r="Q431" s="232"/>
    </row>
    <row r="432" ht="18.0" customHeight="1">
      <c r="A432" s="371"/>
      <c r="B432" s="371"/>
      <c r="C432" s="371"/>
      <c r="D432" s="371" t="s">
        <v>1226</v>
      </c>
      <c r="E432" s="371" t="s">
        <v>1227</v>
      </c>
      <c r="F432" s="371" t="s">
        <v>308</v>
      </c>
      <c r="G432" s="371" t="s">
        <v>1228</v>
      </c>
      <c r="H432" s="371"/>
      <c r="I432" s="371"/>
      <c r="J432" s="371"/>
      <c r="K432" s="371">
        <v>7.91</v>
      </c>
      <c r="L432" s="371"/>
      <c r="M432" s="371"/>
      <c r="N432" s="371" t="s">
        <v>1229</v>
      </c>
      <c r="O432" s="377"/>
      <c r="P432" s="377"/>
      <c r="Q432" s="374"/>
    </row>
    <row r="433" ht="18.0" customHeight="1">
      <c r="A433" s="371"/>
      <c r="B433" s="371"/>
      <c r="C433" s="371"/>
      <c r="D433" s="371" t="s">
        <v>1226</v>
      </c>
      <c r="E433" s="371" t="s">
        <v>1230</v>
      </c>
      <c r="F433" s="371" t="s">
        <v>308</v>
      </c>
      <c r="G433" s="371" t="s">
        <v>1231</v>
      </c>
      <c r="H433" s="371"/>
      <c r="I433" s="371"/>
      <c r="J433" s="371"/>
      <c r="K433" s="371">
        <v>7.91</v>
      </c>
      <c r="L433" s="371"/>
      <c r="M433" s="371"/>
      <c r="N433" s="371"/>
      <c r="O433" s="377"/>
      <c r="P433" s="377"/>
      <c r="Q433" s="374"/>
    </row>
    <row r="434" ht="18.0" customHeight="1">
      <c r="A434" s="371"/>
      <c r="B434" s="371"/>
      <c r="C434" s="371"/>
      <c r="D434" s="371" t="s">
        <v>1226</v>
      </c>
      <c r="E434" s="371" t="s">
        <v>1232</v>
      </c>
      <c r="F434" s="371" t="s">
        <v>308</v>
      </c>
      <c r="G434" s="371" t="s">
        <v>1233</v>
      </c>
      <c r="H434" s="371"/>
      <c r="I434" s="371"/>
      <c r="J434" s="371"/>
      <c r="K434" s="371">
        <v>7.91</v>
      </c>
      <c r="L434" s="371"/>
      <c r="M434" s="371"/>
      <c r="N434" s="371"/>
      <c r="O434" s="377"/>
      <c r="P434" s="377"/>
      <c r="Q434" s="374"/>
    </row>
    <row r="435" ht="18.0" customHeight="1">
      <c r="A435" s="371"/>
      <c r="B435" s="371"/>
      <c r="C435" s="371"/>
      <c r="D435" s="371" t="s">
        <v>1226</v>
      </c>
      <c r="E435" s="371" t="s">
        <v>1234</v>
      </c>
      <c r="F435" s="371" t="s">
        <v>308</v>
      </c>
      <c r="G435" s="371" t="s">
        <v>1235</v>
      </c>
      <c r="H435" s="371"/>
      <c r="I435" s="371"/>
      <c r="J435" s="371"/>
      <c r="K435" s="371">
        <v>7.91</v>
      </c>
      <c r="L435" s="371"/>
      <c r="M435" s="371"/>
      <c r="N435" s="371"/>
      <c r="O435" s="377"/>
      <c r="P435" s="377"/>
      <c r="Q435" s="374"/>
    </row>
    <row r="436" ht="18.0" customHeight="1">
      <c r="A436" s="371"/>
      <c r="B436" s="371"/>
      <c r="C436" s="371"/>
      <c r="D436" s="371" t="s">
        <v>1226</v>
      </c>
      <c r="E436" s="371" t="s">
        <v>1236</v>
      </c>
      <c r="F436" s="371" t="s">
        <v>308</v>
      </c>
      <c r="G436" s="371" t="s">
        <v>1237</v>
      </c>
      <c r="H436" s="371"/>
      <c r="I436" s="371"/>
      <c r="J436" s="371"/>
      <c r="K436" s="371">
        <v>7.28</v>
      </c>
      <c r="L436" s="371"/>
      <c r="M436" s="371"/>
      <c r="N436" s="371"/>
      <c r="O436" s="377"/>
      <c r="P436" s="377"/>
      <c r="Q436" s="374"/>
    </row>
    <row r="437" ht="18.0" customHeight="1">
      <c r="A437" s="371"/>
      <c r="B437" s="371"/>
      <c r="C437" s="371"/>
      <c r="D437" s="371" t="s">
        <v>1226</v>
      </c>
      <c r="E437" s="371" t="s">
        <v>1238</v>
      </c>
      <c r="F437" s="371" t="s">
        <v>308</v>
      </c>
      <c r="G437" s="371" t="s">
        <v>1239</v>
      </c>
      <c r="H437" s="371"/>
      <c r="I437" s="371"/>
      <c r="J437" s="371"/>
      <c r="K437" s="371">
        <v>7.28</v>
      </c>
      <c r="L437" s="371"/>
      <c r="M437" s="371"/>
      <c r="N437" s="371"/>
      <c r="O437" s="377"/>
      <c r="P437" s="377"/>
      <c r="Q437" s="374"/>
    </row>
    <row r="438" ht="18.0" customHeight="1">
      <c r="A438" s="371"/>
      <c r="B438" s="371"/>
      <c r="C438" s="371"/>
      <c r="D438" s="371" t="s">
        <v>1226</v>
      </c>
      <c r="E438" s="371" t="s">
        <v>1240</v>
      </c>
      <c r="F438" s="371" t="s">
        <v>308</v>
      </c>
      <c r="G438" s="371" t="s">
        <v>1241</v>
      </c>
      <c r="H438" s="371"/>
      <c r="I438" s="371"/>
      <c r="J438" s="371"/>
      <c r="K438" s="371">
        <v>7.28</v>
      </c>
      <c r="L438" s="371"/>
      <c r="M438" s="371"/>
      <c r="N438" s="371"/>
      <c r="O438" s="377"/>
      <c r="P438" s="377"/>
      <c r="Q438" s="374"/>
    </row>
    <row r="439" ht="15.0" customHeight="1">
      <c r="A439" s="389"/>
      <c r="B439" s="377"/>
      <c r="C439" s="377"/>
      <c r="D439" s="379" t="s">
        <v>24</v>
      </c>
      <c r="E439" s="534" t="str">
        <f>HYPERLINK("https://us.vwr.com/store/catalog/product.jsp?catalog_number=40101-344","VWR® MICROGRIP® PURPLE NITRILE® Poly-Coated Powder-Free Gloves Small")</f>
        <v>VWR® MICROGRIP® PURPLE NITRILE® Poly-Coated Powder-Free Gloves Small</v>
      </c>
      <c r="F439" s="379" t="s">
        <v>24</v>
      </c>
      <c r="G439" s="467" t="s">
        <v>1242</v>
      </c>
      <c r="H439" s="389"/>
      <c r="I439" s="398"/>
      <c r="J439" s="398"/>
      <c r="K439" s="429">
        <v>18.0</v>
      </c>
      <c r="L439" s="398"/>
      <c r="M439" s="377"/>
      <c r="N439" s="379" t="s">
        <v>1157</v>
      </c>
      <c r="O439" s="377"/>
      <c r="P439" s="377"/>
      <c r="Q439" s="400"/>
    </row>
    <row r="440" ht="15.0" customHeight="1">
      <c r="A440" s="389"/>
      <c r="B440" s="377"/>
      <c r="C440" s="377"/>
      <c r="D440" s="379" t="s">
        <v>24</v>
      </c>
      <c r="E440" s="534" t="str">
        <f>HYPERLINK("https://us.vwr.com/store/catalog/product.jsp?catalog_number=40101-346","VWR® MICROGRIP® PURPLE NITRILE® Poly-Coated Powder-Free Gloves Medium")</f>
        <v>VWR® MICROGRIP® PURPLE NITRILE® Poly-Coated Powder-Free Gloves Medium</v>
      </c>
      <c r="F440" s="379" t="s">
        <v>24</v>
      </c>
      <c r="G440" s="467" t="s">
        <v>1244</v>
      </c>
      <c r="H440" s="389"/>
      <c r="I440" s="398"/>
      <c r="J440" s="398"/>
      <c r="K440" s="429">
        <v>18.0</v>
      </c>
      <c r="L440" s="398"/>
      <c r="M440" s="377"/>
      <c r="N440" s="379" t="s">
        <v>1157</v>
      </c>
      <c r="O440" s="377"/>
      <c r="P440" s="377"/>
      <c r="Q440" s="400"/>
    </row>
    <row r="441" ht="15.0" customHeight="1">
      <c r="A441" s="389"/>
      <c r="B441" s="377"/>
      <c r="C441" s="377"/>
      <c r="D441" s="379" t="s">
        <v>24</v>
      </c>
      <c r="E441" s="534" t="str">
        <f>HYPERLINK("https://us.vwr.com/store/catalog/product.jsp?catalog_number=40101-348","VWR® MICROGRIP® PURPLE NITRILE® Poly-Coated Powder-Free Gloves Large")</f>
        <v>VWR® MICROGRIP® PURPLE NITRILE® Poly-Coated Powder-Free Gloves Large</v>
      </c>
      <c r="F441" s="379" t="s">
        <v>24</v>
      </c>
      <c r="G441" s="467" t="s">
        <v>1245</v>
      </c>
      <c r="H441" s="389"/>
      <c r="I441" s="398"/>
      <c r="J441" s="398"/>
      <c r="K441" s="429">
        <v>18.0</v>
      </c>
      <c r="L441" s="398"/>
      <c r="M441" s="377"/>
      <c r="N441" s="379" t="s">
        <v>1157</v>
      </c>
      <c r="O441" s="377"/>
      <c r="P441" s="377"/>
      <c r="Q441" s="400"/>
    </row>
    <row r="442" ht="15.0" customHeight="1">
      <c r="A442" s="389"/>
      <c r="B442" s="377"/>
      <c r="C442" s="377"/>
      <c r="D442" s="379" t="s">
        <v>24</v>
      </c>
      <c r="E442" s="396" t="str">
        <f>HYPERLINK("https://us.vwr.com/store/catalog/product.jsp?catalog_number=414004-429","VWR® Powder-Free Latex Examination Gloves Small")</f>
        <v>VWR® Powder-Free Latex Examination Gloves Small</v>
      </c>
      <c r="F442" s="379" t="s">
        <v>24</v>
      </c>
      <c r="G442" s="467" t="s">
        <v>1246</v>
      </c>
      <c r="H442" s="389"/>
      <c r="I442" s="398"/>
      <c r="J442" s="398"/>
      <c r="K442" s="429">
        <v>6.19</v>
      </c>
      <c r="L442" s="398"/>
      <c r="M442" s="377"/>
      <c r="N442" s="379" t="s">
        <v>1157</v>
      </c>
      <c r="O442" s="377"/>
      <c r="P442" s="377"/>
      <c r="Q442" s="400"/>
    </row>
    <row r="443" ht="15.0" customHeight="1">
      <c r="A443" s="389"/>
      <c r="B443" s="377"/>
      <c r="C443" s="377"/>
      <c r="D443" s="379" t="s">
        <v>24</v>
      </c>
      <c r="E443" s="396" t="str">
        <f>HYPERLINK("https://us.vwr.com/store/catalog/product.jsp?catalog_number=414004-430","VWR® Powder-Free Latex Examination Gloves Medium")</f>
        <v>VWR® Powder-Free Latex Examination Gloves Medium</v>
      </c>
      <c r="F443" s="379" t="s">
        <v>24</v>
      </c>
      <c r="G443" s="467" t="s">
        <v>1247</v>
      </c>
      <c r="H443" s="389"/>
      <c r="I443" s="398"/>
      <c r="J443" s="398"/>
      <c r="K443" s="429">
        <v>6.19</v>
      </c>
      <c r="L443" s="398"/>
      <c r="M443" s="377"/>
      <c r="N443" s="379" t="s">
        <v>1157</v>
      </c>
      <c r="O443" s="377"/>
      <c r="P443" s="377"/>
      <c r="Q443" s="400"/>
    </row>
    <row r="444" ht="15.0" customHeight="1">
      <c r="A444" s="389"/>
      <c r="B444" s="377"/>
      <c r="C444" s="377"/>
      <c r="D444" s="379" t="s">
        <v>24</v>
      </c>
      <c r="E444" s="396" t="str">
        <f>HYPERLINK("https://us.vwr.com/store/catalog/product.jsp?catalog_number=414004-431","VWR® Powder-Free Latex Examination Gloves Large")</f>
        <v>VWR® Powder-Free Latex Examination Gloves Large</v>
      </c>
      <c r="F444" s="379" t="s">
        <v>24</v>
      </c>
      <c r="G444" s="467" t="s">
        <v>1248</v>
      </c>
      <c r="H444" s="389"/>
      <c r="I444" s="398"/>
      <c r="J444" s="398"/>
      <c r="K444" s="429">
        <v>6.19</v>
      </c>
      <c r="L444" s="398"/>
      <c r="M444" s="377"/>
      <c r="N444" s="379" t="s">
        <v>1157</v>
      </c>
      <c r="O444" s="377"/>
      <c r="P444" s="377"/>
      <c r="Q444" s="400"/>
    </row>
    <row r="445" ht="15.0" customHeight="1">
      <c r="A445" s="401"/>
      <c r="B445" s="381" t="s">
        <v>639</v>
      </c>
      <c r="C445" s="381" t="s">
        <v>639</v>
      </c>
      <c r="D445" s="487"/>
      <c r="E445" s="381" t="s">
        <v>1249</v>
      </c>
      <c r="F445" s="381" t="s">
        <v>46</v>
      </c>
      <c r="G445" s="377"/>
      <c r="H445" s="401">
        <v>1.0</v>
      </c>
      <c r="I445" s="402"/>
      <c r="J445" s="402"/>
      <c r="K445" s="469">
        <v>62.8</v>
      </c>
      <c r="L445" s="402">
        <f t="shared" ref="L445:L447" si="10">K445*H445</f>
        <v>62.8</v>
      </c>
      <c r="M445" s="377"/>
      <c r="N445" s="381" t="s">
        <v>1251</v>
      </c>
      <c r="O445" s="377"/>
      <c r="P445" s="377"/>
      <c r="Q445" s="406" t="s">
        <v>639</v>
      </c>
    </row>
    <row r="446" ht="15.0" customHeight="1">
      <c r="A446" s="401"/>
      <c r="B446" s="381" t="s">
        <v>639</v>
      </c>
      <c r="C446" s="381" t="s">
        <v>639</v>
      </c>
      <c r="D446" s="487"/>
      <c r="E446" s="381" t="s">
        <v>1252</v>
      </c>
      <c r="F446" s="381" t="s">
        <v>46</v>
      </c>
      <c r="G446" s="377"/>
      <c r="H446" s="401">
        <v>1.0</v>
      </c>
      <c r="I446" s="402"/>
      <c r="J446" s="402"/>
      <c r="K446" s="469">
        <v>62.8</v>
      </c>
      <c r="L446" s="402">
        <f t="shared" si="10"/>
        <v>62.8</v>
      </c>
      <c r="M446" s="377"/>
      <c r="N446" s="381" t="s">
        <v>1251</v>
      </c>
      <c r="O446" s="377"/>
      <c r="P446" s="377"/>
      <c r="Q446" s="406" t="s">
        <v>639</v>
      </c>
    </row>
    <row r="447" ht="15.0" customHeight="1">
      <c r="A447" s="401"/>
      <c r="B447" s="381" t="s">
        <v>639</v>
      </c>
      <c r="C447" s="381" t="s">
        <v>639</v>
      </c>
      <c r="D447" s="487"/>
      <c r="E447" s="381" t="s">
        <v>1253</v>
      </c>
      <c r="F447" s="381" t="s">
        <v>46</v>
      </c>
      <c r="G447" s="377"/>
      <c r="H447" s="401">
        <v>10.0</v>
      </c>
      <c r="I447" s="402"/>
      <c r="J447" s="402"/>
      <c r="K447" s="469">
        <v>6.28</v>
      </c>
      <c r="L447" s="402">
        <f t="shared" si="10"/>
        <v>62.8</v>
      </c>
      <c r="M447" s="377"/>
      <c r="N447" s="381" t="s">
        <v>1157</v>
      </c>
      <c r="O447" s="377"/>
      <c r="P447" s="377"/>
      <c r="Q447" s="406" t="s">
        <v>639</v>
      </c>
    </row>
    <row r="448" ht="15.0" customHeight="1">
      <c r="A448" s="401"/>
      <c r="B448" s="377"/>
      <c r="C448" s="377"/>
      <c r="D448" s="487"/>
      <c r="E448" s="381" t="s">
        <v>1254</v>
      </c>
      <c r="F448" s="377"/>
      <c r="G448" s="377"/>
      <c r="H448" s="401"/>
      <c r="I448" s="402"/>
      <c r="J448" s="402"/>
      <c r="K448" s="469"/>
      <c r="L448" s="402"/>
      <c r="M448" s="377"/>
      <c r="N448" s="377"/>
      <c r="O448" s="377"/>
      <c r="P448" s="377"/>
      <c r="Q448" s="406"/>
    </row>
    <row r="449" ht="15.0" customHeight="1">
      <c r="A449" s="401"/>
      <c r="B449" s="377"/>
      <c r="C449" s="377"/>
      <c r="D449" s="487"/>
      <c r="E449" s="484"/>
      <c r="F449" s="377"/>
      <c r="G449" s="377"/>
      <c r="H449" s="401"/>
      <c r="I449" s="402"/>
      <c r="J449" s="402"/>
      <c r="K449" s="469"/>
      <c r="L449" s="402"/>
      <c r="M449" s="377"/>
      <c r="N449" s="377"/>
      <c r="O449" s="377"/>
      <c r="P449" s="377"/>
      <c r="Q449" s="406"/>
    </row>
    <row r="450" ht="15.0" customHeight="1">
      <c r="A450" s="401"/>
      <c r="B450" s="377"/>
      <c r="C450" s="377"/>
      <c r="D450" s="487"/>
      <c r="E450" s="484"/>
      <c r="F450" s="377"/>
      <c r="G450" s="377"/>
      <c r="H450" s="401"/>
      <c r="I450" s="402"/>
      <c r="J450" s="402"/>
      <c r="K450" s="469"/>
      <c r="L450" s="402"/>
      <c r="M450" s="377"/>
      <c r="N450" s="377"/>
      <c r="O450" s="377"/>
      <c r="P450" s="377"/>
      <c r="Q450" s="406"/>
    </row>
    <row r="451" ht="12.75" customHeight="1">
      <c r="A451" s="383"/>
      <c r="B451" s="377"/>
      <c r="C451" s="377"/>
      <c r="D451" s="377"/>
      <c r="E451" s="377"/>
      <c r="F451" s="377"/>
      <c r="G451" s="377"/>
      <c r="H451" s="383"/>
      <c r="I451" s="383"/>
      <c r="J451" s="383"/>
      <c r="K451" s="383"/>
      <c r="L451" s="383"/>
      <c r="M451" s="377"/>
      <c r="N451" s="377"/>
      <c r="O451" s="377"/>
      <c r="P451" s="377"/>
      <c r="Q451" s="232"/>
    </row>
    <row r="452" ht="12.75" customHeight="1">
      <c r="A452" s="383"/>
      <c r="B452" s="377"/>
      <c r="C452" s="377"/>
      <c r="D452" s="377"/>
      <c r="E452" s="377"/>
      <c r="F452" s="377"/>
      <c r="G452" s="377"/>
      <c r="H452" s="383"/>
      <c r="I452" s="383"/>
      <c r="J452" s="383"/>
      <c r="K452" s="383"/>
      <c r="L452" s="383"/>
      <c r="M452" s="377"/>
      <c r="N452" s="377"/>
      <c r="O452" s="377"/>
      <c r="P452" s="377"/>
      <c r="Q452" s="232"/>
    </row>
    <row r="453" ht="15.0" customHeight="1">
      <c r="A453" s="383"/>
      <c r="B453" s="377"/>
      <c r="C453" s="371" t="s">
        <v>1255</v>
      </c>
      <c r="D453" s="377"/>
      <c r="E453" s="377"/>
      <c r="F453" s="377"/>
      <c r="G453" s="377"/>
      <c r="H453" s="383"/>
      <c r="I453" s="383"/>
      <c r="J453" s="383"/>
      <c r="K453" s="489"/>
      <c r="L453" s="383"/>
      <c r="M453" s="377"/>
      <c r="N453" s="377"/>
      <c r="O453" s="377"/>
      <c r="P453" s="377"/>
      <c r="Q453" s="232"/>
    </row>
    <row r="454" ht="15.0" customHeight="1">
      <c r="A454" s="389"/>
      <c r="B454" s="379" t="s">
        <v>639</v>
      </c>
      <c r="C454" s="379" t="s">
        <v>639</v>
      </c>
      <c r="D454" s="377"/>
      <c r="E454" s="396" t="str">
        <f>HYPERLINK("https://us.vwr.com/store/catalog/product.jsp?catalog_number=89094-656","VWR® Disposable Pipetting Reservoirs, 100ml Sterile, 5/Bag, 40 Bags/Case, Case of 200")</f>
        <v>VWR® Disposable Pipetting Reservoirs, 100ml Sterile, 5/Bag, 40 Bags/Case, Case of 200</v>
      </c>
      <c r="F454" s="379" t="s">
        <v>24</v>
      </c>
      <c r="G454" s="474" t="s">
        <v>304</v>
      </c>
      <c r="H454" s="389">
        <v>1.0</v>
      </c>
      <c r="I454" s="398"/>
      <c r="J454" s="495"/>
      <c r="K454" s="496">
        <v>81.9</v>
      </c>
      <c r="L454" s="497">
        <f>K454*H454</f>
        <v>81.9</v>
      </c>
      <c r="M454" s="377"/>
      <c r="N454" s="379" t="s">
        <v>1214</v>
      </c>
      <c r="O454" s="377"/>
      <c r="P454" s="377"/>
      <c r="Q454" s="400" t="s">
        <v>639</v>
      </c>
    </row>
    <row r="455" ht="15.0" customHeight="1">
      <c r="A455" s="401"/>
      <c r="B455" s="377"/>
      <c r="C455" s="377"/>
      <c r="D455" s="377"/>
      <c r="E455" s="381" t="s">
        <v>1256</v>
      </c>
      <c r="F455" s="381" t="s">
        <v>46</v>
      </c>
      <c r="G455" s="377"/>
      <c r="H455" s="401">
        <v>1.0</v>
      </c>
      <c r="I455" s="402"/>
      <c r="J455" s="402"/>
      <c r="K455" s="500">
        <v>119.59</v>
      </c>
      <c r="L455" s="402"/>
      <c r="M455" s="377"/>
      <c r="N455" s="377"/>
      <c r="O455" s="377"/>
      <c r="P455" s="377"/>
      <c r="Q455" s="406"/>
    </row>
    <row r="456" ht="15.0" customHeight="1">
      <c r="A456" s="385"/>
      <c r="B456" s="377"/>
      <c r="C456" s="377"/>
      <c r="D456" s="377"/>
      <c r="E456" s="371"/>
      <c r="F456" s="377"/>
      <c r="G456" s="377"/>
      <c r="H456" s="385"/>
      <c r="I456" s="387"/>
      <c r="J456" s="387"/>
      <c r="K456" s="387"/>
      <c r="L456" s="387"/>
      <c r="M456" s="377"/>
      <c r="N456" s="377"/>
      <c r="O456" s="377"/>
      <c r="P456" s="377"/>
      <c r="Q456" s="232"/>
    </row>
    <row r="457" ht="15.0" customHeight="1">
      <c r="A457" s="383"/>
      <c r="B457" s="377"/>
      <c r="C457" s="371" t="s">
        <v>1257</v>
      </c>
      <c r="D457" s="377"/>
      <c r="E457" s="516"/>
      <c r="F457" s="516"/>
      <c r="G457" s="516"/>
      <c r="H457" s="383"/>
      <c r="I457" s="383"/>
      <c r="J457" s="383"/>
      <c r="K457" s="489"/>
      <c r="L457" s="383"/>
      <c r="M457" s="377"/>
      <c r="N457" s="377"/>
      <c r="O457" s="377"/>
      <c r="P457" s="377"/>
      <c r="Q457" s="232"/>
    </row>
    <row r="458" ht="15.0" customHeight="1">
      <c r="A458" s="389"/>
      <c r="B458" s="377"/>
      <c r="C458" s="377"/>
      <c r="D458" s="512"/>
      <c r="E458" s="491" t="str">
        <f>HYPERLINK("https://us.vwr.com/store/catalog/product.jsp?catalog_number=52858-000","Parafilm M")</f>
        <v>Parafilm M</v>
      </c>
      <c r="F458" s="517" t="s">
        <v>24</v>
      </c>
      <c r="G458" s="525" t="s">
        <v>1258</v>
      </c>
      <c r="H458" s="494"/>
      <c r="I458" s="398"/>
      <c r="J458" s="495"/>
      <c r="K458" s="496">
        <v>18.77</v>
      </c>
      <c r="L458" s="497"/>
      <c r="M458" s="377"/>
      <c r="N458" s="377"/>
      <c r="O458" s="377"/>
      <c r="P458" s="377"/>
      <c r="Q458" s="400"/>
    </row>
    <row r="459" ht="15.0" customHeight="1">
      <c r="A459" s="401"/>
      <c r="B459" s="381" t="s">
        <v>639</v>
      </c>
      <c r="C459" s="381" t="s">
        <v>639</v>
      </c>
      <c r="D459" s="377"/>
      <c r="E459" s="498" t="s">
        <v>1259</v>
      </c>
      <c r="F459" s="498" t="s">
        <v>46</v>
      </c>
      <c r="G459" s="499"/>
      <c r="H459" s="401">
        <v>1.0</v>
      </c>
      <c r="I459" s="402"/>
      <c r="J459" s="402"/>
      <c r="K459" s="500">
        <v>15.79</v>
      </c>
      <c r="L459" s="469">
        <f>K459*H459</f>
        <v>15.79</v>
      </c>
      <c r="M459" s="377"/>
      <c r="N459" s="377"/>
      <c r="O459" s="377"/>
      <c r="P459" s="377"/>
      <c r="Q459" s="406" t="s">
        <v>639</v>
      </c>
    </row>
    <row r="460" ht="15.0" customHeight="1">
      <c r="A460" s="383"/>
      <c r="B460" s="377"/>
      <c r="C460" s="377"/>
      <c r="D460" s="377"/>
      <c r="E460" s="371"/>
      <c r="F460" s="377"/>
      <c r="G460" s="377"/>
      <c r="H460" s="383"/>
      <c r="I460" s="383"/>
      <c r="J460" s="383"/>
      <c r="K460" s="383"/>
      <c r="L460" s="476"/>
      <c r="M460" s="377"/>
      <c r="N460" s="377"/>
      <c r="O460" s="377"/>
      <c r="P460" s="377"/>
      <c r="Q460" s="232"/>
    </row>
    <row r="461" ht="15.0" customHeight="1">
      <c r="A461" s="383"/>
      <c r="B461" s="377"/>
      <c r="C461" s="371" t="s">
        <v>1260</v>
      </c>
      <c r="D461" s="377"/>
      <c r="E461" s="377"/>
      <c r="F461" s="377"/>
      <c r="G461" s="377"/>
      <c r="H461" s="383"/>
      <c r="I461" s="383"/>
      <c r="J461" s="383"/>
      <c r="K461" s="383"/>
      <c r="L461" s="383"/>
      <c r="M461" s="377"/>
      <c r="N461" s="377"/>
      <c r="O461" s="377"/>
      <c r="P461" s="377"/>
      <c r="Q461" s="232"/>
    </row>
    <row r="462" ht="15.0" customHeight="1">
      <c r="A462" s="401"/>
      <c r="B462" s="381" t="s">
        <v>639</v>
      </c>
      <c r="C462" s="381" t="s">
        <v>639</v>
      </c>
      <c r="D462" s="377"/>
      <c r="E462" s="408" t="s">
        <v>1261</v>
      </c>
      <c r="F462" s="381" t="s">
        <v>46</v>
      </c>
      <c r="G462" s="408" t="s">
        <v>206</v>
      </c>
      <c r="H462" s="401">
        <v>1.0</v>
      </c>
      <c r="I462" s="402"/>
      <c r="J462" s="402"/>
      <c r="K462" s="402">
        <v>7.64</v>
      </c>
      <c r="L462" s="469">
        <f>K462*H462</f>
        <v>7.64</v>
      </c>
      <c r="M462" s="377"/>
      <c r="N462" s="377"/>
      <c r="O462" s="377"/>
      <c r="P462" s="377"/>
      <c r="Q462" s="406" t="s">
        <v>639</v>
      </c>
    </row>
    <row r="463" ht="12.75" customHeight="1">
      <c r="A463" s="383"/>
      <c r="B463" s="377"/>
      <c r="C463" s="377"/>
      <c r="D463" s="377"/>
      <c r="E463" s="377"/>
      <c r="F463" s="377"/>
      <c r="G463" s="377"/>
      <c r="H463" s="383"/>
      <c r="I463" s="383"/>
      <c r="J463" s="383"/>
      <c r="K463" s="383"/>
      <c r="L463" s="383"/>
      <c r="M463" s="377"/>
      <c r="N463" s="377"/>
      <c r="O463" s="377"/>
      <c r="P463" s="377"/>
      <c r="Q463" s="232"/>
    </row>
    <row r="464" ht="15.0" customHeight="1">
      <c r="A464" s="383"/>
      <c r="B464" s="377"/>
      <c r="C464" s="371" t="s">
        <v>1262</v>
      </c>
      <c r="D464" s="377"/>
      <c r="E464" s="516"/>
      <c r="F464" s="516"/>
      <c r="G464" s="516"/>
      <c r="H464" s="383"/>
      <c r="I464" s="383"/>
      <c r="J464" s="383"/>
      <c r="K464" s="489"/>
      <c r="L464" s="383"/>
      <c r="M464" s="377"/>
      <c r="N464" s="377"/>
      <c r="O464" s="377"/>
      <c r="P464" s="377"/>
      <c r="Q464" s="232"/>
    </row>
    <row r="465" ht="15.0" customHeight="1">
      <c r="A465" s="389"/>
      <c r="B465" s="379" t="s">
        <v>639</v>
      </c>
      <c r="C465" s="379" t="s">
        <v>639</v>
      </c>
      <c r="D465" s="512"/>
      <c r="E465" s="491" t="s">
        <v>991</v>
      </c>
      <c r="F465" s="513"/>
      <c r="G465" s="525" t="s">
        <v>234</v>
      </c>
      <c r="H465" s="494">
        <v>1.0</v>
      </c>
      <c r="I465" s="398"/>
      <c r="J465" s="495"/>
      <c r="K465" s="496">
        <v>35.96</v>
      </c>
      <c r="L465" s="497">
        <f>K465*H465</f>
        <v>35.96</v>
      </c>
      <c r="M465" s="377"/>
      <c r="N465" s="379" t="s">
        <v>1214</v>
      </c>
      <c r="O465" s="377"/>
      <c r="P465" s="377"/>
      <c r="Q465" s="400" t="s">
        <v>639</v>
      </c>
    </row>
    <row r="466" ht="15.0" customHeight="1">
      <c r="A466" s="401"/>
      <c r="B466" s="377"/>
      <c r="C466" s="377"/>
      <c r="D466" s="381" t="s">
        <v>46</v>
      </c>
      <c r="E466" s="498" t="s">
        <v>1263</v>
      </c>
      <c r="F466" s="498" t="s">
        <v>46</v>
      </c>
      <c r="G466" s="498" t="s">
        <v>1264</v>
      </c>
      <c r="H466" s="401"/>
      <c r="I466" s="402"/>
      <c r="J466" s="383"/>
      <c r="K466" s="555">
        <v>157.35</v>
      </c>
      <c r="L466" s="402"/>
      <c r="M466" s="377"/>
      <c r="N466" s="381" t="s">
        <v>1265</v>
      </c>
      <c r="O466" s="377"/>
      <c r="P466" s="377"/>
      <c r="Q466" s="406"/>
    </row>
    <row r="467" ht="15.0" customHeight="1">
      <c r="A467" s="401"/>
      <c r="B467" s="377"/>
      <c r="C467" s="377"/>
      <c r="D467" s="377"/>
      <c r="E467" s="381" t="s">
        <v>1266</v>
      </c>
      <c r="F467" s="377"/>
      <c r="G467" s="381"/>
      <c r="H467" s="401"/>
      <c r="I467" s="402"/>
      <c r="J467" s="383"/>
      <c r="K467" s="401">
        <v>107.75</v>
      </c>
      <c r="L467" s="402"/>
      <c r="M467" s="377"/>
      <c r="N467" s="377"/>
      <c r="O467" s="377"/>
      <c r="P467" s="377"/>
      <c r="Q467" s="406"/>
    </row>
    <row r="468" ht="12.75" customHeight="1">
      <c r="A468" s="383"/>
      <c r="B468" s="377"/>
      <c r="C468" s="377"/>
      <c r="D468" s="377"/>
      <c r="E468" s="377"/>
      <c r="F468" s="377"/>
      <c r="G468" s="377"/>
      <c r="H468" s="383"/>
      <c r="I468" s="383"/>
      <c r="J468" s="383"/>
      <c r="K468" s="383"/>
      <c r="L468" s="383"/>
      <c r="M468" s="377"/>
      <c r="N468" s="377"/>
      <c r="O468" s="377"/>
      <c r="P468" s="377"/>
      <c r="Q468" s="232"/>
    </row>
    <row r="469" ht="15.0" customHeight="1">
      <c r="A469" s="383"/>
      <c r="B469" s="377"/>
      <c r="C469" s="371" t="s">
        <v>1267</v>
      </c>
      <c r="D469" s="377"/>
      <c r="E469" s="488" t="s">
        <v>1268</v>
      </c>
      <c r="F469" s="385" t="s">
        <v>46</v>
      </c>
      <c r="G469" s="511" t="s">
        <v>1269</v>
      </c>
      <c r="H469" s="385">
        <v>2.0</v>
      </c>
      <c r="I469" s="383"/>
      <c r="J469" s="387">
        <v>236.0</v>
      </c>
      <c r="K469" s="489"/>
      <c r="L469" s="383"/>
      <c r="M469" s="377"/>
      <c r="N469" s="377"/>
      <c r="O469" s="377"/>
      <c r="P469" s="377"/>
      <c r="Q469" s="232"/>
    </row>
    <row r="470" ht="15.0" customHeight="1">
      <c r="A470" s="389"/>
      <c r="B470" s="377"/>
      <c r="C470" s="377"/>
      <c r="D470" s="512"/>
      <c r="E470" s="557" t="str">
        <f>HYPERLINK("https://us.vwr.com/store/catalog/product.jsp?catalog_number=60941-126","VWR® Aluminum Foils for 96- and 384-Well Plates")</f>
        <v>VWR® Aluminum Foils for 96- and 384-Well Plates</v>
      </c>
      <c r="F470" s="524" t="s">
        <v>24</v>
      </c>
      <c r="G470" s="558" t="s">
        <v>1270</v>
      </c>
      <c r="H470" s="494"/>
      <c r="I470" s="398"/>
      <c r="J470" s="495"/>
      <c r="K470" s="559">
        <v>29.57</v>
      </c>
      <c r="L470" s="497"/>
      <c r="M470" s="377"/>
      <c r="N470" s="379" t="s">
        <v>1157</v>
      </c>
      <c r="O470" s="377"/>
      <c r="P470" s="377"/>
      <c r="Q470" s="400"/>
    </row>
    <row r="471" ht="15.0" customHeight="1">
      <c r="A471" s="389"/>
      <c r="B471" s="379" t="s">
        <v>639</v>
      </c>
      <c r="C471" s="379" t="s">
        <v>639</v>
      </c>
      <c r="D471" s="512"/>
      <c r="E471" s="491" t="str">
        <f>HYPERLINK("https://us.vwr.com/store/catalog/product.jsp?catalog_number=60941-072","VWR® Heat-Resistant Films for PCR, Polypropylene,Sterile,  Temperatures from –40 to 120°C (–40 to 248°F)")</f>
        <v>VWR® Heat-Resistant Films for PCR, Polypropylene,Sterile,  Temperatures from –40 to 120°C (–40 to 248°F)</v>
      </c>
      <c r="F471" s="524" t="s">
        <v>24</v>
      </c>
      <c r="G471" s="525" t="s">
        <v>318</v>
      </c>
      <c r="H471" s="494">
        <v>2.0</v>
      </c>
      <c r="I471" s="398"/>
      <c r="J471" s="495"/>
      <c r="K471" s="496">
        <v>54.18</v>
      </c>
      <c r="L471" s="497">
        <f>K471*H471</f>
        <v>108.36</v>
      </c>
      <c r="M471" s="377"/>
      <c r="N471" s="379" t="s">
        <v>1157</v>
      </c>
      <c r="O471" s="377"/>
      <c r="P471" s="377"/>
      <c r="Q471" s="400" t="s">
        <v>639</v>
      </c>
    </row>
    <row r="472" ht="15.0" customHeight="1">
      <c r="A472" s="401"/>
      <c r="B472" s="377"/>
      <c r="C472" s="377"/>
      <c r="D472" s="377"/>
      <c r="E472" s="523" t="s">
        <v>1271</v>
      </c>
      <c r="F472" s="401" t="s">
        <v>46</v>
      </c>
      <c r="G472" s="523" t="s">
        <v>1272</v>
      </c>
      <c r="H472" s="401">
        <v>2.0</v>
      </c>
      <c r="I472" s="402"/>
      <c r="J472" s="402"/>
      <c r="K472" s="500">
        <v>88.0</v>
      </c>
      <c r="L472" s="402"/>
      <c r="M472" s="377"/>
      <c r="N472" s="377"/>
      <c r="O472" s="377"/>
      <c r="P472" s="377"/>
      <c r="Q472" s="406"/>
    </row>
    <row r="473" ht="15.0" customHeight="1">
      <c r="A473" s="383"/>
      <c r="B473" s="377"/>
      <c r="C473" s="377"/>
      <c r="D473" s="377"/>
      <c r="E473" s="371"/>
      <c r="F473" s="385"/>
      <c r="G473" s="385"/>
      <c r="H473" s="383"/>
      <c r="I473" s="383"/>
      <c r="J473" s="383"/>
      <c r="K473" s="383"/>
      <c r="L473" s="383"/>
      <c r="M473" s="377"/>
      <c r="N473" s="377"/>
      <c r="O473" s="377"/>
      <c r="P473" s="377"/>
      <c r="Q473" s="232"/>
    </row>
    <row r="474" ht="15.0" customHeight="1">
      <c r="A474" s="383"/>
      <c r="B474" s="377"/>
      <c r="C474" s="371" t="s">
        <v>1273</v>
      </c>
      <c r="D474" s="377"/>
      <c r="E474" s="516"/>
      <c r="F474" s="377"/>
      <c r="G474" s="516"/>
      <c r="H474" s="383"/>
      <c r="I474" s="383"/>
      <c r="J474" s="383"/>
      <c r="K474" s="383"/>
      <c r="L474" s="383"/>
      <c r="M474" s="377"/>
      <c r="N474" s="377"/>
      <c r="O474" s="377"/>
      <c r="P474" s="377"/>
      <c r="Q474" s="232"/>
    </row>
    <row r="475" ht="15.0" customHeight="1">
      <c r="A475" s="389"/>
      <c r="B475" s="379" t="s">
        <v>639</v>
      </c>
      <c r="C475" s="379" t="s">
        <v>639</v>
      </c>
      <c r="D475" s="512"/>
      <c r="E475" s="491" t="s">
        <v>991</v>
      </c>
      <c r="F475" s="492" t="s">
        <v>24</v>
      </c>
      <c r="G475" s="493" t="s">
        <v>44</v>
      </c>
      <c r="H475" s="494">
        <v>1.0</v>
      </c>
      <c r="I475" s="398"/>
      <c r="J475" s="398"/>
      <c r="K475" s="398">
        <v>14.24</v>
      </c>
      <c r="L475" s="429">
        <f>K475*H475</f>
        <v>14.24</v>
      </c>
      <c r="M475" s="377"/>
      <c r="N475" s="379" t="s">
        <v>1274</v>
      </c>
      <c r="O475" s="377"/>
      <c r="P475" s="377"/>
      <c r="Q475" s="400" t="s">
        <v>639</v>
      </c>
    </row>
    <row r="476" ht="15.0" customHeight="1">
      <c r="A476" s="401"/>
      <c r="B476" s="377"/>
      <c r="C476" s="377"/>
      <c r="D476" s="377"/>
      <c r="E476" s="498" t="s">
        <v>1275</v>
      </c>
      <c r="F476" s="381" t="s">
        <v>46</v>
      </c>
      <c r="G476" s="499"/>
      <c r="H476" s="401"/>
      <c r="I476" s="402"/>
      <c r="J476" s="402"/>
      <c r="K476" s="402">
        <v>15.27</v>
      </c>
      <c r="L476" s="402"/>
      <c r="M476" s="377"/>
      <c r="N476" s="377"/>
      <c r="O476" s="377"/>
      <c r="P476" s="377"/>
      <c r="Q476" s="406"/>
    </row>
    <row r="477" ht="12.75" customHeight="1">
      <c r="A477" s="383"/>
      <c r="B477" s="377"/>
      <c r="C477" s="377"/>
      <c r="D477" s="377"/>
      <c r="E477" s="377"/>
      <c r="F477" s="377"/>
      <c r="G477" s="377"/>
      <c r="H477" s="383"/>
      <c r="I477" s="383"/>
      <c r="J477" s="383"/>
      <c r="K477" s="383"/>
      <c r="L477" s="383"/>
      <c r="M477" s="377"/>
      <c r="N477" s="377"/>
      <c r="O477" s="377"/>
      <c r="P477" s="377"/>
      <c r="Q477" s="232"/>
    </row>
    <row r="478" ht="15.0" customHeight="1">
      <c r="A478" s="383"/>
      <c r="B478" s="377"/>
      <c r="C478" s="371" t="s">
        <v>1276</v>
      </c>
      <c r="D478" s="377"/>
      <c r="E478" s="371" t="s">
        <v>1277</v>
      </c>
      <c r="F478" s="377"/>
      <c r="G478" s="377"/>
      <c r="H478" s="385">
        <v>1.0</v>
      </c>
      <c r="I478" s="383"/>
      <c r="J478" s="383"/>
      <c r="K478" s="383"/>
      <c r="L478" s="383"/>
      <c r="M478" s="377"/>
      <c r="N478" s="377"/>
      <c r="O478" s="377"/>
      <c r="P478" s="377"/>
      <c r="Q478" s="232"/>
    </row>
    <row r="479" ht="15.0" customHeight="1">
      <c r="A479" s="389"/>
      <c r="B479" s="379" t="s">
        <v>639</v>
      </c>
      <c r="C479" s="379" t="s">
        <v>639</v>
      </c>
      <c r="D479" s="379" t="s">
        <v>24</v>
      </c>
      <c r="E479" s="396" t="s">
        <v>991</v>
      </c>
      <c r="F479" s="379" t="s">
        <v>24</v>
      </c>
      <c r="G479" s="467" t="s">
        <v>141</v>
      </c>
      <c r="H479" s="389">
        <v>1.0</v>
      </c>
      <c r="I479" s="398"/>
      <c r="J479" s="398"/>
      <c r="K479" s="429">
        <v>39.75</v>
      </c>
      <c r="L479" s="398">
        <f>K479*H479</f>
        <v>39.75</v>
      </c>
      <c r="M479" s="377"/>
      <c r="N479" s="379" t="s">
        <v>1278</v>
      </c>
      <c r="O479" s="377"/>
      <c r="P479" s="377"/>
      <c r="Q479" s="400" t="s">
        <v>639</v>
      </c>
    </row>
    <row r="480" ht="15.0" customHeight="1">
      <c r="A480" s="401"/>
      <c r="B480" s="377"/>
      <c r="C480" s="377"/>
      <c r="D480" s="377"/>
      <c r="E480" s="381" t="s">
        <v>1279</v>
      </c>
      <c r="F480" s="381" t="s">
        <v>46</v>
      </c>
      <c r="G480" s="487"/>
      <c r="H480" s="401"/>
      <c r="I480" s="402"/>
      <c r="J480" s="402"/>
      <c r="K480" s="469">
        <v>8.74</v>
      </c>
      <c r="L480" s="402"/>
      <c r="M480" s="377"/>
      <c r="N480" s="377"/>
      <c r="O480" s="377"/>
      <c r="P480" s="377"/>
      <c r="Q480" s="406"/>
    </row>
    <row r="481" ht="15.0" customHeight="1">
      <c r="A481" s="401"/>
      <c r="B481" s="377"/>
      <c r="C481" s="377"/>
      <c r="D481" s="377"/>
      <c r="E481" s="381" t="s">
        <v>1280</v>
      </c>
      <c r="F481" s="381" t="s">
        <v>46</v>
      </c>
      <c r="G481" s="487"/>
      <c r="H481" s="401"/>
      <c r="I481" s="402"/>
      <c r="J481" s="402"/>
      <c r="K481" s="469">
        <v>8.81</v>
      </c>
      <c r="L481" s="402"/>
      <c r="M481" s="377"/>
      <c r="N481" s="377"/>
      <c r="O481" s="377"/>
      <c r="P481" s="377"/>
      <c r="Q481" s="406"/>
    </row>
    <row r="482" ht="15.0" customHeight="1">
      <c r="A482" s="401"/>
      <c r="B482" s="377"/>
      <c r="C482" s="377"/>
      <c r="D482" s="377"/>
      <c r="E482" s="381" t="s">
        <v>1281</v>
      </c>
      <c r="F482" s="381" t="s">
        <v>46</v>
      </c>
      <c r="G482" s="487"/>
      <c r="H482" s="401"/>
      <c r="I482" s="402"/>
      <c r="J482" s="402"/>
      <c r="K482" s="469">
        <v>8.74</v>
      </c>
      <c r="L482" s="402"/>
      <c r="M482" s="377"/>
      <c r="N482" s="377"/>
      <c r="O482" s="377"/>
      <c r="P482" s="377"/>
      <c r="Q482" s="406"/>
    </row>
    <row r="483" ht="15.0" customHeight="1">
      <c r="A483" s="401"/>
      <c r="B483" s="377"/>
      <c r="C483" s="377"/>
      <c r="D483" s="377"/>
      <c r="E483" s="381" t="s">
        <v>1282</v>
      </c>
      <c r="F483" s="381" t="s">
        <v>46</v>
      </c>
      <c r="G483" s="487" t="s">
        <v>1283</v>
      </c>
      <c r="H483" s="401"/>
      <c r="I483" s="402"/>
      <c r="J483" s="402"/>
      <c r="K483" s="469">
        <v>8.74</v>
      </c>
      <c r="L483" s="402"/>
      <c r="M483" s="377"/>
      <c r="N483" s="377"/>
      <c r="O483" s="377"/>
      <c r="P483" s="377"/>
      <c r="Q483" s="406"/>
    </row>
    <row r="484" ht="12.75" customHeight="1">
      <c r="A484" s="383"/>
      <c r="B484" s="377"/>
      <c r="C484" s="377"/>
      <c r="D484" s="377"/>
      <c r="E484" s="377"/>
      <c r="F484" s="377"/>
      <c r="G484" s="377"/>
      <c r="H484" s="383"/>
      <c r="I484" s="383"/>
      <c r="J484" s="383"/>
      <c r="K484" s="383"/>
      <c r="L484" s="383"/>
      <c r="M484" s="377"/>
      <c r="N484" s="377"/>
      <c r="O484" s="377"/>
      <c r="P484" s="377"/>
      <c r="Q484" s="232"/>
    </row>
    <row r="485" ht="15.0" customHeight="1">
      <c r="A485" s="383"/>
      <c r="B485" s="377"/>
      <c r="C485" s="371" t="s">
        <v>1284</v>
      </c>
      <c r="D485" s="377"/>
      <c r="E485" s="516"/>
      <c r="F485" s="377"/>
      <c r="G485" s="516"/>
      <c r="H485" s="383"/>
      <c r="I485" s="383"/>
      <c r="J485" s="383"/>
      <c r="K485" s="383"/>
      <c r="L485" s="383"/>
      <c r="M485" s="377"/>
      <c r="N485" s="377"/>
      <c r="O485" s="377"/>
      <c r="P485" s="377"/>
      <c r="Q485" s="232"/>
    </row>
    <row r="486" ht="15.0" customHeight="1">
      <c r="A486" s="389"/>
      <c r="B486" s="377"/>
      <c r="C486" s="377"/>
      <c r="D486" s="512"/>
      <c r="E486" s="491" t="str">
        <f>HYPERLINK("https://us.vwr.com/store/catalog/product.jsp?catalog_number=89097-924","VWR® Black Stripe Autoclave Tape")</f>
        <v>VWR® Black Stripe Autoclave Tape</v>
      </c>
      <c r="F486" s="492" t="s">
        <v>24</v>
      </c>
      <c r="G486" s="525" t="s">
        <v>1285</v>
      </c>
      <c r="H486" s="494"/>
      <c r="I486" s="398"/>
      <c r="J486" s="398"/>
      <c r="K486" s="398">
        <v>5.65</v>
      </c>
      <c r="L486" s="398"/>
      <c r="M486" s="377"/>
      <c r="N486" s="379" t="s">
        <v>1286</v>
      </c>
      <c r="O486" s="377"/>
      <c r="P486" s="377"/>
      <c r="Q486" s="400"/>
    </row>
    <row r="487" ht="15.0" customHeight="1">
      <c r="A487" s="401"/>
      <c r="B487" s="381" t="s">
        <v>639</v>
      </c>
      <c r="C487" s="381" t="s">
        <v>639</v>
      </c>
      <c r="D487" s="377"/>
      <c r="E487" s="498" t="s">
        <v>1287</v>
      </c>
      <c r="F487" s="381" t="s">
        <v>46</v>
      </c>
      <c r="G487" s="499"/>
      <c r="H487" s="401">
        <v>1.0</v>
      </c>
      <c r="I487" s="402"/>
      <c r="J487" s="402"/>
      <c r="K487" s="402">
        <v>4.43</v>
      </c>
      <c r="L487" s="469">
        <f>K487*H487</f>
        <v>4.43</v>
      </c>
      <c r="M487" s="377"/>
      <c r="N487" s="381" t="s">
        <v>1286</v>
      </c>
      <c r="O487" s="377"/>
      <c r="P487" s="377"/>
      <c r="Q487" s="406" t="s">
        <v>639</v>
      </c>
    </row>
    <row r="488" ht="12.75" customHeight="1">
      <c r="A488" s="383"/>
      <c r="B488" s="377"/>
      <c r="C488" s="377"/>
      <c r="D488" s="377"/>
      <c r="E488" s="377"/>
      <c r="F488" s="377"/>
      <c r="G488" s="377"/>
      <c r="H488" s="383"/>
      <c r="I488" s="383"/>
      <c r="J488" s="383"/>
      <c r="K488" s="383"/>
      <c r="L488" s="383"/>
      <c r="M488" s="377"/>
      <c r="N488" s="377"/>
      <c r="O488" s="377"/>
      <c r="P488" s="377"/>
      <c r="Q488" s="232"/>
    </row>
    <row r="489" ht="15.0" customHeight="1">
      <c r="A489" s="383"/>
      <c r="B489" s="377"/>
      <c r="C489" s="371" t="s">
        <v>1288</v>
      </c>
      <c r="D489" s="377"/>
      <c r="E489" s="371" t="s">
        <v>1289</v>
      </c>
      <c r="F489" s="377"/>
      <c r="G489" s="377"/>
      <c r="H489" s="385">
        <v>30.0</v>
      </c>
      <c r="I489" s="383"/>
      <c r="J489" s="383"/>
      <c r="K489" s="383"/>
      <c r="L489" s="383"/>
      <c r="M489" s="377"/>
      <c r="N489" s="377"/>
      <c r="O489" s="377"/>
      <c r="P489" s="377"/>
      <c r="Q489" s="232"/>
    </row>
    <row r="490" ht="15.0" customHeight="1">
      <c r="A490" s="383"/>
      <c r="B490" s="377"/>
      <c r="C490" s="377"/>
      <c r="D490" s="377"/>
      <c r="E490" s="371" t="s">
        <v>1290</v>
      </c>
      <c r="F490" s="371" t="s">
        <v>46</v>
      </c>
      <c r="G490" s="385" t="s">
        <v>1291</v>
      </c>
      <c r="H490" s="385">
        <v>10.0</v>
      </c>
      <c r="I490" s="383"/>
      <c r="J490" s="387">
        <v>260.0</v>
      </c>
      <c r="K490" s="383"/>
      <c r="L490" s="383"/>
      <c r="M490" s="377"/>
      <c r="N490" s="377"/>
      <c r="O490" s="377"/>
      <c r="P490" s="377"/>
      <c r="Q490" s="232"/>
    </row>
    <row r="491" ht="15.0" customHeight="1">
      <c r="A491" s="383"/>
      <c r="B491" s="377"/>
      <c r="C491" s="377"/>
      <c r="D491" s="377"/>
      <c r="E491" s="371" t="s">
        <v>1292</v>
      </c>
      <c r="F491" s="371" t="s">
        <v>46</v>
      </c>
      <c r="G491" s="385" t="s">
        <v>1293</v>
      </c>
      <c r="H491" s="385">
        <v>10.0</v>
      </c>
      <c r="I491" s="383"/>
      <c r="J491" s="387">
        <v>180.0</v>
      </c>
      <c r="K491" s="383"/>
      <c r="L491" s="383"/>
      <c r="M491" s="377"/>
      <c r="N491" s="377"/>
      <c r="O491" s="377"/>
      <c r="P491" s="377"/>
      <c r="Q491" s="232"/>
    </row>
    <row r="492" ht="15.0" customHeight="1">
      <c r="A492" s="383"/>
      <c r="B492" s="377"/>
      <c r="C492" s="377"/>
      <c r="D492" s="377"/>
      <c r="E492" s="506" t="s">
        <v>1294</v>
      </c>
      <c r="F492" s="371" t="s">
        <v>24</v>
      </c>
      <c r="G492" s="511" t="s">
        <v>1295</v>
      </c>
      <c r="H492" s="385">
        <v>10.0</v>
      </c>
      <c r="I492" s="383"/>
      <c r="J492" s="387">
        <v>93.2</v>
      </c>
      <c r="K492" s="383"/>
      <c r="L492" s="383"/>
      <c r="M492" s="377"/>
      <c r="N492" s="377"/>
      <c r="O492" s="377"/>
      <c r="P492" s="377"/>
      <c r="Q492" s="232"/>
    </row>
    <row r="493" ht="15.0" customHeight="1">
      <c r="A493" s="389"/>
      <c r="B493" s="379" t="s">
        <v>639</v>
      </c>
      <c r="C493" s="379" t="s">
        <v>639</v>
      </c>
      <c r="D493" s="512"/>
      <c r="E493" s="491" t="s">
        <v>991</v>
      </c>
      <c r="F493" s="492" t="s">
        <v>24</v>
      </c>
      <c r="G493" s="493" t="s">
        <v>1296</v>
      </c>
      <c r="H493" s="494">
        <v>30.0</v>
      </c>
      <c r="I493" s="398"/>
      <c r="J493" s="398"/>
      <c r="K493" s="398">
        <v>2.05</v>
      </c>
      <c r="L493" s="429">
        <f>K493*H493</f>
        <v>61.5</v>
      </c>
      <c r="M493" s="377"/>
      <c r="N493" s="377"/>
      <c r="O493" s="377"/>
      <c r="P493" s="377"/>
      <c r="Q493" s="400" t="s">
        <v>639</v>
      </c>
    </row>
    <row r="494" ht="15.0" customHeight="1">
      <c r="A494" s="401"/>
      <c r="B494" s="377"/>
      <c r="C494" s="377"/>
      <c r="D494" s="377"/>
      <c r="E494" s="498" t="s">
        <v>1297</v>
      </c>
      <c r="F494" s="381" t="s">
        <v>46</v>
      </c>
      <c r="G494" s="555"/>
      <c r="H494" s="401">
        <v>30.0</v>
      </c>
      <c r="I494" s="402"/>
      <c r="J494" s="402"/>
      <c r="K494" s="402">
        <v>3.56</v>
      </c>
      <c r="L494" s="402"/>
      <c r="M494" s="377"/>
      <c r="N494" s="377"/>
      <c r="O494" s="377"/>
      <c r="P494" s="377"/>
      <c r="Q494" s="406"/>
    </row>
    <row r="495" ht="15.0" customHeight="1">
      <c r="A495" s="383"/>
      <c r="B495" s="377"/>
      <c r="C495" s="377"/>
      <c r="D495" s="377"/>
      <c r="E495" s="431"/>
      <c r="F495" s="377"/>
      <c r="G495" s="385"/>
      <c r="H495" s="383"/>
      <c r="I495" s="383"/>
      <c r="J495" s="383"/>
      <c r="K495" s="383"/>
      <c r="L495" s="383"/>
      <c r="M495" s="377"/>
      <c r="N495" s="377"/>
      <c r="O495" s="377"/>
      <c r="P495" s="377"/>
      <c r="Q495" s="232"/>
    </row>
    <row r="496" ht="15.0" customHeight="1">
      <c r="A496" s="383"/>
      <c r="B496" s="377"/>
      <c r="C496" s="371" t="s">
        <v>1298</v>
      </c>
      <c r="D496" s="377"/>
      <c r="E496" s="377"/>
      <c r="F496" s="377"/>
      <c r="G496" s="377"/>
      <c r="H496" s="383"/>
      <c r="I496" s="383"/>
      <c r="J496" s="383"/>
      <c r="K496" s="383"/>
      <c r="L496" s="383"/>
      <c r="M496" s="377"/>
      <c r="N496" s="377"/>
      <c r="O496" s="377"/>
      <c r="P496" s="377"/>
      <c r="Q496" s="232"/>
    </row>
    <row r="497" ht="15.0" customHeight="1">
      <c r="A497" s="383"/>
      <c r="B497" s="377"/>
      <c r="C497" s="371" t="s">
        <v>639</v>
      </c>
      <c r="D497" s="371" t="s">
        <v>105</v>
      </c>
      <c r="E497" s="431" t="s">
        <v>1299</v>
      </c>
      <c r="F497" s="371" t="s">
        <v>105</v>
      </c>
      <c r="G497" s="385">
        <v>69506.0</v>
      </c>
      <c r="H497" s="383"/>
      <c r="I497" s="383"/>
      <c r="J497" s="383"/>
      <c r="K497" s="383"/>
      <c r="L497" s="383"/>
      <c r="M497" s="377"/>
      <c r="N497" s="371" t="s">
        <v>1300</v>
      </c>
      <c r="O497" s="377"/>
      <c r="P497" s="377"/>
      <c r="Q497" s="232"/>
    </row>
    <row r="498" ht="15.0" customHeight="1">
      <c r="A498" s="383"/>
      <c r="B498" s="377"/>
      <c r="C498" s="377"/>
      <c r="D498" s="371" t="s">
        <v>105</v>
      </c>
      <c r="E498" s="371" t="s">
        <v>1301</v>
      </c>
      <c r="F498" s="377"/>
      <c r="G498" s="377"/>
      <c r="H498" s="383"/>
      <c r="I498" s="383"/>
      <c r="J498" s="383"/>
      <c r="K498" s="383"/>
      <c r="L498" s="383"/>
      <c r="M498" s="377"/>
      <c r="N498" s="377"/>
      <c r="O498" s="377"/>
      <c r="P498" s="377"/>
      <c r="Q498" s="232"/>
    </row>
    <row r="499" ht="15.0" customHeight="1">
      <c r="A499" s="389"/>
      <c r="B499" s="377"/>
      <c r="C499" s="377"/>
      <c r="D499" s="379" t="s">
        <v>1302</v>
      </c>
      <c r="E499" s="474" t="s">
        <v>1303</v>
      </c>
      <c r="F499" s="379" t="s">
        <v>24</v>
      </c>
      <c r="G499" s="474" t="s">
        <v>1304</v>
      </c>
      <c r="H499" s="389"/>
      <c r="I499" s="398"/>
      <c r="J499" s="398"/>
      <c r="K499" s="398">
        <v>41.65</v>
      </c>
      <c r="L499" s="398"/>
      <c r="M499" s="377"/>
      <c r="N499" s="379" t="s">
        <v>1305</v>
      </c>
      <c r="O499" s="377"/>
      <c r="P499" s="377"/>
      <c r="Q499" s="400"/>
    </row>
    <row r="500" ht="15.0" customHeight="1">
      <c r="A500" s="389"/>
      <c r="B500" s="377"/>
      <c r="C500" s="377"/>
      <c r="D500" s="379" t="s">
        <v>1302</v>
      </c>
      <c r="E500" s="474" t="s">
        <v>1306</v>
      </c>
      <c r="F500" s="379" t="s">
        <v>24</v>
      </c>
      <c r="G500" s="474"/>
      <c r="H500" s="389"/>
      <c r="I500" s="398"/>
      <c r="J500" s="398"/>
      <c r="K500" s="398">
        <v>63.76</v>
      </c>
      <c r="L500" s="398"/>
      <c r="M500" s="377"/>
      <c r="N500" s="379" t="s">
        <v>1307</v>
      </c>
      <c r="O500" s="377"/>
      <c r="P500" s="377"/>
      <c r="Q500" s="400"/>
    </row>
    <row r="501" ht="15.0" customHeight="1">
      <c r="A501" s="401"/>
      <c r="B501" s="377"/>
      <c r="C501" s="377"/>
      <c r="D501" s="381" t="s">
        <v>1308</v>
      </c>
      <c r="E501" s="381" t="s">
        <v>1309</v>
      </c>
      <c r="F501" s="381" t="s">
        <v>46</v>
      </c>
      <c r="G501" s="381" t="s">
        <v>1310</v>
      </c>
      <c r="H501" s="401"/>
      <c r="I501" s="402"/>
      <c r="J501" s="402"/>
      <c r="K501" s="402">
        <v>56.39</v>
      </c>
      <c r="L501" s="402"/>
      <c r="M501" s="377"/>
      <c r="N501" s="381" t="s">
        <v>1311</v>
      </c>
      <c r="O501" s="377"/>
      <c r="P501" s="377"/>
      <c r="Q501" s="406"/>
    </row>
    <row r="502" ht="15.0" customHeight="1">
      <c r="A502" s="401"/>
      <c r="B502" s="377"/>
      <c r="C502" s="377"/>
      <c r="D502" s="381" t="s">
        <v>1308</v>
      </c>
      <c r="E502" s="381" t="s">
        <v>1312</v>
      </c>
      <c r="F502" s="381" t="s">
        <v>46</v>
      </c>
      <c r="G502" s="381" t="s">
        <v>1313</v>
      </c>
      <c r="H502" s="401"/>
      <c r="I502" s="402"/>
      <c r="J502" s="402"/>
      <c r="K502" s="402">
        <v>1150.53</v>
      </c>
      <c r="L502" s="402"/>
      <c r="M502" s="377"/>
      <c r="N502" s="377"/>
      <c r="O502" s="377"/>
      <c r="P502" s="377"/>
      <c r="Q502" s="406"/>
    </row>
    <row r="503" ht="15.0" customHeight="1">
      <c r="A503" s="385"/>
      <c r="B503" s="377"/>
      <c r="C503" s="377"/>
      <c r="D503" s="371" t="s">
        <v>906</v>
      </c>
      <c r="E503" s="371" t="s">
        <v>1314</v>
      </c>
      <c r="F503" s="371" t="s">
        <v>92</v>
      </c>
      <c r="G503" s="371"/>
      <c r="H503" s="385"/>
      <c r="I503" s="387"/>
      <c r="J503" s="387"/>
      <c r="K503" s="387"/>
      <c r="L503" s="387"/>
      <c r="M503" s="377"/>
      <c r="N503" s="371" t="s">
        <v>1315</v>
      </c>
      <c r="O503" s="377"/>
      <c r="P503" s="377"/>
      <c r="Q503" s="232"/>
    </row>
    <row r="504" ht="12.75" customHeight="1">
      <c r="A504" s="383"/>
      <c r="B504" s="377"/>
      <c r="C504" s="377"/>
      <c r="D504" s="377"/>
      <c r="E504" s="377"/>
      <c r="F504" s="377"/>
      <c r="G504" s="377"/>
      <c r="H504" s="383"/>
      <c r="I504" s="383"/>
      <c r="J504" s="383"/>
      <c r="K504" s="383"/>
      <c r="L504" s="383"/>
      <c r="M504" s="377"/>
      <c r="N504" s="377"/>
      <c r="O504" s="377"/>
      <c r="P504" s="377"/>
      <c r="Q504" s="232"/>
    </row>
    <row r="505" ht="15.0" customHeight="1">
      <c r="A505" s="383"/>
      <c r="B505" s="377"/>
      <c r="C505" s="371" t="s">
        <v>1316</v>
      </c>
      <c r="D505" s="377"/>
      <c r="E505" s="371" t="s">
        <v>1317</v>
      </c>
      <c r="F505" s="371" t="s">
        <v>46</v>
      </c>
      <c r="G505" s="371" t="s">
        <v>1318</v>
      </c>
      <c r="H505" s="383"/>
      <c r="I505" s="383"/>
      <c r="J505" s="383"/>
      <c r="K505" s="387">
        <v>56.54</v>
      </c>
      <c r="L505" s="383"/>
      <c r="M505" s="377"/>
      <c r="N505" s="377"/>
      <c r="O505" s="377"/>
      <c r="P505" s="377"/>
      <c r="Q505" s="232"/>
    </row>
    <row r="506" ht="15.0" customHeight="1">
      <c r="A506" s="383"/>
      <c r="B506" s="377"/>
      <c r="C506" s="377"/>
      <c r="D506" s="377"/>
      <c r="E506" s="488" t="s">
        <v>1319</v>
      </c>
      <c r="F506" s="371" t="s">
        <v>46</v>
      </c>
      <c r="G506" s="511" t="s">
        <v>1320</v>
      </c>
      <c r="H506" s="385">
        <v>4.0</v>
      </c>
      <c r="I506" s="383"/>
      <c r="J506" s="387">
        <v>100.0</v>
      </c>
      <c r="K506" s="383"/>
      <c r="L506" s="383"/>
      <c r="M506" s="377"/>
      <c r="N506" s="377"/>
      <c r="O506" s="377"/>
      <c r="P506" s="377"/>
      <c r="Q506" s="232"/>
    </row>
    <row r="507" ht="15.0" customHeight="1">
      <c r="A507" s="383"/>
      <c r="B507" s="377"/>
      <c r="C507" s="377"/>
      <c r="D507" s="512"/>
      <c r="E507" s="536" t="s">
        <v>1321</v>
      </c>
      <c r="F507" s="537" t="s">
        <v>541</v>
      </c>
      <c r="G507" s="536" t="s">
        <v>1322</v>
      </c>
      <c r="H507" s="560"/>
      <c r="I507" s="383"/>
      <c r="J507" s="383"/>
      <c r="K507" s="387">
        <v>17.99</v>
      </c>
      <c r="L507" s="383"/>
      <c r="M507" s="377"/>
      <c r="N507" s="377"/>
      <c r="O507" s="377"/>
      <c r="P507" s="377"/>
      <c r="Q507" s="232"/>
    </row>
    <row r="508" ht="15.0" customHeight="1">
      <c r="A508" s="389"/>
      <c r="B508" s="379" t="s">
        <v>639</v>
      </c>
      <c r="C508" s="379" t="s">
        <v>639</v>
      </c>
      <c r="D508" s="379" t="s">
        <v>1323</v>
      </c>
      <c r="E508" s="543" t="s">
        <v>1324</v>
      </c>
      <c r="F508" s="379" t="s">
        <v>24</v>
      </c>
      <c r="G508" s="543" t="s">
        <v>180</v>
      </c>
      <c r="H508" s="389">
        <v>1.0</v>
      </c>
      <c r="I508" s="398"/>
      <c r="J508" s="398"/>
      <c r="K508" s="398">
        <v>17.01</v>
      </c>
      <c r="L508" s="429">
        <f>K508*H508</f>
        <v>17.01</v>
      </c>
      <c r="M508" s="377"/>
      <c r="N508" s="377"/>
      <c r="O508" s="377"/>
      <c r="P508" s="377"/>
      <c r="Q508" s="400" t="s">
        <v>639</v>
      </c>
    </row>
    <row r="509" ht="15.0" customHeight="1">
      <c r="A509" s="401"/>
      <c r="B509" s="377"/>
      <c r="C509" s="377"/>
      <c r="D509" s="377"/>
      <c r="E509" s="408" t="s">
        <v>1325</v>
      </c>
      <c r="F509" s="381" t="s">
        <v>46</v>
      </c>
      <c r="G509" s="401"/>
      <c r="H509" s="401"/>
      <c r="I509" s="402"/>
      <c r="J509" s="402"/>
      <c r="K509" s="402">
        <v>18.51</v>
      </c>
      <c r="L509" s="402"/>
      <c r="M509" s="377"/>
      <c r="N509" s="377"/>
      <c r="O509" s="377"/>
      <c r="P509" s="377"/>
      <c r="Q509" s="406"/>
    </row>
    <row r="510" ht="15.0" customHeight="1">
      <c r="A510" s="383"/>
      <c r="B510" s="377"/>
      <c r="C510" s="377"/>
      <c r="D510" s="377"/>
      <c r="E510" s="371"/>
      <c r="F510" s="377"/>
      <c r="G510" s="385"/>
      <c r="H510" s="383"/>
      <c r="I510" s="383"/>
      <c r="J510" s="383"/>
      <c r="K510" s="383"/>
      <c r="L510" s="383"/>
      <c r="M510" s="377"/>
      <c r="N510" s="377"/>
      <c r="O510" s="377"/>
      <c r="P510" s="377"/>
      <c r="Q510" s="232"/>
    </row>
    <row r="511" ht="15.0" customHeight="1">
      <c r="A511" s="383"/>
      <c r="B511" s="377"/>
      <c r="C511" s="371" t="s">
        <v>1326</v>
      </c>
      <c r="D511" s="377"/>
      <c r="E511" s="377"/>
      <c r="F511" s="377"/>
      <c r="G511" s="377"/>
      <c r="H511" s="383"/>
      <c r="I511" s="383"/>
      <c r="J511" s="383"/>
      <c r="K511" s="383"/>
      <c r="L511" s="383"/>
      <c r="M511" s="377"/>
      <c r="N511" s="377"/>
      <c r="O511" s="377"/>
      <c r="P511" s="377"/>
      <c r="Q511" s="232"/>
    </row>
    <row r="512" ht="15.0" customHeight="1">
      <c r="A512" s="383"/>
      <c r="B512" s="377"/>
      <c r="C512" s="371" t="s">
        <v>639</v>
      </c>
      <c r="D512" s="371" t="s">
        <v>1327</v>
      </c>
      <c r="E512" s="485" t="s">
        <v>1328</v>
      </c>
      <c r="F512" s="371" t="s">
        <v>308</v>
      </c>
      <c r="G512" s="551" t="s">
        <v>1329</v>
      </c>
      <c r="H512" s="385">
        <v>1.0</v>
      </c>
      <c r="I512" s="383"/>
      <c r="J512" s="383"/>
      <c r="K512" s="387">
        <v>1.27</v>
      </c>
      <c r="L512" s="476">
        <f>K512*H512</f>
        <v>1.27</v>
      </c>
      <c r="M512" s="377"/>
      <c r="N512" s="377"/>
      <c r="O512" s="377"/>
      <c r="P512" s="377"/>
      <c r="Q512" s="232"/>
    </row>
    <row r="513" ht="15.0" customHeight="1">
      <c r="A513" s="389"/>
      <c r="B513" s="377"/>
      <c r="C513" s="377"/>
      <c r="D513" s="377"/>
      <c r="E513" s="474" t="s">
        <v>1330</v>
      </c>
      <c r="F513" s="379" t="s">
        <v>24</v>
      </c>
      <c r="G513" s="474" t="s">
        <v>1331</v>
      </c>
      <c r="H513" s="389">
        <v>1.0</v>
      </c>
      <c r="I513" s="398"/>
      <c r="J513" s="398"/>
      <c r="K513" s="398">
        <v>42.66</v>
      </c>
      <c r="L513" s="398"/>
      <c r="M513" s="377"/>
      <c r="N513" s="377"/>
      <c r="O513" s="377"/>
      <c r="P513" s="377"/>
      <c r="Q513" s="400"/>
    </row>
    <row r="514" ht="15.0" customHeight="1">
      <c r="A514" s="401"/>
      <c r="B514" s="377"/>
      <c r="C514" s="377"/>
      <c r="D514" s="377"/>
      <c r="E514" s="408" t="s">
        <v>1332</v>
      </c>
      <c r="F514" s="381" t="s">
        <v>46</v>
      </c>
      <c r="G514" s="377"/>
      <c r="H514" s="401">
        <v>2.0</v>
      </c>
      <c r="I514" s="402"/>
      <c r="J514" s="402"/>
      <c r="K514" s="402">
        <v>35.7</v>
      </c>
      <c r="L514" s="469"/>
      <c r="M514" s="377"/>
      <c r="N514" s="377"/>
      <c r="O514" s="377"/>
      <c r="P514" s="377"/>
      <c r="Q514" s="406"/>
    </row>
    <row r="515" ht="12.75" customHeight="1">
      <c r="A515" s="383"/>
      <c r="B515" s="377"/>
      <c r="C515" s="377"/>
      <c r="D515" s="377"/>
      <c r="E515" s="377"/>
      <c r="F515" s="377"/>
      <c r="G515" s="377"/>
      <c r="H515" s="383"/>
      <c r="I515" s="383"/>
      <c r="J515" s="383"/>
      <c r="K515" s="383"/>
      <c r="L515" s="383"/>
      <c r="M515" s="377"/>
      <c r="N515" s="377"/>
      <c r="O515" s="377"/>
      <c r="P515" s="377"/>
      <c r="Q515" s="232"/>
    </row>
    <row r="516" ht="15.0" customHeight="1">
      <c r="A516" s="383"/>
      <c r="B516" s="377"/>
      <c r="C516" s="371" t="s">
        <v>1333</v>
      </c>
      <c r="D516" s="377"/>
      <c r="E516" s="377"/>
      <c r="F516" s="377"/>
      <c r="G516" s="377"/>
      <c r="H516" s="383"/>
      <c r="I516" s="383"/>
      <c r="J516" s="383"/>
      <c r="K516" s="383"/>
      <c r="L516" s="383"/>
      <c r="M516" s="377"/>
      <c r="N516" s="377"/>
      <c r="O516" s="377"/>
      <c r="P516" s="377"/>
      <c r="Q516" s="232"/>
    </row>
    <row r="517" ht="15.0" customHeight="1">
      <c r="A517" s="383"/>
      <c r="B517" s="377"/>
      <c r="C517" s="371" t="s">
        <v>639</v>
      </c>
      <c r="D517" s="371" t="s">
        <v>1327</v>
      </c>
      <c r="E517" s="485" t="s">
        <v>1334</v>
      </c>
      <c r="F517" s="371" t="s">
        <v>308</v>
      </c>
      <c r="G517" s="551" t="s">
        <v>1335</v>
      </c>
      <c r="H517" s="385">
        <v>1.0</v>
      </c>
      <c r="I517" s="383"/>
      <c r="J517" s="383"/>
      <c r="K517" s="387">
        <v>7.61</v>
      </c>
      <c r="L517" s="387">
        <f>K517*H517</f>
        <v>7.61</v>
      </c>
      <c r="M517" s="377"/>
      <c r="N517" s="377"/>
      <c r="O517" s="377"/>
      <c r="P517" s="377"/>
      <c r="Q517" s="232"/>
    </row>
    <row r="518" ht="15.0" customHeight="1">
      <c r="A518" s="389"/>
      <c r="B518" s="377"/>
      <c r="C518" s="377"/>
      <c r="D518" s="379" t="s">
        <v>1336</v>
      </c>
      <c r="E518" s="379" t="s">
        <v>1337</v>
      </c>
      <c r="F518" s="379" t="s">
        <v>24</v>
      </c>
      <c r="G518" s="379" t="s">
        <v>1338</v>
      </c>
      <c r="H518" s="389">
        <v>1.0</v>
      </c>
      <c r="I518" s="398"/>
      <c r="J518" s="398"/>
      <c r="K518" s="398">
        <v>59.0</v>
      </c>
      <c r="L518" s="398"/>
      <c r="M518" s="377"/>
      <c r="N518" s="377"/>
      <c r="O518" s="377"/>
      <c r="P518" s="377"/>
      <c r="Q518" s="400"/>
    </row>
    <row r="519" ht="15.0" customHeight="1">
      <c r="A519" s="385"/>
      <c r="B519" s="377"/>
      <c r="C519" s="377"/>
      <c r="D519" s="371"/>
      <c r="E519" s="371"/>
      <c r="F519" s="381" t="s">
        <v>1339</v>
      </c>
      <c r="G519" s="371"/>
      <c r="H519" s="385"/>
      <c r="I519" s="387"/>
      <c r="J519" s="387"/>
      <c r="K519" s="387"/>
      <c r="L519" s="387"/>
      <c r="M519" s="377"/>
      <c r="N519" s="377"/>
      <c r="O519" s="377"/>
      <c r="P519" s="377"/>
      <c r="Q519" s="232"/>
    </row>
    <row r="520" ht="12.75" customHeight="1">
      <c r="A520" s="383"/>
      <c r="B520" s="377"/>
      <c r="C520" s="377"/>
      <c r="D520" s="377"/>
      <c r="E520" s="377"/>
      <c r="F520" s="377"/>
      <c r="G520" s="377"/>
      <c r="H520" s="383"/>
      <c r="I520" s="383"/>
      <c r="J520" s="383"/>
      <c r="K520" s="383"/>
      <c r="L520" s="383"/>
      <c r="M520" s="377"/>
      <c r="N520" s="377"/>
      <c r="O520" s="377"/>
      <c r="P520" s="377"/>
      <c r="Q520" s="232"/>
    </row>
    <row r="521" ht="15.0" customHeight="1">
      <c r="A521" s="383"/>
      <c r="B521" s="377"/>
      <c r="C521" s="371" t="s">
        <v>1340</v>
      </c>
      <c r="D521" s="377"/>
      <c r="E521" s="371" t="s">
        <v>1341</v>
      </c>
      <c r="F521" s="371" t="s">
        <v>46</v>
      </c>
      <c r="G521" s="385" t="s">
        <v>1342</v>
      </c>
      <c r="H521" s="385">
        <v>2.0</v>
      </c>
      <c r="I521" s="383"/>
      <c r="J521" s="387">
        <v>150.0</v>
      </c>
      <c r="K521" s="383"/>
      <c r="L521" s="383"/>
      <c r="M521" s="377"/>
      <c r="N521" s="377"/>
      <c r="O521" s="377"/>
      <c r="P521" s="377"/>
      <c r="Q521" s="232"/>
    </row>
    <row r="522" ht="15.0" customHeight="1">
      <c r="A522" s="383"/>
      <c r="B522" s="377"/>
      <c r="C522" s="371" t="s">
        <v>639</v>
      </c>
      <c r="D522" s="371" t="s">
        <v>869</v>
      </c>
      <c r="E522" s="485" t="s">
        <v>1343</v>
      </c>
      <c r="F522" s="371" t="s">
        <v>308</v>
      </c>
      <c r="G522" s="551" t="s">
        <v>1344</v>
      </c>
      <c r="H522" s="385">
        <v>1.0</v>
      </c>
      <c r="I522" s="383"/>
      <c r="J522" s="383"/>
      <c r="K522" s="387">
        <v>110.38</v>
      </c>
      <c r="L522" s="476">
        <f>K522*H522</f>
        <v>110.38</v>
      </c>
      <c r="M522" s="377"/>
      <c r="N522" s="377"/>
      <c r="O522" s="377"/>
      <c r="P522" s="377"/>
      <c r="Q522" s="232"/>
    </row>
    <row r="523" ht="15.0" customHeight="1">
      <c r="A523" s="383"/>
      <c r="B523" s="377"/>
      <c r="C523" s="377"/>
      <c r="D523" s="377"/>
      <c r="E523" s="371"/>
      <c r="F523" s="371" t="s">
        <v>1345</v>
      </c>
      <c r="G523" s="385"/>
      <c r="H523" s="383"/>
      <c r="I523" s="383"/>
      <c r="J523" s="383"/>
      <c r="K523" s="383"/>
      <c r="L523" s="383"/>
      <c r="M523" s="377"/>
      <c r="N523" s="377"/>
      <c r="O523" s="377"/>
      <c r="P523" s="377"/>
      <c r="Q523" s="232"/>
    </row>
    <row r="524" ht="15.0" customHeight="1">
      <c r="A524" s="389"/>
      <c r="B524" s="377"/>
      <c r="C524" s="377"/>
      <c r="D524" s="377"/>
      <c r="E524" s="474" t="s">
        <v>1346</v>
      </c>
      <c r="F524" s="379" t="s">
        <v>24</v>
      </c>
      <c r="G524" s="474" t="s">
        <v>1347</v>
      </c>
      <c r="H524" s="389">
        <v>1.0</v>
      </c>
      <c r="I524" s="398"/>
      <c r="J524" s="383"/>
      <c r="K524" s="398">
        <v>89.86</v>
      </c>
      <c r="L524" s="398"/>
      <c r="M524" s="377"/>
      <c r="N524" s="377"/>
      <c r="O524" s="377"/>
      <c r="P524" s="377"/>
      <c r="Q524" s="400"/>
    </row>
    <row r="525" ht="15.0" customHeight="1">
      <c r="A525" s="401"/>
      <c r="B525" s="377"/>
      <c r="C525" s="377"/>
      <c r="D525" s="377"/>
      <c r="E525" s="408" t="s">
        <v>1348</v>
      </c>
      <c r="F525" s="381" t="s">
        <v>46</v>
      </c>
      <c r="G525" s="408" t="s">
        <v>1349</v>
      </c>
      <c r="H525" s="401"/>
      <c r="I525" s="402"/>
      <c r="J525" s="383"/>
      <c r="K525" s="402">
        <v>115.53</v>
      </c>
      <c r="L525" s="402"/>
      <c r="M525" s="377"/>
      <c r="N525" s="377"/>
      <c r="O525" s="377"/>
      <c r="P525" s="377"/>
      <c r="Q525" s="406"/>
    </row>
    <row r="526" ht="15.0" customHeight="1">
      <c r="A526" s="383"/>
      <c r="B526" s="377"/>
      <c r="C526" s="377"/>
      <c r="D526" s="377"/>
      <c r="E526" s="371"/>
      <c r="F526" s="377"/>
      <c r="G526" s="385"/>
      <c r="H526" s="383"/>
      <c r="I526" s="383"/>
      <c r="J526" s="383"/>
      <c r="K526" s="383"/>
      <c r="L526" s="383"/>
      <c r="M526" s="377"/>
      <c r="N526" s="377"/>
      <c r="O526" s="377"/>
      <c r="P526" s="377"/>
      <c r="Q526" s="232"/>
    </row>
    <row r="527" ht="15.0" customHeight="1">
      <c r="A527" s="383"/>
      <c r="B527" s="377"/>
      <c r="C527" s="371" t="s">
        <v>1350</v>
      </c>
      <c r="D527" s="377"/>
      <c r="E527" s="371"/>
      <c r="F527" s="377"/>
      <c r="G527" s="385"/>
      <c r="H527" s="383"/>
      <c r="I527" s="383"/>
      <c r="J527" s="383"/>
      <c r="K527" s="383"/>
      <c r="L527" s="383"/>
      <c r="M527" s="377"/>
      <c r="N527" s="377"/>
      <c r="O527" s="377"/>
      <c r="P527" s="377"/>
      <c r="Q527" s="232"/>
    </row>
    <row r="528" ht="15.0" customHeight="1">
      <c r="A528" s="383"/>
      <c r="B528" s="377"/>
      <c r="C528" s="377"/>
      <c r="D528" s="377"/>
      <c r="E528" s="371" t="s">
        <v>1351</v>
      </c>
      <c r="F528" s="371" t="s">
        <v>46</v>
      </c>
      <c r="G528" s="385" t="s">
        <v>1352</v>
      </c>
      <c r="H528" s="385">
        <v>1.0</v>
      </c>
      <c r="I528" s="383"/>
      <c r="J528" s="387">
        <v>22.0</v>
      </c>
      <c r="K528" s="383"/>
      <c r="L528" s="383"/>
      <c r="M528" s="377"/>
      <c r="N528" s="377"/>
      <c r="O528" s="377"/>
      <c r="P528" s="377"/>
      <c r="Q528" s="232"/>
    </row>
    <row r="529" ht="15.0" customHeight="1">
      <c r="A529" s="383"/>
      <c r="B529" s="377"/>
      <c r="C529" s="377"/>
      <c r="D529" s="377"/>
      <c r="E529" s="371" t="s">
        <v>1353</v>
      </c>
      <c r="F529" s="371" t="s">
        <v>1354</v>
      </c>
      <c r="G529" s="385" t="s">
        <v>1355</v>
      </c>
      <c r="H529" s="385">
        <v>1.0</v>
      </c>
      <c r="I529" s="383"/>
      <c r="J529" s="387">
        <v>40.17</v>
      </c>
      <c r="K529" s="383"/>
      <c r="L529" s="383"/>
      <c r="M529" s="377"/>
      <c r="N529" s="377"/>
      <c r="O529" s="377"/>
      <c r="P529" s="377"/>
      <c r="Q529" s="232"/>
    </row>
    <row r="530" ht="15.0" customHeight="1">
      <c r="A530" s="383"/>
      <c r="B530" s="377"/>
      <c r="C530" s="377"/>
      <c r="D530" s="377"/>
      <c r="E530" s="488"/>
      <c r="F530" s="371" t="s">
        <v>1345</v>
      </c>
      <c r="G530" s="511"/>
      <c r="H530" s="383"/>
      <c r="I530" s="383"/>
      <c r="J530" s="387"/>
      <c r="K530" s="383"/>
      <c r="L530" s="383"/>
      <c r="M530" s="377"/>
      <c r="N530" s="377"/>
      <c r="O530" s="377"/>
      <c r="P530" s="377"/>
      <c r="Q530" s="232"/>
    </row>
    <row r="531" ht="15.0" customHeight="1">
      <c r="A531" s="383"/>
      <c r="B531" s="377"/>
      <c r="C531" s="377"/>
      <c r="D531" s="562" t="s">
        <v>541</v>
      </c>
      <c r="E531" s="564" t="s">
        <v>1356</v>
      </c>
      <c r="F531" s="537" t="s">
        <v>1354</v>
      </c>
      <c r="G531" s="564" t="s">
        <v>1357</v>
      </c>
      <c r="H531" s="560"/>
      <c r="I531" s="383"/>
      <c r="J531" s="387"/>
      <c r="K531" s="387">
        <v>27.3</v>
      </c>
      <c r="L531" s="383"/>
      <c r="M531" s="377"/>
      <c r="N531" s="371" t="s">
        <v>1358</v>
      </c>
      <c r="O531" s="377"/>
      <c r="P531" s="377"/>
      <c r="Q531" s="232"/>
    </row>
    <row r="532" ht="15.0" customHeight="1">
      <c r="A532" s="389"/>
      <c r="B532" s="377"/>
      <c r="C532" s="377"/>
      <c r="D532" s="377"/>
      <c r="E532" s="566" t="s">
        <v>1359</v>
      </c>
      <c r="F532" s="379" t="s">
        <v>24</v>
      </c>
      <c r="G532" s="566" t="s">
        <v>1360</v>
      </c>
      <c r="H532" s="389">
        <v>0.0</v>
      </c>
      <c r="I532" s="398"/>
      <c r="J532" s="383"/>
      <c r="K532" s="398">
        <v>36.18</v>
      </c>
      <c r="L532" s="398"/>
      <c r="M532" s="377"/>
      <c r="N532" s="379" t="s">
        <v>1361</v>
      </c>
      <c r="O532" s="377"/>
      <c r="P532" s="377"/>
      <c r="Q532" s="400"/>
    </row>
    <row r="533" ht="15.0" customHeight="1">
      <c r="A533" s="401"/>
      <c r="B533" s="377"/>
      <c r="C533" s="381" t="s">
        <v>639</v>
      </c>
      <c r="D533" s="377"/>
      <c r="E533" s="408" t="s">
        <v>1362</v>
      </c>
      <c r="F533" s="381" t="s">
        <v>46</v>
      </c>
      <c r="G533" s="408" t="s">
        <v>1363</v>
      </c>
      <c r="H533" s="401">
        <v>1.0</v>
      </c>
      <c r="I533" s="402"/>
      <c r="J533" s="383"/>
      <c r="K533" s="402">
        <v>27.67</v>
      </c>
      <c r="L533" s="402">
        <f>K533*H533</f>
        <v>27.67</v>
      </c>
      <c r="M533" s="377"/>
      <c r="N533" s="381" t="s">
        <v>1364</v>
      </c>
      <c r="O533" s="377"/>
      <c r="P533" s="377"/>
      <c r="Q533" s="406"/>
    </row>
    <row r="534" ht="15.0" customHeight="1">
      <c r="A534" s="383"/>
      <c r="B534" s="377"/>
      <c r="C534" s="377"/>
      <c r="D534" s="377"/>
      <c r="E534" s="371"/>
      <c r="F534" s="377"/>
      <c r="G534" s="385"/>
      <c r="H534" s="383"/>
      <c r="I534" s="383"/>
      <c r="J534" s="387"/>
      <c r="K534" s="383"/>
      <c r="L534" s="383"/>
      <c r="M534" s="377"/>
      <c r="N534" s="377"/>
      <c r="O534" s="377"/>
      <c r="P534" s="377"/>
      <c r="Q534" s="232"/>
    </row>
    <row r="535" ht="15.0" customHeight="1">
      <c r="A535" s="383"/>
      <c r="B535" s="377"/>
      <c r="C535" s="371" t="s">
        <v>1365</v>
      </c>
      <c r="D535" s="377"/>
      <c r="E535" s="371" t="s">
        <v>1366</v>
      </c>
      <c r="F535" s="371" t="s">
        <v>46</v>
      </c>
      <c r="G535" s="385" t="s">
        <v>1367</v>
      </c>
      <c r="H535" s="385">
        <v>3.0</v>
      </c>
      <c r="I535" s="383"/>
      <c r="J535" s="387">
        <v>77.4</v>
      </c>
      <c r="K535" s="383"/>
      <c r="L535" s="383"/>
      <c r="M535" s="377"/>
      <c r="N535" s="371" t="s">
        <v>1368</v>
      </c>
      <c r="O535" s="377"/>
      <c r="P535" s="377"/>
      <c r="Q535" s="232"/>
    </row>
    <row r="536" ht="15.0" customHeight="1">
      <c r="A536" s="389"/>
      <c r="B536" s="377"/>
      <c r="C536" s="377"/>
      <c r="D536" s="379" t="s">
        <v>1369</v>
      </c>
      <c r="E536" s="379" t="s">
        <v>1370</v>
      </c>
      <c r="F536" s="379" t="s">
        <v>24</v>
      </c>
      <c r="G536" s="379" t="s">
        <v>125</v>
      </c>
      <c r="H536" s="389">
        <v>1.0</v>
      </c>
      <c r="I536" s="398"/>
      <c r="J536" s="398"/>
      <c r="K536" s="398">
        <v>94.45</v>
      </c>
      <c r="L536" s="429">
        <f>K536*H536</f>
        <v>94.45</v>
      </c>
      <c r="M536" s="377"/>
      <c r="N536" s="379" t="s">
        <v>1371</v>
      </c>
      <c r="O536" s="377"/>
      <c r="P536" s="377"/>
      <c r="Q536" s="400"/>
    </row>
    <row r="537" ht="15.0" customHeight="1">
      <c r="A537" s="401"/>
      <c r="B537" s="377"/>
      <c r="C537" s="377"/>
      <c r="D537" s="377"/>
      <c r="E537" s="408" t="s">
        <v>1372</v>
      </c>
      <c r="F537" s="381" t="s">
        <v>46</v>
      </c>
      <c r="G537" s="408" t="s">
        <v>1373</v>
      </c>
      <c r="H537" s="401"/>
      <c r="I537" s="402"/>
      <c r="J537" s="402"/>
      <c r="K537" s="402">
        <v>0.01</v>
      </c>
      <c r="L537" s="402"/>
      <c r="M537" s="377"/>
      <c r="N537" s="377"/>
      <c r="O537" s="377"/>
      <c r="P537" s="377"/>
      <c r="Q537" s="406"/>
    </row>
    <row r="538" ht="15.0" customHeight="1">
      <c r="A538" s="401"/>
      <c r="B538" s="377"/>
      <c r="C538" s="377"/>
      <c r="D538" s="377"/>
      <c r="E538" s="408" t="s">
        <v>1374</v>
      </c>
      <c r="F538" s="381" t="s">
        <v>46</v>
      </c>
      <c r="G538" s="408" t="s">
        <v>1375</v>
      </c>
      <c r="H538" s="401"/>
      <c r="I538" s="402"/>
      <c r="J538" s="402"/>
      <c r="K538" s="402">
        <v>122.09</v>
      </c>
      <c r="L538" s="402"/>
      <c r="M538" s="377"/>
      <c r="N538" s="377"/>
      <c r="O538" s="377"/>
      <c r="P538" s="377"/>
      <c r="Q538" s="406"/>
    </row>
    <row r="539" ht="15.0" customHeight="1">
      <c r="A539" s="383"/>
      <c r="B539" s="377"/>
      <c r="C539" s="377"/>
      <c r="D539" s="377"/>
      <c r="E539" s="371"/>
      <c r="F539" s="377"/>
      <c r="G539" s="385"/>
      <c r="H539" s="383"/>
      <c r="I539" s="383"/>
      <c r="J539" s="383"/>
      <c r="K539" s="383"/>
      <c r="L539" s="383"/>
      <c r="M539" s="377"/>
      <c r="N539" s="377"/>
      <c r="O539" s="377"/>
      <c r="P539" s="377"/>
      <c r="Q539" s="232"/>
    </row>
    <row r="540" ht="15.0" customHeight="1">
      <c r="A540" s="383"/>
      <c r="B540" s="377"/>
      <c r="C540" s="371" t="s">
        <v>1376</v>
      </c>
      <c r="D540" s="377"/>
      <c r="E540" s="488" t="s">
        <v>1377</v>
      </c>
      <c r="F540" s="371" t="s">
        <v>46</v>
      </c>
      <c r="G540" s="511" t="s">
        <v>1378</v>
      </c>
      <c r="H540" s="383"/>
      <c r="I540" s="383"/>
      <c r="J540" s="387">
        <v>65.0</v>
      </c>
      <c r="K540" s="383"/>
      <c r="L540" s="383"/>
      <c r="M540" s="377"/>
      <c r="N540" s="377"/>
      <c r="O540" s="377"/>
      <c r="P540" s="377"/>
      <c r="Q540" s="232"/>
    </row>
    <row r="541" ht="15.0" customHeight="1">
      <c r="A541" s="383"/>
      <c r="B541" s="377"/>
      <c r="C541" s="377"/>
      <c r="D541" s="512"/>
      <c r="E541" s="536" t="s">
        <v>1379</v>
      </c>
      <c r="F541" s="537" t="s">
        <v>541</v>
      </c>
      <c r="G541" s="536" t="s">
        <v>1380</v>
      </c>
      <c r="H541" s="560"/>
      <c r="I541" s="383"/>
      <c r="J541" s="387"/>
      <c r="K541" s="387">
        <v>615.6</v>
      </c>
      <c r="L541" s="383"/>
      <c r="M541" s="377"/>
      <c r="N541" s="377"/>
      <c r="O541" s="377"/>
      <c r="P541" s="377"/>
      <c r="Q541" s="232"/>
    </row>
    <row r="542" ht="15.0" customHeight="1">
      <c r="A542" s="383"/>
      <c r="B542" s="377"/>
      <c r="C542" s="377"/>
      <c r="D542" s="377"/>
      <c r="E542" s="571" t="s">
        <v>1381</v>
      </c>
      <c r="F542" s="562" t="s">
        <v>541</v>
      </c>
      <c r="G542" s="536" t="s">
        <v>1382</v>
      </c>
      <c r="H542" s="538">
        <v>5.0</v>
      </c>
      <c r="I542" s="383"/>
      <c r="J542" s="387"/>
      <c r="K542" s="387">
        <v>95.9</v>
      </c>
      <c r="L542" s="383"/>
      <c r="M542" s="377"/>
      <c r="N542" s="377"/>
      <c r="O542" s="377"/>
      <c r="P542" s="377"/>
      <c r="Q542" s="232"/>
    </row>
    <row r="543" ht="15.0" customHeight="1">
      <c r="A543" s="389"/>
      <c r="B543" s="379" t="s">
        <v>639</v>
      </c>
      <c r="C543" s="379" t="s">
        <v>639</v>
      </c>
      <c r="D543" s="379" t="s">
        <v>1383</v>
      </c>
      <c r="E543" s="379" t="s">
        <v>1384</v>
      </c>
      <c r="F543" s="379" t="s">
        <v>24</v>
      </c>
      <c r="G543" s="543" t="s">
        <v>1385</v>
      </c>
      <c r="H543" s="389">
        <v>1.0</v>
      </c>
      <c r="I543" s="398"/>
      <c r="J543" s="398"/>
      <c r="K543" s="398">
        <v>145.0</v>
      </c>
      <c r="L543" s="398">
        <f>K543*H543</f>
        <v>145</v>
      </c>
      <c r="M543" s="377"/>
      <c r="N543" s="377"/>
      <c r="O543" s="377"/>
      <c r="P543" s="377"/>
      <c r="Q543" s="400" t="s">
        <v>639</v>
      </c>
    </row>
    <row r="544" ht="15.0" customHeight="1">
      <c r="A544" s="401"/>
      <c r="B544" s="377"/>
      <c r="C544" s="377"/>
      <c r="D544" s="377"/>
      <c r="E544" s="408" t="s">
        <v>1387</v>
      </c>
      <c r="F544" s="381" t="s">
        <v>46</v>
      </c>
      <c r="G544" s="408" t="s">
        <v>1388</v>
      </c>
      <c r="H544" s="401"/>
      <c r="I544" s="402"/>
      <c r="J544" s="383"/>
      <c r="K544" s="402">
        <v>101.75</v>
      </c>
      <c r="L544" s="402"/>
      <c r="M544" s="377"/>
      <c r="N544" s="377"/>
      <c r="O544" s="377"/>
      <c r="P544" s="377"/>
      <c r="Q544" s="406"/>
    </row>
    <row r="545" ht="15.0" customHeight="1">
      <c r="A545" s="383"/>
      <c r="B545" s="377"/>
      <c r="C545" s="377"/>
      <c r="D545" s="377"/>
      <c r="E545" s="371"/>
      <c r="F545" s="377"/>
      <c r="G545" s="385"/>
      <c r="H545" s="383"/>
      <c r="I545" s="383"/>
      <c r="J545" s="387"/>
      <c r="K545" s="383"/>
      <c r="L545" s="383"/>
      <c r="M545" s="377"/>
      <c r="N545" s="377"/>
      <c r="O545" s="377"/>
      <c r="P545" s="377"/>
      <c r="Q545" s="232"/>
    </row>
    <row r="546" ht="15.0" customHeight="1">
      <c r="A546" s="383"/>
      <c r="B546" s="377"/>
      <c r="C546" s="371" t="s">
        <v>1389</v>
      </c>
      <c r="D546" s="377"/>
      <c r="E546" s="371"/>
      <c r="F546" s="377"/>
      <c r="G546" s="385"/>
      <c r="H546" s="383"/>
      <c r="I546" s="383"/>
      <c r="J546" s="387"/>
      <c r="K546" s="383"/>
      <c r="L546" s="383"/>
      <c r="M546" s="377"/>
      <c r="N546" s="377"/>
      <c r="O546" s="377"/>
      <c r="P546" s="377"/>
      <c r="Q546" s="232"/>
    </row>
    <row r="547" ht="15.0" customHeight="1">
      <c r="A547" s="383"/>
      <c r="B547" s="377"/>
      <c r="C547" s="377"/>
      <c r="D547" s="377"/>
      <c r="E547" s="371" t="s">
        <v>1390</v>
      </c>
      <c r="F547" s="371" t="s">
        <v>46</v>
      </c>
      <c r="G547" s="385" t="s">
        <v>1391</v>
      </c>
      <c r="H547" s="383"/>
      <c r="I547" s="383"/>
      <c r="J547" s="387">
        <v>74.45</v>
      </c>
      <c r="K547" s="383"/>
      <c r="L547" s="383"/>
      <c r="M547" s="377"/>
      <c r="N547" s="377"/>
      <c r="O547" s="377"/>
      <c r="P547" s="377"/>
      <c r="Q547" s="232"/>
    </row>
    <row r="548" ht="15.0" customHeight="1">
      <c r="A548" s="383"/>
      <c r="B548" s="377"/>
      <c r="C548" s="377"/>
      <c r="D548" s="377"/>
      <c r="E548" s="485" t="s">
        <v>1392</v>
      </c>
      <c r="F548" s="371" t="s">
        <v>308</v>
      </c>
      <c r="G548" s="551" t="s">
        <v>1393</v>
      </c>
      <c r="H548" s="385">
        <v>3.0</v>
      </c>
      <c r="I548" s="383"/>
      <c r="J548" s="383"/>
      <c r="K548" s="387">
        <v>27.16</v>
      </c>
      <c r="L548" s="383"/>
      <c r="M548" s="377"/>
      <c r="N548" s="371" t="s">
        <v>1394</v>
      </c>
      <c r="O548" s="377"/>
      <c r="P548" s="377"/>
      <c r="Q548" s="232"/>
    </row>
    <row r="549" ht="15.0" customHeight="1">
      <c r="A549" s="383"/>
      <c r="B549" s="377"/>
      <c r="C549" s="377"/>
      <c r="D549" s="377"/>
      <c r="E549" s="485" t="s">
        <v>1395</v>
      </c>
      <c r="F549" s="371" t="s">
        <v>308</v>
      </c>
      <c r="G549" s="551" t="s">
        <v>1396</v>
      </c>
      <c r="H549" s="385">
        <v>1.0</v>
      </c>
      <c r="I549" s="383"/>
      <c r="J549" s="387"/>
      <c r="K549" s="387">
        <v>27.67</v>
      </c>
      <c r="L549" s="383"/>
      <c r="M549" s="377"/>
      <c r="N549" s="371" t="s">
        <v>1394</v>
      </c>
      <c r="O549" s="377"/>
      <c r="P549" s="377"/>
      <c r="Q549" s="232"/>
    </row>
    <row r="550" ht="15.0" customHeight="1">
      <c r="A550" s="383"/>
      <c r="B550" s="377"/>
      <c r="C550" s="377"/>
      <c r="D550" s="377"/>
      <c r="E550" s="485" t="s">
        <v>1397</v>
      </c>
      <c r="F550" s="371" t="s">
        <v>308</v>
      </c>
      <c r="G550" s="551" t="s">
        <v>1398</v>
      </c>
      <c r="H550" s="385">
        <v>1.0</v>
      </c>
      <c r="I550" s="383"/>
      <c r="J550" s="387"/>
      <c r="K550" s="387">
        <v>12.26</v>
      </c>
      <c r="L550" s="383"/>
      <c r="M550" s="377"/>
      <c r="N550" s="371" t="s">
        <v>1394</v>
      </c>
      <c r="O550" s="377"/>
      <c r="P550" s="377"/>
      <c r="Q550" s="232"/>
    </row>
    <row r="551" ht="15.0" customHeight="1">
      <c r="A551" s="389"/>
      <c r="B551" s="377"/>
      <c r="C551" s="377"/>
      <c r="D551" s="377"/>
      <c r="E551" s="379" t="s">
        <v>1399</v>
      </c>
      <c r="F551" s="379" t="s">
        <v>24</v>
      </c>
      <c r="G551" s="379" t="s">
        <v>1400</v>
      </c>
      <c r="H551" s="389"/>
      <c r="I551" s="398"/>
      <c r="J551" s="398"/>
      <c r="K551" s="398">
        <v>106.31</v>
      </c>
      <c r="L551" s="398"/>
      <c r="M551" s="377"/>
      <c r="N551" s="377"/>
      <c r="O551" s="377"/>
      <c r="P551" s="377"/>
      <c r="Q551" s="400"/>
    </row>
    <row r="552" ht="15.0" customHeight="1">
      <c r="A552" s="401"/>
      <c r="B552" s="381" t="s">
        <v>639</v>
      </c>
      <c r="C552" s="381" t="s">
        <v>639</v>
      </c>
      <c r="D552" s="377"/>
      <c r="E552" s="408" t="s">
        <v>1401</v>
      </c>
      <c r="F552" s="381" t="s">
        <v>46</v>
      </c>
      <c r="G552" s="408" t="s">
        <v>1391</v>
      </c>
      <c r="H552" s="401">
        <v>1.0</v>
      </c>
      <c r="I552" s="402"/>
      <c r="J552" s="402"/>
      <c r="K552" s="402">
        <v>60.95</v>
      </c>
      <c r="L552" s="402"/>
      <c r="M552" s="377"/>
      <c r="N552" s="377"/>
      <c r="O552" s="377"/>
      <c r="P552" s="377"/>
      <c r="Q552" s="406" t="s">
        <v>639</v>
      </c>
    </row>
    <row r="553" ht="15.0" customHeight="1">
      <c r="A553" s="401"/>
      <c r="B553" s="377"/>
      <c r="C553" s="377"/>
      <c r="D553" s="377"/>
      <c r="E553" s="408" t="s">
        <v>1402</v>
      </c>
      <c r="F553" s="381" t="s">
        <v>46</v>
      </c>
      <c r="G553" s="408" t="s">
        <v>1403</v>
      </c>
      <c r="H553" s="401"/>
      <c r="I553" s="402"/>
      <c r="J553" s="402"/>
      <c r="K553" s="402">
        <v>35.94</v>
      </c>
      <c r="L553" s="402"/>
      <c r="M553" s="377"/>
      <c r="N553" s="377"/>
      <c r="O553" s="377"/>
      <c r="P553" s="377"/>
      <c r="Q553" s="406"/>
    </row>
    <row r="554" ht="15.0" customHeight="1">
      <c r="A554" s="383"/>
      <c r="B554" s="377"/>
      <c r="C554" s="377"/>
      <c r="D554" s="377"/>
      <c r="E554" s="371"/>
      <c r="F554" s="377"/>
      <c r="G554" s="385"/>
      <c r="H554" s="383"/>
      <c r="I554" s="383"/>
      <c r="J554" s="387"/>
      <c r="K554" s="383"/>
      <c r="L554" s="383"/>
      <c r="M554" s="377"/>
      <c r="N554" s="377"/>
      <c r="O554" s="377"/>
      <c r="P554" s="377"/>
      <c r="Q554" s="232"/>
    </row>
    <row r="555" ht="15.0" customHeight="1">
      <c r="A555" s="383"/>
      <c r="B555" s="377"/>
      <c r="C555" s="371" t="s">
        <v>1404</v>
      </c>
      <c r="D555" s="377"/>
      <c r="E555" s="377"/>
      <c r="F555" s="377"/>
      <c r="G555" s="377"/>
      <c r="H555" s="383"/>
      <c r="I555" s="383"/>
      <c r="J555" s="383"/>
      <c r="K555" s="383"/>
      <c r="L555" s="383"/>
      <c r="M555" s="377"/>
      <c r="N555" s="371" t="s">
        <v>1405</v>
      </c>
      <c r="O555" s="377"/>
      <c r="P555" s="377"/>
      <c r="Q555" s="232"/>
    </row>
    <row r="556" ht="15.0" customHeight="1">
      <c r="A556" s="383"/>
      <c r="B556" s="377"/>
      <c r="C556" s="371" t="s">
        <v>639</v>
      </c>
      <c r="D556" s="371" t="s">
        <v>1406</v>
      </c>
      <c r="E556" s="371" t="s">
        <v>1407</v>
      </c>
      <c r="F556" s="371" t="s">
        <v>899</v>
      </c>
      <c r="G556" s="377"/>
      <c r="H556" s="383"/>
      <c r="I556" s="383"/>
      <c r="J556" s="383"/>
      <c r="K556" s="383"/>
      <c r="L556" s="383"/>
      <c r="M556" s="377"/>
      <c r="N556" s="377"/>
      <c r="O556" s="377"/>
      <c r="P556" s="377"/>
      <c r="Q556" s="232"/>
    </row>
    <row r="557" ht="15.0" customHeight="1">
      <c r="A557" s="401"/>
      <c r="B557" s="377"/>
      <c r="C557" s="377"/>
      <c r="D557" s="381" t="s">
        <v>1408</v>
      </c>
      <c r="E557" s="381" t="s">
        <v>1409</v>
      </c>
      <c r="F557" s="381" t="s">
        <v>46</v>
      </c>
      <c r="G557" s="381" t="s">
        <v>1410</v>
      </c>
      <c r="H557" s="401"/>
      <c r="I557" s="402"/>
      <c r="J557" s="402"/>
      <c r="K557" s="402">
        <v>117.01</v>
      </c>
      <c r="L557" s="402"/>
      <c r="M557" s="377"/>
      <c r="N557" s="377"/>
      <c r="O557" s="377"/>
      <c r="P557" s="377"/>
      <c r="Q557" s="406"/>
    </row>
    <row r="558" ht="12.75" customHeight="1">
      <c r="A558" s="383"/>
      <c r="B558" s="377"/>
      <c r="C558" s="377"/>
      <c r="D558" s="377"/>
      <c r="E558" s="377"/>
      <c r="F558" s="377"/>
      <c r="G558" s="377"/>
      <c r="H558" s="383"/>
      <c r="I558" s="383"/>
      <c r="J558" s="383"/>
      <c r="K558" s="383"/>
      <c r="L558" s="383"/>
      <c r="M558" s="377"/>
      <c r="N558" s="377"/>
      <c r="O558" s="377"/>
      <c r="P558" s="377"/>
      <c r="Q558" s="232"/>
    </row>
    <row r="559" ht="15.0" customHeight="1">
      <c r="A559" s="383"/>
      <c r="B559" s="377"/>
      <c r="C559" s="371" t="s">
        <v>1411</v>
      </c>
      <c r="D559" s="377"/>
      <c r="E559" s="377"/>
      <c r="F559" s="377"/>
      <c r="G559" s="377"/>
      <c r="H559" s="383"/>
      <c r="I559" s="383"/>
      <c r="J559" s="383"/>
      <c r="K559" s="383"/>
      <c r="L559" s="383"/>
      <c r="M559" s="377"/>
      <c r="N559" s="377"/>
      <c r="O559" s="377"/>
      <c r="P559" s="377"/>
      <c r="Q559" s="232"/>
    </row>
    <row r="560" ht="15.0" customHeight="1">
      <c r="A560" s="383"/>
      <c r="B560" s="377"/>
      <c r="C560" s="377"/>
      <c r="D560" s="371" t="s">
        <v>869</v>
      </c>
      <c r="E560" s="377"/>
      <c r="F560" s="371" t="s">
        <v>541</v>
      </c>
      <c r="G560" s="377"/>
      <c r="H560" s="383"/>
      <c r="I560" s="383"/>
      <c r="J560" s="383"/>
      <c r="K560" s="383"/>
      <c r="L560" s="383"/>
      <c r="M560" s="377"/>
      <c r="N560" s="371" t="s">
        <v>1412</v>
      </c>
      <c r="O560" s="377"/>
      <c r="P560" s="377"/>
      <c r="Q560" s="232"/>
    </row>
    <row r="561" ht="15.0" customHeight="1">
      <c r="A561" s="383"/>
      <c r="B561" s="377"/>
      <c r="C561" s="377"/>
      <c r="D561" s="377"/>
      <c r="E561" s="371"/>
      <c r="F561" s="377"/>
      <c r="G561" s="377"/>
      <c r="H561" s="383"/>
      <c r="I561" s="383"/>
      <c r="J561" s="383"/>
      <c r="K561" s="383"/>
      <c r="L561" s="383"/>
      <c r="M561" s="377"/>
      <c r="N561" s="377"/>
      <c r="O561" s="377"/>
      <c r="P561" s="377"/>
      <c r="Q561" s="232"/>
    </row>
    <row r="562" ht="15.0" customHeight="1">
      <c r="A562" s="383"/>
      <c r="B562" s="377"/>
      <c r="C562" s="371" t="s">
        <v>1413</v>
      </c>
      <c r="D562" s="377"/>
      <c r="E562" s="377"/>
      <c r="F562" s="377"/>
      <c r="G562" s="377"/>
      <c r="H562" s="383"/>
      <c r="I562" s="383"/>
      <c r="J562" s="383"/>
      <c r="K562" s="383"/>
      <c r="L562" s="383"/>
      <c r="M562" s="377"/>
      <c r="N562" s="377"/>
      <c r="O562" s="377"/>
      <c r="P562" s="377"/>
      <c r="Q562" s="232"/>
    </row>
    <row r="563" ht="15.0" customHeight="1">
      <c r="A563" s="383"/>
      <c r="B563" s="377"/>
      <c r="C563" s="377"/>
      <c r="D563" s="371" t="s">
        <v>1345</v>
      </c>
      <c r="E563" s="371" t="s">
        <v>1414</v>
      </c>
      <c r="F563" s="371" t="s">
        <v>1345</v>
      </c>
      <c r="G563" s="377"/>
      <c r="H563" s="383"/>
      <c r="I563" s="383"/>
      <c r="J563" s="383"/>
      <c r="K563" s="383"/>
      <c r="L563" s="383"/>
      <c r="M563" s="377"/>
      <c r="N563" s="371" t="s">
        <v>1415</v>
      </c>
      <c r="O563" s="377"/>
      <c r="P563" s="377"/>
      <c r="Q563" s="232"/>
    </row>
    <row r="564" ht="12.75" customHeight="1">
      <c r="A564" s="383"/>
      <c r="B564" s="377"/>
      <c r="C564" s="377"/>
      <c r="D564" s="377"/>
      <c r="E564" s="377"/>
      <c r="F564" s="377"/>
      <c r="G564" s="377"/>
      <c r="H564" s="383"/>
      <c r="I564" s="383"/>
      <c r="J564" s="383"/>
      <c r="K564" s="383"/>
      <c r="L564" s="383"/>
      <c r="M564" s="377"/>
      <c r="N564" s="377"/>
      <c r="O564" s="377"/>
      <c r="P564" s="377"/>
      <c r="Q564" s="232"/>
    </row>
    <row r="565" ht="15.0" customHeight="1">
      <c r="A565" s="383"/>
      <c r="B565" s="377"/>
      <c r="C565" s="371" t="s">
        <v>1416</v>
      </c>
      <c r="D565" s="377"/>
      <c r="E565" s="377"/>
      <c r="F565" s="377"/>
      <c r="G565" s="377"/>
      <c r="H565" s="383"/>
      <c r="I565" s="383"/>
      <c r="J565" s="383"/>
      <c r="K565" s="383"/>
      <c r="L565" s="383"/>
      <c r="M565" s="377"/>
      <c r="N565" s="371" t="s">
        <v>1417</v>
      </c>
      <c r="O565" s="377"/>
      <c r="P565" s="377"/>
      <c r="Q565" s="232"/>
    </row>
    <row r="566" ht="15.0" customHeight="1">
      <c r="A566" s="383"/>
      <c r="B566" s="377"/>
      <c r="C566" s="371" t="s">
        <v>639</v>
      </c>
      <c r="D566" s="371" t="s">
        <v>1345</v>
      </c>
      <c r="E566" s="371" t="s">
        <v>1418</v>
      </c>
      <c r="F566" s="371" t="s">
        <v>1345</v>
      </c>
      <c r="G566" s="377"/>
      <c r="H566" s="383"/>
      <c r="I566" s="383"/>
      <c r="J566" s="383"/>
      <c r="K566" s="383"/>
      <c r="L566" s="383"/>
      <c r="M566" s="377"/>
      <c r="N566" s="371" t="s">
        <v>1419</v>
      </c>
      <c r="O566" s="377"/>
      <c r="P566" s="377"/>
      <c r="Q566" s="232"/>
    </row>
    <row r="567" ht="15.0" customHeight="1">
      <c r="A567" s="383"/>
      <c r="B567" s="377"/>
      <c r="C567" s="377"/>
      <c r="D567" s="371" t="s">
        <v>869</v>
      </c>
      <c r="E567" s="371" t="s">
        <v>1420</v>
      </c>
      <c r="F567" s="371" t="s">
        <v>541</v>
      </c>
      <c r="G567" s="377" t="s">
        <v>1421</v>
      </c>
      <c r="H567" s="383"/>
      <c r="I567" s="383"/>
      <c r="J567" s="383"/>
      <c r="K567" s="383"/>
      <c r="L567" s="383"/>
      <c r="M567" s="377"/>
      <c r="N567" s="371" t="s">
        <v>1422</v>
      </c>
      <c r="O567" s="377"/>
      <c r="P567" s="377"/>
      <c r="Q567" s="232"/>
    </row>
    <row r="568" ht="15.0" customHeight="1">
      <c r="A568" s="389"/>
      <c r="B568" s="377"/>
      <c r="C568" s="377"/>
      <c r="D568" s="379" t="s">
        <v>902</v>
      </c>
      <c r="E568" s="379" t="s">
        <v>1423</v>
      </c>
      <c r="F568" s="379" t="s">
        <v>24</v>
      </c>
      <c r="G568" s="379" t="s">
        <v>1424</v>
      </c>
      <c r="H568" s="389"/>
      <c r="I568" s="398"/>
      <c r="J568" s="398"/>
      <c r="K568" s="398">
        <v>191.12</v>
      </c>
      <c r="L568" s="398"/>
      <c r="M568" s="377"/>
      <c r="N568" s="377"/>
      <c r="O568" s="377"/>
      <c r="P568" s="377"/>
      <c r="Q568" s="400"/>
    </row>
    <row r="569" ht="15.0" customHeight="1">
      <c r="A569" s="401"/>
      <c r="B569" s="377"/>
      <c r="C569" s="377"/>
      <c r="D569" s="377"/>
      <c r="E569" s="408" t="s">
        <v>1425</v>
      </c>
      <c r="F569" s="381" t="s">
        <v>46</v>
      </c>
      <c r="G569" s="377"/>
      <c r="H569" s="401">
        <v>1.0</v>
      </c>
      <c r="I569" s="402"/>
      <c r="J569" s="402"/>
      <c r="K569" s="402">
        <v>79.87</v>
      </c>
      <c r="L569" s="469">
        <f>K569*H569</f>
        <v>79.87</v>
      </c>
      <c r="M569" s="377"/>
      <c r="N569" s="377"/>
      <c r="O569" s="377"/>
      <c r="P569" s="377"/>
      <c r="Q569" s="406"/>
    </row>
    <row r="570" ht="15.0" customHeight="1">
      <c r="A570" s="383"/>
      <c r="B570" s="377"/>
      <c r="C570" s="377"/>
      <c r="D570" s="377"/>
      <c r="E570" s="377"/>
      <c r="F570" s="371"/>
      <c r="G570" s="377"/>
      <c r="H570" s="383"/>
      <c r="I570" s="383"/>
      <c r="J570" s="383"/>
      <c r="K570" s="383"/>
      <c r="L570" s="383"/>
      <c r="M570" s="377"/>
      <c r="N570" s="377"/>
      <c r="O570" s="377"/>
      <c r="P570" s="377"/>
      <c r="Q570" s="232"/>
    </row>
    <row r="571" ht="15.0" customHeight="1">
      <c r="A571" s="383"/>
      <c r="B571" s="377"/>
      <c r="C571" s="371" t="s">
        <v>1426</v>
      </c>
      <c r="D571" s="377"/>
      <c r="E571" s="377"/>
      <c r="F571" s="377"/>
      <c r="G571" s="377"/>
      <c r="H571" s="383"/>
      <c r="I571" s="383"/>
      <c r="J571" s="383"/>
      <c r="K571" s="383"/>
      <c r="L571" s="383"/>
      <c r="M571" s="377"/>
      <c r="N571" s="371" t="s">
        <v>1427</v>
      </c>
      <c r="O571" s="377"/>
      <c r="P571" s="377"/>
      <c r="Q571" s="232"/>
    </row>
    <row r="572" ht="15.0" customHeight="1">
      <c r="A572" s="383"/>
      <c r="B572" s="377"/>
      <c r="C572" s="377"/>
      <c r="D572" s="377"/>
      <c r="E572" s="377"/>
      <c r="F572" s="371" t="s">
        <v>1345</v>
      </c>
      <c r="G572" s="377"/>
      <c r="H572" s="383"/>
      <c r="I572" s="383"/>
      <c r="J572" s="383"/>
      <c r="K572" s="383"/>
      <c r="L572" s="383"/>
      <c r="M572" s="377"/>
      <c r="N572" s="377"/>
      <c r="O572" s="377"/>
      <c r="P572" s="377"/>
      <c r="Q572" s="232"/>
    </row>
    <row r="573" ht="12.75" customHeight="1">
      <c r="A573" s="383"/>
      <c r="B573" s="377"/>
      <c r="C573" s="377"/>
      <c r="D573" s="377"/>
      <c r="E573" s="377"/>
      <c r="F573" s="377"/>
      <c r="G573" s="377"/>
      <c r="H573" s="383"/>
      <c r="I573" s="383"/>
      <c r="J573" s="383"/>
      <c r="K573" s="383"/>
      <c r="L573" s="383"/>
      <c r="M573" s="377"/>
      <c r="N573" s="377"/>
      <c r="O573" s="377"/>
      <c r="P573" s="377"/>
      <c r="Q573" s="232"/>
    </row>
    <row r="574" ht="15.0" customHeight="1">
      <c r="A574" s="383"/>
      <c r="B574" s="377"/>
      <c r="C574" s="371" t="s">
        <v>1428</v>
      </c>
      <c r="D574" s="377"/>
      <c r="E574" s="377"/>
      <c r="F574" s="377"/>
      <c r="G574" s="377"/>
      <c r="H574" s="383"/>
      <c r="I574" s="383"/>
      <c r="J574" s="383"/>
      <c r="K574" s="383"/>
      <c r="L574" s="383"/>
      <c r="M574" s="377"/>
      <c r="N574" s="371" t="s">
        <v>1429</v>
      </c>
      <c r="O574" s="377"/>
      <c r="P574" s="377"/>
      <c r="Q574" s="232"/>
    </row>
    <row r="575" ht="15.0" customHeight="1">
      <c r="A575" s="383"/>
      <c r="B575" s="377"/>
      <c r="C575" s="371" t="s">
        <v>1430</v>
      </c>
      <c r="D575" s="377"/>
      <c r="E575" s="377"/>
      <c r="F575" s="377"/>
      <c r="G575" s="377"/>
      <c r="H575" s="383"/>
      <c r="I575" s="383"/>
      <c r="J575" s="383"/>
      <c r="K575" s="383"/>
      <c r="L575" s="383"/>
      <c r="M575" s="377"/>
      <c r="N575" s="371" t="s">
        <v>1429</v>
      </c>
      <c r="O575" s="377"/>
      <c r="P575" s="377"/>
      <c r="Q575" s="232"/>
    </row>
    <row r="576" ht="15.0" customHeight="1">
      <c r="A576" s="383"/>
      <c r="B576" s="377"/>
      <c r="C576" s="371" t="s">
        <v>1431</v>
      </c>
      <c r="D576" s="377"/>
      <c r="E576" s="377"/>
      <c r="F576" s="377"/>
      <c r="G576" s="377"/>
      <c r="H576" s="383"/>
      <c r="I576" s="383"/>
      <c r="J576" s="383"/>
      <c r="K576" s="383"/>
      <c r="L576" s="383"/>
      <c r="M576" s="377"/>
      <c r="N576" s="371" t="s">
        <v>1429</v>
      </c>
      <c r="O576" s="377"/>
      <c r="P576" s="377"/>
      <c r="Q576" s="232"/>
    </row>
    <row r="577" ht="15.0" customHeight="1">
      <c r="A577" s="383"/>
      <c r="B577" s="377"/>
      <c r="C577" s="371" t="s">
        <v>1432</v>
      </c>
      <c r="D577" s="377"/>
      <c r="E577" s="377"/>
      <c r="F577" s="377"/>
      <c r="G577" s="377"/>
      <c r="H577" s="383"/>
      <c r="I577" s="383"/>
      <c r="J577" s="383"/>
      <c r="K577" s="383"/>
      <c r="L577" s="383"/>
      <c r="M577" s="377"/>
      <c r="N577" s="371" t="s">
        <v>1433</v>
      </c>
      <c r="O577" s="377"/>
      <c r="P577" s="377"/>
      <c r="Q577" s="232"/>
    </row>
    <row r="578" ht="12.75" customHeight="1">
      <c r="A578" s="383"/>
      <c r="B578" s="377"/>
      <c r="C578" s="377"/>
      <c r="D578" s="377"/>
      <c r="E578" s="377"/>
      <c r="F578" s="377"/>
      <c r="G578" s="377"/>
      <c r="H578" s="383"/>
      <c r="I578" s="383"/>
      <c r="J578" s="383"/>
      <c r="K578" s="383"/>
      <c r="L578" s="383"/>
      <c r="M578" s="377"/>
      <c r="N578" s="377"/>
      <c r="O578" s="377"/>
      <c r="P578" s="377"/>
      <c r="Q578" s="232"/>
    </row>
    <row r="579" ht="12.75" customHeight="1">
      <c r="A579" s="383"/>
      <c r="B579" s="377"/>
      <c r="C579" s="377"/>
      <c r="D579" s="377"/>
      <c r="E579" s="377"/>
      <c r="F579" s="377"/>
      <c r="G579" s="377"/>
      <c r="H579" s="383"/>
      <c r="I579" s="383"/>
      <c r="J579" s="383"/>
      <c r="K579" s="383"/>
      <c r="L579" s="383"/>
      <c r="M579" s="377"/>
      <c r="N579" s="377"/>
      <c r="O579" s="377"/>
      <c r="P579" s="377"/>
      <c r="Q579" s="232"/>
    </row>
    <row r="580" ht="15.0" customHeight="1">
      <c r="A580" s="383"/>
      <c r="B580" s="377"/>
      <c r="C580" s="377"/>
      <c r="D580" s="377"/>
      <c r="E580" s="377"/>
      <c r="F580" s="377"/>
      <c r="G580" s="377"/>
      <c r="H580" s="383"/>
      <c r="I580" s="383"/>
      <c r="J580" s="383"/>
      <c r="K580" s="383"/>
      <c r="L580" s="383"/>
      <c r="M580" s="574">
        <f>SUM(L357:L579)</f>
        <v>1899.84</v>
      </c>
      <c r="N580" s="529" t="s">
        <v>1434</v>
      </c>
      <c r="O580" s="377"/>
      <c r="P580" s="377"/>
      <c r="Q580" s="232"/>
    </row>
    <row r="581" ht="12.75" customHeight="1">
      <c r="A581" s="383"/>
      <c r="B581" s="377"/>
      <c r="C581" s="377"/>
      <c r="D581" s="377"/>
      <c r="E581" s="377"/>
      <c r="F581" s="377"/>
      <c r="G581" s="377"/>
      <c r="H581" s="383"/>
      <c r="I581" s="383"/>
      <c r="J581" s="383"/>
      <c r="K581" s="383"/>
      <c r="L581" s="383"/>
      <c r="M581" s="377"/>
      <c r="N581" s="377"/>
      <c r="O581" s="377"/>
      <c r="P581" s="377"/>
      <c r="Q581" s="232"/>
    </row>
    <row r="582" ht="12.75" customHeight="1">
      <c r="A582" s="383"/>
      <c r="B582" s="377"/>
      <c r="C582" s="377"/>
      <c r="D582" s="377"/>
      <c r="E582" s="377"/>
      <c r="F582" s="377"/>
      <c r="G582" s="377"/>
      <c r="H582" s="383"/>
      <c r="I582" s="383"/>
      <c r="J582" s="383"/>
      <c r="K582" s="383"/>
      <c r="L582" s="383"/>
      <c r="M582" s="377"/>
      <c r="N582" s="377"/>
      <c r="O582" s="377"/>
      <c r="P582" s="377"/>
      <c r="Q582" s="232"/>
    </row>
    <row r="583" ht="12.75" customHeight="1">
      <c r="A583" s="383"/>
      <c r="B583" s="377"/>
      <c r="C583" s="377"/>
      <c r="D583" s="377"/>
      <c r="E583" s="377"/>
      <c r="F583" s="377"/>
      <c r="G583" s="377"/>
      <c r="H583" s="383"/>
      <c r="I583" s="383"/>
      <c r="J583" s="383"/>
      <c r="K583" s="383"/>
      <c r="L583" s="383"/>
      <c r="M583" s="377"/>
      <c r="N583" s="377"/>
      <c r="O583" s="377"/>
      <c r="P583" s="377"/>
      <c r="Q583" s="232"/>
    </row>
    <row r="584" ht="15.0" customHeight="1">
      <c r="A584" s="383"/>
      <c r="B584" s="377"/>
      <c r="C584" s="373" t="s">
        <v>1435</v>
      </c>
      <c r="D584" s="377"/>
      <c r="E584" s="377"/>
      <c r="F584" s="377"/>
      <c r="G584" s="377"/>
      <c r="H584" s="383"/>
      <c r="I584" s="383"/>
      <c r="J584" s="383"/>
      <c r="K584" s="383"/>
      <c r="L584" s="383"/>
      <c r="M584" s="377"/>
      <c r="N584" s="377"/>
      <c r="O584" s="377"/>
      <c r="P584" s="377"/>
      <c r="Q584" s="232"/>
    </row>
    <row r="585" ht="15.0" customHeight="1">
      <c r="A585" s="383"/>
      <c r="B585" s="377"/>
      <c r="C585" s="371" t="s">
        <v>1436</v>
      </c>
      <c r="D585" s="377"/>
      <c r="E585" s="371" t="s">
        <v>1437</v>
      </c>
      <c r="F585" s="377"/>
      <c r="G585" s="377"/>
      <c r="H585" s="383"/>
      <c r="I585" s="383"/>
      <c r="J585" s="383"/>
      <c r="K585" s="387" t="s">
        <v>1438</v>
      </c>
      <c r="L585" s="383"/>
      <c r="M585" s="377"/>
      <c r="N585" s="377"/>
      <c r="O585" s="377"/>
      <c r="P585" s="377"/>
      <c r="Q585" s="232"/>
    </row>
    <row r="586" ht="15.0" customHeight="1">
      <c r="A586" s="383"/>
      <c r="B586" s="377"/>
      <c r="C586" s="373"/>
      <c r="D586" s="377"/>
      <c r="E586" s="377"/>
      <c r="F586" s="377"/>
      <c r="G586" s="377"/>
      <c r="H586" s="383"/>
      <c r="I586" s="383"/>
      <c r="J586" s="383"/>
      <c r="K586" s="383"/>
      <c r="L586" s="383"/>
      <c r="M586" s="377"/>
      <c r="N586" s="377"/>
      <c r="O586" s="377"/>
      <c r="P586" s="377"/>
      <c r="Q586" s="232"/>
    </row>
    <row r="587" ht="15.0" customHeight="1">
      <c r="A587" s="383"/>
      <c r="B587" s="377"/>
      <c r="C587" s="371" t="s">
        <v>1439</v>
      </c>
      <c r="D587" s="377"/>
      <c r="E587" s="377"/>
      <c r="F587" s="371" t="s">
        <v>1440</v>
      </c>
      <c r="G587" s="377"/>
      <c r="H587" s="385">
        <v>10.0</v>
      </c>
      <c r="I587" s="383"/>
      <c r="J587" s="383"/>
      <c r="K587" s="383"/>
      <c r="L587" s="383"/>
      <c r="M587" s="377"/>
      <c r="N587" s="377"/>
      <c r="O587" s="377"/>
      <c r="P587" s="377"/>
      <c r="Q587" s="232"/>
    </row>
    <row r="588" ht="15.0" customHeight="1">
      <c r="A588" s="383"/>
      <c r="B588" s="377"/>
      <c r="C588" s="371" t="s">
        <v>1441</v>
      </c>
      <c r="D588" s="377"/>
      <c r="E588" s="431" t="s">
        <v>1442</v>
      </c>
      <c r="F588" s="371" t="s">
        <v>1126</v>
      </c>
      <c r="G588" s="385" t="s">
        <v>1443</v>
      </c>
      <c r="H588" s="385">
        <v>3.0</v>
      </c>
      <c r="I588" s="383"/>
      <c r="J588" s="387">
        <v>25.44</v>
      </c>
      <c r="K588" s="383"/>
      <c r="L588" s="383"/>
      <c r="M588" s="377"/>
      <c r="N588" s="377"/>
      <c r="O588" s="377"/>
      <c r="P588" s="377"/>
      <c r="Q588" s="232"/>
    </row>
    <row r="589" ht="15.0" customHeight="1">
      <c r="A589" s="383"/>
      <c r="B589" s="377"/>
      <c r="C589" s="377"/>
      <c r="D589" s="377"/>
      <c r="E589" s="431"/>
      <c r="F589" s="377"/>
      <c r="G589" s="385"/>
      <c r="H589" s="383"/>
      <c r="I589" s="383"/>
      <c r="J589" s="383"/>
      <c r="K589" s="383"/>
      <c r="L589" s="383"/>
      <c r="M589" s="377"/>
      <c r="N589" s="377"/>
      <c r="O589" s="377"/>
      <c r="P589" s="377"/>
      <c r="Q589" s="232"/>
    </row>
    <row r="590" ht="15.0" customHeight="1">
      <c r="A590" s="383"/>
      <c r="B590" s="377"/>
      <c r="C590" s="371" t="s">
        <v>1444</v>
      </c>
      <c r="D590" s="377"/>
      <c r="E590" s="377"/>
      <c r="F590" s="377"/>
      <c r="G590" s="377"/>
      <c r="H590" s="383"/>
      <c r="I590" s="383"/>
      <c r="J590" s="383"/>
      <c r="K590" s="383"/>
      <c r="L590" s="383"/>
      <c r="M590" s="377"/>
      <c r="N590" s="377"/>
      <c r="O590" s="377"/>
      <c r="P590" s="377"/>
      <c r="Q590" s="232"/>
    </row>
    <row r="591" ht="12.75" customHeight="1">
      <c r="A591" s="383"/>
      <c r="B591" s="377"/>
      <c r="C591" s="377"/>
      <c r="D591" s="377"/>
      <c r="E591" s="377"/>
      <c r="F591" s="377"/>
      <c r="G591" s="377"/>
      <c r="H591" s="383"/>
      <c r="I591" s="383"/>
      <c r="J591" s="383"/>
      <c r="K591" s="383"/>
      <c r="L591" s="383"/>
      <c r="M591" s="377"/>
      <c r="N591" s="377"/>
      <c r="O591" s="377"/>
      <c r="P591" s="377"/>
      <c r="Q591" s="232"/>
    </row>
    <row r="592" ht="15.0" customHeight="1">
      <c r="A592" s="383"/>
      <c r="B592" s="377"/>
      <c r="C592" s="371" t="s">
        <v>1445</v>
      </c>
      <c r="D592" s="377"/>
      <c r="E592" s="431" t="s">
        <v>1446</v>
      </c>
      <c r="F592" s="371" t="s">
        <v>1126</v>
      </c>
      <c r="G592" s="385" t="s">
        <v>1447</v>
      </c>
      <c r="H592" s="385">
        <v>2.0</v>
      </c>
      <c r="I592" s="383"/>
      <c r="J592" s="387">
        <v>39.2</v>
      </c>
      <c r="K592" s="383"/>
      <c r="L592" s="383"/>
      <c r="M592" s="377"/>
      <c r="N592" s="377"/>
      <c r="O592" s="377"/>
      <c r="P592" s="377"/>
      <c r="Q592" s="232" t="s">
        <v>639</v>
      </c>
    </row>
    <row r="593" ht="15.0" customHeight="1">
      <c r="A593" s="383"/>
      <c r="B593" s="377"/>
      <c r="C593" s="371" t="s">
        <v>1448</v>
      </c>
      <c r="D593" s="377"/>
      <c r="E593" s="431" t="s">
        <v>1449</v>
      </c>
      <c r="F593" s="371" t="s">
        <v>1126</v>
      </c>
      <c r="G593" s="385" t="s">
        <v>1450</v>
      </c>
      <c r="H593" s="383"/>
      <c r="I593" s="383"/>
      <c r="J593" s="387">
        <v>17.62</v>
      </c>
      <c r="K593" s="383"/>
      <c r="L593" s="383"/>
      <c r="M593" s="377"/>
      <c r="N593" s="377"/>
      <c r="O593" s="377"/>
      <c r="P593" s="377"/>
      <c r="Q593" s="232"/>
    </row>
    <row r="594" ht="15.0" customHeight="1">
      <c r="A594" s="383"/>
      <c r="B594" s="377"/>
      <c r="C594" s="371" t="s">
        <v>1451</v>
      </c>
      <c r="D594" s="377"/>
      <c r="E594" s="377"/>
      <c r="F594" s="371" t="s">
        <v>622</v>
      </c>
      <c r="G594" s="377"/>
      <c r="H594" s="385">
        <v>1.0</v>
      </c>
      <c r="I594" s="383"/>
      <c r="J594" s="383"/>
      <c r="K594" s="387">
        <v>150.0</v>
      </c>
      <c r="L594" s="383"/>
      <c r="M594" s="377"/>
      <c r="N594" s="377"/>
      <c r="O594" s="377"/>
      <c r="P594" s="377"/>
      <c r="Q594" s="232"/>
    </row>
    <row r="595" ht="15.0" customHeight="1">
      <c r="A595" s="383"/>
      <c r="B595" s="377"/>
      <c r="C595" s="377"/>
      <c r="D595" s="371" t="s">
        <v>1452</v>
      </c>
      <c r="E595" s="371" t="s">
        <v>1453</v>
      </c>
      <c r="F595" s="371" t="s">
        <v>622</v>
      </c>
      <c r="G595" s="377"/>
      <c r="H595" s="385">
        <v>1.0</v>
      </c>
      <c r="I595" s="387">
        <v>109.88</v>
      </c>
      <c r="J595" s="383"/>
      <c r="K595" s="383"/>
      <c r="L595" s="383"/>
      <c r="M595" s="377"/>
      <c r="N595" s="377"/>
      <c r="O595" s="377"/>
      <c r="P595" s="377"/>
      <c r="Q595" s="232"/>
    </row>
    <row r="596" ht="15.0" customHeight="1">
      <c r="A596" s="383"/>
      <c r="B596" s="377"/>
      <c r="C596" s="377"/>
      <c r="D596" s="377"/>
      <c r="E596" s="431" t="s">
        <v>1454</v>
      </c>
      <c r="F596" s="371" t="s">
        <v>314</v>
      </c>
      <c r="G596" s="377"/>
      <c r="H596" s="383"/>
      <c r="I596" s="383"/>
      <c r="J596" s="387">
        <v>160.0</v>
      </c>
      <c r="K596" s="383"/>
      <c r="L596" s="383"/>
      <c r="M596" s="377"/>
      <c r="N596" s="377"/>
      <c r="O596" s="377"/>
      <c r="P596" s="377"/>
      <c r="Q596" s="232"/>
    </row>
    <row r="597" ht="15.0" customHeight="1">
      <c r="A597" s="383"/>
      <c r="B597" s="377"/>
      <c r="C597" s="377"/>
      <c r="D597" s="377"/>
      <c r="E597" s="371" t="s">
        <v>1455</v>
      </c>
      <c r="F597" s="371" t="s">
        <v>46</v>
      </c>
      <c r="G597" s="371" t="s">
        <v>1456</v>
      </c>
      <c r="H597" s="385">
        <v>1.0</v>
      </c>
      <c r="I597" s="383"/>
      <c r="J597" s="383"/>
      <c r="K597" s="387">
        <v>397.3</v>
      </c>
      <c r="L597" s="383"/>
      <c r="M597" s="377"/>
      <c r="N597" s="377"/>
      <c r="O597" s="377"/>
      <c r="P597" s="377"/>
      <c r="Q597" s="232"/>
    </row>
    <row r="598" ht="15.0" customHeight="1">
      <c r="A598" s="383"/>
      <c r="B598" s="377"/>
      <c r="C598" s="371" t="s">
        <v>1457</v>
      </c>
      <c r="D598" s="377"/>
      <c r="E598" s="377"/>
      <c r="F598" s="371" t="s">
        <v>314</v>
      </c>
      <c r="G598" s="377"/>
      <c r="H598" s="383"/>
      <c r="I598" s="383"/>
      <c r="J598" s="383"/>
      <c r="K598" s="383"/>
      <c r="L598" s="383"/>
      <c r="M598" s="377"/>
      <c r="N598" s="377"/>
      <c r="O598" s="377"/>
      <c r="P598" s="377"/>
      <c r="Q598" s="232"/>
    </row>
    <row r="599" ht="12.75" customHeight="1">
      <c r="A599" s="383"/>
      <c r="B599" s="377"/>
      <c r="C599" s="377"/>
      <c r="D599" s="377"/>
      <c r="E599" s="377"/>
      <c r="F599" s="377"/>
      <c r="G599" s="377"/>
      <c r="H599" s="383"/>
      <c r="I599" s="383"/>
      <c r="J599" s="383"/>
      <c r="K599" s="383"/>
      <c r="L599" s="383"/>
      <c r="M599" s="377"/>
      <c r="N599" s="377"/>
      <c r="O599" s="377"/>
      <c r="P599" s="377"/>
      <c r="Q599" s="232"/>
    </row>
    <row r="600" ht="12.75" customHeight="1">
      <c r="A600" s="383"/>
      <c r="B600" s="377"/>
      <c r="C600" s="377"/>
      <c r="D600" s="377"/>
      <c r="E600" s="377"/>
      <c r="F600" s="377"/>
      <c r="G600" s="377"/>
      <c r="H600" s="383"/>
      <c r="I600" s="383"/>
      <c r="J600" s="383"/>
      <c r="K600" s="383"/>
      <c r="L600" s="383"/>
      <c r="M600" s="377"/>
      <c r="N600" s="377"/>
      <c r="O600" s="377"/>
      <c r="P600" s="377"/>
      <c r="Q600" s="232"/>
    </row>
    <row r="601" ht="12.75" customHeight="1">
      <c r="A601" s="383"/>
      <c r="B601" s="377"/>
      <c r="C601" s="377"/>
      <c r="D601" s="377"/>
      <c r="E601" s="377"/>
      <c r="F601" s="377"/>
      <c r="G601" s="377"/>
      <c r="H601" s="383"/>
      <c r="I601" s="383"/>
      <c r="J601" s="383"/>
      <c r="K601" s="383"/>
      <c r="L601" s="383"/>
      <c r="M601" s="377"/>
      <c r="N601" s="377"/>
      <c r="O601" s="377"/>
      <c r="P601" s="377"/>
      <c r="Q601" s="232"/>
    </row>
    <row r="602" ht="15.0" customHeight="1">
      <c r="A602" s="383"/>
      <c r="B602" s="377"/>
      <c r="C602" s="373" t="s">
        <v>1458</v>
      </c>
      <c r="D602" s="377"/>
      <c r="E602" s="377"/>
      <c r="F602" s="377"/>
      <c r="G602" s="377"/>
      <c r="H602" s="383"/>
      <c r="I602" s="383"/>
      <c r="J602" s="383"/>
      <c r="K602" s="383"/>
      <c r="L602" s="383"/>
      <c r="M602" s="377"/>
      <c r="N602" s="377"/>
      <c r="O602" s="377"/>
      <c r="P602" s="377"/>
      <c r="Q602" s="232"/>
    </row>
    <row r="603" ht="15.0" customHeight="1">
      <c r="A603" s="383"/>
      <c r="B603" s="377"/>
      <c r="C603" s="371" t="s">
        <v>1459</v>
      </c>
      <c r="D603" s="377"/>
      <c r="E603" s="371" t="s">
        <v>1460</v>
      </c>
      <c r="F603" s="371" t="s">
        <v>1461</v>
      </c>
      <c r="G603" s="377"/>
      <c r="H603" s="385">
        <v>1.0</v>
      </c>
      <c r="I603" s="383"/>
      <c r="J603" s="383"/>
      <c r="K603" s="387">
        <v>800.0</v>
      </c>
      <c r="L603" s="383"/>
      <c r="M603" s="377"/>
      <c r="N603" s="377"/>
      <c r="O603" s="377"/>
      <c r="P603" s="377"/>
      <c r="Q603" s="232"/>
    </row>
    <row r="604" ht="15.0" customHeight="1">
      <c r="A604" s="383"/>
      <c r="B604" s="377"/>
      <c r="C604" s="371" t="s">
        <v>1462</v>
      </c>
      <c r="D604" s="377"/>
      <c r="E604" s="377"/>
      <c r="F604" s="371" t="s">
        <v>1463</v>
      </c>
      <c r="G604" s="377"/>
      <c r="H604" s="385">
        <v>5.0</v>
      </c>
      <c r="I604" s="383"/>
      <c r="J604" s="383"/>
      <c r="K604" s="387">
        <v>50.0</v>
      </c>
      <c r="L604" s="383"/>
      <c r="M604" s="377"/>
      <c r="N604" s="377"/>
      <c r="O604" s="377"/>
      <c r="P604" s="377"/>
      <c r="Q604" s="232"/>
    </row>
    <row r="605" ht="15.0" customHeight="1">
      <c r="A605" s="383"/>
      <c r="B605" s="377"/>
      <c r="C605" s="371" t="s">
        <v>1464</v>
      </c>
      <c r="D605" s="377"/>
      <c r="E605" s="371" t="s">
        <v>1465</v>
      </c>
      <c r="F605" s="371" t="s">
        <v>1466</v>
      </c>
      <c r="G605" s="377"/>
      <c r="H605" s="385">
        <v>1.0</v>
      </c>
      <c r="I605" s="383"/>
      <c r="J605" s="383"/>
      <c r="K605" s="387">
        <v>1000.0</v>
      </c>
      <c r="L605" s="383"/>
      <c r="M605" s="377"/>
      <c r="N605" s="377"/>
      <c r="O605" s="377"/>
      <c r="P605" s="377"/>
      <c r="Q605" s="232"/>
    </row>
    <row r="606" ht="15.0" customHeight="1">
      <c r="A606" s="383"/>
      <c r="B606" s="377"/>
      <c r="C606" s="371" t="s">
        <v>1467</v>
      </c>
      <c r="D606" s="377"/>
      <c r="E606" s="371" t="s">
        <v>1468</v>
      </c>
      <c r="F606" s="371" t="s">
        <v>1469</v>
      </c>
      <c r="G606" s="377"/>
      <c r="H606" s="385">
        <v>1.0</v>
      </c>
      <c r="I606" s="383"/>
      <c r="J606" s="383"/>
      <c r="K606" s="387">
        <v>1395.0</v>
      </c>
      <c r="L606" s="383"/>
      <c r="M606" s="377"/>
      <c r="N606" s="377"/>
      <c r="O606" s="377"/>
      <c r="P606" s="377"/>
      <c r="Q606" s="232"/>
    </row>
    <row r="607" ht="12.75" customHeight="1">
      <c r="A607" s="383"/>
      <c r="B607" s="377"/>
      <c r="C607" s="377"/>
      <c r="D607" s="377"/>
      <c r="E607" s="377"/>
      <c r="F607" s="377"/>
      <c r="G607" s="377"/>
      <c r="H607" s="383"/>
      <c r="I607" s="383"/>
      <c r="J607" s="383"/>
      <c r="K607" s="383"/>
      <c r="L607" s="383"/>
      <c r="M607" s="377"/>
      <c r="N607" s="377"/>
      <c r="O607" s="377"/>
      <c r="P607" s="377"/>
      <c r="Q607" s="232"/>
    </row>
    <row r="608" ht="12.75" customHeight="1">
      <c r="A608" s="383"/>
      <c r="B608" s="377"/>
      <c r="C608" s="377"/>
      <c r="D608" s="377"/>
      <c r="E608" s="377"/>
      <c r="F608" s="377"/>
      <c r="G608" s="377"/>
      <c r="H608" s="383"/>
      <c r="I608" s="383"/>
      <c r="J608" s="383"/>
      <c r="K608" s="383"/>
      <c r="L608" s="383"/>
      <c r="M608" s="377"/>
      <c r="N608" s="377"/>
      <c r="O608" s="377"/>
      <c r="P608" s="377"/>
      <c r="Q608" s="232"/>
    </row>
    <row r="609" ht="12.75" customHeight="1">
      <c r="A609" s="383"/>
      <c r="B609" s="377"/>
      <c r="C609" s="377"/>
      <c r="D609" s="377"/>
      <c r="E609" s="377"/>
      <c r="F609" s="377"/>
      <c r="G609" s="377"/>
      <c r="H609" s="383"/>
      <c r="I609" s="383"/>
      <c r="J609" s="383"/>
      <c r="K609" s="383"/>
      <c r="L609" s="383"/>
      <c r="M609" s="377"/>
      <c r="N609" s="377"/>
      <c r="O609" s="377"/>
      <c r="P609" s="377"/>
      <c r="Q609" s="232"/>
    </row>
    <row r="610" ht="15.0" customHeight="1">
      <c r="A610" s="383"/>
      <c r="B610" s="377"/>
      <c r="C610" s="371" t="s">
        <v>1470</v>
      </c>
      <c r="D610" s="377"/>
      <c r="E610" s="371" t="s">
        <v>1471</v>
      </c>
      <c r="F610" s="371" t="s">
        <v>411</v>
      </c>
      <c r="G610" s="377"/>
      <c r="H610" s="385">
        <v>1.0</v>
      </c>
      <c r="I610" s="383"/>
      <c r="J610" s="383"/>
      <c r="K610" s="387">
        <v>13000.0</v>
      </c>
      <c r="L610" s="383"/>
      <c r="M610" s="377"/>
      <c r="N610" s="377"/>
      <c r="O610" s="377"/>
      <c r="P610" s="377"/>
      <c r="Q610" s="232"/>
    </row>
    <row r="611" ht="15.0" customHeight="1">
      <c r="A611" s="383"/>
      <c r="B611" s="377"/>
      <c r="C611" s="377"/>
      <c r="D611" s="377"/>
      <c r="E611" s="377"/>
      <c r="F611" s="371" t="s">
        <v>1472</v>
      </c>
      <c r="G611" s="377"/>
      <c r="H611" s="383"/>
      <c r="I611" s="383"/>
      <c r="J611" s="383"/>
      <c r="K611" s="383"/>
      <c r="L611" s="383"/>
      <c r="M611" s="377"/>
      <c r="N611" s="371" t="s">
        <v>1473</v>
      </c>
      <c r="O611" s="377"/>
      <c r="P611" s="377"/>
      <c r="Q611" s="232"/>
    </row>
    <row r="612" ht="15.0" customHeight="1">
      <c r="A612" s="383"/>
      <c r="B612" s="377"/>
      <c r="C612" s="377"/>
      <c r="D612" s="377"/>
      <c r="E612" s="377"/>
      <c r="F612" s="371" t="s">
        <v>1474</v>
      </c>
      <c r="G612" s="377"/>
      <c r="H612" s="383"/>
      <c r="I612" s="383"/>
      <c r="J612" s="383"/>
      <c r="K612" s="383"/>
      <c r="L612" s="383"/>
      <c r="M612" s="377"/>
      <c r="N612" s="377"/>
      <c r="O612" s="377"/>
      <c r="P612" s="377"/>
      <c r="Q612" s="232"/>
    </row>
    <row r="613" ht="15.0" customHeight="1">
      <c r="A613" s="383"/>
      <c r="B613" s="371" t="s">
        <v>639</v>
      </c>
      <c r="C613" s="371" t="s">
        <v>639</v>
      </c>
      <c r="D613" s="371" t="s">
        <v>393</v>
      </c>
      <c r="E613" s="371" t="s">
        <v>1475</v>
      </c>
      <c r="F613" s="371" t="s">
        <v>393</v>
      </c>
      <c r="G613" s="377"/>
      <c r="H613" s="385">
        <v>1.0</v>
      </c>
      <c r="I613" s="383"/>
      <c r="J613" s="383"/>
      <c r="K613" s="387">
        <v>8875.0</v>
      </c>
      <c r="L613" s="387">
        <f>K613*H613</f>
        <v>8875</v>
      </c>
      <c r="M613" s="377"/>
      <c r="N613" s="377"/>
      <c r="O613" s="377"/>
      <c r="P613" s="377"/>
      <c r="Q613" s="232"/>
    </row>
    <row r="614" ht="12.75" customHeight="1">
      <c r="A614" s="383"/>
      <c r="B614" s="377"/>
      <c r="C614" s="377"/>
      <c r="D614" s="377"/>
      <c r="E614" s="377"/>
      <c r="F614" s="377"/>
      <c r="G614" s="377"/>
      <c r="H614" s="383"/>
      <c r="I614" s="383"/>
      <c r="J614" s="383"/>
      <c r="K614" s="383"/>
      <c r="L614" s="383"/>
      <c r="M614" s="377"/>
      <c r="N614" s="377"/>
      <c r="O614" s="377"/>
      <c r="P614" s="377"/>
      <c r="Q614" s="232"/>
    </row>
    <row r="615" ht="15.0" customHeight="1">
      <c r="A615" s="383"/>
      <c r="B615" s="377"/>
      <c r="C615" s="371" t="s">
        <v>1476</v>
      </c>
      <c r="D615" s="377"/>
      <c r="E615" s="377"/>
      <c r="F615" s="377"/>
      <c r="G615" s="377"/>
      <c r="H615" s="383"/>
      <c r="I615" s="383"/>
      <c r="J615" s="383"/>
      <c r="K615" s="383"/>
      <c r="L615" s="383"/>
      <c r="M615" s="377"/>
      <c r="N615" s="377"/>
      <c r="O615" s="377"/>
      <c r="P615" s="377"/>
      <c r="Q615" s="232"/>
    </row>
    <row r="616" ht="15.0" customHeight="1">
      <c r="A616" s="383"/>
      <c r="B616" s="377"/>
      <c r="C616" s="377"/>
      <c r="D616" s="371" t="s">
        <v>1477</v>
      </c>
      <c r="E616" s="371" t="s">
        <v>1478</v>
      </c>
      <c r="F616" s="371" t="s">
        <v>386</v>
      </c>
      <c r="G616" s="377"/>
      <c r="H616" s="385">
        <v>1.0</v>
      </c>
      <c r="I616" s="383"/>
      <c r="J616" s="383"/>
      <c r="K616" s="387">
        <v>149.99</v>
      </c>
      <c r="L616" s="383"/>
      <c r="M616" s="377"/>
      <c r="N616" s="377"/>
      <c r="O616" s="377"/>
      <c r="P616" s="377"/>
      <c r="Q616" s="232"/>
    </row>
    <row r="617" ht="15.0" customHeight="1">
      <c r="A617" s="383"/>
      <c r="B617" s="371" t="s">
        <v>639</v>
      </c>
      <c r="C617" s="371" t="s">
        <v>639</v>
      </c>
      <c r="D617" s="371" t="s">
        <v>1479</v>
      </c>
      <c r="E617" s="575" t="s">
        <v>991</v>
      </c>
      <c r="F617" s="371" t="s">
        <v>386</v>
      </c>
      <c r="G617" s="377"/>
      <c r="H617" s="383"/>
      <c r="I617" s="383"/>
      <c r="J617" s="383"/>
      <c r="K617" s="387">
        <v>235.97</v>
      </c>
      <c r="L617" s="383"/>
      <c r="M617" s="377"/>
      <c r="N617" s="377"/>
      <c r="O617" s="377"/>
      <c r="P617" s="377"/>
      <c r="Q617" s="232"/>
    </row>
    <row r="618" ht="15.0" customHeight="1">
      <c r="A618" s="383"/>
      <c r="B618" s="377"/>
      <c r="C618" s="377"/>
      <c r="D618" s="377"/>
      <c r="E618" s="371"/>
      <c r="F618" s="377"/>
      <c r="G618" s="377"/>
      <c r="H618" s="383"/>
      <c r="I618" s="383"/>
      <c r="J618" s="383"/>
      <c r="K618" s="383"/>
      <c r="L618" s="383"/>
      <c r="M618" s="377"/>
      <c r="N618" s="377"/>
      <c r="O618" s="377"/>
      <c r="P618" s="377"/>
      <c r="Q618" s="232"/>
    </row>
    <row r="619" ht="15.0" customHeight="1">
      <c r="A619" s="383"/>
      <c r="B619" s="377"/>
      <c r="C619" s="371" t="s">
        <v>1480</v>
      </c>
      <c r="D619" s="377"/>
      <c r="E619" s="377"/>
      <c r="F619" s="377"/>
      <c r="G619" s="377"/>
      <c r="H619" s="383"/>
      <c r="I619" s="383"/>
      <c r="J619" s="383"/>
      <c r="K619" s="383"/>
      <c r="L619" s="383"/>
      <c r="M619" s="377"/>
      <c r="N619" s="377"/>
      <c r="O619" s="377"/>
      <c r="P619" s="377"/>
      <c r="Q619" s="232"/>
    </row>
    <row r="620" ht="15.0" customHeight="1">
      <c r="A620" s="383"/>
      <c r="B620" s="371" t="s">
        <v>639</v>
      </c>
      <c r="C620" s="371" t="s">
        <v>639</v>
      </c>
      <c r="D620" s="371" t="s">
        <v>411</v>
      </c>
      <c r="E620" s="371" t="s">
        <v>1481</v>
      </c>
      <c r="F620" s="371" t="s">
        <v>411</v>
      </c>
      <c r="G620" s="377"/>
      <c r="H620" s="385">
        <v>1.0</v>
      </c>
      <c r="I620" s="383"/>
      <c r="J620" s="383"/>
      <c r="K620" s="387">
        <v>945.0</v>
      </c>
      <c r="L620" s="387">
        <f t="shared" ref="L620:L621" si="11">H620*K620</f>
        <v>945</v>
      </c>
      <c r="M620" s="377"/>
      <c r="N620" s="377"/>
      <c r="O620" s="377"/>
      <c r="P620" s="377"/>
      <c r="Q620" s="232" t="s">
        <v>639</v>
      </c>
    </row>
    <row r="621" ht="15.0" customHeight="1">
      <c r="A621" s="383"/>
      <c r="B621" s="371" t="s">
        <v>639</v>
      </c>
      <c r="C621" s="371" t="s">
        <v>639</v>
      </c>
      <c r="D621" s="371" t="s">
        <v>411</v>
      </c>
      <c r="E621" s="371" t="s">
        <v>1482</v>
      </c>
      <c r="F621" s="371" t="s">
        <v>411</v>
      </c>
      <c r="G621" s="377"/>
      <c r="H621" s="385">
        <v>1.0</v>
      </c>
      <c r="I621" s="383"/>
      <c r="J621" s="383"/>
      <c r="K621" s="387">
        <v>9.99</v>
      </c>
      <c r="L621" s="387">
        <f t="shared" si="11"/>
        <v>9.99</v>
      </c>
      <c r="M621" s="377"/>
      <c r="N621" s="377"/>
      <c r="O621" s="377"/>
      <c r="P621" s="377"/>
      <c r="Q621" s="232" t="s">
        <v>639</v>
      </c>
    </row>
    <row r="622" ht="12.75" customHeight="1">
      <c r="A622" s="383"/>
      <c r="B622" s="377"/>
      <c r="C622" s="377"/>
      <c r="D622" s="377"/>
      <c r="E622" s="377"/>
      <c r="F622" s="377"/>
      <c r="G622" s="377"/>
      <c r="H622" s="383"/>
      <c r="I622" s="383"/>
      <c r="J622" s="383"/>
      <c r="K622" s="383"/>
      <c r="L622" s="383"/>
      <c r="M622" s="377"/>
      <c r="N622" s="377"/>
      <c r="O622" s="377"/>
      <c r="P622" s="377"/>
      <c r="Q622" s="232"/>
    </row>
    <row r="623" ht="15.0" customHeight="1">
      <c r="A623" s="383"/>
      <c r="B623" s="377"/>
      <c r="C623" s="371" t="s">
        <v>1483</v>
      </c>
      <c r="D623" s="377"/>
      <c r="E623" s="377"/>
      <c r="F623" s="377"/>
      <c r="G623" s="377"/>
      <c r="H623" s="383"/>
      <c r="I623" s="383"/>
      <c r="J623" s="383"/>
      <c r="K623" s="383"/>
      <c r="L623" s="383"/>
      <c r="M623" s="377"/>
      <c r="N623" s="377"/>
      <c r="O623" s="377"/>
      <c r="P623" s="377"/>
      <c r="Q623" s="232"/>
    </row>
    <row r="624" ht="15.0" customHeight="1">
      <c r="A624" s="383"/>
      <c r="B624" s="371" t="s">
        <v>639</v>
      </c>
      <c r="C624" s="371" t="s">
        <v>639</v>
      </c>
      <c r="D624" s="371" t="s">
        <v>1484</v>
      </c>
      <c r="E624" s="575" t="str">
        <f>HYPERLINK("http://www.amazon.com/gp/product/B0012YLTR6/ref=ox_sc_act_title_1?ie=UTF8&amp;psc=1&amp;smid=AR65LILXUWDP0","APC Performance 3020J SurgeArrest 11 Outlet with Phone (Splitter) and Coax Protection, 120V - ")</f>
        <v>APC Performance 3020J SurgeArrest 11 Outlet with Phone (Splitter) and Coax Protection, 120V - </v>
      </c>
      <c r="F624" s="371" t="s">
        <v>386</v>
      </c>
      <c r="G624" s="377"/>
      <c r="H624" s="385">
        <v>1.0</v>
      </c>
      <c r="I624" s="383"/>
      <c r="J624" s="383"/>
      <c r="K624" s="387">
        <v>27.1</v>
      </c>
      <c r="L624" s="387">
        <f>H624*K624</f>
        <v>27.1</v>
      </c>
      <c r="M624" s="377"/>
      <c r="N624" s="377"/>
      <c r="O624" s="377"/>
      <c r="P624" s="377"/>
      <c r="Q624" s="232" t="s">
        <v>639</v>
      </c>
    </row>
    <row r="625" ht="12.75" customHeight="1">
      <c r="A625" s="383"/>
      <c r="B625" s="377"/>
      <c r="C625" s="377"/>
      <c r="D625" s="377"/>
      <c r="E625" s="377"/>
      <c r="F625" s="377"/>
      <c r="G625" s="377"/>
      <c r="H625" s="383"/>
      <c r="I625" s="383"/>
      <c r="J625" s="383"/>
      <c r="K625" s="383"/>
      <c r="L625" s="383"/>
      <c r="M625" s="377"/>
      <c r="N625" s="377"/>
      <c r="O625" s="377"/>
      <c r="P625" s="377"/>
      <c r="Q625" s="232"/>
    </row>
    <row r="626" ht="15.0" customHeight="1">
      <c r="A626" s="383"/>
      <c r="B626" s="377"/>
      <c r="C626" s="371" t="s">
        <v>1485</v>
      </c>
      <c r="D626" s="371" t="s">
        <v>1474</v>
      </c>
      <c r="E626" s="371" t="s">
        <v>1486</v>
      </c>
      <c r="F626" s="371" t="s">
        <v>1474</v>
      </c>
      <c r="G626" s="377"/>
      <c r="H626" s="385">
        <v>1.0</v>
      </c>
      <c r="I626" s="383"/>
      <c r="J626" s="383"/>
      <c r="K626" s="387">
        <v>5124.0</v>
      </c>
      <c r="L626" s="383"/>
      <c r="M626" s="377"/>
      <c r="N626" s="377"/>
      <c r="O626" s="377"/>
      <c r="P626" s="377"/>
      <c r="Q626" s="232"/>
    </row>
    <row r="627" ht="15.0" customHeight="1">
      <c r="A627" s="383"/>
      <c r="B627" s="371" t="s">
        <v>639</v>
      </c>
      <c r="C627" s="371" t="s">
        <v>639</v>
      </c>
      <c r="D627" s="371" t="s">
        <v>411</v>
      </c>
      <c r="E627" s="371" t="s">
        <v>1487</v>
      </c>
      <c r="F627" s="371" t="s">
        <v>411</v>
      </c>
      <c r="G627" s="377"/>
      <c r="H627" s="385">
        <v>1.0</v>
      </c>
      <c r="I627" s="383"/>
      <c r="J627" s="383"/>
      <c r="K627" s="387">
        <f>1249+119</f>
        <v>1368</v>
      </c>
      <c r="L627" s="387">
        <f>K627*H627</f>
        <v>1368</v>
      </c>
      <c r="M627" s="377"/>
      <c r="N627" s="377"/>
      <c r="O627" s="377"/>
      <c r="P627" s="377"/>
      <c r="Q627" s="232" t="s">
        <v>639</v>
      </c>
    </row>
    <row r="628" ht="15.0" customHeight="1">
      <c r="A628" s="383"/>
      <c r="B628" s="377"/>
      <c r="C628" s="377"/>
      <c r="D628" s="371" t="s">
        <v>411</v>
      </c>
      <c r="E628" s="371" t="s">
        <v>1488</v>
      </c>
      <c r="F628" s="371" t="s">
        <v>411</v>
      </c>
      <c r="G628" s="377"/>
      <c r="H628" s="385">
        <v>1.0</v>
      </c>
      <c r="I628" s="383"/>
      <c r="J628" s="383"/>
      <c r="K628" s="387">
        <v>1699.0</v>
      </c>
      <c r="L628" s="383"/>
      <c r="M628" s="377"/>
      <c r="N628" s="377"/>
      <c r="O628" s="377"/>
      <c r="P628" s="377"/>
      <c r="Q628" s="232"/>
    </row>
    <row r="629" ht="15.0" customHeight="1">
      <c r="A629" s="383"/>
      <c r="B629" s="377"/>
      <c r="C629" s="377"/>
      <c r="D629" s="371" t="s">
        <v>411</v>
      </c>
      <c r="E629" s="371" t="s">
        <v>1489</v>
      </c>
      <c r="F629" s="371" t="s">
        <v>411</v>
      </c>
      <c r="G629" s="377"/>
      <c r="H629" s="385">
        <v>1.0</v>
      </c>
      <c r="I629" s="383"/>
      <c r="J629" s="383"/>
      <c r="K629" s="387">
        <v>2718.0</v>
      </c>
      <c r="L629" s="383"/>
      <c r="M629" s="377"/>
      <c r="N629" s="371" t="s">
        <v>1490</v>
      </c>
      <c r="O629" s="377"/>
      <c r="P629" s="377"/>
      <c r="Q629" s="232"/>
    </row>
    <row r="630" ht="12.75" customHeight="1">
      <c r="A630" s="383"/>
      <c r="B630" s="377"/>
      <c r="C630" s="377"/>
      <c r="D630" s="377"/>
      <c r="E630" s="377"/>
      <c r="F630" s="377"/>
      <c r="G630" s="377"/>
      <c r="H630" s="383"/>
      <c r="I630" s="383"/>
      <c r="J630" s="383"/>
      <c r="K630" s="383"/>
      <c r="L630" s="383"/>
      <c r="M630" s="377"/>
      <c r="N630" s="377"/>
      <c r="O630" s="377"/>
      <c r="P630" s="377"/>
      <c r="Q630" s="232"/>
    </row>
    <row r="631" ht="15.0" customHeight="1">
      <c r="A631" s="383"/>
      <c r="B631" s="377"/>
      <c r="C631" s="371" t="s">
        <v>1491</v>
      </c>
      <c r="D631" s="377"/>
      <c r="E631" s="371" t="s">
        <v>1492</v>
      </c>
      <c r="F631" s="371" t="s">
        <v>1493</v>
      </c>
      <c r="G631" s="377"/>
      <c r="H631" s="385">
        <v>1.0</v>
      </c>
      <c r="I631" s="383"/>
      <c r="J631" s="383"/>
      <c r="K631" s="387">
        <v>1700.0</v>
      </c>
      <c r="L631" s="383"/>
      <c r="M631" s="377"/>
      <c r="N631" s="377"/>
      <c r="O631" s="377"/>
      <c r="P631" s="377"/>
      <c r="Q631" s="232"/>
    </row>
    <row r="632" ht="15.0" customHeight="1">
      <c r="A632" s="383"/>
      <c r="B632" s="377"/>
      <c r="C632" s="377"/>
      <c r="D632" s="377"/>
      <c r="E632" s="371" t="s">
        <v>1494</v>
      </c>
      <c r="F632" s="371" t="s">
        <v>386</v>
      </c>
      <c r="G632" s="377"/>
      <c r="H632" s="383"/>
      <c r="I632" s="383"/>
      <c r="J632" s="383"/>
      <c r="K632" s="383"/>
      <c r="L632" s="383"/>
      <c r="M632" s="377"/>
      <c r="N632" s="371" t="s">
        <v>1495</v>
      </c>
      <c r="O632" s="377"/>
      <c r="P632" s="377"/>
      <c r="Q632" s="232"/>
    </row>
    <row r="633" ht="15.0" customHeight="1">
      <c r="A633" s="383"/>
      <c r="B633" s="377"/>
      <c r="C633" s="377"/>
      <c r="D633" s="377"/>
      <c r="E633" s="371" t="s">
        <v>1496</v>
      </c>
      <c r="F633" s="377"/>
      <c r="G633" s="377"/>
      <c r="H633" s="383"/>
      <c r="I633" s="383"/>
      <c r="J633" s="383"/>
      <c r="K633" s="383"/>
      <c r="L633" s="383"/>
      <c r="M633" s="377"/>
      <c r="N633" s="371" t="s">
        <v>1497</v>
      </c>
      <c r="O633" s="377"/>
      <c r="P633" s="377"/>
      <c r="Q633" s="232"/>
    </row>
    <row r="634" ht="15.0" customHeight="1">
      <c r="A634" s="383"/>
      <c r="B634" s="377"/>
      <c r="C634" s="377"/>
      <c r="D634" s="371" t="s">
        <v>1498</v>
      </c>
      <c r="E634" s="371" t="s">
        <v>1499</v>
      </c>
      <c r="F634" s="371" t="s">
        <v>1500</v>
      </c>
      <c r="G634" s="371" t="s">
        <v>1501</v>
      </c>
      <c r="H634" s="385">
        <v>1.0</v>
      </c>
      <c r="I634" s="383"/>
      <c r="J634" s="383"/>
      <c r="K634" s="387">
        <v>577.0</v>
      </c>
      <c r="L634" s="383"/>
      <c r="M634" s="377"/>
      <c r="N634" s="371" t="s">
        <v>1502</v>
      </c>
      <c r="O634" s="377"/>
      <c r="P634" s="377"/>
      <c r="Q634" s="232"/>
    </row>
    <row r="635" ht="15.0" customHeight="1">
      <c r="A635" s="383"/>
      <c r="B635" s="377"/>
      <c r="C635" s="377"/>
      <c r="D635" s="371" t="s">
        <v>1498</v>
      </c>
      <c r="E635" s="371" t="s">
        <v>1503</v>
      </c>
      <c r="F635" s="371" t="s">
        <v>1500</v>
      </c>
      <c r="G635" s="371">
        <v>35948.0</v>
      </c>
      <c r="H635" s="385">
        <v>2.0</v>
      </c>
      <c r="I635" s="383"/>
      <c r="J635" s="383"/>
      <c r="K635" s="387">
        <v>506.0</v>
      </c>
      <c r="L635" s="383"/>
      <c r="M635" s="377"/>
      <c r="N635" s="377"/>
      <c r="O635" s="377"/>
      <c r="P635" s="377"/>
      <c r="Q635" s="232"/>
    </row>
    <row r="636" ht="15.0" customHeight="1">
      <c r="A636" s="383"/>
      <c r="B636" s="371" t="s">
        <v>639</v>
      </c>
      <c r="C636" s="371" t="s">
        <v>639</v>
      </c>
      <c r="D636" s="371" t="s">
        <v>1504</v>
      </c>
      <c r="E636" s="371" t="s">
        <v>1505</v>
      </c>
      <c r="F636" s="371" t="s">
        <v>314</v>
      </c>
      <c r="G636" s="371"/>
      <c r="H636" s="385">
        <v>1.0</v>
      </c>
      <c r="I636" s="383"/>
      <c r="J636" s="383"/>
      <c r="K636" s="387">
        <v>899.99</v>
      </c>
      <c r="L636" s="387">
        <f>K636*H636</f>
        <v>899.99</v>
      </c>
      <c r="M636" s="377"/>
      <c r="N636" s="371" t="s">
        <v>1506</v>
      </c>
      <c r="O636" s="377"/>
      <c r="P636" s="377"/>
      <c r="Q636" s="232" t="s">
        <v>639</v>
      </c>
    </row>
    <row r="637" ht="15.0" customHeight="1">
      <c r="A637" s="383"/>
      <c r="B637" s="377"/>
      <c r="C637" s="377"/>
      <c r="D637" s="371" t="s">
        <v>1504</v>
      </c>
      <c r="E637" s="371" t="s">
        <v>1507</v>
      </c>
      <c r="F637" s="371" t="s">
        <v>386</v>
      </c>
      <c r="G637" s="371"/>
      <c r="H637" s="385">
        <v>1.0</v>
      </c>
      <c r="I637" s="383"/>
      <c r="J637" s="383"/>
      <c r="K637" s="387">
        <v>974.99</v>
      </c>
      <c r="L637" s="383"/>
      <c r="M637" s="377"/>
      <c r="N637" s="371" t="s">
        <v>1508</v>
      </c>
      <c r="O637" s="377"/>
      <c r="P637" s="377"/>
      <c r="Q637" s="232"/>
    </row>
    <row r="638" ht="15.0" customHeight="1">
      <c r="A638" s="383"/>
      <c r="B638" s="377"/>
      <c r="C638" s="377"/>
      <c r="D638" s="371" t="s">
        <v>1504</v>
      </c>
      <c r="E638" s="371" t="s">
        <v>1507</v>
      </c>
      <c r="F638" s="371" t="s">
        <v>314</v>
      </c>
      <c r="G638" s="377"/>
      <c r="H638" s="385">
        <v>1.0</v>
      </c>
      <c r="I638" s="383"/>
      <c r="J638" s="383"/>
      <c r="K638" s="387">
        <v>814.0</v>
      </c>
      <c r="L638" s="383"/>
      <c r="M638" s="377"/>
      <c r="N638" s="371" t="s">
        <v>1508</v>
      </c>
      <c r="O638" s="377"/>
      <c r="P638" s="377"/>
      <c r="Q638" s="232"/>
    </row>
    <row r="639" ht="15.0" customHeight="1">
      <c r="A639" s="383"/>
      <c r="B639" s="377"/>
      <c r="C639" s="377"/>
      <c r="D639" s="371" t="s">
        <v>1504</v>
      </c>
      <c r="E639" s="575" t="str">
        <f>HYPERLINK("http://www.amazon.com/Synology-DiskStation-Diskless-Attached-DS412/dp/B007JLE84C/ref=pd_sim_e_1","Synology DiskStation 4-Bay (Diskless) Network Attached Storage DS412+ (Black) ")</f>
        <v>Synology DiskStation 4-Bay (Diskless) Network Attached Storage DS412+ (Black) </v>
      </c>
      <c r="F639" s="371" t="s">
        <v>314</v>
      </c>
      <c r="G639" s="377"/>
      <c r="H639" s="385">
        <v>1.0</v>
      </c>
      <c r="I639" s="383"/>
      <c r="J639" s="383"/>
      <c r="K639" s="387">
        <v>599.99</v>
      </c>
      <c r="L639" s="383"/>
      <c r="M639" s="377"/>
      <c r="N639" s="371" t="s">
        <v>1509</v>
      </c>
      <c r="O639" s="377"/>
      <c r="P639" s="377"/>
      <c r="Q639" s="232"/>
    </row>
    <row r="640" ht="15.0" customHeight="1">
      <c r="A640" s="383"/>
      <c r="B640" s="377"/>
      <c r="C640" s="377"/>
      <c r="D640" s="371" t="s">
        <v>1510</v>
      </c>
      <c r="E640" s="371" t="s">
        <v>1511</v>
      </c>
      <c r="F640" s="371" t="s">
        <v>314</v>
      </c>
      <c r="G640" s="377"/>
      <c r="H640" s="385">
        <v>2.0</v>
      </c>
      <c r="I640" s="383"/>
      <c r="J640" s="383"/>
      <c r="K640" s="387">
        <v>199.99</v>
      </c>
      <c r="L640" s="383"/>
      <c r="M640" s="377"/>
      <c r="N640" s="377"/>
      <c r="O640" s="377"/>
      <c r="P640" s="377"/>
      <c r="Q640" s="232"/>
    </row>
    <row r="641" ht="15.0" customHeight="1">
      <c r="A641" s="383"/>
      <c r="B641" s="371" t="s">
        <v>639</v>
      </c>
      <c r="C641" s="371" t="s">
        <v>639</v>
      </c>
      <c r="D641" s="371" t="s">
        <v>1512</v>
      </c>
      <c r="E641" s="575" t="str">
        <f>HYPERLINK("http://www.amazon.com/Seagate-SATA-Cache-Drive-ST4000VN000/dp/B00D1GYO4S/ref=sr_1_3?s=pc&amp;ie=UTF8&amp;qid=1383009781&amp;sr=1-3&amp;keywords=seagate+4tb","Seagate NAS HDD 4TB SATA 6GB NCQ 64 MB Cache Bare Drive ST4000VN000")</f>
        <v>Seagate NAS HDD 4TB SATA 6GB NCQ 64 MB Cache Bare Drive ST4000VN000</v>
      </c>
      <c r="F641" s="371" t="s">
        <v>386</v>
      </c>
      <c r="G641" s="377"/>
      <c r="H641" s="385">
        <v>5.0</v>
      </c>
      <c r="I641" s="383"/>
      <c r="J641" s="383"/>
      <c r="K641" s="387">
        <v>197.92</v>
      </c>
      <c r="L641" s="387">
        <f>K641*H641</f>
        <v>989.6</v>
      </c>
      <c r="M641" s="377"/>
      <c r="N641" s="377"/>
      <c r="O641" s="377"/>
      <c r="P641" s="377"/>
      <c r="Q641" s="232" t="s">
        <v>639</v>
      </c>
    </row>
    <row r="642" ht="15.0" customHeight="1">
      <c r="A642" s="383"/>
      <c r="B642" s="377"/>
      <c r="C642" s="377"/>
      <c r="D642" s="377"/>
      <c r="E642" s="371"/>
      <c r="F642" s="377"/>
      <c r="G642" s="377"/>
      <c r="H642" s="383"/>
      <c r="I642" s="383"/>
      <c r="J642" s="383"/>
      <c r="K642" s="383"/>
      <c r="L642" s="383"/>
      <c r="M642" s="377"/>
      <c r="N642" s="377"/>
      <c r="O642" s="377"/>
      <c r="P642" s="377"/>
      <c r="Q642" s="232"/>
    </row>
    <row r="643" ht="12.75" customHeight="1">
      <c r="A643" s="383"/>
      <c r="B643" s="377"/>
      <c r="C643" s="377"/>
      <c r="D643" s="377"/>
      <c r="E643" s="377"/>
      <c r="F643" s="377"/>
      <c r="G643" s="377"/>
      <c r="H643" s="383"/>
      <c r="I643" s="383"/>
      <c r="J643" s="383"/>
      <c r="K643" s="383"/>
      <c r="L643" s="383"/>
      <c r="M643" s="377"/>
      <c r="N643" s="377"/>
      <c r="O643" s="377"/>
      <c r="P643" s="377"/>
      <c r="Q643" s="232"/>
    </row>
    <row r="644" ht="15.0" customHeight="1">
      <c r="A644" s="383"/>
      <c r="B644" s="377"/>
      <c r="C644" s="371" t="s">
        <v>1513</v>
      </c>
      <c r="D644" s="377"/>
      <c r="E644" s="371" t="s">
        <v>1514</v>
      </c>
      <c r="F644" s="371" t="s">
        <v>1484</v>
      </c>
      <c r="G644" s="377"/>
      <c r="H644" s="385">
        <v>2.0</v>
      </c>
      <c r="I644" s="383"/>
      <c r="J644" s="383"/>
      <c r="K644" s="387">
        <v>150.0</v>
      </c>
      <c r="L644" s="383"/>
      <c r="M644" s="377"/>
      <c r="N644" s="377"/>
      <c r="O644" s="377"/>
      <c r="P644" s="377"/>
      <c r="Q644" s="232"/>
    </row>
    <row r="645" ht="15.0" customHeight="1">
      <c r="A645" s="383"/>
      <c r="B645" s="377"/>
      <c r="C645" s="377"/>
      <c r="D645" s="371" t="s">
        <v>1484</v>
      </c>
      <c r="E645" s="371" t="s">
        <v>1515</v>
      </c>
      <c r="F645" s="371" t="s">
        <v>386</v>
      </c>
      <c r="G645" s="377"/>
      <c r="H645" s="385">
        <v>1.0</v>
      </c>
      <c r="I645" s="383"/>
      <c r="J645" s="383"/>
      <c r="K645" s="387">
        <v>179.99</v>
      </c>
      <c r="L645" s="383"/>
      <c r="M645" s="377"/>
      <c r="N645" s="371" t="s">
        <v>1516</v>
      </c>
      <c r="O645" s="377"/>
      <c r="P645" s="377"/>
      <c r="Q645" s="232"/>
    </row>
    <row r="646" ht="15.0" customHeight="1">
      <c r="A646" s="383"/>
      <c r="B646" s="377"/>
      <c r="C646" s="377"/>
      <c r="D646" s="371" t="s">
        <v>1484</v>
      </c>
      <c r="E646" s="371" t="s">
        <v>1517</v>
      </c>
      <c r="F646" s="371" t="s">
        <v>386</v>
      </c>
      <c r="G646" s="377"/>
      <c r="H646" s="383"/>
      <c r="I646" s="383"/>
      <c r="J646" s="383"/>
      <c r="K646" s="387">
        <v>208.99</v>
      </c>
      <c r="L646" s="383"/>
      <c r="M646" s="377"/>
      <c r="N646" s="377"/>
      <c r="O646" s="377"/>
      <c r="P646" s="377"/>
      <c r="Q646" s="232"/>
    </row>
    <row r="647" ht="15.0" customHeight="1">
      <c r="A647" s="383"/>
      <c r="B647" s="377"/>
      <c r="C647" s="377"/>
      <c r="D647" s="371" t="s">
        <v>1484</v>
      </c>
      <c r="E647" s="371" t="s">
        <v>1518</v>
      </c>
      <c r="F647" s="371" t="s">
        <v>386</v>
      </c>
      <c r="G647" s="377"/>
      <c r="H647" s="385">
        <v>1.0</v>
      </c>
      <c r="I647" s="383"/>
      <c r="J647" s="383"/>
      <c r="K647" s="387">
        <v>506.72</v>
      </c>
      <c r="L647" s="383"/>
      <c r="M647" s="377"/>
      <c r="N647" s="371" t="s">
        <v>1495</v>
      </c>
      <c r="O647" s="377"/>
      <c r="P647" s="377"/>
      <c r="Q647" s="232"/>
    </row>
    <row r="648" ht="15.0" customHeight="1">
      <c r="A648" s="383"/>
      <c r="B648" s="371" t="s">
        <v>639</v>
      </c>
      <c r="C648" s="371" t="s">
        <v>639</v>
      </c>
      <c r="D648" s="371" t="s">
        <v>1484</v>
      </c>
      <c r="E648" s="371" t="s">
        <v>1519</v>
      </c>
      <c r="F648" s="371" t="s">
        <v>386</v>
      </c>
      <c r="G648" s="377"/>
      <c r="H648" s="385">
        <v>1.0</v>
      </c>
      <c r="I648" s="383"/>
      <c r="J648" s="383"/>
      <c r="K648" s="387">
        <v>446.48</v>
      </c>
      <c r="L648" s="476">
        <f>K648*H648</f>
        <v>446.48</v>
      </c>
      <c r="M648" s="377"/>
      <c r="N648" s="377"/>
      <c r="O648" s="377"/>
      <c r="P648" s="377"/>
      <c r="Q648" s="232" t="s">
        <v>639</v>
      </c>
    </row>
    <row r="649" ht="12.75" customHeight="1">
      <c r="A649" s="383"/>
      <c r="B649" s="377"/>
      <c r="C649" s="377"/>
      <c r="D649" s="377"/>
      <c r="E649" s="377"/>
      <c r="F649" s="377"/>
      <c r="G649" s="377"/>
      <c r="H649" s="383"/>
      <c r="I649" s="383"/>
      <c r="J649" s="383"/>
      <c r="K649" s="383"/>
      <c r="L649" s="383"/>
      <c r="M649" s="377"/>
      <c r="N649" s="377"/>
      <c r="O649" s="377"/>
      <c r="P649" s="377"/>
      <c r="Q649" s="232"/>
    </row>
    <row r="650" ht="15.0" customHeight="1">
      <c r="A650" s="383"/>
      <c r="B650" s="377"/>
      <c r="C650" s="371" t="s">
        <v>1520</v>
      </c>
      <c r="D650" s="377"/>
      <c r="E650" s="377"/>
      <c r="F650" s="377"/>
      <c r="G650" s="377"/>
      <c r="H650" s="383"/>
      <c r="I650" s="383"/>
      <c r="J650" s="383"/>
      <c r="K650" s="383"/>
      <c r="L650" s="383"/>
      <c r="M650" s="377"/>
      <c r="N650" s="377"/>
      <c r="O650" s="377"/>
      <c r="P650" s="377"/>
      <c r="Q650" s="232"/>
    </row>
    <row r="651" ht="15.0" customHeight="1">
      <c r="A651" s="383"/>
      <c r="B651" s="377"/>
      <c r="C651" s="377"/>
      <c r="D651" s="377"/>
      <c r="E651" s="371" t="s">
        <v>1521</v>
      </c>
      <c r="F651" s="377"/>
      <c r="G651" s="377"/>
      <c r="H651" s="385">
        <v>1.0</v>
      </c>
      <c r="I651" s="383"/>
      <c r="J651" s="383"/>
      <c r="K651" s="383"/>
      <c r="L651" s="383"/>
      <c r="M651" s="377"/>
      <c r="N651" s="377"/>
      <c r="O651" s="377"/>
      <c r="P651" s="377"/>
      <c r="Q651" s="232"/>
    </row>
    <row r="652" ht="15.0" customHeight="1">
      <c r="A652" s="383"/>
      <c r="B652" s="377"/>
      <c r="C652" s="377"/>
      <c r="D652" s="377"/>
      <c r="E652" s="431" t="s">
        <v>1522</v>
      </c>
      <c r="F652" s="371" t="s">
        <v>1523</v>
      </c>
      <c r="G652" s="377"/>
      <c r="H652" s="385">
        <v>1.0</v>
      </c>
      <c r="I652" s="383"/>
      <c r="J652" s="387">
        <v>800.0</v>
      </c>
      <c r="K652" s="383"/>
      <c r="L652" s="383"/>
      <c r="M652" s="377"/>
      <c r="N652" s="377"/>
      <c r="O652" s="377"/>
      <c r="P652" s="377"/>
      <c r="Q652" s="232"/>
    </row>
    <row r="653" ht="15.0" customHeight="1">
      <c r="A653" s="383"/>
      <c r="B653" s="377"/>
      <c r="C653" s="377"/>
      <c r="D653" s="371" t="s">
        <v>1524</v>
      </c>
      <c r="E653" s="371" t="s">
        <v>1525</v>
      </c>
      <c r="F653" s="371" t="s">
        <v>1524</v>
      </c>
      <c r="G653" s="377"/>
      <c r="H653" s="383"/>
      <c r="I653" s="383"/>
      <c r="J653" s="383"/>
      <c r="K653" s="387">
        <v>5000.0</v>
      </c>
      <c r="L653" s="383"/>
      <c r="M653" s="377"/>
      <c r="N653" s="377"/>
      <c r="O653" s="377"/>
      <c r="P653" s="377"/>
      <c r="Q653" s="232"/>
    </row>
    <row r="654" ht="12.75" customHeight="1">
      <c r="A654" s="383"/>
      <c r="B654" s="377"/>
      <c r="C654" s="377"/>
      <c r="D654" s="377"/>
      <c r="E654" s="377"/>
      <c r="F654" s="377"/>
      <c r="G654" s="377"/>
      <c r="H654" s="383"/>
      <c r="I654" s="383"/>
      <c r="J654" s="383"/>
      <c r="K654" s="383"/>
      <c r="L654" s="383"/>
      <c r="M654" s="377"/>
      <c r="N654" s="377"/>
      <c r="O654" s="377"/>
      <c r="P654" s="377"/>
      <c r="Q654" s="232"/>
    </row>
    <row r="655" ht="15.0" customHeight="1">
      <c r="A655" s="383"/>
      <c r="B655" s="377"/>
      <c r="C655" s="371" t="s">
        <v>1526</v>
      </c>
      <c r="D655" s="377"/>
      <c r="E655" s="371" t="s">
        <v>1527</v>
      </c>
      <c r="F655" s="377"/>
      <c r="G655" s="377"/>
      <c r="H655" s="385">
        <v>1.0</v>
      </c>
      <c r="I655" s="383"/>
      <c r="J655" s="383"/>
      <c r="K655" s="387">
        <v>2000.0</v>
      </c>
      <c r="L655" s="383"/>
      <c r="M655" s="377"/>
      <c r="N655" s="377"/>
      <c r="O655" s="377"/>
      <c r="P655" s="377"/>
      <c r="Q655" s="232"/>
    </row>
    <row r="656" ht="15.0" customHeight="1">
      <c r="A656" s="383"/>
      <c r="B656" s="377"/>
      <c r="C656" s="377"/>
      <c r="D656" s="377"/>
      <c r="E656" s="371" t="s">
        <v>1528</v>
      </c>
      <c r="F656" s="377"/>
      <c r="G656" s="377"/>
      <c r="H656" s="383"/>
      <c r="I656" s="383"/>
      <c r="J656" s="383"/>
      <c r="K656" s="383"/>
      <c r="L656" s="383"/>
      <c r="M656" s="377"/>
      <c r="N656" s="377"/>
      <c r="O656" s="377"/>
      <c r="P656" s="377"/>
      <c r="Q656" s="232"/>
    </row>
    <row r="657" ht="15.0" customHeight="1">
      <c r="A657" s="383"/>
      <c r="B657" s="377"/>
      <c r="C657" s="377"/>
      <c r="D657" s="377"/>
      <c r="E657" s="371" t="s">
        <v>1529</v>
      </c>
      <c r="F657" s="377"/>
      <c r="G657" s="377"/>
      <c r="H657" s="383"/>
      <c r="I657" s="383"/>
      <c r="J657" s="383"/>
      <c r="K657" s="383"/>
      <c r="L657" s="383"/>
      <c r="M657" s="377"/>
      <c r="N657" s="377"/>
      <c r="O657" s="377"/>
      <c r="P657" s="377"/>
      <c r="Q657" s="232"/>
    </row>
    <row r="658" ht="15.0" customHeight="1">
      <c r="A658" s="383"/>
      <c r="B658" s="377"/>
      <c r="C658" s="377"/>
      <c r="D658" s="377"/>
      <c r="E658" s="371" t="s">
        <v>1530</v>
      </c>
      <c r="F658" s="377"/>
      <c r="G658" s="377"/>
      <c r="H658" s="383"/>
      <c r="I658" s="383"/>
      <c r="J658" s="383"/>
      <c r="K658" s="383"/>
      <c r="L658" s="383"/>
      <c r="M658" s="377"/>
      <c r="N658" s="377"/>
      <c r="O658" s="377"/>
      <c r="P658" s="377"/>
      <c r="Q658" s="232"/>
    </row>
    <row r="659" ht="15.0" customHeight="1">
      <c r="A659" s="383"/>
      <c r="B659" s="377"/>
      <c r="C659" s="377"/>
      <c r="D659" s="377"/>
      <c r="E659" s="371" t="s">
        <v>1531</v>
      </c>
      <c r="F659" s="377"/>
      <c r="G659" s="377"/>
      <c r="H659" s="383"/>
      <c r="I659" s="383"/>
      <c r="J659" s="383"/>
      <c r="K659" s="383"/>
      <c r="L659" s="383"/>
      <c r="M659" s="377"/>
      <c r="N659" s="377"/>
      <c r="O659" s="377"/>
      <c r="P659" s="377"/>
      <c r="Q659" s="232"/>
    </row>
    <row r="660" ht="15.0" customHeight="1">
      <c r="A660" s="383"/>
      <c r="B660" s="377"/>
      <c r="C660" s="377"/>
      <c r="D660" s="377"/>
      <c r="E660" s="371" t="s">
        <v>1532</v>
      </c>
      <c r="F660" s="377"/>
      <c r="G660" s="377"/>
      <c r="H660" s="383"/>
      <c r="I660" s="383"/>
      <c r="J660" s="383"/>
      <c r="K660" s="383"/>
      <c r="L660" s="383"/>
      <c r="M660" s="377"/>
      <c r="N660" s="377"/>
      <c r="O660" s="377"/>
      <c r="P660" s="377"/>
      <c r="Q660" s="232"/>
    </row>
    <row r="661" ht="15.0" customHeight="1">
      <c r="A661" s="383"/>
      <c r="B661" s="377"/>
      <c r="C661" s="377"/>
      <c r="D661" s="377"/>
      <c r="E661" s="371" t="s">
        <v>1533</v>
      </c>
      <c r="F661" s="377"/>
      <c r="G661" s="377"/>
      <c r="H661" s="383"/>
      <c r="I661" s="383"/>
      <c r="J661" s="383"/>
      <c r="K661" s="383"/>
      <c r="L661" s="383"/>
      <c r="M661" s="377"/>
      <c r="N661" s="377"/>
      <c r="O661" s="377"/>
      <c r="P661" s="377"/>
      <c r="Q661" s="232"/>
    </row>
    <row r="662" ht="15.0" customHeight="1">
      <c r="A662" s="383"/>
      <c r="B662" s="377"/>
      <c r="C662" s="377"/>
      <c r="D662" s="377"/>
      <c r="E662" s="371" t="s">
        <v>1534</v>
      </c>
      <c r="F662" s="377"/>
      <c r="G662" s="377"/>
      <c r="H662" s="383"/>
      <c r="I662" s="383"/>
      <c r="J662" s="383"/>
      <c r="K662" s="383"/>
      <c r="L662" s="383"/>
      <c r="M662" s="377"/>
      <c r="N662" s="377"/>
      <c r="O662" s="377"/>
      <c r="P662" s="377"/>
      <c r="Q662" s="232"/>
    </row>
    <row r="663" ht="15.0" customHeight="1">
      <c r="A663" s="383"/>
      <c r="B663" s="377"/>
      <c r="C663" s="377"/>
      <c r="D663" s="377"/>
      <c r="E663" s="371" t="s">
        <v>1535</v>
      </c>
      <c r="F663" s="377"/>
      <c r="G663" s="377"/>
      <c r="H663" s="383"/>
      <c r="I663" s="383"/>
      <c r="J663" s="383"/>
      <c r="K663" s="383"/>
      <c r="L663" s="383"/>
      <c r="M663" s="377"/>
      <c r="N663" s="377"/>
      <c r="O663" s="377"/>
      <c r="P663" s="377"/>
      <c r="Q663" s="232"/>
    </row>
    <row r="664" ht="15.0" customHeight="1">
      <c r="A664" s="383"/>
      <c r="B664" s="377"/>
      <c r="C664" s="377"/>
      <c r="D664" s="377"/>
      <c r="E664" s="371" t="s">
        <v>1536</v>
      </c>
      <c r="F664" s="377"/>
      <c r="G664" s="377"/>
      <c r="H664" s="383"/>
      <c r="I664" s="383"/>
      <c r="J664" s="383"/>
      <c r="K664" s="383"/>
      <c r="L664" s="383"/>
      <c r="M664" s="377"/>
      <c r="N664" s="377"/>
      <c r="O664" s="377"/>
      <c r="P664" s="377"/>
      <c r="Q664" s="232"/>
    </row>
    <row r="665" ht="15.0" customHeight="1">
      <c r="A665" s="383"/>
      <c r="B665" s="377"/>
      <c r="C665" s="377"/>
      <c r="D665" s="377"/>
      <c r="E665" s="371" t="s">
        <v>1537</v>
      </c>
      <c r="F665" s="377"/>
      <c r="G665" s="377"/>
      <c r="H665" s="383"/>
      <c r="I665" s="383"/>
      <c r="J665" s="383"/>
      <c r="K665" s="383"/>
      <c r="L665" s="383"/>
      <c r="M665" s="377"/>
      <c r="N665" s="377"/>
      <c r="O665" s="377"/>
      <c r="P665" s="377"/>
      <c r="Q665" s="232"/>
    </row>
    <row r="666" ht="15.0" customHeight="1">
      <c r="A666" s="383"/>
      <c r="B666" s="377"/>
      <c r="C666" s="377"/>
      <c r="D666" s="377"/>
      <c r="E666" s="371" t="s">
        <v>1538</v>
      </c>
      <c r="F666" s="377"/>
      <c r="G666" s="377"/>
      <c r="H666" s="383"/>
      <c r="I666" s="383"/>
      <c r="J666" s="383"/>
      <c r="K666" s="383"/>
      <c r="L666" s="383"/>
      <c r="M666" s="377"/>
      <c r="N666" s="377"/>
      <c r="O666" s="377"/>
      <c r="P666" s="377"/>
      <c r="Q666" s="232"/>
    </row>
    <row r="667" ht="15.0" customHeight="1">
      <c r="A667" s="383"/>
      <c r="B667" s="377"/>
      <c r="C667" s="377"/>
      <c r="D667" s="377"/>
      <c r="E667" s="371" t="s">
        <v>1539</v>
      </c>
      <c r="F667" s="377"/>
      <c r="G667" s="377"/>
      <c r="H667" s="383"/>
      <c r="I667" s="383"/>
      <c r="J667" s="383"/>
      <c r="K667" s="383"/>
      <c r="L667" s="383"/>
      <c r="M667" s="377"/>
      <c r="N667" s="377"/>
      <c r="O667" s="377"/>
      <c r="P667" s="377"/>
      <c r="Q667" s="232"/>
    </row>
    <row r="668" ht="15.0" customHeight="1">
      <c r="A668" s="383"/>
      <c r="B668" s="377"/>
      <c r="C668" s="377"/>
      <c r="D668" s="377"/>
      <c r="E668" s="371" t="s">
        <v>1540</v>
      </c>
      <c r="F668" s="377"/>
      <c r="G668" s="377"/>
      <c r="H668" s="383"/>
      <c r="I668" s="383"/>
      <c r="J668" s="383"/>
      <c r="K668" s="383"/>
      <c r="L668" s="383"/>
      <c r="M668" s="377"/>
      <c r="N668" s="377"/>
      <c r="O668" s="377"/>
      <c r="P668" s="377"/>
      <c r="Q668" s="232"/>
    </row>
    <row r="669" ht="15.0" customHeight="1">
      <c r="A669" s="383"/>
      <c r="B669" s="377"/>
      <c r="C669" s="377"/>
      <c r="D669" s="377"/>
      <c r="E669" s="371" t="s">
        <v>1541</v>
      </c>
      <c r="F669" s="377"/>
      <c r="G669" s="377"/>
      <c r="H669" s="383"/>
      <c r="I669" s="383"/>
      <c r="J669" s="383"/>
      <c r="K669" s="383"/>
      <c r="L669" s="383"/>
      <c r="M669" s="377"/>
      <c r="N669" s="377"/>
      <c r="O669" s="377"/>
      <c r="P669" s="377"/>
      <c r="Q669" s="232"/>
    </row>
    <row r="670" ht="15.0" customHeight="1">
      <c r="A670" s="383"/>
      <c r="B670" s="377"/>
      <c r="C670" s="377"/>
      <c r="D670" s="377"/>
      <c r="E670" s="371" t="s">
        <v>1542</v>
      </c>
      <c r="F670" s="377"/>
      <c r="G670" s="377"/>
      <c r="H670" s="383"/>
      <c r="I670" s="383"/>
      <c r="J670" s="383"/>
      <c r="K670" s="383"/>
      <c r="L670" s="383"/>
      <c r="M670" s="377"/>
      <c r="N670" s="377"/>
      <c r="O670" s="377"/>
      <c r="P670" s="377"/>
      <c r="Q670" s="232"/>
    </row>
    <row r="671" ht="15.0" customHeight="1">
      <c r="A671" s="383"/>
      <c r="B671" s="377"/>
      <c r="C671" s="377"/>
      <c r="D671" s="377"/>
      <c r="E671" s="371" t="s">
        <v>1543</v>
      </c>
      <c r="F671" s="377"/>
      <c r="G671" s="377"/>
      <c r="H671" s="383"/>
      <c r="I671" s="383"/>
      <c r="J671" s="383"/>
      <c r="K671" s="383"/>
      <c r="L671" s="383"/>
      <c r="M671" s="377"/>
      <c r="N671" s="377"/>
      <c r="O671" s="377"/>
      <c r="P671" s="377"/>
      <c r="Q671" s="232"/>
    </row>
    <row r="672" ht="15.0" customHeight="1">
      <c r="A672" s="383"/>
      <c r="B672" s="377"/>
      <c r="C672" s="377"/>
      <c r="D672" s="377"/>
      <c r="E672" s="371" t="s">
        <v>1544</v>
      </c>
      <c r="F672" s="377"/>
      <c r="G672" s="377"/>
      <c r="H672" s="383"/>
      <c r="I672" s="383"/>
      <c r="J672" s="383"/>
      <c r="K672" s="383"/>
      <c r="L672" s="383"/>
      <c r="M672" s="377"/>
      <c r="N672" s="377"/>
      <c r="O672" s="377"/>
      <c r="P672" s="377"/>
      <c r="Q672" s="232"/>
    </row>
    <row r="673" ht="15.0" customHeight="1">
      <c r="A673" s="383"/>
      <c r="B673" s="377"/>
      <c r="C673" s="377"/>
      <c r="D673" s="377"/>
      <c r="E673" s="371" t="s">
        <v>1545</v>
      </c>
      <c r="F673" s="377"/>
      <c r="G673" s="377"/>
      <c r="H673" s="383"/>
      <c r="I673" s="383"/>
      <c r="J673" s="383"/>
      <c r="K673" s="383"/>
      <c r="L673" s="383"/>
      <c r="M673" s="377"/>
      <c r="N673" s="377"/>
      <c r="O673" s="377"/>
      <c r="P673" s="377"/>
      <c r="Q673" s="232"/>
    </row>
    <row r="674" ht="15.0" customHeight="1">
      <c r="A674" s="383"/>
      <c r="B674" s="377"/>
      <c r="C674" s="377"/>
      <c r="D674" s="377"/>
      <c r="E674" s="371" t="s">
        <v>1546</v>
      </c>
      <c r="F674" s="377"/>
      <c r="G674" s="377"/>
      <c r="H674" s="383"/>
      <c r="I674" s="383"/>
      <c r="J674" s="383"/>
      <c r="K674" s="383"/>
      <c r="L674" s="383"/>
      <c r="M674" s="377"/>
      <c r="N674" s="377"/>
      <c r="O674" s="377"/>
      <c r="P674" s="377"/>
      <c r="Q674" s="232"/>
    </row>
    <row r="675" ht="12.75" customHeight="1">
      <c r="A675" s="383"/>
      <c r="B675" s="377"/>
      <c r="C675" s="377"/>
      <c r="D675" s="377"/>
      <c r="E675" s="377"/>
      <c r="F675" s="377"/>
      <c r="G675" s="377"/>
      <c r="H675" s="383"/>
      <c r="I675" s="383"/>
      <c r="J675" s="383"/>
      <c r="K675" s="383"/>
      <c r="L675" s="383"/>
      <c r="M675" s="377"/>
      <c r="N675" s="377"/>
      <c r="O675" s="377"/>
      <c r="P675" s="377"/>
      <c r="Q675" s="232"/>
    </row>
    <row r="676" ht="12.75" customHeight="1">
      <c r="A676" s="383"/>
      <c r="B676" s="377"/>
      <c r="C676" s="377"/>
      <c r="D676" s="377"/>
      <c r="E676" s="377"/>
      <c r="F676" s="377"/>
      <c r="G676" s="377"/>
      <c r="H676" s="383"/>
      <c r="I676" s="383"/>
      <c r="J676" s="383"/>
      <c r="K676" s="383"/>
      <c r="L676" s="383"/>
      <c r="M676" s="377"/>
      <c r="N676" s="377"/>
      <c r="O676" s="377"/>
      <c r="P676" s="377"/>
      <c r="Q676" s="232"/>
    </row>
    <row r="677" ht="12.75" customHeight="1">
      <c r="A677" s="383"/>
      <c r="B677" s="377"/>
      <c r="C677" s="377"/>
      <c r="D677" s="377"/>
      <c r="E677" s="377"/>
      <c r="F677" s="377"/>
      <c r="G677" s="377"/>
      <c r="H677" s="383"/>
      <c r="I677" s="383"/>
      <c r="J677" s="383"/>
      <c r="K677" s="383"/>
      <c r="L677" s="383"/>
      <c r="M677" s="377"/>
      <c r="N677" s="377"/>
      <c r="O677" s="377"/>
      <c r="P677" s="377"/>
      <c r="Q677" s="232"/>
    </row>
    <row r="678" ht="12.75" customHeight="1">
      <c r="A678" s="383"/>
      <c r="B678" s="377"/>
      <c r="C678" s="377"/>
      <c r="D678" s="377"/>
      <c r="E678" s="377"/>
      <c r="F678" s="377"/>
      <c r="G678" s="377"/>
      <c r="H678" s="383"/>
      <c r="I678" s="383"/>
      <c r="J678" s="383"/>
      <c r="K678" s="383"/>
      <c r="L678" s="383"/>
      <c r="M678" s="377"/>
      <c r="N678" s="377"/>
      <c r="O678" s="377"/>
      <c r="P678" s="377"/>
      <c r="Q678" s="232"/>
    </row>
    <row r="679" ht="15.0" customHeight="1">
      <c r="A679" s="383"/>
      <c r="B679" s="377"/>
      <c r="C679" s="377"/>
      <c r="D679" s="377"/>
      <c r="E679" s="377"/>
      <c r="F679" s="377"/>
      <c r="G679" s="377"/>
      <c r="H679" s="383"/>
      <c r="I679" s="383"/>
      <c r="J679" s="383"/>
      <c r="K679" s="383"/>
      <c r="L679" s="383"/>
      <c r="M679" s="528">
        <f>SUM(L603:L678)</f>
        <v>13561.16</v>
      </c>
      <c r="N679" s="529" t="s">
        <v>1547</v>
      </c>
      <c r="O679" s="377"/>
      <c r="P679" s="377"/>
      <c r="Q679" s="232"/>
    </row>
    <row r="680" ht="12.75" customHeight="1">
      <c r="A680" s="383"/>
      <c r="B680" s="377"/>
      <c r="C680" s="377"/>
      <c r="D680" s="377"/>
      <c r="E680" s="377"/>
      <c r="F680" s="377"/>
      <c r="G680" s="377"/>
      <c r="H680" s="383"/>
      <c r="I680" s="383"/>
      <c r="J680" s="383"/>
      <c r="K680" s="383"/>
      <c r="L680" s="383"/>
      <c r="M680" s="377"/>
      <c r="N680" s="377"/>
      <c r="O680" s="377"/>
      <c r="P680" s="377"/>
      <c r="Q680" s="232"/>
    </row>
    <row r="681" ht="12.75" customHeight="1">
      <c r="A681" s="383"/>
      <c r="B681" s="377"/>
      <c r="C681" s="377"/>
      <c r="D681" s="377"/>
      <c r="E681" s="377"/>
      <c r="F681" s="377"/>
      <c r="G681" s="377"/>
      <c r="H681" s="383"/>
      <c r="I681" s="383"/>
      <c r="J681" s="383"/>
      <c r="K681" s="383"/>
      <c r="L681" s="383"/>
      <c r="M681" s="377"/>
      <c r="N681" s="377"/>
      <c r="O681" s="377"/>
      <c r="P681" s="377"/>
      <c r="Q681" s="232"/>
    </row>
    <row r="682" ht="15.0" customHeight="1">
      <c r="A682" s="383"/>
      <c r="B682" s="377"/>
      <c r="C682" s="377"/>
      <c r="D682" s="377"/>
      <c r="E682" s="377"/>
      <c r="F682" s="377"/>
      <c r="G682" s="377"/>
      <c r="H682" s="383"/>
      <c r="I682" s="383"/>
      <c r="J682" s="383"/>
      <c r="K682" s="383"/>
      <c r="L682" s="383"/>
      <c r="M682" s="574">
        <f>SUM(M1:M681)</f>
        <v>78050.9</v>
      </c>
      <c r="N682" s="529" t="s">
        <v>1548</v>
      </c>
      <c r="O682" s="377"/>
      <c r="P682" s="377"/>
      <c r="Q682" s="232"/>
    </row>
    <row r="683" ht="12.75" customHeight="1">
      <c r="A683" s="383"/>
      <c r="B683" s="377"/>
      <c r="C683" s="377"/>
      <c r="D683" s="377"/>
      <c r="E683" s="377"/>
      <c r="F683" s="377"/>
      <c r="G683" s="377"/>
      <c r="H683" s="383"/>
      <c r="I683" s="383"/>
      <c r="J683" s="383"/>
      <c r="K683" s="383"/>
      <c r="L683" s="383"/>
      <c r="M683" s="377"/>
      <c r="N683" s="377"/>
      <c r="O683" s="377"/>
      <c r="P683" s="377"/>
      <c r="Q683" s="232"/>
    </row>
    <row r="684" ht="15.0" customHeight="1">
      <c r="A684" s="383"/>
      <c r="B684" s="377"/>
      <c r="C684" s="373" t="s">
        <v>1549</v>
      </c>
      <c r="D684" s="373"/>
      <c r="E684" s="377"/>
      <c r="F684" s="377"/>
      <c r="G684" s="377"/>
      <c r="H684" s="383"/>
      <c r="I684" s="383"/>
      <c r="J684" s="383"/>
      <c r="K684" s="383"/>
      <c r="L684" s="383"/>
      <c r="M684" s="377"/>
      <c r="N684" s="377"/>
      <c r="O684" s="377"/>
      <c r="P684" s="377"/>
      <c r="Q684" s="232"/>
    </row>
    <row r="685" ht="15.0" customHeight="1">
      <c r="A685" s="383"/>
      <c r="B685" s="377"/>
      <c r="C685" s="371" t="s">
        <v>1550</v>
      </c>
      <c r="D685" s="377"/>
      <c r="E685" s="371" t="s">
        <v>1551</v>
      </c>
      <c r="F685" s="371" t="s">
        <v>46</v>
      </c>
      <c r="G685" s="377"/>
      <c r="H685" s="385">
        <v>1.0</v>
      </c>
      <c r="I685" s="383"/>
      <c r="J685" s="383"/>
      <c r="K685" s="387">
        <v>1170.0</v>
      </c>
      <c r="L685" s="383"/>
      <c r="M685" s="377"/>
      <c r="N685" s="377"/>
      <c r="O685" s="377"/>
      <c r="P685" s="377"/>
      <c r="Q685" s="232"/>
    </row>
    <row r="686" ht="15.0" customHeight="1">
      <c r="A686" s="383"/>
      <c r="B686" s="377"/>
      <c r="C686" s="371" t="s">
        <v>1552</v>
      </c>
      <c r="D686" s="377"/>
      <c r="E686" s="371" t="s">
        <v>1553</v>
      </c>
      <c r="F686" s="371" t="s">
        <v>24</v>
      </c>
      <c r="G686" s="377"/>
      <c r="H686" s="385">
        <v>1.0</v>
      </c>
      <c r="I686" s="383"/>
      <c r="J686" s="383"/>
      <c r="K686" s="387">
        <v>9950.0</v>
      </c>
      <c r="L686" s="383"/>
      <c r="M686" s="377"/>
      <c r="N686" s="377"/>
      <c r="O686" s="377"/>
      <c r="P686" s="377"/>
      <c r="Q686" s="232"/>
    </row>
    <row r="687" ht="15.0" customHeight="1">
      <c r="A687" s="383"/>
      <c r="B687" s="377"/>
      <c r="C687" s="371" t="s">
        <v>1554</v>
      </c>
      <c r="D687" s="377"/>
      <c r="E687" s="371" t="s">
        <v>1555</v>
      </c>
      <c r="F687" s="371" t="s">
        <v>1466</v>
      </c>
      <c r="G687" s="377"/>
      <c r="H687" s="385">
        <v>1.0</v>
      </c>
      <c r="I687" s="383"/>
      <c r="J687" s="383"/>
      <c r="K687" s="387">
        <v>1500.0</v>
      </c>
      <c r="L687" s="383"/>
      <c r="M687" s="377"/>
      <c r="N687" s="377"/>
      <c r="O687" s="377"/>
      <c r="P687" s="377"/>
      <c r="Q687" s="232"/>
    </row>
    <row r="688" ht="15.0" customHeight="1">
      <c r="A688" s="383"/>
      <c r="B688" s="377"/>
      <c r="C688" s="371" t="s">
        <v>1556</v>
      </c>
      <c r="D688" s="377"/>
      <c r="E688" s="371" t="s">
        <v>1557</v>
      </c>
      <c r="F688" s="371" t="s">
        <v>24</v>
      </c>
      <c r="G688" s="377"/>
      <c r="H688" s="385">
        <v>3.0</v>
      </c>
      <c r="I688" s="383"/>
      <c r="J688" s="383"/>
      <c r="K688" s="387">
        <v>800.0</v>
      </c>
      <c r="L688" s="383"/>
      <c r="M688" s="377"/>
      <c r="N688" s="377"/>
      <c r="O688" s="377"/>
      <c r="P688" s="377"/>
      <c r="Q688" s="232"/>
    </row>
    <row r="689" ht="15.0" customHeight="1">
      <c r="A689" s="383"/>
      <c r="B689" s="377"/>
      <c r="C689" s="371" t="s">
        <v>1558</v>
      </c>
      <c r="D689" s="377"/>
      <c r="E689" s="371" t="s">
        <v>1559</v>
      </c>
      <c r="F689" s="371" t="s">
        <v>710</v>
      </c>
      <c r="G689" s="377"/>
      <c r="H689" s="385">
        <v>1.0</v>
      </c>
      <c r="I689" s="383"/>
      <c r="J689" s="383"/>
      <c r="K689" s="387">
        <f>29900+(3500*3)</f>
        <v>40400</v>
      </c>
      <c r="L689" s="383"/>
      <c r="M689" s="377"/>
      <c r="N689" s="377"/>
      <c r="O689" s="377"/>
      <c r="P689" s="377"/>
      <c r="Q689" s="232"/>
    </row>
    <row r="690" ht="15.0" customHeight="1">
      <c r="A690" s="383"/>
      <c r="B690" s="377"/>
      <c r="C690" s="371" t="s">
        <v>1560</v>
      </c>
      <c r="D690" s="377"/>
      <c r="E690" s="371" t="s">
        <v>1561</v>
      </c>
      <c r="F690" s="371" t="s">
        <v>1562</v>
      </c>
      <c r="G690" s="377"/>
      <c r="H690" s="385">
        <v>1.0</v>
      </c>
      <c r="I690" s="383"/>
      <c r="J690" s="383"/>
      <c r="K690" s="387">
        <v>5070.0</v>
      </c>
      <c r="L690" s="383"/>
      <c r="M690" s="377"/>
      <c r="N690" s="377"/>
      <c r="O690" s="377"/>
      <c r="P690" s="377"/>
      <c r="Q690" s="232"/>
    </row>
    <row r="691" ht="15.0" customHeight="1">
      <c r="A691" s="383"/>
      <c r="B691" s="377"/>
      <c r="C691" s="371" t="s">
        <v>1563</v>
      </c>
      <c r="D691" s="377"/>
      <c r="E691" s="371" t="s">
        <v>1564</v>
      </c>
      <c r="F691" s="371" t="s">
        <v>1565</v>
      </c>
      <c r="G691" s="377"/>
      <c r="H691" s="385">
        <v>1.0</v>
      </c>
      <c r="I691" s="383"/>
      <c r="J691" s="383"/>
      <c r="K691" s="387">
        <v>5000.0</v>
      </c>
      <c r="L691" s="383"/>
      <c r="M691" s="377"/>
      <c r="N691" s="371" t="s">
        <v>1566</v>
      </c>
      <c r="O691" s="377"/>
      <c r="P691" s="377"/>
      <c r="Q691" s="232"/>
    </row>
    <row r="692" ht="15.0" customHeight="1">
      <c r="A692" s="383"/>
      <c r="B692" s="377"/>
      <c r="C692" s="371" t="s">
        <v>1567</v>
      </c>
      <c r="D692" s="377"/>
      <c r="E692" s="371" t="s">
        <v>1568</v>
      </c>
      <c r="F692" s="371" t="s">
        <v>1569</v>
      </c>
      <c r="G692" s="377"/>
      <c r="H692" s="385">
        <v>3.0</v>
      </c>
      <c r="I692" s="383"/>
      <c r="J692" s="383"/>
      <c r="K692" s="387">
        <v>1400.0</v>
      </c>
      <c r="L692" s="383"/>
      <c r="M692" s="377"/>
      <c r="N692" s="377"/>
      <c r="O692" s="377"/>
      <c r="P692" s="377"/>
      <c r="Q692" s="232"/>
    </row>
    <row r="693" ht="15.0" customHeight="1">
      <c r="A693" s="383"/>
      <c r="B693" s="377"/>
      <c r="C693" s="371" t="s">
        <v>1570</v>
      </c>
      <c r="D693" s="377"/>
      <c r="E693" s="371" t="s">
        <v>1571</v>
      </c>
      <c r="F693" s="377"/>
      <c r="G693" s="377"/>
      <c r="H693" s="385">
        <v>2.0</v>
      </c>
      <c r="I693" s="383"/>
      <c r="J693" s="383"/>
      <c r="K693" s="387">
        <v>400.0</v>
      </c>
      <c r="L693" s="383"/>
      <c r="M693" s="377"/>
      <c r="N693" s="377"/>
      <c r="O693" s="377"/>
      <c r="P693" s="377"/>
      <c r="Q693" s="232"/>
    </row>
    <row r="694" ht="12.75" customHeight="1">
      <c r="A694" s="383"/>
      <c r="B694" s="377"/>
      <c r="C694" s="377"/>
      <c r="D694" s="377"/>
      <c r="E694" s="377"/>
      <c r="F694" s="377"/>
      <c r="G694" s="377"/>
      <c r="H694" s="383"/>
      <c r="I694" s="383"/>
      <c r="J694" s="383"/>
      <c r="K694" s="383"/>
      <c r="L694" s="383"/>
      <c r="M694" s="377"/>
      <c r="N694" s="377"/>
      <c r="O694" s="377"/>
      <c r="P694" s="377"/>
      <c r="Q694" s="232"/>
    </row>
    <row r="695" ht="15.0" customHeight="1">
      <c r="A695" s="383"/>
      <c r="B695" s="377"/>
      <c r="C695" s="371" t="s">
        <v>1572</v>
      </c>
      <c r="D695" s="377"/>
      <c r="E695" s="371" t="s">
        <v>1573</v>
      </c>
      <c r="F695" s="371" t="s">
        <v>989</v>
      </c>
      <c r="G695" s="377"/>
      <c r="H695" s="385">
        <v>2.0</v>
      </c>
      <c r="I695" s="383"/>
      <c r="J695" s="383"/>
      <c r="K695" s="387">
        <v>4000.0</v>
      </c>
      <c r="L695" s="383"/>
      <c r="M695" s="377"/>
      <c r="N695" s="377"/>
      <c r="O695" s="377"/>
      <c r="P695" s="377"/>
      <c r="Q695" s="232"/>
    </row>
    <row r="696" ht="15.0" customHeight="1">
      <c r="A696" s="383"/>
      <c r="B696" s="377"/>
      <c r="C696" s="371" t="s">
        <v>1574</v>
      </c>
      <c r="D696" s="377"/>
      <c r="E696" s="371" t="s">
        <v>1575</v>
      </c>
      <c r="F696" s="371" t="s">
        <v>989</v>
      </c>
      <c r="G696" s="377"/>
      <c r="H696" s="385">
        <v>1.0</v>
      </c>
      <c r="I696" s="383"/>
      <c r="J696" s="383"/>
      <c r="K696" s="387">
        <v>3000.0</v>
      </c>
      <c r="L696" s="383"/>
      <c r="M696" s="377"/>
      <c r="N696" s="377"/>
      <c r="O696" s="377"/>
      <c r="P696" s="377"/>
      <c r="Q696" s="232"/>
    </row>
    <row r="697" ht="15.0" customHeight="1">
      <c r="A697" s="383"/>
      <c r="B697" s="377"/>
      <c r="C697" s="371" t="s">
        <v>1576</v>
      </c>
      <c r="D697" s="377"/>
      <c r="E697" s="371" t="s">
        <v>1577</v>
      </c>
      <c r="F697" s="371" t="s">
        <v>1578</v>
      </c>
      <c r="G697" s="377"/>
      <c r="H697" s="385">
        <v>4.0</v>
      </c>
      <c r="I697" s="383"/>
      <c r="J697" s="383"/>
      <c r="K697" s="387">
        <v>400.0</v>
      </c>
      <c r="L697" s="383"/>
      <c r="M697" s="377"/>
      <c r="N697" s="377"/>
      <c r="O697" s="377"/>
      <c r="P697" s="377"/>
      <c r="Q697" s="232"/>
    </row>
    <row r="698" ht="12.75" customHeight="1">
      <c r="A698" s="383"/>
      <c r="B698" s="377"/>
      <c r="C698" s="377"/>
      <c r="D698" s="377"/>
      <c r="E698" s="377"/>
      <c r="F698" s="377"/>
      <c r="G698" s="377"/>
      <c r="H698" s="383"/>
      <c r="I698" s="383"/>
      <c r="J698" s="383"/>
      <c r="K698" s="383"/>
      <c r="L698" s="383"/>
      <c r="M698" s="377"/>
      <c r="N698" s="377"/>
      <c r="O698" s="377"/>
      <c r="P698" s="377"/>
      <c r="Q698" s="232"/>
    </row>
    <row r="699" ht="15.0" customHeight="1">
      <c r="A699" s="383"/>
      <c r="B699" s="377"/>
      <c r="C699" s="371" t="s">
        <v>1579</v>
      </c>
      <c r="D699" s="377"/>
      <c r="E699" s="371" t="s">
        <v>1580</v>
      </c>
      <c r="F699" s="371" t="s">
        <v>411</v>
      </c>
      <c r="G699" s="377"/>
      <c r="H699" s="385">
        <v>1.0</v>
      </c>
      <c r="I699" s="383"/>
      <c r="J699" s="383"/>
      <c r="K699" s="387">
        <v>2693.0</v>
      </c>
      <c r="L699" s="383"/>
      <c r="M699" s="377"/>
      <c r="N699" s="377"/>
      <c r="O699" s="377"/>
      <c r="P699" s="377"/>
      <c r="Q699" s="232"/>
    </row>
    <row r="700" ht="15.0" customHeight="1">
      <c r="A700" s="383"/>
      <c r="B700" s="377"/>
      <c r="C700" s="371" t="s">
        <v>1581</v>
      </c>
      <c r="D700" s="377"/>
      <c r="E700" s="371" t="s">
        <v>1486</v>
      </c>
      <c r="F700" s="371" t="s">
        <v>1474</v>
      </c>
      <c r="G700" s="377"/>
      <c r="H700" s="385">
        <v>1.0</v>
      </c>
      <c r="I700" s="383"/>
      <c r="J700" s="383"/>
      <c r="K700" s="387">
        <v>5124.0</v>
      </c>
      <c r="L700" s="383"/>
      <c r="M700" s="377"/>
      <c r="N700" s="377"/>
      <c r="O700" s="377"/>
      <c r="P700" s="377"/>
      <c r="Q700" s="232"/>
    </row>
    <row r="701" ht="15.0" customHeight="1">
      <c r="A701" s="383"/>
      <c r="B701" s="377"/>
      <c r="C701" s="371" t="s">
        <v>1582</v>
      </c>
      <c r="D701" s="377"/>
      <c r="E701" s="371" t="s">
        <v>1583</v>
      </c>
      <c r="F701" s="371" t="s">
        <v>411</v>
      </c>
      <c r="G701" s="377"/>
      <c r="H701" s="385">
        <v>1.0</v>
      </c>
      <c r="I701" s="383"/>
      <c r="J701" s="383"/>
      <c r="K701" s="387">
        <v>1880.0</v>
      </c>
      <c r="L701" s="383"/>
      <c r="M701" s="377"/>
      <c r="N701" s="377"/>
      <c r="O701" s="377"/>
      <c r="P701" s="377"/>
      <c r="Q701" s="232"/>
    </row>
    <row r="702" ht="15.0" customHeight="1">
      <c r="A702" s="383"/>
      <c r="B702" s="377"/>
      <c r="C702" s="371" t="s">
        <v>1584</v>
      </c>
      <c r="D702" s="377"/>
      <c r="E702" s="371" t="s">
        <v>1585</v>
      </c>
      <c r="F702" s="371" t="s">
        <v>1474</v>
      </c>
      <c r="G702" s="377"/>
      <c r="H702" s="385">
        <v>1.0</v>
      </c>
      <c r="I702" s="383"/>
      <c r="J702" s="383"/>
      <c r="K702" s="387">
        <v>885.0</v>
      </c>
      <c r="L702" s="383"/>
      <c r="M702" s="377"/>
      <c r="N702" s="377"/>
      <c r="O702" s="377"/>
      <c r="P702" s="377"/>
      <c r="Q702" s="232"/>
    </row>
    <row r="703" ht="15.0" customHeight="1">
      <c r="A703" s="383"/>
      <c r="B703" s="377"/>
      <c r="C703" s="371" t="s">
        <v>1586</v>
      </c>
      <c r="D703" s="377"/>
      <c r="E703" s="371" t="s">
        <v>1587</v>
      </c>
      <c r="F703" s="371" t="s">
        <v>393</v>
      </c>
      <c r="G703" s="377"/>
      <c r="H703" s="385">
        <v>1.0</v>
      </c>
      <c r="I703" s="383"/>
      <c r="J703" s="383"/>
      <c r="K703" s="387">
        <v>424.0</v>
      </c>
      <c r="L703" s="383"/>
      <c r="M703" s="377"/>
      <c r="N703" s="377"/>
      <c r="O703" s="377"/>
      <c r="P703" s="377"/>
      <c r="Q703" s="232"/>
    </row>
    <row r="704" ht="15.0" customHeight="1">
      <c r="A704" s="383"/>
      <c r="B704" s="377"/>
      <c r="C704" s="371" t="s">
        <v>1588</v>
      </c>
      <c r="D704" s="377"/>
      <c r="E704" s="371" t="s">
        <v>1589</v>
      </c>
      <c r="F704" s="371" t="s">
        <v>393</v>
      </c>
      <c r="G704" s="377"/>
      <c r="H704" s="385">
        <v>1.0</v>
      </c>
      <c r="I704" s="383"/>
      <c r="J704" s="383"/>
      <c r="K704" s="387">
        <v>399.0</v>
      </c>
      <c r="L704" s="383"/>
      <c r="M704" s="377"/>
      <c r="N704" s="377"/>
      <c r="O704" s="377"/>
      <c r="P704" s="377"/>
      <c r="Q704" s="232"/>
    </row>
    <row r="705" ht="15.0" customHeight="1">
      <c r="A705" s="383"/>
      <c r="B705" s="377"/>
      <c r="C705" s="371" t="s">
        <v>1513</v>
      </c>
      <c r="D705" s="377"/>
      <c r="E705" s="371" t="s">
        <v>1590</v>
      </c>
      <c r="F705" s="371" t="s">
        <v>1484</v>
      </c>
      <c r="G705" s="377"/>
      <c r="H705" s="385">
        <v>2.0</v>
      </c>
      <c r="I705" s="383"/>
      <c r="J705" s="383"/>
      <c r="K705" s="387">
        <v>150.0</v>
      </c>
      <c r="L705" s="383"/>
      <c r="M705" s="377"/>
      <c r="N705" s="377"/>
      <c r="O705" s="377"/>
      <c r="P705" s="377"/>
      <c r="Q705" s="232"/>
    </row>
    <row r="706" ht="15.0" customHeight="1">
      <c r="A706" s="383"/>
      <c r="B706" s="377"/>
      <c r="C706" s="371" t="s">
        <v>1520</v>
      </c>
      <c r="D706" s="377"/>
      <c r="E706" s="371" t="s">
        <v>1591</v>
      </c>
      <c r="F706" s="371" t="s">
        <v>1592</v>
      </c>
      <c r="G706" s="377"/>
      <c r="H706" s="385">
        <v>3.0</v>
      </c>
      <c r="I706" s="383"/>
      <c r="J706" s="383"/>
      <c r="K706" s="387">
        <v>2500.0</v>
      </c>
      <c r="L706" s="383"/>
      <c r="M706" s="377"/>
      <c r="N706" s="377"/>
      <c r="O706" s="377"/>
      <c r="P706" s="377"/>
      <c r="Q706" s="232"/>
    </row>
    <row r="707" ht="15.0" customHeight="1">
      <c r="A707" s="383"/>
      <c r="B707" s="377"/>
      <c r="C707" s="371" t="s">
        <v>1593</v>
      </c>
      <c r="D707" s="377"/>
      <c r="E707" s="371" t="s">
        <v>1594</v>
      </c>
      <c r="F707" s="371" t="s">
        <v>710</v>
      </c>
      <c r="G707" s="377"/>
      <c r="H707" s="385">
        <v>1.0</v>
      </c>
      <c r="I707" s="383"/>
      <c r="J707" s="383"/>
      <c r="K707" s="387">
        <v>10500.0</v>
      </c>
      <c r="L707" s="383"/>
      <c r="M707" s="377"/>
      <c r="N707" s="377"/>
      <c r="O707" s="377"/>
      <c r="P707" s="377"/>
      <c r="Q707" s="232"/>
    </row>
    <row r="708" ht="15.0" customHeight="1">
      <c r="A708" s="383"/>
      <c r="B708" s="377"/>
      <c r="C708" s="371" t="s">
        <v>1525</v>
      </c>
      <c r="D708" s="377"/>
      <c r="E708" s="371" t="s">
        <v>1595</v>
      </c>
      <c r="F708" s="371" t="s">
        <v>1596</v>
      </c>
      <c r="G708" s="377"/>
      <c r="H708" s="385">
        <v>1.0</v>
      </c>
      <c r="I708" s="383"/>
      <c r="J708" s="383"/>
      <c r="K708" s="387">
        <v>5000.0</v>
      </c>
      <c r="L708" s="383"/>
      <c r="M708" s="377"/>
      <c r="N708" s="377"/>
      <c r="O708" s="377"/>
      <c r="P708" s="377"/>
      <c r="Q708" s="232"/>
    </row>
    <row r="709" ht="15.0" customHeight="1">
      <c r="A709" s="383"/>
      <c r="B709" s="377"/>
      <c r="C709" s="371" t="s">
        <v>1597</v>
      </c>
      <c r="D709" s="377"/>
      <c r="E709" s="371" t="s">
        <v>1598</v>
      </c>
      <c r="F709" s="371" t="s">
        <v>1599</v>
      </c>
      <c r="G709" s="377"/>
      <c r="H709" s="385">
        <v>2.0</v>
      </c>
      <c r="I709" s="383"/>
      <c r="J709" s="383"/>
      <c r="K709" s="387">
        <f>AVERAGE(2950,2500)</f>
        <v>2725</v>
      </c>
      <c r="L709" s="383"/>
      <c r="M709" s="377"/>
      <c r="N709" s="377"/>
      <c r="O709" s="377"/>
      <c r="P709" s="377"/>
      <c r="Q709" s="232"/>
    </row>
    <row r="710" ht="12.75" customHeight="1">
      <c r="A710" s="383"/>
      <c r="B710" s="377"/>
      <c r="C710" s="377"/>
      <c r="D710" s="377"/>
      <c r="E710" s="377"/>
      <c r="F710" s="377"/>
      <c r="G710" s="377"/>
      <c r="H710" s="383"/>
      <c r="I710" s="383"/>
      <c r="J710" s="383"/>
      <c r="K710" s="383"/>
      <c r="L710" s="383"/>
      <c r="M710" s="377"/>
      <c r="N710" s="377"/>
      <c r="O710" s="377"/>
      <c r="P710" s="377"/>
      <c r="Q710" s="232"/>
    </row>
    <row r="711" ht="15.0" customHeight="1">
      <c r="A711" s="383"/>
      <c r="B711" s="377"/>
      <c r="C711" s="371" t="s">
        <v>1600</v>
      </c>
      <c r="D711" s="377"/>
      <c r="E711" s="371" t="s">
        <v>1601</v>
      </c>
      <c r="F711" s="371" t="s">
        <v>1592</v>
      </c>
      <c r="G711" s="377"/>
      <c r="H711" s="385">
        <v>1.0</v>
      </c>
      <c r="I711" s="383"/>
      <c r="J711" s="383"/>
      <c r="K711" s="387">
        <v>5000.0</v>
      </c>
      <c r="L711" s="383"/>
      <c r="M711" s="377"/>
      <c r="N711" s="377"/>
      <c r="O711" s="377"/>
      <c r="P711" s="377"/>
      <c r="Q711" s="232"/>
    </row>
    <row r="712" ht="15.0" customHeight="1">
      <c r="A712" s="383"/>
      <c r="B712" s="377"/>
      <c r="C712" s="371" t="s">
        <v>1602</v>
      </c>
      <c r="D712" s="377"/>
      <c r="E712" s="371" t="s">
        <v>1603</v>
      </c>
      <c r="F712" s="371" t="s">
        <v>1592</v>
      </c>
      <c r="G712" s="377"/>
      <c r="H712" s="385">
        <v>1.0</v>
      </c>
      <c r="I712" s="383"/>
      <c r="J712" s="383"/>
      <c r="K712" s="387">
        <v>1000.0</v>
      </c>
      <c r="L712" s="383"/>
      <c r="M712" s="377"/>
      <c r="N712" s="377"/>
      <c r="O712" s="377"/>
      <c r="P712" s="377"/>
      <c r="Q712" s="232"/>
    </row>
    <row r="713" ht="12.75" customHeight="1">
      <c r="A713" s="383"/>
      <c r="B713" s="377"/>
      <c r="C713" s="377"/>
      <c r="D713" s="377"/>
      <c r="E713" s="377"/>
      <c r="F713" s="377"/>
      <c r="G713" s="377"/>
      <c r="H713" s="383"/>
      <c r="I713" s="383"/>
      <c r="J713" s="383"/>
      <c r="K713" s="383"/>
      <c r="L713" s="383"/>
      <c r="M713" s="377"/>
      <c r="N713" s="377"/>
      <c r="O713" s="377"/>
      <c r="P713" s="377"/>
      <c r="Q713" s="232"/>
    </row>
    <row r="714" ht="15.0" customHeight="1">
      <c r="A714" s="383"/>
      <c r="B714" s="377"/>
      <c r="C714" s="371" t="s">
        <v>1604</v>
      </c>
      <c r="D714" s="377"/>
      <c r="E714" s="377"/>
      <c r="F714" s="377"/>
      <c r="G714" s="377"/>
      <c r="H714" s="383"/>
      <c r="I714" s="383"/>
      <c r="J714" s="383"/>
      <c r="K714" s="383"/>
      <c r="L714" s="383"/>
      <c r="M714" s="377"/>
      <c r="N714" s="377"/>
      <c r="O714" s="377"/>
      <c r="P714" s="377"/>
      <c r="Q714" s="232"/>
    </row>
    <row r="715" ht="15.0" customHeight="1">
      <c r="A715" s="383"/>
      <c r="B715" s="377"/>
      <c r="C715" s="371" t="s">
        <v>1605</v>
      </c>
      <c r="D715" s="377"/>
      <c r="E715" s="371" t="s">
        <v>1606</v>
      </c>
      <c r="F715" s="377"/>
      <c r="G715" s="377"/>
      <c r="H715" s="385">
        <v>3.0</v>
      </c>
      <c r="I715" s="383"/>
      <c r="J715" s="383"/>
      <c r="K715" s="387">
        <v>5000.0</v>
      </c>
      <c r="L715" s="383"/>
      <c r="M715" s="377"/>
      <c r="N715" s="377"/>
      <c r="O715" s="377"/>
      <c r="P715" s="377"/>
      <c r="Q715" s="232"/>
    </row>
    <row r="716" ht="15.0" customHeight="1">
      <c r="A716" s="383"/>
      <c r="B716" s="377"/>
      <c r="C716" s="371" t="s">
        <v>1607</v>
      </c>
      <c r="D716" s="377"/>
      <c r="E716" s="371" t="s">
        <v>1608</v>
      </c>
      <c r="F716" s="371" t="s">
        <v>989</v>
      </c>
      <c r="G716" s="377"/>
      <c r="H716" s="385">
        <v>36.0</v>
      </c>
      <c r="I716" s="383"/>
      <c r="J716" s="383"/>
      <c r="K716" s="387">
        <v>1250.0</v>
      </c>
      <c r="L716" s="383"/>
      <c r="M716" s="377"/>
      <c r="N716" s="377"/>
      <c r="O716" s="377"/>
      <c r="P716" s="377"/>
      <c r="Q716" s="232"/>
    </row>
    <row r="717" ht="12.75" customHeight="1">
      <c r="A717" s="383"/>
      <c r="B717" s="377"/>
      <c r="C717" s="377"/>
      <c r="D717" s="377"/>
      <c r="E717" s="377"/>
      <c r="F717" s="377"/>
      <c r="G717" s="377"/>
      <c r="H717" s="383"/>
      <c r="I717" s="383"/>
      <c r="J717" s="383"/>
      <c r="K717" s="383"/>
      <c r="L717" s="383"/>
      <c r="M717" s="377"/>
      <c r="N717" s="377"/>
      <c r="O717" s="377"/>
      <c r="P717" s="377"/>
      <c r="Q717" s="232"/>
    </row>
    <row r="718" ht="15.0" customHeight="1">
      <c r="A718" s="383"/>
      <c r="B718" s="377"/>
      <c r="C718" s="371" t="s">
        <v>1609</v>
      </c>
      <c r="D718" s="371" t="s">
        <v>1610</v>
      </c>
      <c r="E718" s="371" t="s">
        <v>1611</v>
      </c>
      <c r="F718" s="371" t="s">
        <v>1610</v>
      </c>
      <c r="G718" s="377"/>
      <c r="H718" s="385">
        <v>1.0</v>
      </c>
      <c r="I718" s="383"/>
      <c r="J718" s="383"/>
      <c r="K718" s="387">
        <v>5528.42</v>
      </c>
      <c r="L718" s="383"/>
      <c r="M718" s="377"/>
      <c r="N718" s="371" t="s">
        <v>1612</v>
      </c>
      <c r="O718" s="377"/>
      <c r="P718" s="377"/>
      <c r="Q718" s="232"/>
    </row>
    <row r="719" ht="15.0" customHeight="1">
      <c r="A719" s="383"/>
      <c r="B719" s="377"/>
      <c r="C719" s="377"/>
      <c r="D719" s="377"/>
      <c r="E719" s="547" t="str">
        <f>HYPERLINK("http://www.thermoscientific.com/ecomm/servlet/productsdetail?productId=11953114&amp;groupType=PRODUCT&amp;searchType=0&amp;storeId=11152&amp;from=search","Barnstead Easypure II water purification system from Thermo Scientific (http://www.thermoscientific.com/ecomm/servlet/productsdetail?productId=11953114&amp;groupType=PRODUCT&amp;searchType=0&amp;storeId=11152&amp;from=search).")</f>
        <v>Barnstead Easypure II water purification system from Thermo Scientific (http://www.thermoscientific.com/ecomm/servlet/productsdetail?productId=11953114&amp;groupType=PRODUCT&amp;searchType=0&amp;storeId=11152&amp;from=search).</v>
      </c>
      <c r="F719" s="377"/>
      <c r="G719" s="377"/>
      <c r="H719" s="383"/>
      <c r="I719" s="383"/>
      <c r="J719" s="383"/>
      <c r="K719" s="383"/>
      <c r="L719" s="383"/>
      <c r="M719" s="377"/>
      <c r="N719" s="377"/>
      <c r="O719" s="377"/>
      <c r="P719" s="377"/>
      <c r="Q719" s="232"/>
    </row>
    <row r="720" ht="15.0" customHeight="1">
      <c r="A720" s="383"/>
      <c r="B720" s="377"/>
      <c r="C720" s="377"/>
      <c r="D720" s="371" t="s">
        <v>1613</v>
      </c>
      <c r="E720" s="371" t="s">
        <v>1614</v>
      </c>
      <c r="F720" s="371" t="s">
        <v>46</v>
      </c>
      <c r="G720" s="377"/>
      <c r="H720" s="385">
        <v>1.0</v>
      </c>
      <c r="I720" s="387">
        <v>7921.84</v>
      </c>
      <c r="J720" s="383"/>
      <c r="K720" s="383"/>
      <c r="L720" s="383"/>
      <c r="M720" s="377"/>
      <c r="N720" s="377"/>
      <c r="O720" s="377"/>
      <c r="P720" s="377"/>
      <c r="Q720" s="232"/>
    </row>
    <row r="721" ht="15.0" customHeight="1">
      <c r="A721" s="383"/>
      <c r="B721" s="377"/>
      <c r="C721" s="377"/>
      <c r="D721" s="371" t="s">
        <v>1613</v>
      </c>
      <c r="E721" s="371" t="s">
        <v>1615</v>
      </c>
      <c r="F721" s="371" t="s">
        <v>46</v>
      </c>
      <c r="G721" s="377"/>
      <c r="H721" s="385">
        <v>1.0</v>
      </c>
      <c r="I721" s="387">
        <v>3847.0</v>
      </c>
      <c r="J721" s="383"/>
      <c r="K721" s="383"/>
      <c r="L721" s="383"/>
      <c r="M721" s="377"/>
      <c r="N721" s="377"/>
      <c r="O721" s="377"/>
      <c r="P721" s="377"/>
      <c r="Q721" s="232"/>
    </row>
    <row r="722" ht="15.0" customHeight="1">
      <c r="A722" s="383"/>
      <c r="B722" s="377"/>
      <c r="C722" s="377"/>
      <c r="D722" s="377"/>
      <c r="E722" s="377"/>
      <c r="F722" s="371" t="s">
        <v>24</v>
      </c>
      <c r="G722" s="377"/>
      <c r="H722" s="383"/>
      <c r="I722" s="383"/>
      <c r="J722" s="383"/>
      <c r="K722" s="383"/>
      <c r="L722" s="383"/>
      <c r="M722" s="377"/>
      <c r="N722" s="377"/>
      <c r="O722" s="377"/>
      <c r="P722" s="377"/>
      <c r="Q722" s="232"/>
    </row>
    <row r="723" ht="12.75" customHeight="1">
      <c r="A723" s="383"/>
      <c r="B723" s="377"/>
      <c r="C723" s="377"/>
      <c r="D723" s="377"/>
      <c r="E723" s="377"/>
      <c r="F723" s="377"/>
      <c r="G723" s="377"/>
      <c r="H723" s="383"/>
      <c r="I723" s="383"/>
      <c r="J723" s="383"/>
      <c r="K723" s="383"/>
      <c r="L723" s="383"/>
      <c r="M723" s="377"/>
      <c r="N723" s="377"/>
      <c r="O723" s="377"/>
      <c r="P723" s="377"/>
      <c r="Q723" s="232"/>
    </row>
    <row r="724" ht="15.0" customHeight="1">
      <c r="A724" s="383"/>
      <c r="B724" s="377"/>
      <c r="C724" s="371" t="s">
        <v>413</v>
      </c>
      <c r="D724" s="377"/>
      <c r="E724" s="371" t="s">
        <v>1616</v>
      </c>
      <c r="F724" s="371" t="s">
        <v>1617</v>
      </c>
      <c r="G724" s="377"/>
      <c r="H724" s="385">
        <v>1.0</v>
      </c>
      <c r="I724" s="383"/>
      <c r="J724" s="383"/>
      <c r="K724" s="387">
        <v>1500.0</v>
      </c>
      <c r="L724" s="383"/>
      <c r="M724" s="377"/>
      <c r="N724" s="377"/>
      <c r="O724" s="377"/>
      <c r="P724" s="377"/>
      <c r="Q724" s="232"/>
    </row>
    <row r="725" ht="15.0" customHeight="1">
      <c r="A725" s="383"/>
      <c r="B725" s="377"/>
      <c r="C725" s="377"/>
      <c r="D725" s="377"/>
      <c r="E725" s="371" t="s">
        <v>1618</v>
      </c>
      <c r="F725" s="377"/>
      <c r="G725" s="377"/>
      <c r="H725" s="383"/>
      <c r="I725" s="383"/>
      <c r="J725" s="383"/>
      <c r="K725" s="383"/>
      <c r="L725" s="383"/>
      <c r="M725" s="377"/>
      <c r="N725" s="377"/>
      <c r="O725" s="377"/>
      <c r="P725" s="377"/>
      <c r="Q725" s="232"/>
    </row>
    <row r="726" ht="15.0" customHeight="1">
      <c r="A726" s="383"/>
      <c r="B726" s="377"/>
      <c r="C726" s="377"/>
      <c r="D726" s="377"/>
      <c r="E726" s="371" t="s">
        <v>1619</v>
      </c>
      <c r="F726" s="371" t="s">
        <v>46</v>
      </c>
      <c r="G726" s="377"/>
      <c r="H726" s="385">
        <v>1.0</v>
      </c>
      <c r="I726" s="387">
        <v>1711.74</v>
      </c>
      <c r="J726" s="383"/>
      <c r="K726" s="383"/>
      <c r="L726" s="383"/>
      <c r="M726" s="377"/>
      <c r="N726" s="377"/>
      <c r="O726" s="377"/>
      <c r="P726" s="377"/>
      <c r="Q726" s="23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>
    <row r="1" ht="36.0" customHeight="1">
      <c r="A1" s="3" t="s">
        <v>481</v>
      </c>
      <c r="B1" s="3" t="s">
        <v>486</v>
      </c>
      <c r="C1" s="3" t="s">
        <v>3</v>
      </c>
      <c r="D1" s="3" t="s">
        <v>487</v>
      </c>
      <c r="E1" s="3" t="s">
        <v>488</v>
      </c>
      <c r="F1" s="3" t="s">
        <v>489</v>
      </c>
      <c r="G1" s="3" t="s">
        <v>490</v>
      </c>
      <c r="H1" s="16" t="s">
        <v>491</v>
      </c>
      <c r="I1" s="131" t="s">
        <v>492</v>
      </c>
      <c r="J1" s="132" t="s">
        <v>493</v>
      </c>
      <c r="K1" s="134" t="s">
        <v>494</v>
      </c>
      <c r="L1" s="475" t="s">
        <v>522</v>
      </c>
      <c r="M1" s="164"/>
    </row>
    <row r="2" ht="36.0" customHeight="1">
      <c r="A2" s="30" t="s">
        <v>106</v>
      </c>
      <c r="B2" s="30" t="s">
        <v>19</v>
      </c>
      <c r="C2" s="30" t="str">
        <f t="array" ref="C2">index(Inventory!C:C, MATCH($B2,Inventory!$A:$A,0))</f>
        <v>Qiagen</v>
      </c>
      <c r="D2" s="30">
        <f t="array" ref="D2">index(Inventory!D:D, MATCH($B2,Inventory!$A:$A,0))</f>
        <v>69582</v>
      </c>
      <c r="E2" s="24">
        <v>1152.0</v>
      </c>
      <c r="F2" s="30" t="str">
        <f t="array" ref="F2">index(Inventory!G:G, MATCH($B2,Inventory!$A:$A,0))</f>
        <v>Y</v>
      </c>
      <c r="G2" s="30" t="str">
        <f t="array" ref="G2">index(Inventory!H:H, MATCH($B2,Inventory!$A:$A,0))</f>
        <v>N</v>
      </c>
      <c r="H2" s="174">
        <f t="shared" ref="H2:H24" si="1">IF(F2="Y",J2/I2*E2,)</f>
        <v>3082.17</v>
      </c>
      <c r="I2" s="481">
        <f t="array" ref="I2">index(Inventory!I:I, MATCH($B2,Inventory!$A:$A,0))</f>
        <v>1152</v>
      </c>
      <c r="J2" s="30">
        <f t="array" ref="J2">index(Inventory!J:J, MATCH($B2,Inventory!$A:$A,0))</f>
        <v>3082.17</v>
      </c>
      <c r="K2" s="174">
        <f t="shared" ref="K2:K14" si="2">H2/E2</f>
        <v>2.675494792</v>
      </c>
      <c r="L2" s="178"/>
      <c r="M2" s="164"/>
    </row>
    <row r="3" ht="24.0" customHeight="1">
      <c r="A3" s="30" t="s">
        <v>106</v>
      </c>
      <c r="B3" s="30" t="s">
        <v>454</v>
      </c>
      <c r="C3" s="30" t="str">
        <f t="array" ref="C3">index(Inventory!C:C, MATCH($B3,Inventory!$A:$A,0))</f>
        <v>VWR</v>
      </c>
      <c r="D3" s="30" t="str">
        <f t="array" ref="D3">index(Inventory!D:D, MATCH($B3,Inventory!$A:$A,0))</f>
        <v>82027-446</v>
      </c>
      <c r="E3" s="30">
        <v>1.0</v>
      </c>
      <c r="F3" s="30" t="str">
        <f t="array" ref="F3">index(Inventory!G:G, MATCH($B3,Inventory!$A:$A,0))</f>
        <v>N</v>
      </c>
      <c r="G3" s="30" t="str">
        <f t="array" ref="G3">index(Inventory!H:H, MATCH($B3,Inventory!$A:$A,0))</f>
        <v>N</v>
      </c>
      <c r="H3" s="174" t="str">
        <f t="shared" si="1"/>
        <v/>
      </c>
      <c r="I3" s="24">
        <v>1.0</v>
      </c>
      <c r="J3" s="30">
        <f t="array" ref="J3">index(Inventory!J:J, MATCH($B3,Inventory!$A:$A,0))</f>
        <v>7.22</v>
      </c>
      <c r="K3" s="174">
        <f t="shared" si="2"/>
        <v>0</v>
      </c>
      <c r="L3" s="178"/>
      <c r="M3" s="164"/>
    </row>
    <row r="4" ht="48.0" customHeight="1">
      <c r="A4" s="30" t="s">
        <v>106</v>
      </c>
      <c r="B4" s="30" t="s">
        <v>72</v>
      </c>
      <c r="C4" s="30" t="str">
        <f t="array" ref="C4">index(Inventory!C:C, MATCH($B4,Inventory!$A:$A,0))</f>
        <v>VWR</v>
      </c>
      <c r="D4" s="30" t="str">
        <f t="array" ref="D4">index(Inventory!D:D, MATCH($B4,Inventory!$A:$A,0))</f>
        <v>89130-900</v>
      </c>
      <c r="E4" s="24">
        <v>6.0</v>
      </c>
      <c r="F4" s="30" t="str">
        <f t="array" ref="F4">index(Inventory!G:G, MATCH($B4,Inventory!$A:$A,0))</f>
        <v>Y</v>
      </c>
      <c r="G4" s="30" t="str">
        <f t="array" ref="G4">index(Inventory!H:H, MATCH($B4,Inventory!$A:$A,0))</f>
        <v>N</v>
      </c>
      <c r="H4" s="174">
        <f t="shared" si="1"/>
        <v>2.2875</v>
      </c>
      <c r="I4" s="481">
        <f t="array" ref="I4">index(Inventory!I:I, MATCH($B4,Inventory!$A:$A,0))</f>
        <v>200</v>
      </c>
      <c r="J4" s="30">
        <f t="array" ref="J4">index(Inventory!J:J, MATCH($B4,Inventory!$A:$A,0))</f>
        <v>76.25</v>
      </c>
      <c r="K4" s="174">
        <f t="shared" si="2"/>
        <v>0.38125</v>
      </c>
      <c r="L4" s="178"/>
      <c r="M4" s="164"/>
    </row>
    <row r="5" ht="24.0" customHeight="1">
      <c r="A5" s="30" t="s">
        <v>106</v>
      </c>
      <c r="B5" s="30" t="s">
        <v>34</v>
      </c>
      <c r="C5" s="30" t="str">
        <f t="array" ref="C5">index(Inventory!C:C, MATCH($B5,Inventory!$A:$A,0))</f>
        <v>VWR</v>
      </c>
      <c r="D5" s="30" t="str">
        <f t="array" ref="D5">index(Inventory!D:D, MATCH($B5,Inventory!$A:$A,0))</f>
        <v>89079-488</v>
      </c>
      <c r="E5" s="24">
        <v>500.0</v>
      </c>
      <c r="F5" s="30" t="str">
        <f t="array" ref="F5">index(Inventory!G:G, MATCH($B5,Inventory!$A:$A,0))</f>
        <v>Y</v>
      </c>
      <c r="G5" s="30" t="str">
        <f t="array" ref="G5">index(Inventory!H:H, MATCH($B5,Inventory!$A:$A,0))</f>
        <v>N</v>
      </c>
      <c r="H5" s="174">
        <f t="shared" si="1"/>
        <v>13.44791667</v>
      </c>
      <c r="I5" s="481">
        <f t="array" ref="I5">index(Inventory!I:I, MATCH($B5,Inventory!$A:$A,0))</f>
        <v>480</v>
      </c>
      <c r="J5" s="30">
        <f t="array" ref="J5">index(Inventory!J:J, MATCH($B5,Inventory!$A:$A,0))</f>
        <v>12.91</v>
      </c>
      <c r="K5" s="174">
        <f t="shared" si="2"/>
        <v>0.02689583333</v>
      </c>
      <c r="L5" s="178"/>
      <c r="M5" s="164"/>
    </row>
    <row r="6" ht="12.0" customHeight="1">
      <c r="A6" s="30" t="s">
        <v>106</v>
      </c>
      <c r="B6" s="30" t="s">
        <v>49</v>
      </c>
      <c r="C6" s="30" t="str">
        <f t="array" ref="C6">index(Inventory!C:C, MATCH($B6,Inventory!$A:$A,0))</f>
        <v>VWR</v>
      </c>
      <c r="D6" s="30" t="str">
        <f t="array" ref="D6">index(Inventory!D:D, MATCH($B6,Inventory!$A:$A,0))</f>
        <v>89094-680</v>
      </c>
      <c r="E6" s="24">
        <v>15.0</v>
      </c>
      <c r="F6" s="30" t="str">
        <f t="array" ref="F6">index(Inventory!G:G, MATCH($B6,Inventory!$A:$A,0))</f>
        <v>Y</v>
      </c>
      <c r="G6" s="30" t="str">
        <f t="array" ref="G6">index(Inventory!H:H, MATCH($B6,Inventory!$A:$A,0))</f>
        <v>N</v>
      </c>
      <c r="H6" s="174">
        <f t="shared" si="1"/>
        <v>5.09475</v>
      </c>
      <c r="I6" s="481">
        <f t="array" ref="I6">index(Inventory!I:I, MATCH($B6,Inventory!$A:$A,0))</f>
        <v>200</v>
      </c>
      <c r="J6" s="30">
        <f t="array" ref="J6">index(Inventory!J:J, MATCH($B6,Inventory!$A:$A,0))</f>
        <v>67.93</v>
      </c>
      <c r="K6" s="174">
        <f t="shared" si="2"/>
        <v>0.33965</v>
      </c>
      <c r="L6" s="178"/>
      <c r="M6" s="164"/>
    </row>
    <row r="7" ht="12.0" customHeight="1">
      <c r="A7" s="30" t="s">
        <v>106</v>
      </c>
      <c r="B7" s="30" t="s">
        <v>74</v>
      </c>
      <c r="C7" s="30" t="str">
        <f t="array" ref="C7">index(Inventory!C:C, MATCH($B7,Inventory!$A:$A,0))</f>
        <v>Fisher</v>
      </c>
      <c r="D7" s="30" t="str">
        <f t="array" ref="D7">index(Inventory!D:D, MATCH($B7,Inventory!$A:$A,0))</f>
        <v>AB-0558</v>
      </c>
      <c r="E7" s="24">
        <v>10.0</v>
      </c>
      <c r="F7" s="30" t="str">
        <f t="array" ref="F7">index(Inventory!G:G, MATCH($B7,Inventory!$A:$A,0))</f>
        <v>Y</v>
      </c>
      <c r="G7" s="30" t="str">
        <f t="array" ref="G7">index(Inventory!H:H, MATCH($B7,Inventory!$A:$A,0))</f>
        <v>N</v>
      </c>
      <c r="H7" s="174">
        <f t="shared" si="1"/>
        <v>7.88</v>
      </c>
      <c r="I7" s="481">
        <f t="array" ref="I7">index(Inventory!I:I, MATCH($B7,Inventory!$A:$A,0))</f>
        <v>100</v>
      </c>
      <c r="J7" s="30">
        <f t="array" ref="J7">index(Inventory!J:J, MATCH($B7,Inventory!$A:$A,0))</f>
        <v>78.8</v>
      </c>
      <c r="K7" s="174">
        <f t="shared" si="2"/>
        <v>0.788</v>
      </c>
      <c r="L7" s="178"/>
      <c r="M7" s="164"/>
    </row>
    <row r="8" ht="24.0" customHeight="1">
      <c r="A8" s="30" t="s">
        <v>106</v>
      </c>
      <c r="B8" s="30" t="s">
        <v>397</v>
      </c>
      <c r="C8" s="30" t="str">
        <f t="array" ref="C8">index(Inventory!C:C, MATCH($B8,Inventory!$A:$A,0))</f>
        <v>eppendorf</v>
      </c>
      <c r="D8" s="30" t="str">
        <f t="array" ref="D8">index(Inventory!D:D, MATCH($B8,Inventory!$A:$A,0))</f>
        <v>4430 000.018</v>
      </c>
      <c r="E8" s="30">
        <v>1.0</v>
      </c>
      <c r="F8" s="30" t="str">
        <f t="array" ref="F8">index(Inventory!G:G, MATCH($B8,Inventory!$A:$A,0))</f>
        <v>N</v>
      </c>
      <c r="G8" s="30" t="str">
        <f t="array" ref="G8">index(Inventory!H:H, MATCH($B8,Inventory!$A:$A,0))</f>
        <v>N</v>
      </c>
      <c r="H8" s="174" t="str">
        <f t="shared" si="1"/>
        <v/>
      </c>
      <c r="I8" s="481" t="str">
        <f t="array" ref="I8">index(Inventory!I:I, MATCH($B8,Inventory!$A:$A,0))</f>
        <v/>
      </c>
      <c r="J8" s="30" t="str">
        <f t="array" ref="J8">index(Inventory!J:J, MATCH($B8,Inventory!$A:$A,0))</f>
        <v/>
      </c>
      <c r="K8" s="174">
        <f t="shared" si="2"/>
        <v>0</v>
      </c>
      <c r="L8" s="178"/>
      <c r="M8" s="164"/>
    </row>
    <row r="9" ht="12.0" customHeight="1">
      <c r="A9" s="30" t="s">
        <v>106</v>
      </c>
      <c r="B9" s="30" t="s">
        <v>413</v>
      </c>
      <c r="C9" s="30" t="str">
        <f t="array" ref="C9">index(Inventory!C:C, MATCH($B9,Inventory!$A:$A,0))</f>
        <v/>
      </c>
      <c r="D9" s="30" t="str">
        <f t="array" ref="D9">index(Inventory!D:D, MATCH($B9,Inventory!$A:$A,0))</f>
        <v/>
      </c>
      <c r="E9" s="30">
        <v>1.0</v>
      </c>
      <c r="F9" s="30" t="str">
        <f t="array" ref="F9">index(Inventory!G:G, MATCH($B9,Inventory!$A:$A,0))</f>
        <v>N</v>
      </c>
      <c r="G9" s="30" t="str">
        <f t="array" ref="G9">index(Inventory!H:H, MATCH($B9,Inventory!$A:$A,0))</f>
        <v>N</v>
      </c>
      <c r="H9" s="174" t="str">
        <f t="shared" si="1"/>
        <v/>
      </c>
      <c r="I9" s="481" t="str">
        <f t="array" ref="I9">index(Inventory!I:I, MATCH($B9,Inventory!$A:$A,0))</f>
        <v/>
      </c>
      <c r="J9" s="30" t="str">
        <f t="array" ref="J9">index(Inventory!J:J, MATCH($B9,Inventory!$A:$A,0))</f>
        <v/>
      </c>
      <c r="K9" s="174">
        <f t="shared" si="2"/>
        <v>0</v>
      </c>
      <c r="L9" s="178"/>
      <c r="M9" s="164"/>
    </row>
    <row r="10" ht="36.0" customHeight="1">
      <c r="A10" s="30" t="s">
        <v>106</v>
      </c>
      <c r="B10" s="30" t="s">
        <v>55</v>
      </c>
      <c r="C10" s="30" t="str">
        <f t="array" ref="C10">index(Inventory!C:C, MATCH($B10,Inventory!$A:$A,0))</f>
        <v>Eppendorf</v>
      </c>
      <c r="D10" s="30">
        <f t="array" ref="D10">index(Inventory!D:D, MATCH($B10,Inventory!$A:$A,0))</f>
        <v>22491245</v>
      </c>
      <c r="E10" s="24">
        <v>500.0</v>
      </c>
      <c r="F10" s="30" t="str">
        <f t="array" ref="F10">index(Inventory!G:G, MATCH($B10,Inventory!$A:$A,0))</f>
        <v>Y</v>
      </c>
      <c r="G10" s="30" t="str">
        <f t="array" ref="G10">index(Inventory!H:H, MATCH($B10,Inventory!$A:$A,0))</f>
        <v>N</v>
      </c>
      <c r="H10" s="174">
        <f t="shared" si="1"/>
        <v>63.47916667</v>
      </c>
      <c r="I10" s="481">
        <f t="array" ref="I10">index(Inventory!I:I, MATCH($B10,Inventory!$A:$A,0))</f>
        <v>960</v>
      </c>
      <c r="J10" s="30">
        <f t="array" ref="J10">index(Inventory!J:J, MATCH($B10,Inventory!$A:$A,0))</f>
        <v>121.88</v>
      </c>
      <c r="K10" s="174">
        <f t="shared" si="2"/>
        <v>0.1269583333</v>
      </c>
      <c r="L10" s="178"/>
      <c r="M10" s="164"/>
    </row>
    <row r="11" ht="48.0" customHeight="1">
      <c r="A11" s="30" t="s">
        <v>106</v>
      </c>
      <c r="B11" s="30" t="s">
        <v>80</v>
      </c>
      <c r="C11" s="30" t="str">
        <f t="array" ref="C11">index(Inventory!C:C, MATCH($B11,Inventory!$A:$A,0))</f>
        <v>Fisher</v>
      </c>
      <c r="D11" s="30" t="str">
        <f t="array" ref="D11">index(Inventory!D:D, MATCH($B11,Inventory!$A:$A,0))</f>
        <v>89206-238</v>
      </c>
      <c r="E11" s="24">
        <v>500.0</v>
      </c>
      <c r="F11" s="30" t="str">
        <f t="array" ref="F11">index(Inventory!G:G, MATCH($B11,Inventory!$A:$A,0))</f>
        <v>Y</v>
      </c>
      <c r="G11" s="30" t="str">
        <f t="array" ref="G11">index(Inventory!H:H, MATCH($B11,Inventory!$A:$A,0))</f>
        <v>N</v>
      </c>
      <c r="H11" s="174">
        <f t="shared" si="1"/>
        <v>33.05416667</v>
      </c>
      <c r="I11" s="481">
        <f t="array" ref="I11">index(Inventory!I:I, MATCH($B11,Inventory!$A:$A,0))</f>
        <v>4800</v>
      </c>
      <c r="J11" s="30">
        <f t="array" ref="J11">index(Inventory!J:J, MATCH($B11,Inventory!$A:$A,0))</f>
        <v>317.32</v>
      </c>
      <c r="K11" s="174">
        <f t="shared" si="2"/>
        <v>0.06610833333</v>
      </c>
      <c r="L11" s="178"/>
      <c r="M11" s="164"/>
    </row>
    <row r="12">
      <c r="A12" s="21" t="s">
        <v>503</v>
      </c>
      <c r="B12" s="21" t="s">
        <v>240</v>
      </c>
      <c r="C12" s="21" t="str">
        <f t="array" ref="C12">index(Inventory!C:C, MATCH($B12,Inventory!$A:$A,0))</f>
        <v>Fisher</v>
      </c>
      <c r="D12" s="21" t="str">
        <f t="array" ref="D12">index(Inventory!D:D, MATCH($B12,Inventory!$A:$A,0))</f>
        <v>BP2819-1</v>
      </c>
      <c r="E12" s="12">
        <v>500.0</v>
      </c>
      <c r="F12" s="21" t="str">
        <f t="array" ref="F12">index(Inventory!G:G, MATCH($B12,Inventory!$A:$A,0))</f>
        <v>Y</v>
      </c>
      <c r="G12" s="21" t="str">
        <f t="array" ref="G12">index(Inventory!H:H, MATCH($B12,Inventory!$A:$A,0))</f>
        <v>N</v>
      </c>
      <c r="H12" s="149">
        <f t="shared" si="1"/>
        <v>0.022725</v>
      </c>
      <c r="I12" s="532">
        <f t="array" ref="I12">index(Inventory!I:I, MATCH($B12,Inventory!$A:$A,0))</f>
        <v>1000000</v>
      </c>
      <c r="J12" s="21">
        <f t="array" ref="J12">index(Inventory!J:J, MATCH($B12,Inventory!$A:$A,0))</f>
        <v>45.45</v>
      </c>
      <c r="K12" s="533">
        <f t="shared" si="2"/>
        <v>0.00004545</v>
      </c>
    </row>
    <row r="13">
      <c r="A13" s="21" t="s">
        <v>503</v>
      </c>
      <c r="B13" s="21" t="s">
        <v>35</v>
      </c>
      <c r="C13" s="21" t="str">
        <f t="array" ref="C13">index(Inventory!C:C, MATCH($B13,Inventory!$A:$A,0))</f>
        <v>Eppendorf</v>
      </c>
      <c r="D13" s="21">
        <f t="array" ref="D13">index(Inventory!D:D, MATCH($B13,Inventory!$A:$A,0))</f>
        <v>22491237</v>
      </c>
      <c r="E13" s="12">
        <v>500.0</v>
      </c>
      <c r="F13" s="21" t="str">
        <f t="array" ref="F13">index(Inventory!G:G, MATCH($B13,Inventory!$A:$A,0))</f>
        <v>Y</v>
      </c>
      <c r="G13" s="21" t="str">
        <f t="array" ref="G13">index(Inventory!H:H, MATCH($B13,Inventory!$A:$A,0))</f>
        <v>N</v>
      </c>
      <c r="H13" s="149">
        <f t="shared" si="1"/>
        <v>63.47916667</v>
      </c>
      <c r="I13" s="532">
        <f t="array" ref="I13">index(Inventory!I:I, MATCH($B13,Inventory!$A:$A,0))</f>
        <v>960</v>
      </c>
      <c r="J13" s="21">
        <f t="array" ref="J13">index(Inventory!J:J, MATCH($B13,Inventory!$A:$A,0))</f>
        <v>121.88</v>
      </c>
      <c r="K13" s="149">
        <f t="shared" si="2"/>
        <v>0.1269583333</v>
      </c>
    </row>
    <row r="14">
      <c r="A14" s="21" t="s">
        <v>503</v>
      </c>
      <c r="B14" s="21" t="s">
        <v>64</v>
      </c>
      <c r="C14" s="21" t="str">
        <f t="array" ref="C14">index(Inventory!C:C, MATCH($B14,Inventory!$A:$A,0))</f>
        <v>VWR</v>
      </c>
      <c r="D14" s="21" t="str">
        <f t="array" ref="D14">index(Inventory!D:D, MATCH($B14,Inventory!$A:$A,0))</f>
        <v>82006-636</v>
      </c>
      <c r="E14" s="12">
        <v>10.0</v>
      </c>
      <c r="F14" s="21" t="str">
        <f t="array" ref="F14">index(Inventory!G:G, MATCH($B14,Inventory!$A:$A,0))</f>
        <v>Y</v>
      </c>
      <c r="G14" s="21" t="str">
        <f t="array" ref="G14">index(Inventory!H:H, MATCH($B14,Inventory!$A:$A,0))</f>
        <v>N</v>
      </c>
      <c r="H14" s="149">
        <f t="shared" si="1"/>
        <v>35.472</v>
      </c>
      <c r="I14" s="532">
        <f t="array" ref="I14">index(Inventory!I:I, MATCH($B14,Inventory!$A:$A,0))</f>
        <v>100</v>
      </c>
      <c r="J14" s="21">
        <f t="array" ref="J14">index(Inventory!J:J, MATCH($B14,Inventory!$A:$A,0))</f>
        <v>354.72</v>
      </c>
      <c r="K14" s="533">
        <f t="shared" si="2"/>
        <v>3.5472</v>
      </c>
    </row>
    <row r="15">
      <c r="A15" s="21" t="s">
        <v>503</v>
      </c>
      <c r="B15" s="21" t="s">
        <v>186</v>
      </c>
      <c r="C15" s="21" t="str">
        <f t="array" ref="C15">index(Inventory!C:C, MATCH($B15,Inventory!$A:$A,0))</f>
        <v>NEB</v>
      </c>
      <c r="D15" s="21" t="str">
        <f t="array" ref="D15">index(Inventory!D:D, MATCH($B15,Inventory!$A:$A,0))</f>
        <v/>
      </c>
      <c r="E15" s="12">
        <v>0.0</v>
      </c>
      <c r="F15" s="21" t="str">
        <f t="array" ref="F15">index(Inventory!G:G, MATCH($B15,Inventory!$A:$A,0))</f>
        <v>Y</v>
      </c>
      <c r="G15" s="21" t="str">
        <f t="array" ref="G15">index(Inventory!H:H, MATCH($B15,Inventory!$A:$A,0))</f>
        <v>N</v>
      </c>
      <c r="H15" s="149">
        <f t="shared" si="1"/>
        <v>0</v>
      </c>
      <c r="I15" s="532">
        <f t="array" ref="I15">index(Inventory!I:I, MATCH($B15,Inventory!$A:$A,0))</f>
        <v>1500</v>
      </c>
      <c r="J15" s="21">
        <f t="array" ref="J15">index(Inventory!J:J, MATCH($B15,Inventory!$A:$A,0))</f>
        <v>0</v>
      </c>
      <c r="K15" s="533"/>
    </row>
    <row r="16">
      <c r="A16" s="21" t="s">
        <v>503</v>
      </c>
      <c r="B16" s="21" t="s">
        <v>151</v>
      </c>
      <c r="C16" s="21" t="str">
        <f t="array" ref="C16">index(Inventory!C:C, MATCH($B16,Inventory!$A:$A,0))</f>
        <v/>
      </c>
      <c r="D16" s="21" t="str">
        <f t="array" ref="D16">index(Inventory!D:D, MATCH($B16,Inventory!$A:$A,0))</f>
        <v/>
      </c>
      <c r="E16" s="12">
        <v>0.0</v>
      </c>
      <c r="F16" s="21" t="str">
        <f t="array" ref="F16">index(Inventory!G:G, MATCH($B16,Inventory!$A:$A,0))</f>
        <v>Y</v>
      </c>
      <c r="G16" s="21" t="str">
        <f t="array" ref="G16">index(Inventory!H:H, MATCH($B16,Inventory!$A:$A,0))</f>
        <v>N</v>
      </c>
      <c r="H16" s="149">
        <f t="shared" si="1"/>
        <v>0</v>
      </c>
      <c r="I16" s="532">
        <f t="array" ref="I16">index(Inventory!I:I, MATCH($B16,Inventory!$A:$A,0))</f>
        <v>1500</v>
      </c>
      <c r="J16" s="21">
        <f t="array" ref="J16">index(Inventory!J:J, MATCH($B16,Inventory!$A:$A,0))</f>
        <v>0</v>
      </c>
      <c r="K16" s="533"/>
    </row>
    <row r="17">
      <c r="A17" s="21" t="s">
        <v>503</v>
      </c>
      <c r="B17" s="21" t="s">
        <v>108</v>
      </c>
      <c r="C17" s="21" t="str">
        <f t="array" ref="C17">index(Inventory!C:C, MATCH($B17,Inventory!$A:$A,0))</f>
        <v>NEB</v>
      </c>
      <c r="D17" s="21" t="str">
        <f t="array" ref="D17">index(Inventory!D:D, MATCH($B17,Inventory!$A:$A,0))</f>
        <v/>
      </c>
      <c r="E17" s="12">
        <v>0.0</v>
      </c>
      <c r="F17" s="21" t="str">
        <f t="array" ref="F17">index(Inventory!G:G, MATCH($B17,Inventory!$A:$A,0))</f>
        <v>Y</v>
      </c>
      <c r="G17" s="21" t="str">
        <f t="array" ref="G17">index(Inventory!H:H, MATCH($B17,Inventory!$A:$A,0))</f>
        <v>N</v>
      </c>
      <c r="H17" s="149">
        <f t="shared" si="1"/>
        <v>0</v>
      </c>
      <c r="I17" s="532">
        <f t="array" ref="I17">index(Inventory!I:I, MATCH($B17,Inventory!$A:$A,0))</f>
        <v>1500</v>
      </c>
      <c r="J17" s="21">
        <f t="array" ref="J17">index(Inventory!J:J, MATCH($B17,Inventory!$A:$A,0))</f>
        <v>0</v>
      </c>
      <c r="K17" s="533"/>
    </row>
    <row r="18">
      <c r="A18" s="21" t="s">
        <v>503</v>
      </c>
      <c r="B18" s="21" t="s">
        <v>1216</v>
      </c>
      <c r="C18" s="21" t="str">
        <f t="array" ref="C18">index(Inventory!C:C, MATCH($B18,Inventory!$A:$A,0))</f>
        <v>#N/A</v>
      </c>
      <c r="D18" s="21" t="str">
        <f t="array" ref="D18">index(Inventory!D:D, MATCH($B18,Inventory!$A:$A,0))</f>
        <v>#N/A</v>
      </c>
      <c r="E18" s="12">
        <v>0.0</v>
      </c>
      <c r="F18" s="21" t="str">
        <f t="array" ref="F18">index(Inventory!G:G, MATCH($B18,Inventory!$A:$A,0))</f>
        <v>#N/A</v>
      </c>
      <c r="G18" s="21" t="str">
        <f t="array" ref="G18">index(Inventory!H:H, MATCH($B18,Inventory!$A:$A,0))</f>
        <v>#N/A</v>
      </c>
      <c r="H18" s="149" t="str">
        <f t="shared" si="1"/>
        <v>#N/A</v>
      </c>
      <c r="I18" s="21" t="str">
        <f t="array" ref="I18">index(Inventory!I:I, MATCH($B18,Inventory!$A:$A,0))</f>
        <v>#N/A</v>
      </c>
      <c r="J18" s="21" t="str">
        <f t="array" ref="J18">index(Inventory!J:J, MATCH($B18,Inventory!$A:$A,0))</f>
        <v>#N/A</v>
      </c>
      <c r="K18" s="533"/>
    </row>
    <row r="19">
      <c r="A19" s="21" t="s">
        <v>503</v>
      </c>
      <c r="B19" s="21" t="s">
        <v>1243</v>
      </c>
      <c r="C19" s="21" t="str">
        <f t="array" ref="C19">index(Inventory!C:C, MATCH($B19,Inventory!$A:$A,0))</f>
        <v>#N/A</v>
      </c>
      <c r="D19" s="21" t="str">
        <f t="array" ref="D19">index(Inventory!D:D, MATCH($B19,Inventory!$A:$A,0))</f>
        <v>#N/A</v>
      </c>
      <c r="E19" s="12">
        <v>500.0</v>
      </c>
      <c r="F19" s="21" t="str">
        <f t="array" ref="F19">index(Inventory!G:G, MATCH($B19,Inventory!$A:$A,0))</f>
        <v>#N/A</v>
      </c>
      <c r="G19" s="21" t="str">
        <f t="array" ref="G19">index(Inventory!H:H, MATCH($B19,Inventory!$A:$A,0))</f>
        <v>#N/A</v>
      </c>
      <c r="H19" s="149" t="str">
        <f t="shared" si="1"/>
        <v>#N/A</v>
      </c>
      <c r="I19" s="12">
        <v>166.0</v>
      </c>
      <c r="J19" s="21" t="str">
        <f t="array" ref="J19">index(Inventory!J:J, MATCH($B19,Inventory!$A:$A,0))</f>
        <v>#N/A</v>
      </c>
      <c r="K19" s="533" t="str">
        <f t="shared" ref="K19:K25" si="3">H19/E19</f>
        <v>#N/A</v>
      </c>
    </row>
    <row r="20">
      <c r="A20" s="21" t="s">
        <v>503</v>
      </c>
      <c r="B20" s="21" t="s">
        <v>1250</v>
      </c>
      <c r="C20" s="21" t="str">
        <f t="array" ref="C20">index(Inventory!C:C, MATCH($B20,Inventory!$A:$A,0))</f>
        <v>#N/A</v>
      </c>
      <c r="D20" s="21" t="str">
        <f t="array" ref="D20">index(Inventory!D:D, MATCH($B20,Inventory!$A:$A,0))</f>
        <v>#N/A</v>
      </c>
      <c r="E20" s="12">
        <v>500.0</v>
      </c>
      <c r="F20" s="21" t="str">
        <f t="array" ref="F20">index(Inventory!G:G, MATCH($B20,Inventory!$A:$A,0))</f>
        <v>#N/A</v>
      </c>
      <c r="G20" s="21" t="str">
        <f t="array" ref="G20">index(Inventory!H:H, MATCH($B20,Inventory!$A:$A,0))</f>
        <v>#N/A</v>
      </c>
      <c r="H20" s="149" t="str">
        <f t="shared" si="1"/>
        <v>#N/A</v>
      </c>
      <c r="I20" s="12">
        <v>166.0</v>
      </c>
      <c r="J20" s="533">
        <v>30.0</v>
      </c>
      <c r="K20" s="533" t="str">
        <f t="shared" si="3"/>
        <v>#N/A</v>
      </c>
    </row>
    <row r="21">
      <c r="A21" s="21" t="s">
        <v>503</v>
      </c>
      <c r="B21" s="21" t="s">
        <v>257</v>
      </c>
      <c r="C21" s="21" t="str">
        <f t="array" ref="C21">index(Inventory!C:C, MATCH($B21,Inventory!$A:$A,0))</f>
        <v>in house</v>
      </c>
      <c r="D21" s="21" t="str">
        <f t="array" ref="D21">index(Inventory!D:D, MATCH($B21,Inventory!$A:$A,0))</f>
        <v/>
      </c>
      <c r="E21" s="21">
        <v>2.0</v>
      </c>
      <c r="F21" s="21" t="str">
        <f t="array" ref="F21">index(Inventory!G:G, MATCH($B21,Inventory!$A:$A,0))</f>
        <v>Y</v>
      </c>
      <c r="G21" s="21" t="str">
        <f t="array" ref="G21">index(Inventory!H:H, MATCH($B21,Inventory!$A:$A,0))</f>
        <v>N</v>
      </c>
      <c r="H21" s="149">
        <f t="shared" si="1"/>
        <v>0</v>
      </c>
      <c r="I21" s="532">
        <f t="array" ref="I21">index(Inventory!I:I, MATCH($B21,Inventory!$A:$A,0))</f>
        <v>100</v>
      </c>
      <c r="J21" s="21">
        <f t="array" ref="J21">index(Inventory!J:J, MATCH($B21,Inventory!$A:$A,0))</f>
        <v>0</v>
      </c>
      <c r="K21" s="533">
        <f t="shared" si="3"/>
        <v>0</v>
      </c>
    </row>
    <row r="22">
      <c r="A22" s="21" t="s">
        <v>503</v>
      </c>
      <c r="B22" s="21" t="s">
        <v>700</v>
      </c>
      <c r="C22" s="21" t="str">
        <f t="array" ref="C22">index(Inventory!C:C, MATCH($B22,Inventory!$A:$A,0))</f>
        <v>#N/A</v>
      </c>
      <c r="D22" s="21" t="str">
        <f t="array" ref="D22">index(Inventory!D:D, MATCH($B22,Inventory!$A:$A,0))</f>
        <v>#N/A</v>
      </c>
      <c r="E22" s="12">
        <v>300.0</v>
      </c>
      <c r="F22" s="21" t="str">
        <f t="array" ref="F22">index(Inventory!G:G, MATCH($B22,Inventory!$A:$A,0))</f>
        <v>#N/A</v>
      </c>
      <c r="G22" s="21" t="str">
        <f t="array" ref="G22">index(Inventory!H:H, MATCH($B22,Inventory!$A:$A,0))</f>
        <v>#N/A</v>
      </c>
      <c r="H22" s="149" t="str">
        <f t="shared" si="1"/>
        <v>#N/A</v>
      </c>
      <c r="I22" s="21" t="str">
        <f t="array" ref="I22">index(Inventory!I:I, MATCH($B22,Inventory!$A:$A,0))</f>
        <v>#N/A</v>
      </c>
      <c r="J22" s="21" t="str">
        <f t="array" ref="J22">index(Inventory!J:J, MATCH($B22,Inventory!$A:$A,0))</f>
        <v>#N/A</v>
      </c>
      <c r="K22" s="533" t="str">
        <f t="shared" si="3"/>
        <v>#N/A</v>
      </c>
    </row>
    <row r="23">
      <c r="A23" s="21" t="s">
        <v>503</v>
      </c>
      <c r="B23" s="21" t="s">
        <v>29</v>
      </c>
      <c r="C23" s="21" t="str">
        <f t="array" ref="C23">index(Inventory!C:C, MATCH($B23,Inventory!$A:$A,0))</f>
        <v>Bioexpress</v>
      </c>
      <c r="D23" s="21" t="str">
        <f t="array" ref="D23">index(Inventory!D:D, MATCH($B23,Inventory!$A:$A,0))</f>
        <v>C-3260-1</v>
      </c>
      <c r="E23" s="12">
        <v>500.0</v>
      </c>
      <c r="F23" s="21" t="str">
        <f t="array" ref="F23">index(Inventory!G:G, MATCH($B23,Inventory!$A:$A,0))</f>
        <v>Y</v>
      </c>
      <c r="G23" s="21" t="str">
        <f t="array" ref="G23">index(Inventory!H:H, MATCH($B23,Inventory!$A:$A,0))</f>
        <v>N</v>
      </c>
      <c r="H23" s="149">
        <f t="shared" si="1"/>
        <v>10.31</v>
      </c>
      <c r="I23" s="532">
        <f t="array" ref="I23">index(Inventory!I:I, MATCH($B23,Inventory!$A:$A,0))</f>
        <v>5000</v>
      </c>
      <c r="J23" s="21">
        <f t="array" ref="J23">index(Inventory!J:J, MATCH($B23,Inventory!$A:$A,0))</f>
        <v>103.1</v>
      </c>
      <c r="K23" s="533">
        <f t="shared" si="3"/>
        <v>0.02062</v>
      </c>
    </row>
    <row r="24">
      <c r="A24" s="21" t="s">
        <v>503</v>
      </c>
      <c r="B24" s="21" t="s">
        <v>177</v>
      </c>
      <c r="C24" s="21" t="str">
        <f t="array" ref="C24">index(Inventory!C:C, MATCH($B24,Inventory!$A:$A,0))</f>
        <v>Fisher</v>
      </c>
      <c r="D24" s="21" t="str">
        <f t="array" ref="D24">index(Inventory!D:D, MATCH($B24,Inventory!$A:$A,0))</f>
        <v>AB 0266</v>
      </c>
      <c r="E24" s="12">
        <v>75.0</v>
      </c>
      <c r="F24" s="21" t="str">
        <f t="array" ref="F24">index(Inventory!G:G, MATCH($B24,Inventory!$A:$A,0))</f>
        <v>Y</v>
      </c>
      <c r="G24" s="21" t="str">
        <f t="array" ref="G24">index(Inventory!H:H, MATCH($B24,Inventory!$A:$A,0))</f>
        <v>N</v>
      </c>
      <c r="H24" s="149">
        <f t="shared" si="1"/>
        <v>37.5</v>
      </c>
      <c r="I24" s="532">
        <f t="array" ref="I24">index(Inventory!I:I, MATCH($B24,Inventory!$A:$A,0))</f>
        <v>250</v>
      </c>
      <c r="J24" s="21">
        <f t="array" ref="J24">index(Inventory!J:J, MATCH($B24,Inventory!$A:$A,0))</f>
        <v>125</v>
      </c>
      <c r="K24" s="533">
        <f t="shared" si="3"/>
        <v>0.5</v>
      </c>
    </row>
    <row r="25" ht="12.0" customHeight="1">
      <c r="A25" s="561" t="s">
        <v>506</v>
      </c>
      <c r="B25" s="563"/>
      <c r="C25" s="563"/>
      <c r="D25" s="563"/>
      <c r="E25" s="565">
        <v>360.0</v>
      </c>
      <c r="F25" s="563"/>
      <c r="G25" s="567"/>
      <c r="H25" s="568">
        <f>2275</f>
        <v>2275</v>
      </c>
      <c r="I25" s="569"/>
      <c r="J25" s="570"/>
      <c r="K25" s="572">
        <f t="shared" si="3"/>
        <v>6.319444444</v>
      </c>
      <c r="L25" s="178"/>
      <c r="M25" s="164"/>
    </row>
    <row r="27">
      <c r="J27" s="573" t="s">
        <v>1386</v>
      </c>
      <c r="K27" t="str">
        <f>sum(K2:K25)</f>
        <v>#N/A</v>
      </c>
    </row>
  </sheetData>
  <conditionalFormatting sqref="L2">
    <cfRule type="cellIs" dxfId="1" priority="1" operator="greaterThan">
      <formula>$K$3</formula>
    </cfRule>
  </conditionalFormatting>
  <drawing r:id="rId1"/>
</worksheet>
</file>