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6038beb1cecb6/Documents/Projects/CNC Router/Analysis/"/>
    </mc:Choice>
  </mc:AlternateContent>
  <xr:revisionPtr revIDLastSave="2101" documentId="8_{56DBD007-8FD7-4FEC-9BF2-C34758458655}" xr6:coauthVersionLast="47" xr6:coauthVersionMax="47" xr10:uidLastSave="{2277792C-B69D-4FFB-9CCA-5A8A8A13B1BA}"/>
  <bookViews>
    <workbookView xWindow="-120" yWindow="-120" windowWidth="38640" windowHeight="23640" firstSheet="5" activeTab="17" xr2:uid="{45492484-CC5D-446B-868C-1C19DE90D7AE}"/>
  </bookViews>
  <sheets>
    <sheet name="Axis Forces" sheetId="1" r:id="rId1"/>
    <sheet name="Tool Speeds" sheetId="13" r:id="rId2"/>
    <sheet name="Cutting Forces" sheetId="2" r:id="rId3"/>
    <sheet name="Cutting Cases" sheetId="12" r:id="rId4"/>
    <sheet name="NEMA Power Comparison" sheetId="14" r:id="rId5"/>
    <sheet name="NEMA34 Power" sheetId="10" r:id="rId6"/>
    <sheet name="NEMA23 Power" sheetId="15" r:id="rId7"/>
    <sheet name="Axis Sizing" sheetId="11" r:id="rId8"/>
    <sheet name="Z Axis Forces" sheetId="3" r:id="rId9"/>
    <sheet name="X Axis Force" sheetId="6" r:id="rId10"/>
    <sheet name="Y Axis Forces" sheetId="7" r:id="rId11"/>
    <sheet name="Deflection" sheetId="9" r:id="rId12"/>
    <sheet name="Hard Stops" sheetId="16" r:id="rId13"/>
    <sheet name="Legs" sheetId="18" r:id="rId14"/>
    <sheet name="PrintNC" sheetId="19" r:id="rId15"/>
    <sheet name="Damping" sheetId="20" r:id="rId16"/>
    <sheet name="Table Deflection" sheetId="21" r:id="rId17"/>
    <sheet name="Cable Lengths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2" l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2" i="22"/>
  <c r="B16" i="22"/>
  <c r="J42" i="9"/>
  <c r="J56" i="9"/>
  <c r="J58" i="9"/>
  <c r="D78" i="9"/>
  <c r="E78" i="9"/>
  <c r="F78" i="9"/>
  <c r="G78" i="9"/>
  <c r="H78" i="9"/>
  <c r="I78" i="9"/>
  <c r="J78" i="9"/>
  <c r="K78" i="9"/>
  <c r="L78" i="9"/>
  <c r="M78" i="9"/>
  <c r="N78" i="9"/>
  <c r="C78" i="9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3" i="15"/>
  <c r="C3" i="15"/>
  <c r="D79" i="11"/>
  <c r="E79" i="11"/>
  <c r="C79" i="11"/>
  <c r="D78" i="11"/>
  <c r="E78" i="11"/>
  <c r="C78" i="11"/>
  <c r="D77" i="11"/>
  <c r="E77" i="11"/>
  <c r="C77" i="11"/>
  <c r="H33" i="18"/>
  <c r="H24" i="18"/>
  <c r="I63" i="18"/>
  <c r="I62" i="18"/>
  <c r="H69" i="18"/>
  <c r="H66" i="18"/>
  <c r="H65" i="18"/>
  <c r="H67" i="18" s="1"/>
  <c r="H61" i="18"/>
  <c r="H63" i="18" s="1"/>
  <c r="H60" i="18"/>
  <c r="H62" i="18" s="1"/>
  <c r="H51" i="18"/>
  <c r="J51" i="18"/>
  <c r="H36" i="18"/>
  <c r="H38" i="18"/>
  <c r="H39" i="18" s="1"/>
  <c r="H4" i="18"/>
  <c r="H5" i="18"/>
  <c r="H8" i="18" s="1"/>
  <c r="H9" i="18" s="1"/>
  <c r="H18" i="18" s="1"/>
  <c r="H21" i="18" s="1"/>
  <c r="H6" i="18"/>
  <c r="H7" i="18" s="1"/>
  <c r="H10" i="18"/>
  <c r="H11" i="18" s="1"/>
  <c r="H27" i="18"/>
  <c r="H30" i="18"/>
  <c r="D13" i="21"/>
  <c r="D12" i="21"/>
  <c r="D11" i="21"/>
  <c r="D5" i="21"/>
  <c r="D7" i="21" s="1"/>
  <c r="D1" i="21"/>
  <c r="D6" i="21" s="1"/>
  <c r="B13" i="18"/>
  <c r="B46" i="18" s="1"/>
  <c r="H4" i="20"/>
  <c r="C4" i="20"/>
  <c r="D4" i="20"/>
  <c r="E4" i="20"/>
  <c r="F4" i="20"/>
  <c r="G4" i="20"/>
  <c r="B4" i="20"/>
  <c r="M45" i="9"/>
  <c r="N45" i="9"/>
  <c r="N59" i="9"/>
  <c r="N57" i="9"/>
  <c r="J14" i="9"/>
  <c r="N14" i="9"/>
  <c r="N39" i="9"/>
  <c r="D57" i="9"/>
  <c r="E57" i="9"/>
  <c r="F57" i="9"/>
  <c r="G57" i="9"/>
  <c r="H57" i="9"/>
  <c r="I57" i="9"/>
  <c r="J57" i="9"/>
  <c r="K57" i="9"/>
  <c r="L57" i="9"/>
  <c r="M57" i="9"/>
  <c r="D59" i="9"/>
  <c r="E59" i="9"/>
  <c r="F59" i="9"/>
  <c r="G59" i="9"/>
  <c r="H59" i="9"/>
  <c r="I59" i="9"/>
  <c r="J59" i="9"/>
  <c r="K59" i="9"/>
  <c r="L59" i="9"/>
  <c r="M59" i="9"/>
  <c r="C44" i="9"/>
  <c r="C57" i="9"/>
  <c r="C59" i="9"/>
  <c r="N22" i="9"/>
  <c r="E44" i="9"/>
  <c r="F44" i="9"/>
  <c r="G44" i="9" s="1"/>
  <c r="H44" i="9" s="1"/>
  <c r="I44" i="9" s="1"/>
  <c r="J44" i="9" s="1"/>
  <c r="K44" i="9" s="1"/>
  <c r="L44" i="9" s="1"/>
  <c r="M44" i="9" s="1"/>
  <c r="N44" i="9" s="1"/>
  <c r="D44" i="9"/>
  <c r="C12" i="21"/>
  <c r="C11" i="21"/>
  <c r="C13" i="21"/>
  <c r="C5" i="21"/>
  <c r="C10" i="21" s="1"/>
  <c r="C17" i="21" s="1"/>
  <c r="C1" i="21"/>
  <c r="C6" i="21" s="1"/>
  <c r="C7" i="21" s="1"/>
  <c r="E18" i="9"/>
  <c r="F18" i="9" s="1"/>
  <c r="G18" i="9" s="1"/>
  <c r="H18" i="9" s="1"/>
  <c r="I18" i="9" s="1"/>
  <c r="J18" i="9" s="1"/>
  <c r="K18" i="9" s="1"/>
  <c r="L18" i="9" s="1"/>
  <c r="M18" i="9" s="1"/>
  <c r="N18" i="9" s="1"/>
  <c r="D18" i="9"/>
  <c r="D17" i="9"/>
  <c r="E17" i="9" s="1"/>
  <c r="G3" i="20"/>
  <c r="D3" i="20"/>
  <c r="E3" i="20"/>
  <c r="F3" i="20"/>
  <c r="C3" i="20"/>
  <c r="D8" i="19"/>
  <c r="D7" i="19"/>
  <c r="D6" i="19"/>
  <c r="E6" i="19"/>
  <c r="E7" i="19"/>
  <c r="E8" i="19"/>
  <c r="C6" i="19"/>
  <c r="C7" i="19"/>
  <c r="C8" i="19"/>
  <c r="B8" i="19"/>
  <c r="B7" i="19"/>
  <c r="B6" i="19"/>
  <c r="C6" i="11"/>
  <c r="E11" i="12"/>
  <c r="F11" i="12"/>
  <c r="E57" i="11"/>
  <c r="C57" i="11"/>
  <c r="D56" i="11"/>
  <c r="D57" i="11" s="1"/>
  <c r="E56" i="11"/>
  <c r="C56" i="11"/>
  <c r="C15" i="7"/>
  <c r="D10" i="7"/>
  <c r="E10" i="7" s="1"/>
  <c r="C14" i="6"/>
  <c r="C17" i="6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D14" i="3"/>
  <c r="D23" i="12"/>
  <c r="G23" i="12"/>
  <c r="H23" i="12"/>
  <c r="I23" i="12"/>
  <c r="J23" i="12"/>
  <c r="C23" i="12"/>
  <c r="O54" i="18"/>
  <c r="O55" i="18" s="1"/>
  <c r="M54" i="18"/>
  <c r="M55" i="18" s="1"/>
  <c r="M56" i="18" s="1"/>
  <c r="M57" i="18" s="1"/>
  <c r="N54" i="18"/>
  <c r="N55" i="18" s="1"/>
  <c r="N56" i="18" s="1"/>
  <c r="N57" i="18" s="1"/>
  <c r="I39" i="18"/>
  <c r="I38" i="18"/>
  <c r="J37" i="18"/>
  <c r="K37" i="18" s="1"/>
  <c r="L37" i="18" s="1"/>
  <c r="C25" i="18"/>
  <c r="D25" i="18"/>
  <c r="M25" i="18"/>
  <c r="N25" i="18"/>
  <c r="O25" i="18"/>
  <c r="B25" i="18"/>
  <c r="B3" i="18"/>
  <c r="O76" i="9"/>
  <c r="O77" i="9" s="1"/>
  <c r="C5" i="18"/>
  <c r="D5" i="18"/>
  <c r="E5" i="18"/>
  <c r="F5" i="18"/>
  <c r="G5" i="18"/>
  <c r="I5" i="18"/>
  <c r="I41" i="18" s="1"/>
  <c r="J5" i="18"/>
  <c r="J41" i="18" s="1"/>
  <c r="K41" i="18" s="1"/>
  <c r="L41" i="18" s="1"/>
  <c r="K5" i="18"/>
  <c r="L5" i="18"/>
  <c r="M5" i="18"/>
  <c r="N5" i="18"/>
  <c r="O5" i="18"/>
  <c r="B5" i="18"/>
  <c r="B37" i="18"/>
  <c r="O30" i="18"/>
  <c r="O27" i="18"/>
  <c r="D30" i="18"/>
  <c r="D27" i="18"/>
  <c r="N27" i="18"/>
  <c r="N30" i="18"/>
  <c r="G23" i="18"/>
  <c r="G27" i="18" s="1"/>
  <c r="I23" i="18"/>
  <c r="I27" i="18" s="1"/>
  <c r="J23" i="18"/>
  <c r="J27" i="18" s="1"/>
  <c r="K23" i="18"/>
  <c r="K27" i="18" s="1"/>
  <c r="L23" i="18"/>
  <c r="L27" i="18" s="1"/>
  <c r="F23" i="18"/>
  <c r="F27" i="18" s="1"/>
  <c r="G30" i="18"/>
  <c r="C27" i="18"/>
  <c r="C30" i="18"/>
  <c r="I30" i="18"/>
  <c r="K30" i="18"/>
  <c r="L30" i="18"/>
  <c r="M27" i="18"/>
  <c r="M30" i="18"/>
  <c r="E30" i="18"/>
  <c r="E32" i="18" s="1"/>
  <c r="F30" i="18"/>
  <c r="J30" i="18"/>
  <c r="B30" i="18"/>
  <c r="B27" i="18"/>
  <c r="C5" i="6"/>
  <c r="N21" i="9"/>
  <c r="N20" i="9"/>
  <c r="N33" i="9"/>
  <c r="N74" i="9"/>
  <c r="N9" i="9"/>
  <c r="N10" i="9"/>
  <c r="N11" i="9"/>
  <c r="O10" i="9"/>
  <c r="O9" i="9"/>
  <c r="O11" i="9"/>
  <c r="D74" i="9"/>
  <c r="E74" i="9"/>
  <c r="F74" i="9"/>
  <c r="G74" i="9"/>
  <c r="H74" i="9"/>
  <c r="I74" i="9"/>
  <c r="J74" i="9"/>
  <c r="K74" i="9"/>
  <c r="L74" i="9"/>
  <c r="M74" i="9"/>
  <c r="C74" i="9"/>
  <c r="D33" i="9"/>
  <c r="E33" i="9"/>
  <c r="F33" i="9"/>
  <c r="G33" i="9"/>
  <c r="H33" i="9"/>
  <c r="I33" i="9"/>
  <c r="J33" i="9"/>
  <c r="K33" i="9"/>
  <c r="L33" i="9"/>
  <c r="M33" i="9"/>
  <c r="C33" i="9"/>
  <c r="L67" i="11"/>
  <c r="K67" i="11"/>
  <c r="D68" i="11"/>
  <c r="E68" i="11"/>
  <c r="D69" i="11"/>
  <c r="E69" i="11"/>
  <c r="C69" i="11"/>
  <c r="C68" i="11"/>
  <c r="M9" i="9"/>
  <c r="M10" i="9"/>
  <c r="K9" i="9"/>
  <c r="K10" i="9"/>
  <c r="K11" i="9"/>
  <c r="L11" i="9"/>
  <c r="I11" i="9"/>
  <c r="I10" i="9"/>
  <c r="I9" i="9"/>
  <c r="J9" i="9"/>
  <c r="J10" i="9"/>
  <c r="L10" i="9" s="1"/>
  <c r="C12" i="9"/>
  <c r="I35" i="9"/>
  <c r="H66" i="9"/>
  <c r="H8" i="9"/>
  <c r="D69" i="9"/>
  <c r="E69" i="9" s="1"/>
  <c r="F69" i="9" s="1"/>
  <c r="G69" i="9" s="1"/>
  <c r="H69" i="9" s="1"/>
  <c r="H72" i="9" s="1"/>
  <c r="D70" i="9"/>
  <c r="E70" i="9" s="1"/>
  <c r="F70" i="9" s="1"/>
  <c r="G70" i="9" s="1"/>
  <c r="H70" i="9" s="1"/>
  <c r="H73" i="9" s="1"/>
  <c r="D68" i="9"/>
  <c r="E68" i="9" s="1"/>
  <c r="D3" i="9"/>
  <c r="I3" i="9" s="1"/>
  <c r="S21" i="6"/>
  <c r="S20" i="6"/>
  <c r="F23" i="9"/>
  <c r="F22" i="9"/>
  <c r="F21" i="9"/>
  <c r="F20" i="9"/>
  <c r="F11" i="9"/>
  <c r="F12" i="9" s="1"/>
  <c r="F8" i="9"/>
  <c r="M8" i="9" s="1"/>
  <c r="D24" i="9"/>
  <c r="E24" i="9" s="1"/>
  <c r="G24" i="9" s="1"/>
  <c r="D26" i="9"/>
  <c r="E26" i="9" s="1"/>
  <c r="G26" i="9" s="1"/>
  <c r="C27" i="9"/>
  <c r="D34" i="9"/>
  <c r="E34" i="9" s="1"/>
  <c r="G34" i="9" s="1"/>
  <c r="N34" i="9" s="1"/>
  <c r="D14" i="9"/>
  <c r="E14" i="9" s="1"/>
  <c r="G14" i="9" s="1"/>
  <c r="D15" i="9"/>
  <c r="E15" i="9" s="1"/>
  <c r="G15" i="9" s="1"/>
  <c r="D16" i="9"/>
  <c r="E16" i="9" s="1"/>
  <c r="G16" i="9" s="1"/>
  <c r="D25" i="9"/>
  <c r="E25" i="9" s="1"/>
  <c r="G25" i="9" s="1"/>
  <c r="E8" i="9"/>
  <c r="J8" i="9" s="1"/>
  <c r="C28" i="9"/>
  <c r="C29" i="9" s="1"/>
  <c r="D23" i="9"/>
  <c r="G23" i="9" s="1"/>
  <c r="D21" i="9"/>
  <c r="G21" i="9" s="1"/>
  <c r="D20" i="9"/>
  <c r="G20" i="9" s="1"/>
  <c r="D22" i="9"/>
  <c r="E22" i="9" s="1"/>
  <c r="H22" i="9" s="1"/>
  <c r="I22" i="9" s="1"/>
  <c r="J22" i="9" s="1"/>
  <c r="L22" i="9" s="1"/>
  <c r="D11" i="9"/>
  <c r="G11" i="9" s="1"/>
  <c r="G12" i="9" s="1"/>
  <c r="D8" i="9"/>
  <c r="I8" i="9" s="1"/>
  <c r="S25" i="6"/>
  <c r="C62" i="16"/>
  <c r="D62" i="16"/>
  <c r="B62" i="16"/>
  <c r="E62" i="16" s="1"/>
  <c r="G62" i="16"/>
  <c r="D58" i="16"/>
  <c r="G58" i="16" s="1"/>
  <c r="C58" i="16"/>
  <c r="F58" i="16" s="1"/>
  <c r="B58" i="16"/>
  <c r="E58" i="16" s="1"/>
  <c r="F35" i="16"/>
  <c r="E35" i="16"/>
  <c r="E36" i="16" s="1"/>
  <c r="E24" i="16"/>
  <c r="E7" i="16"/>
  <c r="E8" i="16"/>
  <c r="E19" i="16"/>
  <c r="E20" i="16"/>
  <c r="E27" i="16"/>
  <c r="E37" i="16"/>
  <c r="E50" i="16"/>
  <c r="E51" i="16"/>
  <c r="C27" i="16"/>
  <c r="C37" i="16" s="1"/>
  <c r="B37" i="16"/>
  <c r="B19" i="16"/>
  <c r="C19" i="16" s="1"/>
  <c r="D19" i="16" s="1"/>
  <c r="F19" i="16" s="1"/>
  <c r="F37" i="16" s="1"/>
  <c r="C20" i="16"/>
  <c r="D20" i="16" s="1"/>
  <c r="F20" i="16" s="1"/>
  <c r="D27" i="16"/>
  <c r="F27" i="16"/>
  <c r="B27" i="16"/>
  <c r="O54" i="16"/>
  <c r="O53" i="16"/>
  <c r="O52" i="16"/>
  <c r="O51" i="16"/>
  <c r="O50" i="16"/>
  <c r="O49" i="16"/>
  <c r="M50" i="16"/>
  <c r="M51" i="16"/>
  <c r="M52" i="16"/>
  <c r="M53" i="16"/>
  <c r="M54" i="16"/>
  <c r="M49" i="16"/>
  <c r="P54" i="16"/>
  <c r="P50" i="16"/>
  <c r="P51" i="16"/>
  <c r="P52" i="16"/>
  <c r="P53" i="16"/>
  <c r="P49" i="16"/>
  <c r="K7" i="16"/>
  <c r="K9" i="16" s="1"/>
  <c r="F7" i="16"/>
  <c r="F8" i="16" s="1"/>
  <c r="F36" i="16"/>
  <c r="F50" i="16"/>
  <c r="F51" i="16" s="1"/>
  <c r="D36" i="16"/>
  <c r="B50" i="16"/>
  <c r="B51" i="16" s="1"/>
  <c r="C50" i="16"/>
  <c r="C51" i="16" s="1"/>
  <c r="C7" i="16"/>
  <c r="C36" i="16"/>
  <c r="D8" i="16"/>
  <c r="B8" i="16"/>
  <c r="D45" i="11"/>
  <c r="D65" i="11"/>
  <c r="E65" i="11"/>
  <c r="C65" i="11"/>
  <c r="C42" i="11"/>
  <c r="D42" i="11"/>
  <c r="E42" i="11"/>
  <c r="D40" i="11"/>
  <c r="E40" i="11"/>
  <c r="C40" i="11"/>
  <c r="C8" i="7"/>
  <c r="C19" i="9" s="1"/>
  <c r="F19" i="9" s="1"/>
  <c r="D13" i="6"/>
  <c r="D10" i="6"/>
  <c r="E10" i="6" s="1"/>
  <c r="F10" i="6" s="1"/>
  <c r="G10" i="6" s="1"/>
  <c r="H10" i="6" s="1"/>
  <c r="I10" i="6" s="1"/>
  <c r="J10" i="6" s="1"/>
  <c r="K10" i="6" s="1"/>
  <c r="E61" i="11"/>
  <c r="C7" i="6" s="1"/>
  <c r="D7" i="6" s="1"/>
  <c r="E7" i="6" s="1"/>
  <c r="F7" i="6" s="1"/>
  <c r="G7" i="6" s="1"/>
  <c r="H7" i="6" s="1"/>
  <c r="I7" i="6" s="1"/>
  <c r="J7" i="6" s="1"/>
  <c r="K7" i="6" s="1"/>
  <c r="D23" i="11"/>
  <c r="E23" i="11" s="1"/>
  <c r="C5" i="3"/>
  <c r="C6" i="3"/>
  <c r="C5" i="7"/>
  <c r="C6" i="7"/>
  <c r="C18" i="7" s="1"/>
  <c r="C6" i="6"/>
  <c r="H70" i="18" l="1"/>
  <c r="H71" i="18" s="1"/>
  <c r="H72" i="18" s="1"/>
  <c r="H74" i="18" s="1"/>
  <c r="H32" i="18"/>
  <c r="H41" i="18"/>
  <c r="H40" i="18"/>
  <c r="H25" i="18"/>
  <c r="H22" i="18"/>
  <c r="H26" i="18"/>
  <c r="H34" i="18" s="1"/>
  <c r="H15" i="18"/>
  <c r="H16" i="18" s="1"/>
  <c r="H17" i="18" s="1"/>
  <c r="C13" i="18"/>
  <c r="D13" i="18" s="1"/>
  <c r="E13" i="18" s="1"/>
  <c r="F13" i="18" s="1"/>
  <c r="G13" i="18" s="1"/>
  <c r="D9" i="21"/>
  <c r="D16" i="21" s="1"/>
  <c r="D10" i="21"/>
  <c r="D17" i="21" s="1"/>
  <c r="C9" i="21"/>
  <c r="C16" i="21" s="1"/>
  <c r="F17" i="9"/>
  <c r="G55" i="9"/>
  <c r="C2" i="19"/>
  <c r="B5" i="20"/>
  <c r="O56" i="18"/>
  <c r="O57" i="18" s="1"/>
  <c r="O58" i="18"/>
  <c r="B47" i="18"/>
  <c r="K68" i="11"/>
  <c r="R15" i="6"/>
  <c r="D15" i="7"/>
  <c r="P15" i="6"/>
  <c r="H10" i="7"/>
  <c r="H15" i="7" s="1"/>
  <c r="F10" i="7"/>
  <c r="I10" i="7" s="1"/>
  <c r="J10" i="7" s="1"/>
  <c r="K10" i="7" s="1"/>
  <c r="Q15" i="6"/>
  <c r="G10" i="7"/>
  <c r="G15" i="7" s="1"/>
  <c r="L10" i="7"/>
  <c r="N10" i="7" s="1"/>
  <c r="M10" i="7"/>
  <c r="F15" i="7"/>
  <c r="E15" i="7"/>
  <c r="N58" i="18"/>
  <c r="M58" i="18"/>
  <c r="I37" i="18"/>
  <c r="H37" i="18" s="1"/>
  <c r="L25" i="18"/>
  <c r="K25" i="18"/>
  <c r="J25" i="18"/>
  <c r="I25" i="18"/>
  <c r="G25" i="18"/>
  <c r="F25" i="18"/>
  <c r="I32" i="18"/>
  <c r="O32" i="18"/>
  <c r="K32" i="18"/>
  <c r="D32" i="18"/>
  <c r="N32" i="18"/>
  <c r="C32" i="18"/>
  <c r="G32" i="18"/>
  <c r="M32" i="18"/>
  <c r="B32" i="18"/>
  <c r="J32" i="18"/>
  <c r="L32" i="18"/>
  <c r="F32" i="18"/>
  <c r="M22" i="9"/>
  <c r="I16" i="9"/>
  <c r="K22" i="9"/>
  <c r="M11" i="9"/>
  <c r="I12" i="9"/>
  <c r="I13" i="9" s="1"/>
  <c r="I37" i="9" s="1"/>
  <c r="F13" i="9"/>
  <c r="F37" i="9" s="1"/>
  <c r="K34" i="9"/>
  <c r="I15" i="9"/>
  <c r="O12" i="9"/>
  <c r="L8" i="9"/>
  <c r="L34" i="9"/>
  <c r="L9" i="9"/>
  <c r="O16" i="9"/>
  <c r="J16" i="9" s="1"/>
  <c r="D12" i="9"/>
  <c r="O15" i="9"/>
  <c r="O14" i="9"/>
  <c r="J3" i="9"/>
  <c r="I14" i="9"/>
  <c r="J34" i="9"/>
  <c r="I70" i="9"/>
  <c r="I69" i="9"/>
  <c r="K69" i="9" s="1"/>
  <c r="M69" i="9" s="1"/>
  <c r="G28" i="9"/>
  <c r="G29" i="9" s="1"/>
  <c r="F68" i="9"/>
  <c r="G68" i="9" s="1"/>
  <c r="H68" i="9" s="1"/>
  <c r="P36" i="6"/>
  <c r="F28" i="9"/>
  <c r="F34" i="9"/>
  <c r="F14" i="9"/>
  <c r="H14" i="9" s="1"/>
  <c r="D19" i="9"/>
  <c r="G19" i="9" s="1"/>
  <c r="F24" i="9"/>
  <c r="H24" i="9" s="1"/>
  <c r="I24" i="9" s="1"/>
  <c r="J24" i="9" s="1"/>
  <c r="M24" i="9" s="1"/>
  <c r="F15" i="9"/>
  <c r="H15" i="9" s="1"/>
  <c r="F25" i="9"/>
  <c r="H25" i="9" s="1"/>
  <c r="I25" i="9" s="1"/>
  <c r="J25" i="9" s="1"/>
  <c r="M25" i="9" s="1"/>
  <c r="F16" i="9"/>
  <c r="H16" i="9" s="1"/>
  <c r="F26" i="9"/>
  <c r="H26" i="9" s="1"/>
  <c r="I26" i="9" s="1"/>
  <c r="J26" i="9" s="1"/>
  <c r="M26" i="9" s="1"/>
  <c r="D28" i="9"/>
  <c r="D29" i="9" s="1"/>
  <c r="D27" i="9"/>
  <c r="C30" i="9"/>
  <c r="E11" i="9"/>
  <c r="E23" i="9"/>
  <c r="H23" i="9" s="1"/>
  <c r="I23" i="9" s="1"/>
  <c r="J23" i="9" s="1"/>
  <c r="M23" i="9" s="1"/>
  <c r="E21" i="9"/>
  <c r="H21" i="9" s="1"/>
  <c r="I21" i="9" s="1"/>
  <c r="J21" i="9" s="1"/>
  <c r="M21" i="9" s="1"/>
  <c r="E20" i="9"/>
  <c r="H20" i="9" s="1"/>
  <c r="I20" i="9" s="1"/>
  <c r="J20" i="9" s="1"/>
  <c r="M20" i="9" s="1"/>
  <c r="G22" i="9"/>
  <c r="G27" i="9" s="1"/>
  <c r="F62" i="16"/>
  <c r="D37" i="16"/>
  <c r="B36" i="16"/>
  <c r="C8" i="16"/>
  <c r="D7" i="3"/>
  <c r="E7" i="3" s="1"/>
  <c r="F7" i="3" s="1"/>
  <c r="G7" i="3" s="1"/>
  <c r="H7" i="3" s="1"/>
  <c r="I7" i="3" s="1"/>
  <c r="J7" i="3" s="1"/>
  <c r="K7" i="3" s="1"/>
  <c r="L7" i="3" s="1"/>
  <c r="N7" i="3" s="1"/>
  <c r="O7" i="3" s="1"/>
  <c r="D9" i="7"/>
  <c r="G9" i="7" s="1"/>
  <c r="E13" i="6"/>
  <c r="L10" i="6"/>
  <c r="N10" i="6" s="1"/>
  <c r="AD10" i="6" s="1"/>
  <c r="AE10" i="6" s="1"/>
  <c r="AF10" i="6" s="1"/>
  <c r="AG10" i="6" s="1"/>
  <c r="AH10" i="6" s="1"/>
  <c r="M10" i="6"/>
  <c r="L7" i="6"/>
  <c r="N7" i="6" s="1"/>
  <c r="M7" i="6"/>
  <c r="H22" i="7"/>
  <c r="M2" i="3"/>
  <c r="M3" i="3"/>
  <c r="M9" i="3"/>
  <c r="M12" i="3" s="1"/>
  <c r="M15" i="3"/>
  <c r="M21" i="3" s="1"/>
  <c r="M19" i="3"/>
  <c r="M20" i="3"/>
  <c r="C41" i="7"/>
  <c r="AI80" i="7"/>
  <c r="AH80" i="7"/>
  <c r="AG80" i="7"/>
  <c r="AF80" i="7"/>
  <c r="AE80" i="7"/>
  <c r="AE23" i="7"/>
  <c r="AF23" i="7" s="1"/>
  <c r="AG23" i="7" s="1"/>
  <c r="AH23" i="7" s="1"/>
  <c r="AI23" i="7" s="1"/>
  <c r="AE22" i="7"/>
  <c r="AF22" i="7" s="1"/>
  <c r="AE21" i="7"/>
  <c r="AF21" i="7" s="1"/>
  <c r="AE4" i="7"/>
  <c r="AE3" i="7"/>
  <c r="AF3" i="7" s="1"/>
  <c r="AG3" i="7" s="1"/>
  <c r="AH3" i="7" s="1"/>
  <c r="AI3" i="7" s="1"/>
  <c r="AE2" i="7"/>
  <c r="AF2" i="7" s="1"/>
  <c r="AD80" i="7"/>
  <c r="AC80" i="7"/>
  <c r="AB80" i="7"/>
  <c r="AA80" i="7"/>
  <c r="Z80" i="7"/>
  <c r="Z23" i="7"/>
  <c r="AA23" i="7" s="1"/>
  <c r="AB23" i="7" s="1"/>
  <c r="AC23" i="7" s="1"/>
  <c r="AD23" i="7" s="1"/>
  <c r="Z22" i="7"/>
  <c r="Z21" i="7"/>
  <c r="AA21" i="7" s="1"/>
  <c r="AB21" i="7" s="1"/>
  <c r="AC21" i="7" s="1"/>
  <c r="AD21" i="7" s="1"/>
  <c r="Z4" i="7"/>
  <c r="Z3" i="7"/>
  <c r="AA3" i="7" s="1"/>
  <c r="AB3" i="7" s="1"/>
  <c r="AC3" i="7" s="1"/>
  <c r="AD3" i="7" s="1"/>
  <c r="Z2" i="7"/>
  <c r="AA2" i="7" s="1"/>
  <c r="Y80" i="7"/>
  <c r="X80" i="7"/>
  <c r="W80" i="7"/>
  <c r="V80" i="7"/>
  <c r="U80" i="7"/>
  <c r="U23" i="7"/>
  <c r="V23" i="7" s="1"/>
  <c r="U22" i="7"/>
  <c r="U21" i="7"/>
  <c r="V21" i="7" s="1"/>
  <c r="U4" i="7"/>
  <c r="U3" i="7"/>
  <c r="V3" i="7" s="1"/>
  <c r="W3" i="7" s="1"/>
  <c r="X3" i="7" s="1"/>
  <c r="Y3" i="7" s="1"/>
  <c r="U2" i="7"/>
  <c r="V2" i="7" s="1"/>
  <c r="R80" i="7"/>
  <c r="S80" i="7"/>
  <c r="T80" i="7"/>
  <c r="Q80" i="7"/>
  <c r="P80" i="7"/>
  <c r="P3" i="7"/>
  <c r="Q3" i="7" s="1"/>
  <c r="R3" i="7" s="1"/>
  <c r="S3" i="7" s="1"/>
  <c r="T3" i="7" s="1"/>
  <c r="P4" i="7"/>
  <c r="Q4" i="7" s="1"/>
  <c r="R4" i="7" s="1"/>
  <c r="P21" i="7"/>
  <c r="P22" i="7"/>
  <c r="Q22" i="7" s="1"/>
  <c r="P23" i="7"/>
  <c r="P2" i="7"/>
  <c r="D8" i="7"/>
  <c r="E8" i="7" s="1"/>
  <c r="D7" i="7"/>
  <c r="E7" i="7" s="1"/>
  <c r="E18" i="7" s="1"/>
  <c r="AD21" i="6"/>
  <c r="AE21" i="6" s="1"/>
  <c r="AF21" i="6" s="1"/>
  <c r="AG21" i="6" s="1"/>
  <c r="AH21" i="6" s="1"/>
  <c r="AD20" i="6"/>
  <c r="AE20" i="6" s="1"/>
  <c r="AF20" i="6" s="1"/>
  <c r="AG20" i="6" s="1"/>
  <c r="AH20" i="6" s="1"/>
  <c r="AD19" i="6"/>
  <c r="AE19" i="6" s="1"/>
  <c r="AF19" i="6" s="1"/>
  <c r="AG19" i="6" s="1"/>
  <c r="AH19" i="6" s="1"/>
  <c r="AD4" i="6"/>
  <c r="AD3" i="6"/>
  <c r="AE3" i="6" s="1"/>
  <c r="AF3" i="6" s="1"/>
  <c r="AG3" i="6" s="1"/>
  <c r="AH3" i="6" s="1"/>
  <c r="AD2" i="6"/>
  <c r="AE2" i="6" s="1"/>
  <c r="AF2" i="6" s="1"/>
  <c r="AG2" i="6" s="1"/>
  <c r="AH2" i="6" s="1"/>
  <c r="Y21" i="6"/>
  <c r="Z21" i="6" s="1"/>
  <c r="AA21" i="6" s="1"/>
  <c r="AB21" i="6" s="1"/>
  <c r="AC21" i="6" s="1"/>
  <c r="Y20" i="6"/>
  <c r="Z20" i="6" s="1"/>
  <c r="AA20" i="6" s="1"/>
  <c r="AB20" i="6" s="1"/>
  <c r="AC20" i="6" s="1"/>
  <c r="Y19" i="6"/>
  <c r="Z19" i="6" s="1"/>
  <c r="AA19" i="6" s="1"/>
  <c r="AB19" i="6" s="1"/>
  <c r="AC19" i="6" s="1"/>
  <c r="Y4" i="6"/>
  <c r="Z4" i="6" s="1"/>
  <c r="Y3" i="6"/>
  <c r="Z3" i="6" s="1"/>
  <c r="AA3" i="6" s="1"/>
  <c r="AB3" i="6" s="1"/>
  <c r="AC3" i="6" s="1"/>
  <c r="Y2" i="6"/>
  <c r="Z2" i="6" s="1"/>
  <c r="AA2" i="6" s="1"/>
  <c r="AB2" i="6" s="1"/>
  <c r="AC2" i="6" s="1"/>
  <c r="T21" i="6"/>
  <c r="U21" i="6" s="1"/>
  <c r="V21" i="6" s="1"/>
  <c r="T20" i="6"/>
  <c r="U20" i="6" s="1"/>
  <c r="V20" i="6" s="1"/>
  <c r="W20" i="6" s="1"/>
  <c r="T19" i="6"/>
  <c r="U19" i="6" s="1"/>
  <c r="V19" i="6" s="1"/>
  <c r="D9" i="6"/>
  <c r="E9" i="6" s="1"/>
  <c r="T4" i="6"/>
  <c r="U4" i="6" s="1"/>
  <c r="T3" i="6"/>
  <c r="U3" i="6" s="1"/>
  <c r="V3" i="6" s="1"/>
  <c r="W3" i="6" s="1"/>
  <c r="X3" i="6" s="1"/>
  <c r="T2" i="6"/>
  <c r="U2" i="6" s="1"/>
  <c r="V2" i="6" s="1"/>
  <c r="W2" i="6" s="1"/>
  <c r="X2" i="6" s="1"/>
  <c r="D16" i="6"/>
  <c r="E16" i="6" s="1"/>
  <c r="D12" i="6"/>
  <c r="E12" i="6" s="1"/>
  <c r="F12" i="6" s="1"/>
  <c r="G12" i="6" s="1"/>
  <c r="H12" i="6" s="1"/>
  <c r="I12" i="6" s="1"/>
  <c r="J12" i="6" s="1"/>
  <c r="K12" i="6" s="1"/>
  <c r="L12" i="6" s="1"/>
  <c r="N12" i="6" s="1"/>
  <c r="O12" i="6" s="1"/>
  <c r="AD18" i="3"/>
  <c r="AC18" i="3"/>
  <c r="AB18" i="3"/>
  <c r="AA18" i="3"/>
  <c r="Z18" i="3"/>
  <c r="AD17" i="3"/>
  <c r="AC17" i="3"/>
  <c r="AB17" i="3"/>
  <c r="AA17" i="3"/>
  <c r="Z17" i="3"/>
  <c r="AD16" i="3"/>
  <c r="AC16" i="3"/>
  <c r="AB16" i="3"/>
  <c r="AA16" i="3"/>
  <c r="Z16" i="3"/>
  <c r="AI18" i="3"/>
  <c r="AH18" i="3"/>
  <c r="AG18" i="3"/>
  <c r="AF18" i="3"/>
  <c r="AE18" i="3"/>
  <c r="AI17" i="3"/>
  <c r="AH17" i="3"/>
  <c r="AG17" i="3"/>
  <c r="AF17" i="3"/>
  <c r="AE17" i="3"/>
  <c r="AI16" i="3"/>
  <c r="AH16" i="3"/>
  <c r="AG16" i="3"/>
  <c r="AF16" i="3"/>
  <c r="AE16" i="3"/>
  <c r="Y18" i="3"/>
  <c r="X18" i="3"/>
  <c r="W18" i="3"/>
  <c r="V18" i="3"/>
  <c r="U18" i="3"/>
  <c r="Y17" i="3"/>
  <c r="X17" i="3"/>
  <c r="W17" i="3"/>
  <c r="V17" i="3"/>
  <c r="U17" i="3"/>
  <c r="Y16" i="3"/>
  <c r="X16" i="3"/>
  <c r="W16" i="3"/>
  <c r="V16" i="3"/>
  <c r="U16" i="3"/>
  <c r="Q16" i="3"/>
  <c r="R16" i="3"/>
  <c r="S16" i="3"/>
  <c r="T16" i="3"/>
  <c r="Q17" i="3"/>
  <c r="R17" i="3"/>
  <c r="S17" i="3"/>
  <c r="T17" i="3"/>
  <c r="Q18" i="3"/>
  <c r="R18" i="3"/>
  <c r="S18" i="3"/>
  <c r="T18" i="3"/>
  <c r="P18" i="3"/>
  <c r="P17" i="3"/>
  <c r="P16" i="3"/>
  <c r="D4" i="3"/>
  <c r="E4" i="3" s="1"/>
  <c r="D3" i="3"/>
  <c r="E3" i="3" s="1"/>
  <c r="F3" i="3" s="1"/>
  <c r="G3" i="3" s="1"/>
  <c r="H3" i="3" s="1"/>
  <c r="I3" i="3" s="1"/>
  <c r="J3" i="3" s="1"/>
  <c r="K3" i="3" s="1"/>
  <c r="L3" i="3" s="1"/>
  <c r="N3" i="3" s="1"/>
  <c r="O3" i="3" s="1"/>
  <c r="D2" i="3"/>
  <c r="E2" i="3" s="1"/>
  <c r="F2" i="3" s="1"/>
  <c r="G2" i="3" s="1"/>
  <c r="H2" i="3" s="1"/>
  <c r="I2" i="3" s="1"/>
  <c r="J2" i="3" s="1"/>
  <c r="K2" i="3" s="1"/>
  <c r="L2" i="3" s="1"/>
  <c r="N2" i="3" s="1"/>
  <c r="D9" i="3"/>
  <c r="E9" i="3" s="1"/>
  <c r="D11" i="3"/>
  <c r="E11" i="3" s="1"/>
  <c r="F11" i="3" s="1"/>
  <c r="G11" i="3" s="1"/>
  <c r="H11" i="3" s="1"/>
  <c r="I11" i="3" s="1"/>
  <c r="J11" i="3" s="1"/>
  <c r="K11" i="3" s="1"/>
  <c r="L11" i="3" s="1"/>
  <c r="N11" i="3" s="1"/>
  <c r="O11" i="3" s="1"/>
  <c r="D12" i="3"/>
  <c r="D8" i="3"/>
  <c r="E8" i="3" s="1"/>
  <c r="F8" i="3" s="1"/>
  <c r="G8" i="3" s="1"/>
  <c r="H8" i="3" s="1"/>
  <c r="I8" i="3" s="1"/>
  <c r="J8" i="3" s="1"/>
  <c r="K8" i="3" s="1"/>
  <c r="L8" i="3" s="1"/>
  <c r="N8" i="3" s="1"/>
  <c r="O8" i="3" s="1"/>
  <c r="C39" i="6"/>
  <c r="I13" i="18" l="1"/>
  <c r="H13" i="18"/>
  <c r="H46" i="18" s="1"/>
  <c r="H47" i="18" s="1"/>
  <c r="G5" i="20"/>
  <c r="G17" i="9"/>
  <c r="M16" i="9"/>
  <c r="F6" i="19"/>
  <c r="D5" i="20"/>
  <c r="E5" i="20"/>
  <c r="F5" i="20"/>
  <c r="C5" i="20"/>
  <c r="M37" i="3"/>
  <c r="Z10" i="7"/>
  <c r="AA10" i="7" s="1"/>
  <c r="AB10" i="7" s="1"/>
  <c r="AC10" i="7" s="1"/>
  <c r="AD10" i="7" s="1"/>
  <c r="AE10" i="7"/>
  <c r="AF10" i="7" s="1"/>
  <c r="AG10" i="7" s="1"/>
  <c r="AH10" i="7" s="1"/>
  <c r="AI10" i="7" s="1"/>
  <c r="O10" i="7"/>
  <c r="P10" i="7"/>
  <c r="Q10" i="7" s="1"/>
  <c r="R10" i="7" s="1"/>
  <c r="S10" i="7" s="1"/>
  <c r="T10" i="7" s="1"/>
  <c r="U10" i="7"/>
  <c r="V10" i="7" s="1"/>
  <c r="W10" i="7" s="1"/>
  <c r="X10" i="7" s="1"/>
  <c r="Y10" i="7" s="1"/>
  <c r="I15" i="7"/>
  <c r="M11" i="3"/>
  <c r="AH11" i="3"/>
  <c r="E17" i="6"/>
  <c r="O13" i="9"/>
  <c r="O37" i="9" s="1"/>
  <c r="M27" i="9"/>
  <c r="H34" i="9"/>
  <c r="H47" i="9" s="1"/>
  <c r="M34" i="9"/>
  <c r="M28" i="9"/>
  <c r="M29" i="9" s="1"/>
  <c r="L25" i="9"/>
  <c r="K25" i="9"/>
  <c r="N25" i="9" s="1"/>
  <c r="L16" i="9"/>
  <c r="K16" i="9"/>
  <c r="N16" i="9" s="1"/>
  <c r="L21" i="9"/>
  <c r="K21" i="9"/>
  <c r="L24" i="9"/>
  <c r="K24" i="9"/>
  <c r="N24" i="9" s="1"/>
  <c r="L23" i="9"/>
  <c r="L28" i="9" s="1"/>
  <c r="K23" i="9"/>
  <c r="N23" i="9" s="1"/>
  <c r="N28" i="9" s="1"/>
  <c r="N29" i="9" s="1"/>
  <c r="L26" i="9"/>
  <c r="K26" i="9"/>
  <c r="N26" i="9" s="1"/>
  <c r="J70" i="9"/>
  <c r="L70" i="9" s="1"/>
  <c r="N70" i="9" s="1"/>
  <c r="K70" i="9"/>
  <c r="M70" i="9" s="1"/>
  <c r="L20" i="9"/>
  <c r="K20" i="9"/>
  <c r="J12" i="9"/>
  <c r="F8" i="19" s="1"/>
  <c r="J15" i="9"/>
  <c r="M15" i="9" s="1"/>
  <c r="D13" i="9"/>
  <c r="D37" i="9" s="1"/>
  <c r="J28" i="9"/>
  <c r="J29" i="9" s="1"/>
  <c r="H11" i="9"/>
  <c r="H12" i="9" s="1"/>
  <c r="H13" i="9" s="1"/>
  <c r="H37" i="9" s="1"/>
  <c r="E12" i="9"/>
  <c r="E13" i="9" s="1"/>
  <c r="E37" i="9" s="1"/>
  <c r="J27" i="9"/>
  <c r="I72" i="9"/>
  <c r="J69" i="9"/>
  <c r="L69" i="9" s="1"/>
  <c r="N69" i="9" s="1"/>
  <c r="H71" i="9"/>
  <c r="I68" i="9"/>
  <c r="I28" i="9"/>
  <c r="I29" i="9" s="1"/>
  <c r="I27" i="9"/>
  <c r="H28" i="9"/>
  <c r="H29" i="9" s="1"/>
  <c r="H27" i="9"/>
  <c r="F29" i="9"/>
  <c r="E19" i="9"/>
  <c r="S12" i="6"/>
  <c r="P12" i="6"/>
  <c r="Q12" i="6" s="1"/>
  <c r="R12" i="6" s="1"/>
  <c r="E27" i="9"/>
  <c r="F27" i="9"/>
  <c r="E28" i="9"/>
  <c r="E29" i="9" s="1"/>
  <c r="G30" i="9"/>
  <c r="G45" i="9" s="1"/>
  <c r="D30" i="9"/>
  <c r="E9" i="7"/>
  <c r="H9" i="7" s="1"/>
  <c r="D19" i="7"/>
  <c r="L19" i="7"/>
  <c r="C19" i="7"/>
  <c r="G15" i="6"/>
  <c r="O15" i="6"/>
  <c r="G10" i="3"/>
  <c r="O10" i="3"/>
  <c r="K10" i="3"/>
  <c r="M15" i="6"/>
  <c r="N15" i="6"/>
  <c r="E19" i="7"/>
  <c r="M19" i="7"/>
  <c r="U19" i="7"/>
  <c r="H15" i="6"/>
  <c r="S15" i="6"/>
  <c r="H10" i="3"/>
  <c r="C15" i="6"/>
  <c r="E15" i="6"/>
  <c r="F15" i="6"/>
  <c r="F19" i="7"/>
  <c r="N19" i="7"/>
  <c r="I15" i="6"/>
  <c r="T15" i="6"/>
  <c r="I10" i="3"/>
  <c r="H19" i="7"/>
  <c r="S19" i="7"/>
  <c r="G19" i="7"/>
  <c r="O19" i="7"/>
  <c r="AE19" i="7"/>
  <c r="C8" i="6"/>
  <c r="J15" i="6"/>
  <c r="Y15" i="6"/>
  <c r="J10" i="3"/>
  <c r="P19" i="7"/>
  <c r="K15" i="6"/>
  <c r="E10" i="3"/>
  <c r="E13" i="3" s="1"/>
  <c r="K19" i="7"/>
  <c r="F10" i="3"/>
  <c r="I19" i="7"/>
  <c r="Q19" i="7"/>
  <c r="D15" i="6"/>
  <c r="L15" i="6"/>
  <c r="D10" i="3"/>
  <c r="D13" i="3" s="1"/>
  <c r="L10" i="3"/>
  <c r="C10" i="3"/>
  <c r="C13" i="3" s="1"/>
  <c r="J19" i="7"/>
  <c r="R19" i="7"/>
  <c r="Z19" i="7"/>
  <c r="N10" i="3"/>
  <c r="F17" i="7"/>
  <c r="F13" i="6"/>
  <c r="T10" i="6"/>
  <c r="U10" i="6" s="1"/>
  <c r="V10" i="6" s="1"/>
  <c r="O10" i="6"/>
  <c r="AE4" i="6"/>
  <c r="AE15" i="6" s="1"/>
  <c r="AD15" i="6"/>
  <c r="V4" i="6"/>
  <c r="U15" i="6"/>
  <c r="AA4" i="6"/>
  <c r="AA15" i="6" s="1"/>
  <c r="Z15" i="6"/>
  <c r="D39" i="6"/>
  <c r="C34" i="6"/>
  <c r="O7" i="6"/>
  <c r="AD7" i="6"/>
  <c r="AE7" i="6" s="1"/>
  <c r="AF7" i="6" s="1"/>
  <c r="AG7" i="6" s="1"/>
  <c r="AH7" i="6" s="1"/>
  <c r="Y7" i="6"/>
  <c r="Z7" i="6" s="1"/>
  <c r="AA7" i="6" s="1"/>
  <c r="AB7" i="6" s="1"/>
  <c r="AC7" i="6" s="1"/>
  <c r="T7" i="6"/>
  <c r="U7" i="6" s="1"/>
  <c r="V7" i="6" s="1"/>
  <c r="W7" i="6" s="1"/>
  <c r="X7" i="6" s="1"/>
  <c r="M8" i="3"/>
  <c r="U8" i="3"/>
  <c r="M7" i="3"/>
  <c r="M10" i="3" s="1"/>
  <c r="N17" i="7"/>
  <c r="C17" i="7"/>
  <c r="AA17" i="7"/>
  <c r="L17" i="7"/>
  <c r="D17" i="7"/>
  <c r="E17" i="7"/>
  <c r="K17" i="7"/>
  <c r="J17" i="7"/>
  <c r="AF17" i="7"/>
  <c r="I17" i="7"/>
  <c r="H17" i="7"/>
  <c r="M17" i="7"/>
  <c r="V17" i="7"/>
  <c r="G17" i="7"/>
  <c r="O17" i="7"/>
  <c r="AD12" i="6"/>
  <c r="AE12" i="6" s="1"/>
  <c r="AF12" i="6" s="1"/>
  <c r="AG12" i="6" s="1"/>
  <c r="AH12" i="6" s="1"/>
  <c r="T12" i="6"/>
  <c r="U12" i="6" s="1"/>
  <c r="V12" i="6" s="1"/>
  <c r="W12" i="6" s="1"/>
  <c r="X12" i="6" s="1"/>
  <c r="Y12" i="6"/>
  <c r="Z12" i="6" s="1"/>
  <c r="AA12" i="6" s="1"/>
  <c r="AB12" i="6" s="1"/>
  <c r="AC12" i="6" s="1"/>
  <c r="M12" i="6"/>
  <c r="M32" i="3"/>
  <c r="M25" i="3"/>
  <c r="U17" i="7"/>
  <c r="Z17" i="7"/>
  <c r="Q2" i="7"/>
  <c r="P17" i="7"/>
  <c r="AE17" i="7"/>
  <c r="D18" i="7"/>
  <c r="D41" i="7" s="1"/>
  <c r="AG22" i="7"/>
  <c r="R22" i="7"/>
  <c r="Q23" i="7"/>
  <c r="V22" i="7"/>
  <c r="AA22" i="7"/>
  <c r="Q21" i="7"/>
  <c r="AG21" i="7"/>
  <c r="AG2" i="7"/>
  <c r="AG17" i="7" s="1"/>
  <c r="AF4" i="7"/>
  <c r="AF19" i="7" s="1"/>
  <c r="AB2" i="7"/>
  <c r="AB17" i="7" s="1"/>
  <c r="AA4" i="7"/>
  <c r="AA19" i="7" s="1"/>
  <c r="W21" i="7"/>
  <c r="W23" i="7"/>
  <c r="X23" i="7" s="1"/>
  <c r="Y23" i="7" s="1"/>
  <c r="W2" i="7"/>
  <c r="W17" i="7" s="1"/>
  <c r="V4" i="7"/>
  <c r="V19" i="7" s="1"/>
  <c r="S4" i="7"/>
  <c r="G7" i="7"/>
  <c r="G8" i="7"/>
  <c r="F8" i="7"/>
  <c r="H8" i="7"/>
  <c r="F7" i="7"/>
  <c r="F18" i="7" s="1"/>
  <c r="H7" i="7"/>
  <c r="E41" i="7"/>
  <c r="D17" i="6"/>
  <c r="AB4" i="6"/>
  <c r="AB15" i="6" s="1"/>
  <c r="W19" i="6"/>
  <c r="X20" i="6"/>
  <c r="W21" i="6"/>
  <c r="F9" i="6"/>
  <c r="F17" i="6" s="1"/>
  <c r="E39" i="6"/>
  <c r="F16" i="6"/>
  <c r="O2" i="3"/>
  <c r="Z2" i="3"/>
  <c r="AA2" i="3" s="1"/>
  <c r="AB2" i="3" s="1"/>
  <c r="AC2" i="3" s="1"/>
  <c r="AD2" i="3" s="1"/>
  <c r="AI11" i="3"/>
  <c r="Z8" i="3"/>
  <c r="AA8" i="3" s="1"/>
  <c r="AB8" i="3" s="1"/>
  <c r="AC8" i="3" s="1"/>
  <c r="AD8" i="3" s="1"/>
  <c r="AG11" i="3"/>
  <c r="U11" i="3"/>
  <c r="AF11" i="3"/>
  <c r="Z7" i="3"/>
  <c r="Z10" i="3" s="1"/>
  <c r="Z3" i="3"/>
  <c r="AA3" i="3" s="1"/>
  <c r="AB3" i="3" s="1"/>
  <c r="AC3" i="3" s="1"/>
  <c r="AD3" i="3" s="1"/>
  <c r="Z11" i="3"/>
  <c r="AD7" i="3"/>
  <c r="AD10" i="3" s="1"/>
  <c r="P8" i="3"/>
  <c r="Q8" i="3" s="1"/>
  <c r="R8" i="3" s="1"/>
  <c r="S8" i="3" s="1"/>
  <c r="T8" i="3" s="1"/>
  <c r="AE8" i="3"/>
  <c r="AF8" i="3" s="1"/>
  <c r="AG8" i="3" s="1"/>
  <c r="AH8" i="3" s="1"/>
  <c r="AI8" i="3" s="1"/>
  <c r="AC7" i="3"/>
  <c r="AC10" i="3" s="1"/>
  <c r="AE11" i="3"/>
  <c r="AB7" i="3"/>
  <c r="AB10" i="3" s="1"/>
  <c r="P11" i="3"/>
  <c r="AA7" i="3"/>
  <c r="AA10" i="3" s="1"/>
  <c r="U2" i="3"/>
  <c r="AE3" i="3"/>
  <c r="AF3" i="3" s="1"/>
  <c r="AG3" i="3" s="1"/>
  <c r="AH3" i="3" s="1"/>
  <c r="AI3" i="3" s="1"/>
  <c r="U7" i="3"/>
  <c r="U10" i="3" s="1"/>
  <c r="AE7" i="3"/>
  <c r="AF7" i="3" s="1"/>
  <c r="AG7" i="3" s="1"/>
  <c r="AH7" i="3" s="1"/>
  <c r="AI7" i="3" s="1"/>
  <c r="AI10" i="3" s="1"/>
  <c r="P7" i="3"/>
  <c r="Q7" i="3" s="1"/>
  <c r="R7" i="3" s="1"/>
  <c r="S7" i="3" s="1"/>
  <c r="T7" i="3" s="1"/>
  <c r="T10" i="3" s="1"/>
  <c r="P3" i="3"/>
  <c r="Q3" i="3" s="1"/>
  <c r="R3" i="3" s="1"/>
  <c r="S3" i="3" s="1"/>
  <c r="T3" i="3" s="1"/>
  <c r="P2" i="3"/>
  <c r="Q2" i="3" s="1"/>
  <c r="R2" i="3" s="1"/>
  <c r="S2" i="3" s="1"/>
  <c r="T2" i="3" s="1"/>
  <c r="U3" i="3"/>
  <c r="AE2" i="3"/>
  <c r="AF2" i="3" s="1"/>
  <c r="AG2" i="3" s="1"/>
  <c r="AH2" i="3" s="1"/>
  <c r="AI2" i="3" s="1"/>
  <c r="F4" i="3"/>
  <c r="F9" i="3"/>
  <c r="E12" i="3"/>
  <c r="C54" i="11"/>
  <c r="F3" i="10"/>
  <c r="G3" i="10" s="1"/>
  <c r="F4" i="10"/>
  <c r="G4" i="10" s="1"/>
  <c r="F5" i="10"/>
  <c r="G5" i="10"/>
  <c r="F6" i="10"/>
  <c r="G6" i="10" s="1"/>
  <c r="F7" i="10"/>
  <c r="G7" i="10" s="1"/>
  <c r="F8" i="10"/>
  <c r="G8" i="10" s="1"/>
  <c r="F9" i="10"/>
  <c r="G9" i="10" s="1"/>
  <c r="F10" i="10"/>
  <c r="G10" i="10" s="1"/>
  <c r="F11" i="10"/>
  <c r="G11" i="10" s="1"/>
  <c r="F12" i="10"/>
  <c r="G12" i="10" s="1"/>
  <c r="F13" i="10"/>
  <c r="G13" i="10"/>
  <c r="F14" i="10"/>
  <c r="G14" i="10" s="1"/>
  <c r="F15" i="10"/>
  <c r="G15" i="10" s="1"/>
  <c r="F16" i="10"/>
  <c r="G16" i="10" s="1"/>
  <c r="F17" i="10"/>
  <c r="G17" i="10"/>
  <c r="G2" i="10"/>
  <c r="F2" i="10"/>
  <c r="D2" i="10"/>
  <c r="E2" i="10" s="1"/>
  <c r="D3" i="10"/>
  <c r="D4" i="10"/>
  <c r="D5" i="10"/>
  <c r="D6" i="10"/>
  <c r="D7" i="10"/>
  <c r="D8" i="10"/>
  <c r="E8" i="10" s="1"/>
  <c r="D9" i="10"/>
  <c r="E9" i="10" s="1"/>
  <c r="D10" i="10"/>
  <c r="E10" i="10" s="1"/>
  <c r="D11" i="10"/>
  <c r="D12" i="10"/>
  <c r="E12" i="10" s="1"/>
  <c r="D13" i="10"/>
  <c r="D14" i="10"/>
  <c r="D15" i="10"/>
  <c r="D16" i="10"/>
  <c r="E16" i="10" s="1"/>
  <c r="D17" i="10"/>
  <c r="E17" i="10" s="1"/>
  <c r="E3" i="10"/>
  <c r="E4" i="10"/>
  <c r="E5" i="10"/>
  <c r="E6" i="10"/>
  <c r="E7" i="10"/>
  <c r="E11" i="10"/>
  <c r="E13" i="10"/>
  <c r="E14" i="10"/>
  <c r="E15" i="10"/>
  <c r="D54" i="11"/>
  <c r="E54" i="11"/>
  <c r="D47" i="11"/>
  <c r="E47" i="11"/>
  <c r="C47" i="11"/>
  <c r="D32" i="11"/>
  <c r="E3" i="15"/>
  <c r="J13" i="18" l="1"/>
  <c r="I46" i="18"/>
  <c r="I47" i="18" s="1"/>
  <c r="H17" i="9"/>
  <c r="H48" i="9"/>
  <c r="M30" i="9"/>
  <c r="N27" i="9"/>
  <c r="N30" i="9" s="1"/>
  <c r="M14" i="9"/>
  <c r="F7" i="19"/>
  <c r="V8" i="3"/>
  <c r="W8" i="3" s="1"/>
  <c r="X8" i="3" s="1"/>
  <c r="Y8" i="3" s="1"/>
  <c r="J49" i="9"/>
  <c r="N49" i="9"/>
  <c r="I49" i="9"/>
  <c r="M49" i="9"/>
  <c r="K49" i="9"/>
  <c r="L49" i="9"/>
  <c r="J15" i="7"/>
  <c r="M30" i="3"/>
  <c r="H41" i="9"/>
  <c r="H43" i="9" s="1"/>
  <c r="H55" i="9"/>
  <c r="H42" i="9"/>
  <c r="L14" i="9"/>
  <c r="K14" i="9"/>
  <c r="H38" i="9"/>
  <c r="H40" i="9" s="1"/>
  <c r="H39" i="9"/>
  <c r="L29" i="9"/>
  <c r="L27" i="9"/>
  <c r="K12" i="9"/>
  <c r="N12" i="9" s="1"/>
  <c r="M12" i="9"/>
  <c r="J68" i="9"/>
  <c r="L68" i="9" s="1"/>
  <c r="N68" i="9" s="1"/>
  <c r="K68" i="9"/>
  <c r="M68" i="9" s="1"/>
  <c r="K28" i="9"/>
  <c r="K29" i="9" s="1"/>
  <c r="L15" i="9"/>
  <c r="K15" i="9"/>
  <c r="N15" i="9" s="1"/>
  <c r="K27" i="9"/>
  <c r="K30" i="9" s="1"/>
  <c r="J13" i="9"/>
  <c r="L12" i="9"/>
  <c r="J30" i="9"/>
  <c r="I30" i="9"/>
  <c r="H19" i="9"/>
  <c r="I19" i="9" s="1"/>
  <c r="E30" i="9"/>
  <c r="H49" i="9"/>
  <c r="H30" i="9"/>
  <c r="F30" i="9"/>
  <c r="S7" i="6"/>
  <c r="P7" i="6"/>
  <c r="Q7" i="6" s="1"/>
  <c r="R7" i="6" s="1"/>
  <c r="S10" i="6"/>
  <c r="P10" i="6"/>
  <c r="Q10" i="6" s="1"/>
  <c r="R10" i="6" s="1"/>
  <c r="F49" i="9"/>
  <c r="AF4" i="6"/>
  <c r="AF15" i="6" s="1"/>
  <c r="E49" i="9"/>
  <c r="C49" i="9"/>
  <c r="G49" i="9"/>
  <c r="G56" i="9" s="1"/>
  <c r="D49" i="9"/>
  <c r="F9" i="7"/>
  <c r="I9" i="7" s="1"/>
  <c r="J9" i="7" s="1"/>
  <c r="K9" i="7" s="1"/>
  <c r="M9" i="7" s="1"/>
  <c r="D8" i="6"/>
  <c r="E8" i="6" s="1"/>
  <c r="P10" i="3"/>
  <c r="S10" i="3"/>
  <c r="AH10" i="3"/>
  <c r="AG10" i="3"/>
  <c r="AE10" i="3"/>
  <c r="R10" i="3"/>
  <c r="Q10" i="3"/>
  <c r="AF10" i="3"/>
  <c r="G13" i="6"/>
  <c r="W10" i="6"/>
  <c r="X10" i="6" s="1"/>
  <c r="Y10" i="6"/>
  <c r="Z10" i="6" s="1"/>
  <c r="AA10" i="6" s="1"/>
  <c r="AB10" i="6" s="1"/>
  <c r="AC10" i="6" s="1"/>
  <c r="W4" i="6"/>
  <c r="V15" i="6"/>
  <c r="R2" i="7"/>
  <c r="Q17" i="7"/>
  <c r="H18" i="7"/>
  <c r="H41" i="7" s="1"/>
  <c r="G18" i="7"/>
  <c r="G41" i="7" s="1"/>
  <c r="AB22" i="7"/>
  <c r="AH22" i="7"/>
  <c r="S22" i="7"/>
  <c r="X21" i="7"/>
  <c r="R23" i="7"/>
  <c r="W22" i="7"/>
  <c r="AH21" i="7"/>
  <c r="R21" i="7"/>
  <c r="AG4" i="7"/>
  <c r="AG19" i="7" s="1"/>
  <c r="AH2" i="7"/>
  <c r="AH17" i="7" s="1"/>
  <c r="AB4" i="7"/>
  <c r="AB19" i="7" s="1"/>
  <c r="AC2" i="7"/>
  <c r="AC17" i="7" s="1"/>
  <c r="X2" i="7"/>
  <c r="X17" i="7" s="1"/>
  <c r="W4" i="7"/>
  <c r="W19" i="7" s="1"/>
  <c r="T4" i="7"/>
  <c r="T19" i="7" s="1"/>
  <c r="I8" i="7"/>
  <c r="I7" i="7"/>
  <c r="I18" i="7" s="1"/>
  <c r="F41" i="7"/>
  <c r="AC4" i="6"/>
  <c r="AC15" i="6" s="1"/>
  <c r="X21" i="6"/>
  <c r="X19" i="6"/>
  <c r="G9" i="6"/>
  <c r="G17" i="6" s="1"/>
  <c r="G16" i="6"/>
  <c r="F39" i="6"/>
  <c r="V2" i="3"/>
  <c r="W2" i="3" s="1"/>
  <c r="X2" i="3" s="1"/>
  <c r="Y2" i="3" s="1"/>
  <c r="AA11" i="3"/>
  <c r="V3" i="3"/>
  <c r="W3" i="3" s="1"/>
  <c r="X3" i="3" s="1"/>
  <c r="Y3" i="3" s="1"/>
  <c r="Q11" i="3"/>
  <c r="V7" i="3"/>
  <c r="F13" i="3"/>
  <c r="G4" i="3"/>
  <c r="F12" i="3"/>
  <c r="G9" i="3"/>
  <c r="E32" i="11"/>
  <c r="E19" i="11"/>
  <c r="E28" i="11" s="1" a="1"/>
  <c r="E28" i="11" s="1"/>
  <c r="E72" i="11" s="1"/>
  <c r="E73" i="11" s="1"/>
  <c r="J46" i="18" l="1"/>
  <c r="J47" i="18" s="1"/>
  <c r="K13" i="18"/>
  <c r="I17" i="9"/>
  <c r="L9" i="7"/>
  <c r="N9" i="7" s="1"/>
  <c r="K15" i="7"/>
  <c r="M15" i="7"/>
  <c r="H53" i="9"/>
  <c r="H56" i="9"/>
  <c r="H45" i="9"/>
  <c r="L30" i="9"/>
  <c r="K13" i="9"/>
  <c r="M13" i="9"/>
  <c r="M37" i="9" s="1"/>
  <c r="J37" i="9"/>
  <c r="L13" i="9"/>
  <c r="L37" i="9" s="1"/>
  <c r="I45" i="9"/>
  <c r="J19" i="9"/>
  <c r="M19" i="9" s="1"/>
  <c r="AG4" i="6"/>
  <c r="AG15" i="6" s="1"/>
  <c r="W7" i="3"/>
  <c r="V10" i="3"/>
  <c r="AE9" i="7"/>
  <c r="AF9" i="7" s="1"/>
  <c r="AG9" i="7" s="1"/>
  <c r="AH9" i="7" s="1"/>
  <c r="AI9" i="7" s="1"/>
  <c r="Z9" i="7"/>
  <c r="AA9" i="7" s="1"/>
  <c r="AB9" i="7" s="1"/>
  <c r="AC9" i="7" s="1"/>
  <c r="AD9" i="7" s="1"/>
  <c r="O9" i="7"/>
  <c r="P9" i="7"/>
  <c r="Q9" i="7" s="1"/>
  <c r="R9" i="7" s="1"/>
  <c r="S9" i="7" s="1"/>
  <c r="T9" i="7" s="1"/>
  <c r="U9" i="7"/>
  <c r="V9" i="7" s="1"/>
  <c r="W9" i="7" s="1"/>
  <c r="X9" i="7" s="1"/>
  <c r="Y9" i="7" s="1"/>
  <c r="H13" i="6"/>
  <c r="X4" i="6"/>
  <c r="X15" i="6" s="1"/>
  <c r="W15" i="6"/>
  <c r="S2" i="7"/>
  <c r="R17" i="7"/>
  <c r="S21" i="7"/>
  <c r="T22" i="7"/>
  <c r="AI21" i="7"/>
  <c r="X22" i="7"/>
  <c r="AI22" i="7"/>
  <c r="Y21" i="7"/>
  <c r="S23" i="7"/>
  <c r="AC22" i="7"/>
  <c r="AH4" i="7"/>
  <c r="AH19" i="7" s="1"/>
  <c r="AI2" i="7"/>
  <c r="AI17" i="7" s="1"/>
  <c r="AD2" i="7"/>
  <c r="AD17" i="7" s="1"/>
  <c r="AC4" i="7"/>
  <c r="AC19" i="7" s="1"/>
  <c r="Y2" i="7"/>
  <c r="Y17" i="7" s="1"/>
  <c r="X4" i="7"/>
  <c r="X19" i="7" s="1"/>
  <c r="J8" i="7"/>
  <c r="J7" i="7"/>
  <c r="J18" i="7" s="1"/>
  <c r="I41" i="7"/>
  <c r="AH4" i="6"/>
  <c r="AH15" i="6" s="1"/>
  <c r="H9" i="6"/>
  <c r="H17" i="6" s="1"/>
  <c r="F8" i="6"/>
  <c r="G39" i="6"/>
  <c r="H16" i="6"/>
  <c r="R11" i="3"/>
  <c r="AB11" i="3"/>
  <c r="G13" i="3"/>
  <c r="H4" i="3"/>
  <c r="G12" i="3"/>
  <c r="H9" i="3"/>
  <c r="D34" i="12"/>
  <c r="D5" i="12"/>
  <c r="E5" i="12" s="1"/>
  <c r="F5" i="12" s="1"/>
  <c r="G5" i="12" s="1"/>
  <c r="H5" i="12" s="1"/>
  <c r="I5" i="12" s="1"/>
  <c r="J5" i="12" s="1"/>
  <c r="C4" i="12"/>
  <c r="D4" i="12" s="1"/>
  <c r="A4" i="14"/>
  <c r="A5" i="14"/>
  <c r="A6" i="14"/>
  <c r="A7" i="14"/>
  <c r="A3" i="14"/>
  <c r="G7" i="14"/>
  <c r="G5" i="14"/>
  <c r="G6" i="14"/>
  <c r="G4" i="14"/>
  <c r="G3" i="14"/>
  <c r="D35" i="1"/>
  <c r="D36" i="1" s="1"/>
  <c r="C36" i="1"/>
  <c r="D2" i="12"/>
  <c r="E2" i="12" s="1"/>
  <c r="F2" i="12" s="1"/>
  <c r="G2" i="12" s="1"/>
  <c r="H2" i="12" s="1"/>
  <c r="I2" i="12" s="1"/>
  <c r="J2" i="12" s="1"/>
  <c r="D3" i="12"/>
  <c r="E3" i="12" s="1"/>
  <c r="F3" i="12" s="1"/>
  <c r="G3" i="12" s="1"/>
  <c r="H3" i="12" s="1"/>
  <c r="I3" i="12" s="1"/>
  <c r="J3" i="12" s="1"/>
  <c r="D8" i="12"/>
  <c r="D10" i="12"/>
  <c r="D18" i="12" s="1"/>
  <c r="D11" i="12"/>
  <c r="D12" i="12"/>
  <c r="D13" i="12"/>
  <c r="J26" i="13"/>
  <c r="B26" i="13"/>
  <c r="M26" i="13"/>
  <c r="R26" i="13" s="1"/>
  <c r="O26" i="13"/>
  <c r="K26" i="13"/>
  <c r="L26" i="13" s="1"/>
  <c r="N26" i="13" s="1"/>
  <c r="P26" i="13" s="1"/>
  <c r="Q26" i="13" s="1"/>
  <c r="T26" i="13" s="1"/>
  <c r="R7" i="13"/>
  <c r="S7" i="13" s="1"/>
  <c r="M4" i="13"/>
  <c r="M5" i="13"/>
  <c r="M6" i="13"/>
  <c r="M7" i="13"/>
  <c r="M8" i="13"/>
  <c r="R8" i="13" s="1"/>
  <c r="S8" i="13" s="1"/>
  <c r="M9" i="13"/>
  <c r="R9" i="13" s="1"/>
  <c r="S9" i="13" s="1"/>
  <c r="M10" i="13"/>
  <c r="R10" i="13" s="1"/>
  <c r="S10" i="13" s="1"/>
  <c r="M11" i="13"/>
  <c r="M12" i="13"/>
  <c r="M13" i="13"/>
  <c r="M14" i="13"/>
  <c r="M21" i="13"/>
  <c r="R21" i="13" s="1"/>
  <c r="S21" i="13" s="1"/>
  <c r="M22" i="13"/>
  <c r="R22" i="13" s="1"/>
  <c r="M23" i="13"/>
  <c r="M24" i="13"/>
  <c r="M25" i="13"/>
  <c r="M3" i="13"/>
  <c r="O4" i="13"/>
  <c r="O5" i="13"/>
  <c r="O6" i="13"/>
  <c r="O7" i="13"/>
  <c r="O8" i="13"/>
  <c r="O9" i="13"/>
  <c r="O10" i="13"/>
  <c r="O11" i="13"/>
  <c r="O12" i="13"/>
  <c r="O13" i="13"/>
  <c r="O14" i="13"/>
  <c r="O21" i="13"/>
  <c r="O22" i="13"/>
  <c r="O23" i="13"/>
  <c r="O24" i="13"/>
  <c r="O25" i="13"/>
  <c r="O3" i="13"/>
  <c r="Q1" i="13"/>
  <c r="K13" i="13"/>
  <c r="K14" i="13"/>
  <c r="J14" i="13"/>
  <c r="J13" i="13"/>
  <c r="B14" i="13"/>
  <c r="B13" i="13"/>
  <c r="H14" i="13"/>
  <c r="H13" i="13"/>
  <c r="K22" i="13"/>
  <c r="J22" i="13"/>
  <c r="H22" i="13"/>
  <c r="B22" i="13"/>
  <c r="B21" i="13"/>
  <c r="H21" i="13"/>
  <c r="J21" i="13"/>
  <c r="K21" i="13"/>
  <c r="L21" i="13" s="1"/>
  <c r="N21" i="13" s="1"/>
  <c r="F30" i="2"/>
  <c r="F31" i="2" s="1"/>
  <c r="L30" i="2"/>
  <c r="L31" i="2" s="1"/>
  <c r="X30" i="2"/>
  <c r="X31" i="2" s="1"/>
  <c r="R31" i="2"/>
  <c r="R30" i="2"/>
  <c r="C6" i="12"/>
  <c r="D6" i="12" s="1"/>
  <c r="I29" i="2"/>
  <c r="P26" i="2"/>
  <c r="J26" i="2"/>
  <c r="K8" i="13"/>
  <c r="J8" i="13"/>
  <c r="H8" i="13"/>
  <c r="B8" i="13"/>
  <c r="K7" i="13"/>
  <c r="J7" i="13"/>
  <c r="H7" i="13"/>
  <c r="B7" i="13"/>
  <c r="G10" i="12" s="1"/>
  <c r="E20" i="13"/>
  <c r="M20" i="13" s="1"/>
  <c r="E19" i="13"/>
  <c r="H19" i="13" s="1"/>
  <c r="E18" i="13"/>
  <c r="H18" i="13" s="1"/>
  <c r="K20" i="13"/>
  <c r="J20" i="13"/>
  <c r="K19" i="13"/>
  <c r="J19" i="13"/>
  <c r="K18" i="13"/>
  <c r="J18" i="13"/>
  <c r="E16" i="13"/>
  <c r="B16" i="13" s="1"/>
  <c r="E17" i="13"/>
  <c r="B17" i="13" s="1"/>
  <c r="E15" i="13"/>
  <c r="B15" i="13" s="1"/>
  <c r="K17" i="13"/>
  <c r="J17" i="13"/>
  <c r="K16" i="13"/>
  <c r="J16" i="13"/>
  <c r="K15" i="13"/>
  <c r="J15" i="13"/>
  <c r="E8" i="12"/>
  <c r="F8" i="12"/>
  <c r="G8" i="12"/>
  <c r="H8" i="12"/>
  <c r="I8" i="12"/>
  <c r="J8" i="12"/>
  <c r="C8" i="12"/>
  <c r="B4" i="13"/>
  <c r="B5" i="13"/>
  <c r="B6" i="13"/>
  <c r="B9" i="13"/>
  <c r="B10" i="13"/>
  <c r="B11" i="13"/>
  <c r="B12" i="13"/>
  <c r="B23" i="13"/>
  <c r="B24" i="13"/>
  <c r="B25" i="13"/>
  <c r="B3" i="13"/>
  <c r="K3" i="13"/>
  <c r="C26" i="2"/>
  <c r="H4" i="13"/>
  <c r="H5" i="13"/>
  <c r="H6" i="13"/>
  <c r="H9" i="13"/>
  <c r="H10" i="13"/>
  <c r="H11" i="13"/>
  <c r="H12" i="13"/>
  <c r="H3" i="13"/>
  <c r="J12" i="13"/>
  <c r="K12" i="13"/>
  <c r="J5" i="13"/>
  <c r="K5" i="13"/>
  <c r="J25" i="13"/>
  <c r="K25" i="13"/>
  <c r="L25" i="13" s="1"/>
  <c r="N25" i="13" s="1"/>
  <c r="P25" i="13" s="1"/>
  <c r="Q25" i="13" s="1"/>
  <c r="T25" i="13" s="1"/>
  <c r="J24" i="13"/>
  <c r="K24" i="13"/>
  <c r="J23" i="13"/>
  <c r="K23" i="13"/>
  <c r="L23" i="13" s="1"/>
  <c r="N23" i="13" s="1"/>
  <c r="P23" i="13" s="1"/>
  <c r="J6" i="13"/>
  <c r="K6" i="13"/>
  <c r="K4" i="13"/>
  <c r="K9" i="13"/>
  <c r="K10" i="13"/>
  <c r="K11" i="13"/>
  <c r="J3" i="13"/>
  <c r="J4" i="13"/>
  <c r="C7" i="2"/>
  <c r="C8" i="2" s="1"/>
  <c r="J10" i="13"/>
  <c r="J11" i="13"/>
  <c r="J9" i="13"/>
  <c r="G12" i="2"/>
  <c r="G9" i="2"/>
  <c r="C12" i="2"/>
  <c r="H15" i="2"/>
  <c r="I15" i="2"/>
  <c r="J15" i="2"/>
  <c r="K15" i="2"/>
  <c r="L15" i="2"/>
  <c r="M15" i="2"/>
  <c r="N15" i="2"/>
  <c r="P15" i="2"/>
  <c r="R15" i="2"/>
  <c r="S15" i="2"/>
  <c r="T15" i="2"/>
  <c r="U15" i="2"/>
  <c r="V15" i="2"/>
  <c r="W15" i="2"/>
  <c r="X15" i="2"/>
  <c r="Y15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C20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30" i="2"/>
  <c r="I30" i="2"/>
  <c r="O30" i="2"/>
  <c r="U30" i="2"/>
  <c r="C13" i="2"/>
  <c r="C19" i="1"/>
  <c r="D27" i="11"/>
  <c r="E27" i="11"/>
  <c r="C27" i="11"/>
  <c r="E20" i="11"/>
  <c r="E29" i="11" s="1" a="1"/>
  <c r="E29" i="11" s="1"/>
  <c r="E74" i="11" s="1"/>
  <c r="E75" i="11" s="1"/>
  <c r="E13" i="11"/>
  <c r="E3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35" i="1"/>
  <c r="C21" i="1"/>
  <c r="E11" i="1"/>
  <c r="E35" i="1"/>
  <c r="E36" i="1" s="1"/>
  <c r="C22" i="1"/>
  <c r="D34" i="1"/>
  <c r="E34" i="1"/>
  <c r="C34" i="1"/>
  <c r="W30" i="2"/>
  <c r="Q30" i="2"/>
  <c r="K30" i="2"/>
  <c r="E30" i="2"/>
  <c r="T13" i="2"/>
  <c r="T10" i="2"/>
  <c r="T11" i="2" s="1"/>
  <c r="T7" i="2"/>
  <c r="T8" i="2" s="1"/>
  <c r="T5" i="2"/>
  <c r="N13" i="2"/>
  <c r="N10" i="2"/>
  <c r="N11" i="2" s="1"/>
  <c r="N7" i="2"/>
  <c r="N8" i="2" s="1"/>
  <c r="N5" i="2"/>
  <c r="G13" i="2"/>
  <c r="F13" i="2"/>
  <c r="E13" i="2"/>
  <c r="D13" i="2"/>
  <c r="G10" i="2"/>
  <c r="G11" i="2" s="1"/>
  <c r="F10" i="2"/>
  <c r="F11" i="2" s="1"/>
  <c r="E10" i="2"/>
  <c r="E11" i="2" s="1"/>
  <c r="D10" i="2"/>
  <c r="C10" i="2"/>
  <c r="D11" i="2" s="1"/>
  <c r="G7" i="2"/>
  <c r="G8" i="2" s="1"/>
  <c r="F7" i="2"/>
  <c r="F8" i="2" s="1"/>
  <c r="E7" i="2"/>
  <c r="E8" i="2" s="1"/>
  <c r="D7" i="2"/>
  <c r="D8" i="2" s="1"/>
  <c r="G5" i="2"/>
  <c r="F5" i="2"/>
  <c r="E5" i="2"/>
  <c r="D5" i="2"/>
  <c r="C5" i="2"/>
  <c r="D35" i="9"/>
  <c r="G8" i="9"/>
  <c r="G13" i="9" s="1"/>
  <c r="G37" i="9" s="1"/>
  <c r="C8" i="9"/>
  <c r="H13" i="2"/>
  <c r="H10" i="2"/>
  <c r="H11" i="2" s="1"/>
  <c r="H7" i="2"/>
  <c r="H8" i="2" s="1"/>
  <c r="H5" i="2"/>
  <c r="H21" i="7"/>
  <c r="I21" i="7" s="1"/>
  <c r="H23" i="7"/>
  <c r="I23" i="7" s="1"/>
  <c r="I33" i="7"/>
  <c r="H33" i="7"/>
  <c r="G33" i="7"/>
  <c r="F33" i="7"/>
  <c r="E33" i="7"/>
  <c r="D33" i="7"/>
  <c r="C33" i="7"/>
  <c r="D6" i="7"/>
  <c r="G6" i="7" s="1"/>
  <c r="D5" i="7"/>
  <c r="G5" i="7" s="1"/>
  <c r="D6" i="3"/>
  <c r="E6" i="3" s="1"/>
  <c r="F6" i="3" s="1"/>
  <c r="G6" i="3" s="1"/>
  <c r="H6" i="3" s="1"/>
  <c r="I6" i="3" s="1"/>
  <c r="J6" i="3" s="1"/>
  <c r="K6" i="3" s="1"/>
  <c r="D5" i="3"/>
  <c r="E5" i="3" s="1"/>
  <c r="F5" i="3" s="1"/>
  <c r="G5" i="3" s="1"/>
  <c r="H5" i="3" s="1"/>
  <c r="I5" i="3" s="1"/>
  <c r="J5" i="3" s="1"/>
  <c r="K5" i="3" s="1"/>
  <c r="G31" i="6"/>
  <c r="G34" i="6"/>
  <c r="H31" i="6"/>
  <c r="G31" i="3"/>
  <c r="G38" i="3"/>
  <c r="D6" i="6"/>
  <c r="D5" i="6"/>
  <c r="E5" i="6" s="1"/>
  <c r="F5" i="6" s="1"/>
  <c r="I5" i="6" s="1"/>
  <c r="J5" i="6" s="1"/>
  <c r="K5" i="6" s="1"/>
  <c r="E34" i="6"/>
  <c r="D34" i="6"/>
  <c r="K26" i="3"/>
  <c r="L26" i="3"/>
  <c r="J31" i="3"/>
  <c r="D33" i="3"/>
  <c r="E33" i="3"/>
  <c r="F38" i="3"/>
  <c r="D31" i="3"/>
  <c r="E31" i="3"/>
  <c r="F31" i="3"/>
  <c r="I26" i="3"/>
  <c r="C12" i="3"/>
  <c r="L13" i="18" l="1"/>
  <c r="K46" i="18"/>
  <c r="K47" i="18" s="1"/>
  <c r="J17" i="9"/>
  <c r="B2" i="19"/>
  <c r="N8" i="9"/>
  <c r="K37" i="9"/>
  <c r="N13" i="9"/>
  <c r="N37" i="9" s="1"/>
  <c r="C44" i="11"/>
  <c r="C67" i="11"/>
  <c r="C70" i="11"/>
  <c r="C71" i="11" s="1"/>
  <c r="D44" i="11"/>
  <c r="D46" i="11" s="1"/>
  <c r="L28" i="7" s="1"/>
  <c r="D67" i="11"/>
  <c r="D70" i="11"/>
  <c r="D71" i="11" s="1"/>
  <c r="E67" i="11"/>
  <c r="E70" i="11"/>
  <c r="E71" i="11" s="1"/>
  <c r="L15" i="7"/>
  <c r="C3" i="11"/>
  <c r="D3" i="16"/>
  <c r="C13" i="9"/>
  <c r="C37" i="9" s="1"/>
  <c r="K8" i="9"/>
  <c r="J35" i="9"/>
  <c r="K35" i="9"/>
  <c r="L19" i="9"/>
  <c r="K19" i="9"/>
  <c r="N19" i="9" s="1"/>
  <c r="G41" i="9"/>
  <c r="G42" i="9"/>
  <c r="E35" i="9"/>
  <c r="F35" i="9"/>
  <c r="C2" i="16"/>
  <c r="C30" i="16" s="1"/>
  <c r="X7" i="3"/>
  <c r="W10" i="3"/>
  <c r="I13" i="6"/>
  <c r="L5" i="3"/>
  <c r="N5" i="3" s="1"/>
  <c r="Z5" i="3" s="1"/>
  <c r="AA5" i="3" s="1"/>
  <c r="AB5" i="3" s="1"/>
  <c r="AC5" i="3" s="1"/>
  <c r="AD5" i="3" s="1"/>
  <c r="M5" i="3"/>
  <c r="L6" i="3"/>
  <c r="N6" i="3" s="1"/>
  <c r="Z6" i="3" s="1"/>
  <c r="AA6" i="3" s="1"/>
  <c r="AB6" i="3" s="1"/>
  <c r="AC6" i="3" s="1"/>
  <c r="AD6" i="3" s="1"/>
  <c r="M6" i="3"/>
  <c r="D55" i="11"/>
  <c r="L27" i="6"/>
  <c r="L5" i="6"/>
  <c r="N5" i="6" s="1"/>
  <c r="T5" i="6" s="1"/>
  <c r="M5" i="6"/>
  <c r="S17" i="7"/>
  <c r="T2" i="7"/>
  <c r="T23" i="7"/>
  <c r="Y22" i="7"/>
  <c r="AD22" i="7"/>
  <c r="T21" i="7"/>
  <c r="AI4" i="7"/>
  <c r="AI19" i="7" s="1"/>
  <c r="AD4" i="7"/>
  <c r="AD19" i="7" s="1"/>
  <c r="Y4" i="7"/>
  <c r="Y19" i="7" s="1"/>
  <c r="K8" i="7"/>
  <c r="M8" i="7" s="1"/>
  <c r="K7" i="7"/>
  <c r="J41" i="7"/>
  <c r="H34" i="6"/>
  <c r="I9" i="6"/>
  <c r="I17" i="6" s="1"/>
  <c r="G8" i="6"/>
  <c r="H39" i="6"/>
  <c r="I16" i="6"/>
  <c r="F29" i="6"/>
  <c r="F34" i="6"/>
  <c r="AC11" i="3"/>
  <c r="S11" i="3"/>
  <c r="E6" i="6"/>
  <c r="H6" i="6" s="1"/>
  <c r="U6" i="3"/>
  <c r="V11" i="3"/>
  <c r="H13" i="3"/>
  <c r="I4" i="3"/>
  <c r="H12" i="3"/>
  <c r="H38" i="3" s="1"/>
  <c r="I9" i="3"/>
  <c r="E38" i="3"/>
  <c r="D38" i="3"/>
  <c r="I31" i="3"/>
  <c r="D48" i="11"/>
  <c r="E17" i="11"/>
  <c r="E16" i="11"/>
  <c r="E44" i="11"/>
  <c r="E46" i="11" s="1"/>
  <c r="D2" i="16" s="1"/>
  <c r="E34" i="12"/>
  <c r="D29" i="12"/>
  <c r="D14" i="12"/>
  <c r="D15" i="12"/>
  <c r="D31" i="12" s="1"/>
  <c r="D32" i="12" s="1"/>
  <c r="D33" i="12" s="1"/>
  <c r="E6" i="12"/>
  <c r="F6" i="12" s="1"/>
  <c r="G6" i="12" s="1"/>
  <c r="H6" i="12" s="1"/>
  <c r="I6" i="12" s="1"/>
  <c r="J6" i="12" s="1"/>
  <c r="E4" i="12"/>
  <c r="F4" i="12" s="1"/>
  <c r="G4" i="12" s="1"/>
  <c r="H4" i="12" s="1"/>
  <c r="I4" i="12" s="1"/>
  <c r="J4" i="12" s="1"/>
  <c r="C12" i="12"/>
  <c r="C13" i="12"/>
  <c r="J11" i="12"/>
  <c r="J13" i="12"/>
  <c r="I11" i="12"/>
  <c r="I13" i="12"/>
  <c r="H11" i="12"/>
  <c r="E13" i="12"/>
  <c r="J10" i="12"/>
  <c r="I10" i="12"/>
  <c r="I18" i="12" s="1"/>
  <c r="J12" i="12"/>
  <c r="H10" i="12"/>
  <c r="C11" i="12"/>
  <c r="I12" i="12"/>
  <c r="C10" i="12"/>
  <c r="C29" i="12" s="1"/>
  <c r="F13" i="12"/>
  <c r="E12" i="12"/>
  <c r="H12" i="12"/>
  <c r="G11" i="12"/>
  <c r="F10" i="12"/>
  <c r="H13" i="12"/>
  <c r="G12" i="12"/>
  <c r="E10" i="12"/>
  <c r="G13" i="12"/>
  <c r="F12" i="12"/>
  <c r="O16" i="13"/>
  <c r="S22" i="13"/>
  <c r="H16" i="13"/>
  <c r="M17" i="13"/>
  <c r="M16" i="13"/>
  <c r="R16" i="13" s="1"/>
  <c r="S16" i="13" s="1"/>
  <c r="R3" i="13"/>
  <c r="S3" i="13" s="1"/>
  <c r="R6" i="13"/>
  <c r="S6" i="13" s="1"/>
  <c r="R25" i="13"/>
  <c r="S25" i="13" s="1"/>
  <c r="R5" i="13"/>
  <c r="S5" i="13" s="1"/>
  <c r="R24" i="13"/>
  <c r="S24" i="13" s="1"/>
  <c r="R12" i="13"/>
  <c r="S12" i="13" s="1"/>
  <c r="R4" i="13"/>
  <c r="S4" i="13" s="1"/>
  <c r="R23" i="13"/>
  <c r="S23" i="13" s="1"/>
  <c r="R11" i="13"/>
  <c r="S11" i="13" s="1"/>
  <c r="S26" i="13"/>
  <c r="H20" i="13"/>
  <c r="O20" i="13"/>
  <c r="R20" i="13" s="1"/>
  <c r="S20" i="13" s="1"/>
  <c r="M15" i="13"/>
  <c r="R13" i="13"/>
  <c r="S13" i="13" s="1"/>
  <c r="L5" i="13"/>
  <c r="N5" i="13" s="1"/>
  <c r="P5" i="13" s="1"/>
  <c r="Q5" i="13" s="1"/>
  <c r="T5" i="13" s="1"/>
  <c r="O19" i="13"/>
  <c r="R14" i="13"/>
  <c r="S14" i="13" s="1"/>
  <c r="L19" i="13"/>
  <c r="N19" i="13" s="1"/>
  <c r="O18" i="13"/>
  <c r="L17" i="13"/>
  <c r="N17" i="13" s="1"/>
  <c r="L12" i="13"/>
  <c r="N12" i="13" s="1"/>
  <c r="O17" i="13"/>
  <c r="P17" i="13" s="1"/>
  <c r="Q17" i="13" s="1"/>
  <c r="T17" i="13" s="1"/>
  <c r="M19" i="13"/>
  <c r="O15" i="13"/>
  <c r="P15" i="13" s="1"/>
  <c r="Q15" i="13" s="1"/>
  <c r="T15" i="13" s="1"/>
  <c r="M18" i="13"/>
  <c r="R18" i="13" s="1"/>
  <c r="S18" i="13" s="1"/>
  <c r="P21" i="13"/>
  <c r="Q21" i="13" s="1"/>
  <c r="T21" i="13" s="1"/>
  <c r="P12" i="13"/>
  <c r="Q12" i="13" s="1"/>
  <c r="T12" i="13" s="1"/>
  <c r="Q23" i="13"/>
  <c r="T23" i="13" s="1"/>
  <c r="L13" i="13"/>
  <c r="N13" i="13" s="1"/>
  <c r="P13" i="13" s="1"/>
  <c r="Q13" i="13" s="1"/>
  <c r="T13" i="13" s="1"/>
  <c r="L14" i="13"/>
  <c r="N14" i="13" s="1"/>
  <c r="P14" i="13" s="1"/>
  <c r="Q14" i="13" s="1"/>
  <c r="T14" i="13" s="1"/>
  <c r="H15" i="13"/>
  <c r="L15" i="13"/>
  <c r="N15" i="13" s="1"/>
  <c r="L20" i="13"/>
  <c r="N20" i="13" s="1"/>
  <c r="P20" i="13" s="1"/>
  <c r="Q20" i="13" s="1"/>
  <c r="T20" i="13" s="1"/>
  <c r="H17" i="13"/>
  <c r="L22" i="13"/>
  <c r="N22" i="13" s="1"/>
  <c r="P22" i="13" s="1"/>
  <c r="Q22" i="13" s="1"/>
  <c r="T22" i="13" s="1"/>
  <c r="L24" i="13"/>
  <c r="N24" i="13" s="1"/>
  <c r="P24" i="13" s="1"/>
  <c r="Q24" i="13" s="1"/>
  <c r="T24" i="13" s="1"/>
  <c r="L8" i="13"/>
  <c r="N8" i="13" s="1"/>
  <c r="L7" i="13"/>
  <c r="N7" i="13" s="1"/>
  <c r="L18" i="13"/>
  <c r="B18" i="13"/>
  <c r="B19" i="13"/>
  <c r="B20" i="13"/>
  <c r="L16" i="13"/>
  <c r="N16" i="13" s="1"/>
  <c r="P16" i="13" s="1"/>
  <c r="Q16" i="13" s="1"/>
  <c r="T16" i="13" s="1"/>
  <c r="L4" i="13"/>
  <c r="N4" i="13" s="1"/>
  <c r="L11" i="13"/>
  <c r="N11" i="13" s="1"/>
  <c r="P11" i="13" s="1"/>
  <c r="Q11" i="13" s="1"/>
  <c r="T11" i="13" s="1"/>
  <c r="L6" i="13"/>
  <c r="N6" i="13" s="1"/>
  <c r="P6" i="13" s="1"/>
  <c r="Q6" i="13" s="1"/>
  <c r="T6" i="13" s="1"/>
  <c r="L3" i="13"/>
  <c r="N3" i="13" s="1"/>
  <c r="P3" i="13" s="1"/>
  <c r="Q3" i="13" s="1"/>
  <c r="T3" i="13" s="1"/>
  <c r="L10" i="13"/>
  <c r="N10" i="13" s="1"/>
  <c r="P10" i="13" s="1"/>
  <c r="Q10" i="13" s="1"/>
  <c r="T10" i="13" s="1"/>
  <c r="L9" i="13"/>
  <c r="N9" i="13" s="1"/>
  <c r="P9" i="13" s="1"/>
  <c r="Q9" i="13" s="1"/>
  <c r="T9" i="13" s="1"/>
  <c r="E31" i="2"/>
  <c r="C11" i="2"/>
  <c r="C31" i="2"/>
  <c r="T14" i="2"/>
  <c r="E5" i="11"/>
  <c r="N14" i="2"/>
  <c r="G14" i="2"/>
  <c r="G15" i="2" s="1"/>
  <c r="C14" i="2"/>
  <c r="C15" i="2" s="1"/>
  <c r="F14" i="2"/>
  <c r="F15" i="2" s="1"/>
  <c r="E14" i="2"/>
  <c r="E15" i="2" s="1"/>
  <c r="D14" i="2"/>
  <c r="D15" i="2" s="1"/>
  <c r="G33" i="3"/>
  <c r="F33" i="3"/>
  <c r="L31" i="3"/>
  <c r="H14" i="2"/>
  <c r="G29" i="6"/>
  <c r="G6" i="6"/>
  <c r="G5" i="6"/>
  <c r="E5" i="7"/>
  <c r="E6" i="7"/>
  <c r="G26" i="3"/>
  <c r="H26" i="3"/>
  <c r="H5" i="6"/>
  <c r="D29" i="6"/>
  <c r="E29" i="6"/>
  <c r="E31" i="6"/>
  <c r="D31" i="6"/>
  <c r="F31" i="6"/>
  <c r="C31" i="6"/>
  <c r="C29" i="6"/>
  <c r="D26" i="3"/>
  <c r="F26" i="3"/>
  <c r="E26" i="3"/>
  <c r="C31" i="3"/>
  <c r="C33" i="3"/>
  <c r="C38" i="3"/>
  <c r="C26" i="3"/>
  <c r="D7" i="1"/>
  <c r="E7" i="1"/>
  <c r="L46" i="18" l="1"/>
  <c r="L47" i="18" s="1"/>
  <c r="M13" i="18"/>
  <c r="N13" i="18" s="1"/>
  <c r="O13" i="18" s="1"/>
  <c r="K17" i="9"/>
  <c r="B3" i="16"/>
  <c r="D4" i="18"/>
  <c r="C4" i="18"/>
  <c r="E4" i="18"/>
  <c r="F4" i="18"/>
  <c r="G4" i="18"/>
  <c r="J4" i="18"/>
  <c r="B4" i="18"/>
  <c r="I4" i="18"/>
  <c r="O4" i="18"/>
  <c r="K4" i="18"/>
  <c r="L4" i="18"/>
  <c r="L69" i="18" s="1"/>
  <c r="M4" i="18"/>
  <c r="N4" i="18"/>
  <c r="C5" i="11"/>
  <c r="C33" i="11" s="1"/>
  <c r="C34" i="11" s="1"/>
  <c r="D3" i="11"/>
  <c r="O10" i="18" s="1"/>
  <c r="O15" i="18" s="1"/>
  <c r="O16" i="18" s="1"/>
  <c r="C46" i="11"/>
  <c r="B2" i="16" s="1"/>
  <c r="N15" i="7"/>
  <c r="O15" i="7"/>
  <c r="F3" i="16"/>
  <c r="F2" i="16" s="1"/>
  <c r="F30" i="16" s="1"/>
  <c r="E3" i="16"/>
  <c r="D9" i="16"/>
  <c r="D10" i="16" s="1"/>
  <c r="D29" i="16"/>
  <c r="H35" i="9"/>
  <c r="H46" i="9" s="1"/>
  <c r="H51" i="9" s="1"/>
  <c r="H58" i="9" s="1"/>
  <c r="M35" i="9"/>
  <c r="G35" i="9"/>
  <c r="N35" i="9" s="1"/>
  <c r="L35" i="9"/>
  <c r="D30" i="16"/>
  <c r="E2" i="16"/>
  <c r="D42" i="16"/>
  <c r="C42" i="16"/>
  <c r="O5" i="3"/>
  <c r="Q5" i="3"/>
  <c r="Y7" i="3"/>
  <c r="Y10" i="3" s="1"/>
  <c r="X10" i="3"/>
  <c r="J13" i="6"/>
  <c r="T5" i="3"/>
  <c r="AE5" i="3"/>
  <c r="AF5" i="3" s="1"/>
  <c r="P5" i="3"/>
  <c r="U5" i="3"/>
  <c r="V5" i="3" s="1"/>
  <c r="W5" i="3" s="1"/>
  <c r="X5" i="3" s="1"/>
  <c r="Y5" i="3" s="1"/>
  <c r="S5" i="3"/>
  <c r="R5" i="3"/>
  <c r="P6" i="3"/>
  <c r="Q6" i="3" s="1"/>
  <c r="Y6" i="3"/>
  <c r="J25" i="6"/>
  <c r="J29" i="7"/>
  <c r="K18" i="7"/>
  <c r="M7" i="7"/>
  <c r="O6" i="3"/>
  <c r="X5" i="6"/>
  <c r="W5" i="6"/>
  <c r="S5" i="6"/>
  <c r="V6" i="3"/>
  <c r="AE6" i="3"/>
  <c r="AF6" i="3" s="1"/>
  <c r="W6" i="3"/>
  <c r="X6" i="3"/>
  <c r="V5" i="6"/>
  <c r="O5" i="6"/>
  <c r="P5" i="6" s="1"/>
  <c r="Q5" i="6" s="1"/>
  <c r="R5" i="6" s="1"/>
  <c r="U5" i="6"/>
  <c r="AD5" i="6"/>
  <c r="AE5" i="6" s="1"/>
  <c r="AF5" i="6" s="1"/>
  <c r="AG5" i="6" s="1"/>
  <c r="AH5" i="6" s="1"/>
  <c r="Y5" i="6"/>
  <c r="Z5" i="6" s="1"/>
  <c r="AA5" i="6" s="1"/>
  <c r="AB5" i="6" s="1"/>
  <c r="AC5" i="6" s="1"/>
  <c r="D35" i="12"/>
  <c r="T17" i="7"/>
  <c r="L8" i="7"/>
  <c r="L7" i="7"/>
  <c r="L18" i="7" s="1"/>
  <c r="J9" i="6"/>
  <c r="J17" i="6" s="1"/>
  <c r="H8" i="6"/>
  <c r="I39" i="6"/>
  <c r="J16" i="6"/>
  <c r="T11" i="3"/>
  <c r="H33" i="3"/>
  <c r="AD11" i="3"/>
  <c r="F6" i="6"/>
  <c r="W11" i="3"/>
  <c r="J4" i="3"/>
  <c r="I13" i="3"/>
  <c r="I36" i="3" s="1"/>
  <c r="J9" i="3"/>
  <c r="I12" i="3"/>
  <c r="L24" i="3"/>
  <c r="J23" i="3"/>
  <c r="E55" i="11"/>
  <c r="E48" i="11"/>
  <c r="E33" i="11"/>
  <c r="E34" i="11" s="1"/>
  <c r="I15" i="12"/>
  <c r="I31" i="12" s="1"/>
  <c r="I32" i="12" s="1"/>
  <c r="F34" i="12"/>
  <c r="D30" i="12"/>
  <c r="D16" i="12"/>
  <c r="D21" i="12" s="1"/>
  <c r="D22" i="12" s="1"/>
  <c r="D24" i="12" s="1"/>
  <c r="D26" i="12" s="1"/>
  <c r="N18" i="13"/>
  <c r="P18" i="13" s="1"/>
  <c r="Q18" i="13" s="1"/>
  <c r="T18" i="13" s="1"/>
  <c r="P19" i="13"/>
  <c r="Q19" i="13" s="1"/>
  <c r="T19" i="13" s="1"/>
  <c r="R19" i="13"/>
  <c r="S19" i="13" s="1"/>
  <c r="R15" i="13"/>
  <c r="S15" i="13" s="1"/>
  <c r="R17" i="13"/>
  <c r="S17" i="13" s="1"/>
  <c r="P4" i="13"/>
  <c r="Q4" i="13" s="1"/>
  <c r="T4" i="13" s="1"/>
  <c r="P7" i="13"/>
  <c r="Q7" i="13" s="1"/>
  <c r="T7" i="13" s="1"/>
  <c r="P8" i="13"/>
  <c r="Q8" i="13" s="1"/>
  <c r="T8" i="13" s="1"/>
  <c r="G20" i="12"/>
  <c r="H20" i="12"/>
  <c r="E15" i="12"/>
  <c r="E31" i="12" s="1"/>
  <c r="E32" i="12" s="1"/>
  <c r="E18" i="12"/>
  <c r="F15" i="12"/>
  <c r="F31" i="12" s="1"/>
  <c r="F32" i="12" s="1"/>
  <c r="I20" i="12"/>
  <c r="F20" i="12"/>
  <c r="J18" i="12"/>
  <c r="J20" i="12"/>
  <c r="J29" i="12"/>
  <c r="I29" i="12"/>
  <c r="I14" i="12"/>
  <c r="J14" i="12"/>
  <c r="C15" i="12"/>
  <c r="G36" i="7"/>
  <c r="E36" i="3"/>
  <c r="D36" i="3"/>
  <c r="H36" i="7"/>
  <c r="F36" i="3"/>
  <c r="I36" i="7"/>
  <c r="E36" i="7"/>
  <c r="F36" i="7"/>
  <c r="J36" i="7"/>
  <c r="C36" i="7"/>
  <c r="D36" i="7"/>
  <c r="J43" i="7"/>
  <c r="L38" i="7"/>
  <c r="F6" i="7"/>
  <c r="I6" i="7" s="1"/>
  <c r="J6" i="7" s="1"/>
  <c r="K6" i="7" s="1"/>
  <c r="H6" i="7"/>
  <c r="H5" i="7"/>
  <c r="F5" i="7"/>
  <c r="I5" i="7" s="1"/>
  <c r="J5" i="7" s="1"/>
  <c r="K5" i="7" s="1"/>
  <c r="L17" i="9" l="1"/>
  <c r="C10" i="18"/>
  <c r="C15" i="18" s="1"/>
  <c r="C16" i="18" s="1"/>
  <c r="L10" i="18"/>
  <c r="L15" i="18" s="1"/>
  <c r="F10" i="18"/>
  <c r="F15" i="18" s="1"/>
  <c r="E35" i="11"/>
  <c r="I10" i="18"/>
  <c r="I15" i="18" s="1"/>
  <c r="I16" i="18" s="1"/>
  <c r="B30" i="16"/>
  <c r="B42" i="16"/>
  <c r="B10" i="18"/>
  <c r="B15" i="18" s="1"/>
  <c r="B16" i="18" s="1"/>
  <c r="C55" i="11"/>
  <c r="C48" i="11"/>
  <c r="K26" i="6"/>
  <c r="N26" i="6" s="1"/>
  <c r="K22" i="3"/>
  <c r="K27" i="7"/>
  <c r="K41" i="7" s="1"/>
  <c r="C3" i="16"/>
  <c r="C29" i="16" s="1"/>
  <c r="K10" i="18"/>
  <c r="K15" i="18" s="1"/>
  <c r="K16" i="18" s="1"/>
  <c r="N6" i="18"/>
  <c r="N7" i="18" s="1"/>
  <c r="N8" i="18"/>
  <c r="N9" i="18" s="1"/>
  <c r="N18" i="18" s="1"/>
  <c r="N21" i="18" s="1"/>
  <c r="M6" i="18"/>
  <c r="M7" i="18" s="1"/>
  <c r="M8" i="18"/>
  <c r="M9" i="18" s="1"/>
  <c r="M18" i="18" s="1"/>
  <c r="M21" i="18" s="1"/>
  <c r="E10" i="18"/>
  <c r="E15" i="18" s="1"/>
  <c r="E16" i="18" s="1"/>
  <c r="L6" i="18"/>
  <c r="L7" i="18" s="1"/>
  <c r="L8" i="18"/>
  <c r="L9" i="18" s="1"/>
  <c r="L18" i="18" s="1"/>
  <c r="L21" i="18" s="1"/>
  <c r="G10" i="18"/>
  <c r="G15" i="18" s="1"/>
  <c r="G16" i="18" s="1"/>
  <c r="K6" i="18"/>
  <c r="K7" i="18" s="1"/>
  <c r="K8" i="18"/>
  <c r="K9" i="18" s="1"/>
  <c r="K18" i="18" s="1"/>
  <c r="K21" i="18" s="1"/>
  <c r="O6" i="18"/>
  <c r="O7" i="18" s="1"/>
  <c r="O8" i="18"/>
  <c r="O9" i="18" s="1"/>
  <c r="O18" i="18" s="1"/>
  <c r="O21" i="18" s="1"/>
  <c r="I6" i="18"/>
  <c r="I7" i="18" s="1"/>
  <c r="I40" i="18"/>
  <c r="I8" i="18"/>
  <c r="I9" i="18" s="1"/>
  <c r="I18" i="18" s="1"/>
  <c r="I21" i="18" s="1"/>
  <c r="B6" i="18"/>
  <c r="B7" i="18" s="1"/>
  <c r="B41" i="18" s="1"/>
  <c r="B43" i="18" s="1"/>
  <c r="B45" i="18" s="1"/>
  <c r="B49" i="18" s="1"/>
  <c r="B8" i="18"/>
  <c r="B9" i="18" s="1"/>
  <c r="J10" i="18"/>
  <c r="J15" i="18" s="1"/>
  <c r="J16" i="18" s="1"/>
  <c r="J6" i="18"/>
  <c r="J7" i="18" s="1"/>
  <c r="J40" i="18"/>
  <c r="J8" i="18"/>
  <c r="J9" i="18" s="1"/>
  <c r="J18" i="18" s="1"/>
  <c r="J21" i="18" s="1"/>
  <c r="G6" i="18"/>
  <c r="G7" i="18" s="1"/>
  <c r="G8" i="18"/>
  <c r="G9" i="18" s="1"/>
  <c r="G18" i="18" s="1"/>
  <c r="G21" i="18" s="1"/>
  <c r="F6" i="18"/>
  <c r="F7" i="18" s="1"/>
  <c r="F8" i="18"/>
  <c r="F9" i="18" s="1"/>
  <c r="F18" i="18" s="1"/>
  <c r="F21" i="18" s="1"/>
  <c r="D5" i="11"/>
  <c r="D33" i="11" s="1"/>
  <c r="E6" i="18"/>
  <c r="E7" i="18" s="1"/>
  <c r="E8" i="18"/>
  <c r="E9" i="18" s="1"/>
  <c r="E18" i="18" s="1"/>
  <c r="E21" i="18" s="1"/>
  <c r="N10" i="18"/>
  <c r="N15" i="18" s="1"/>
  <c r="N16" i="18" s="1"/>
  <c r="O11" i="18"/>
  <c r="O17" i="18" s="1"/>
  <c r="C6" i="18"/>
  <c r="C7" i="18" s="1"/>
  <c r="C8" i="18"/>
  <c r="C9" i="18" s="1"/>
  <c r="C18" i="18" s="1"/>
  <c r="C21" i="18" s="1"/>
  <c r="D10" i="18"/>
  <c r="D15" i="18" s="1"/>
  <c r="D16" i="18" s="1"/>
  <c r="D6" i="18"/>
  <c r="D7" i="18" s="1"/>
  <c r="D8" i="18"/>
  <c r="D9" i="18" s="1"/>
  <c r="D18" i="18" s="1"/>
  <c r="D21" i="18" s="1"/>
  <c r="M10" i="18"/>
  <c r="M15" i="18" s="1"/>
  <c r="M16" i="18" s="1"/>
  <c r="B9" i="16"/>
  <c r="B29" i="16"/>
  <c r="U15" i="7"/>
  <c r="P15" i="7"/>
  <c r="AE15" i="7"/>
  <c r="Z15" i="7"/>
  <c r="I33" i="12"/>
  <c r="F16" i="18"/>
  <c r="F11" i="18"/>
  <c r="L16" i="18"/>
  <c r="L11" i="18"/>
  <c r="E29" i="16"/>
  <c r="E9" i="16"/>
  <c r="E10" i="16" s="1"/>
  <c r="E21" i="16" s="1"/>
  <c r="F9" i="16"/>
  <c r="F10" i="16" s="1"/>
  <c r="F29" i="16"/>
  <c r="D34" i="11"/>
  <c r="D37" i="11" s="1"/>
  <c r="E30" i="16"/>
  <c r="E42" i="16"/>
  <c r="D22" i="16"/>
  <c r="D23" i="16" s="1"/>
  <c r="D25" i="16" s="1"/>
  <c r="D21" i="16"/>
  <c r="F42" i="16"/>
  <c r="K13" i="6"/>
  <c r="K33" i="7"/>
  <c r="L5" i="7"/>
  <c r="N5" i="7" s="1"/>
  <c r="AE5" i="7" s="1"/>
  <c r="AF5" i="7" s="1"/>
  <c r="AG5" i="7" s="1"/>
  <c r="AH5" i="7" s="1"/>
  <c r="AI5" i="7" s="1"/>
  <c r="M5" i="7"/>
  <c r="M18" i="7"/>
  <c r="C31" i="12"/>
  <c r="C32" i="12" s="1"/>
  <c r="L6" i="7"/>
  <c r="N6" i="7" s="1"/>
  <c r="X6" i="7" s="1"/>
  <c r="M6" i="7"/>
  <c r="L36" i="7"/>
  <c r="N8" i="7"/>
  <c r="N7" i="7"/>
  <c r="C38" i="7"/>
  <c r="C43" i="7"/>
  <c r="K38" i="7"/>
  <c r="K43" i="7"/>
  <c r="G38" i="7"/>
  <c r="G43" i="7"/>
  <c r="I38" i="7"/>
  <c r="I43" i="7"/>
  <c r="E43" i="7"/>
  <c r="E38" i="7"/>
  <c r="H43" i="7"/>
  <c r="H38" i="7"/>
  <c r="F43" i="7"/>
  <c r="F38" i="7"/>
  <c r="D43" i="7"/>
  <c r="D38" i="7"/>
  <c r="L41" i="7"/>
  <c r="L33" i="7"/>
  <c r="I34" i="6"/>
  <c r="I29" i="6"/>
  <c r="K9" i="6"/>
  <c r="I8" i="6"/>
  <c r="K16" i="6"/>
  <c r="M16" i="6" s="1"/>
  <c r="J39" i="6"/>
  <c r="J31" i="6"/>
  <c r="D36" i="6"/>
  <c r="D41" i="6"/>
  <c r="F36" i="6"/>
  <c r="F41" i="6"/>
  <c r="E36" i="6"/>
  <c r="E41" i="6"/>
  <c r="C41" i="6"/>
  <c r="C36" i="6"/>
  <c r="G36" i="6"/>
  <c r="G41" i="6"/>
  <c r="I6" i="6"/>
  <c r="R6" i="3"/>
  <c r="AG6" i="3"/>
  <c r="AG5" i="3"/>
  <c r="X11" i="3"/>
  <c r="K4" i="3"/>
  <c r="M4" i="3" s="1"/>
  <c r="J13" i="3"/>
  <c r="J36" i="3" s="1"/>
  <c r="I38" i="3"/>
  <c r="K9" i="3"/>
  <c r="J12" i="3"/>
  <c r="J33" i="3" s="1"/>
  <c r="C28" i="3"/>
  <c r="E37" i="11"/>
  <c r="E43" i="11" s="1"/>
  <c r="E49" i="11" s="1"/>
  <c r="E50" i="11" s="1"/>
  <c r="C37" i="11"/>
  <c r="G34" i="12"/>
  <c r="C7" i="11"/>
  <c r="C21" i="11" s="1"/>
  <c r="E7" i="11"/>
  <c r="E21" i="11" s="1"/>
  <c r="E24" i="11" s="1"/>
  <c r="D7" i="11"/>
  <c r="D25" i="12"/>
  <c r="D27" i="12"/>
  <c r="D28" i="12" s="1"/>
  <c r="I16" i="12"/>
  <c r="I21" i="12" s="1"/>
  <c r="H29" i="12"/>
  <c r="H18" i="12"/>
  <c r="E14" i="12"/>
  <c r="E35" i="12" s="1"/>
  <c r="G29" i="12"/>
  <c r="G18" i="12"/>
  <c r="G14" i="12"/>
  <c r="F14" i="12"/>
  <c r="F35" i="12" s="1"/>
  <c r="F18" i="12"/>
  <c r="H14" i="12"/>
  <c r="F29" i="12"/>
  <c r="E29" i="12"/>
  <c r="E20" i="12"/>
  <c r="C14" i="12"/>
  <c r="I30" i="12"/>
  <c r="J30" i="12"/>
  <c r="C18" i="12"/>
  <c r="G15" i="12"/>
  <c r="G31" i="12" s="1"/>
  <c r="G32" i="12" s="1"/>
  <c r="E31" i="7"/>
  <c r="G36" i="3"/>
  <c r="F31" i="7"/>
  <c r="I31" i="7"/>
  <c r="D31" i="7"/>
  <c r="H31" i="7"/>
  <c r="J31" i="7"/>
  <c r="K31" i="7"/>
  <c r="G31" i="7"/>
  <c r="C31" i="7"/>
  <c r="D28" i="3"/>
  <c r="Y13" i="2"/>
  <c r="X13" i="2"/>
  <c r="W13" i="2"/>
  <c r="V13" i="2"/>
  <c r="U13" i="2"/>
  <c r="Y10" i="2"/>
  <c r="Y11" i="2" s="1"/>
  <c r="X10" i="2"/>
  <c r="X11" i="2" s="1"/>
  <c r="W10" i="2"/>
  <c r="W11" i="2" s="1"/>
  <c r="V10" i="2"/>
  <c r="U10" i="2"/>
  <c r="Y7" i="2"/>
  <c r="Y8" i="2" s="1"/>
  <c r="X7" i="2"/>
  <c r="X8" i="2" s="1"/>
  <c r="W7" i="2"/>
  <c r="W8" i="2" s="1"/>
  <c r="V7" i="2"/>
  <c r="V8" i="2" s="1"/>
  <c r="U7" i="2"/>
  <c r="U8" i="2" s="1"/>
  <c r="Y5" i="2"/>
  <c r="X5" i="2"/>
  <c r="W5" i="2"/>
  <c r="V5" i="2"/>
  <c r="U5" i="2"/>
  <c r="D26" i="1"/>
  <c r="C26" i="1"/>
  <c r="E26" i="1"/>
  <c r="D22" i="1"/>
  <c r="E22" i="1"/>
  <c r="D29" i="1"/>
  <c r="E29" i="1" s="1"/>
  <c r="S13" i="2"/>
  <c r="R13" i="2"/>
  <c r="Q13" i="2"/>
  <c r="P13" i="2"/>
  <c r="O13" i="2"/>
  <c r="S10" i="2"/>
  <c r="S11" i="2" s="1"/>
  <c r="R10" i="2"/>
  <c r="R11" i="2" s="1"/>
  <c r="Q10" i="2"/>
  <c r="Q11" i="2" s="1"/>
  <c r="P10" i="2"/>
  <c r="O10" i="2"/>
  <c r="S7" i="2"/>
  <c r="S8" i="2" s="1"/>
  <c r="R7" i="2"/>
  <c r="R8" i="2" s="1"/>
  <c r="Q7" i="2"/>
  <c r="Q8" i="2" s="1"/>
  <c r="P7" i="2"/>
  <c r="P8" i="2" s="1"/>
  <c r="O7" i="2"/>
  <c r="O8" i="2" s="1"/>
  <c r="S5" i="2"/>
  <c r="R5" i="2"/>
  <c r="Q5" i="2"/>
  <c r="P5" i="2"/>
  <c r="O5" i="2"/>
  <c r="J13" i="2"/>
  <c r="J10" i="2"/>
  <c r="J7" i="2"/>
  <c r="J8" i="2" s="1"/>
  <c r="J5" i="2"/>
  <c r="L13" i="2"/>
  <c r="L10" i="2"/>
  <c r="L11" i="2" s="1"/>
  <c r="L7" i="2"/>
  <c r="L8" i="2" s="1"/>
  <c r="L5" i="2"/>
  <c r="M13" i="2"/>
  <c r="M10" i="2"/>
  <c r="M11" i="2" s="1"/>
  <c r="M7" i="2"/>
  <c r="M8" i="2" s="1"/>
  <c r="M5" i="2"/>
  <c r="K13" i="2"/>
  <c r="K10" i="2"/>
  <c r="K11" i="2" s="1"/>
  <c r="K7" i="2"/>
  <c r="K8" i="2" s="1"/>
  <c r="K5" i="2"/>
  <c r="K31" i="2" s="1"/>
  <c r="I13" i="2"/>
  <c r="I10" i="2"/>
  <c r="I5" i="2"/>
  <c r="I31" i="2" s="1"/>
  <c r="I7" i="2"/>
  <c r="I8" i="2" s="1"/>
  <c r="D8" i="1"/>
  <c r="D23" i="1" s="1"/>
  <c r="E8" i="1"/>
  <c r="D4" i="1"/>
  <c r="D13" i="1" s="1"/>
  <c r="D14" i="1" s="1"/>
  <c r="D15" i="1" s="1"/>
  <c r="D16" i="1" s="1"/>
  <c r="E4" i="1"/>
  <c r="E19" i="1" s="1"/>
  <c r="C4" i="1"/>
  <c r="D21" i="1"/>
  <c r="E21" i="1"/>
  <c r="G11" i="18" l="1"/>
  <c r="C11" i="18"/>
  <c r="M17" i="9"/>
  <c r="I11" i="18"/>
  <c r="I17" i="18" s="1"/>
  <c r="M11" i="18"/>
  <c r="M17" i="18" s="1"/>
  <c r="C9" i="16"/>
  <c r="C10" i="16" s="1"/>
  <c r="C22" i="16" s="1"/>
  <c r="C23" i="16" s="1"/>
  <c r="C25" i="16" s="1"/>
  <c r="D11" i="18"/>
  <c r="D17" i="18" s="1"/>
  <c r="N11" i="18"/>
  <c r="N17" i="18" s="1"/>
  <c r="B11" i="18"/>
  <c r="B17" i="18" s="1"/>
  <c r="E53" i="11"/>
  <c r="E58" i="11" s="1"/>
  <c r="E36" i="11"/>
  <c r="D4" i="16" s="1"/>
  <c r="E4" i="16" s="1"/>
  <c r="C35" i="11"/>
  <c r="G22" i="18"/>
  <c r="G33" i="18" s="1"/>
  <c r="G26" i="18"/>
  <c r="G34" i="18" s="1"/>
  <c r="M22" i="18"/>
  <c r="M33" i="18" s="1"/>
  <c r="M26" i="18"/>
  <c r="M34" i="18" s="1"/>
  <c r="L22" i="18"/>
  <c r="L33" i="18" s="1"/>
  <c r="L26" i="18"/>
  <c r="L34" i="18" s="1"/>
  <c r="J22" i="18"/>
  <c r="J33" i="18" s="1"/>
  <c r="J26" i="18"/>
  <c r="N22" i="18"/>
  <c r="N33" i="18" s="1"/>
  <c r="N26" i="18"/>
  <c r="N34" i="18" s="1"/>
  <c r="K40" i="18"/>
  <c r="B10" i="16"/>
  <c r="B22" i="16" s="1"/>
  <c r="B23" i="16" s="1"/>
  <c r="B25" i="16" s="1"/>
  <c r="D22" i="18"/>
  <c r="D33" i="18" s="1"/>
  <c r="D26" i="18"/>
  <c r="D34" i="18" s="1"/>
  <c r="B18" i="18"/>
  <c r="B21" i="18" s="1"/>
  <c r="B40" i="18"/>
  <c r="N27" i="7"/>
  <c r="K36" i="7"/>
  <c r="K31" i="3"/>
  <c r="N22" i="3"/>
  <c r="I22" i="18"/>
  <c r="I33" i="18" s="1"/>
  <c r="I26" i="18"/>
  <c r="I34" i="18" s="1"/>
  <c r="M26" i="6"/>
  <c r="AD26" i="6"/>
  <c r="AE26" i="6" s="1"/>
  <c r="Y26" i="6"/>
  <c r="Z26" i="6" s="1"/>
  <c r="AA26" i="6" s="1"/>
  <c r="AB26" i="6" s="1"/>
  <c r="T26" i="6"/>
  <c r="U26" i="6" s="1"/>
  <c r="V26" i="6" s="1"/>
  <c r="O26" i="6"/>
  <c r="E11" i="18"/>
  <c r="E17" i="18" s="1"/>
  <c r="C22" i="18"/>
  <c r="C33" i="18" s="1"/>
  <c r="C26" i="18"/>
  <c r="C34" i="18" s="1"/>
  <c r="F22" i="18"/>
  <c r="F33" i="18" s="1"/>
  <c r="F26" i="18"/>
  <c r="F34" i="18" s="1"/>
  <c r="J11" i="18"/>
  <c r="J17" i="18" s="1"/>
  <c r="O22" i="18"/>
  <c r="O33" i="18" s="1"/>
  <c r="O26" i="18"/>
  <c r="O34" i="18" s="1"/>
  <c r="E22" i="18"/>
  <c r="E33" i="18" s="1"/>
  <c r="E26" i="18"/>
  <c r="E34" i="18" s="1"/>
  <c r="K22" i="18"/>
  <c r="K33" i="18" s="1"/>
  <c r="K26" i="18"/>
  <c r="K34" i="18" s="1"/>
  <c r="K11" i="18"/>
  <c r="K17" i="18" s="1"/>
  <c r="AA15" i="7"/>
  <c r="AF15" i="7"/>
  <c r="Q15" i="7"/>
  <c r="V15" i="7"/>
  <c r="C30" i="12"/>
  <c r="H30" i="12"/>
  <c r="G17" i="18"/>
  <c r="L17" i="18"/>
  <c r="C17" i="18"/>
  <c r="F17" i="18"/>
  <c r="G33" i="12"/>
  <c r="C21" i="16"/>
  <c r="E22" i="16"/>
  <c r="E23" i="16" s="1"/>
  <c r="E25" i="16" s="1"/>
  <c r="F22" i="16"/>
  <c r="F23" i="16" s="1"/>
  <c r="F21" i="16"/>
  <c r="L13" i="6"/>
  <c r="M13" i="6"/>
  <c r="M13" i="3"/>
  <c r="M35" i="3"/>
  <c r="M27" i="3"/>
  <c r="Z5" i="7"/>
  <c r="AA5" i="7" s="1"/>
  <c r="AB5" i="7" s="1"/>
  <c r="AC5" i="7" s="1"/>
  <c r="AD5" i="7" s="1"/>
  <c r="O5" i="7"/>
  <c r="Q5" i="7"/>
  <c r="T5" i="7"/>
  <c r="U5" i="7"/>
  <c r="V5" i="7" s="1"/>
  <c r="W5" i="7" s="1"/>
  <c r="X5" i="7" s="1"/>
  <c r="Y5" i="7" s="1"/>
  <c r="S5" i="7"/>
  <c r="R5" i="7"/>
  <c r="P5" i="7"/>
  <c r="Y6" i="7"/>
  <c r="O6" i="7"/>
  <c r="Z6" i="7"/>
  <c r="AA6" i="7" s="1"/>
  <c r="AB6" i="7" s="1"/>
  <c r="AC6" i="7" s="1"/>
  <c r="AD6" i="7" s="1"/>
  <c r="AE6" i="7"/>
  <c r="AF6" i="7" s="1"/>
  <c r="AG6" i="7" s="1"/>
  <c r="AH6" i="7" s="1"/>
  <c r="AI6" i="7" s="1"/>
  <c r="U6" i="7"/>
  <c r="V6" i="7"/>
  <c r="W6" i="7"/>
  <c r="P6" i="7"/>
  <c r="Q6" i="7" s="1"/>
  <c r="C35" i="12"/>
  <c r="C33" i="12"/>
  <c r="G35" i="12"/>
  <c r="E33" i="12"/>
  <c r="F33" i="12"/>
  <c r="K17" i="6"/>
  <c r="M9" i="6"/>
  <c r="M17" i="6" s="1"/>
  <c r="AF26" i="6"/>
  <c r="H36" i="6"/>
  <c r="AF8" i="7"/>
  <c r="Z8" i="7"/>
  <c r="AG8" i="7"/>
  <c r="N36" i="7"/>
  <c r="AH8" i="7"/>
  <c r="AI8" i="7"/>
  <c r="P8" i="7"/>
  <c r="AE8" i="7"/>
  <c r="U8" i="7"/>
  <c r="AB7" i="7"/>
  <c r="N18" i="7"/>
  <c r="N41" i="7" s="1"/>
  <c r="AA7" i="7"/>
  <c r="AE7" i="7"/>
  <c r="Z7" i="7"/>
  <c r="Z18" i="7" s="1"/>
  <c r="AD7" i="7"/>
  <c r="U7" i="7"/>
  <c r="AC7" i="7"/>
  <c r="P7" i="7"/>
  <c r="O8" i="7"/>
  <c r="O7" i="7"/>
  <c r="L9" i="6"/>
  <c r="L17" i="6" s="1"/>
  <c r="J34" i="6"/>
  <c r="J29" i="6"/>
  <c r="J8" i="6"/>
  <c r="L16" i="6"/>
  <c r="K39" i="6"/>
  <c r="K31" i="6"/>
  <c r="J6" i="6"/>
  <c r="S6" i="3"/>
  <c r="AH6" i="3"/>
  <c r="AH5" i="3"/>
  <c r="Y11" i="3"/>
  <c r="L4" i="3"/>
  <c r="K13" i="3"/>
  <c r="K36" i="3" s="1"/>
  <c r="L9" i="3"/>
  <c r="K12" i="3"/>
  <c r="D21" i="11"/>
  <c r="D24" i="11" s="1"/>
  <c r="C36" i="3"/>
  <c r="D43" i="11"/>
  <c r="D49" i="11" s="1"/>
  <c r="D50" i="11" s="1"/>
  <c r="D6" i="11"/>
  <c r="D8" i="11" s="1"/>
  <c r="C19" i="11"/>
  <c r="H34" i="12"/>
  <c r="C9" i="11"/>
  <c r="C20" i="11" s="1"/>
  <c r="C29" i="11" s="1" a="1"/>
  <c r="C29" i="11" s="1"/>
  <c r="C74" i="11" s="1"/>
  <c r="C75" i="11" s="1"/>
  <c r="D9" i="11"/>
  <c r="D20" i="11" s="1"/>
  <c r="D29" i="11" s="1" a="1"/>
  <c r="D29" i="11" s="1"/>
  <c r="D74" i="11" s="1"/>
  <c r="D75" i="11" s="1"/>
  <c r="E30" i="11"/>
  <c r="E8" i="11"/>
  <c r="C24" i="11"/>
  <c r="F16" i="12"/>
  <c r="F21" i="12" s="1"/>
  <c r="F22" i="12" s="1"/>
  <c r="E30" i="12"/>
  <c r="E16" i="12"/>
  <c r="E21" i="12" s="1"/>
  <c r="E22" i="12" s="1"/>
  <c r="G30" i="12"/>
  <c r="F30" i="12"/>
  <c r="C16" i="12"/>
  <c r="C21" i="12" s="1"/>
  <c r="C22" i="12" s="1"/>
  <c r="H15" i="12"/>
  <c r="H31" i="12" s="1"/>
  <c r="H32" i="12" s="1"/>
  <c r="G16" i="12"/>
  <c r="O14" i="2"/>
  <c r="O15" i="2" s="1"/>
  <c r="O31" i="2"/>
  <c r="Q31" i="2"/>
  <c r="U31" i="2"/>
  <c r="I11" i="2"/>
  <c r="J11" i="2"/>
  <c r="W31" i="2"/>
  <c r="U11" i="2"/>
  <c r="V11" i="2"/>
  <c r="P11" i="2"/>
  <c r="O11" i="2"/>
  <c r="E27" i="1"/>
  <c r="E28" i="1" s="1"/>
  <c r="C15" i="3"/>
  <c r="C19" i="3" s="1"/>
  <c r="J38" i="7"/>
  <c r="L43" i="7"/>
  <c r="D27" i="1"/>
  <c r="D28" i="1" s="1"/>
  <c r="C20" i="7"/>
  <c r="C27" i="1"/>
  <c r="C28" i="1" s="1"/>
  <c r="C18" i="6"/>
  <c r="V14" i="2"/>
  <c r="W14" i="2"/>
  <c r="X14" i="2"/>
  <c r="Y14" i="2"/>
  <c r="U14" i="2"/>
  <c r="J38" i="3"/>
  <c r="C13" i="1"/>
  <c r="C14" i="1" s="1"/>
  <c r="C15" i="1" s="1"/>
  <c r="C16" i="1" s="1"/>
  <c r="J28" i="3"/>
  <c r="G28" i="3"/>
  <c r="H28" i="3"/>
  <c r="E28" i="3"/>
  <c r="D19" i="1"/>
  <c r="D20" i="1" s="1"/>
  <c r="D31" i="1" s="1"/>
  <c r="C8" i="1"/>
  <c r="C23" i="1" s="1"/>
  <c r="C20" i="1"/>
  <c r="C31" i="1" s="1"/>
  <c r="E20" i="1"/>
  <c r="E31" i="1" s="1"/>
  <c r="P14" i="2"/>
  <c r="Q14" i="2"/>
  <c r="Q15" i="2" s="1"/>
  <c r="R14" i="2"/>
  <c r="S14" i="2"/>
  <c r="J14" i="2"/>
  <c r="L14" i="2"/>
  <c r="I14" i="2"/>
  <c r="M14" i="2"/>
  <c r="K14" i="2"/>
  <c r="E13" i="1"/>
  <c r="E14" i="1" s="1"/>
  <c r="E15" i="1" s="1"/>
  <c r="E16" i="1" s="1"/>
  <c r="E18" i="1" s="1"/>
  <c r="D18" i="1"/>
  <c r="D17" i="1"/>
  <c r="D6" i="16" l="1"/>
  <c r="D5" i="16"/>
  <c r="D59" i="16"/>
  <c r="D28" i="16"/>
  <c r="D31" i="16" s="1"/>
  <c r="D33" i="16" s="1"/>
  <c r="D34" i="16" s="1"/>
  <c r="F4" i="16"/>
  <c r="F28" i="16" s="1"/>
  <c r="F31" i="16" s="1"/>
  <c r="F33" i="16" s="1"/>
  <c r="F34" i="16" s="1"/>
  <c r="N17" i="9"/>
  <c r="E24" i="12"/>
  <c r="E25" i="12" s="1"/>
  <c r="E23" i="12"/>
  <c r="F24" i="12"/>
  <c r="F25" i="12" s="1"/>
  <c r="F23" i="12"/>
  <c r="C53" i="11"/>
  <c r="C58" i="11" s="1"/>
  <c r="C36" i="11"/>
  <c r="B4" i="16" s="1"/>
  <c r="D35" i="11"/>
  <c r="B21" i="16"/>
  <c r="B42" i="18"/>
  <c r="B44" i="18" s="1"/>
  <c r="B48" i="18" s="1"/>
  <c r="L40" i="18"/>
  <c r="J50" i="18"/>
  <c r="J34" i="18"/>
  <c r="M22" i="3"/>
  <c r="Y22" i="3"/>
  <c r="P22" i="3"/>
  <c r="P31" i="3" s="1"/>
  <c r="AA22" i="3"/>
  <c r="AA31" i="3" s="1"/>
  <c r="Q22" i="3"/>
  <c r="Q31" i="3" s="1"/>
  <c r="R22" i="3"/>
  <c r="R31" i="3" s="1"/>
  <c r="W22" i="3"/>
  <c r="W31" i="3" s="1"/>
  <c r="S22" i="3"/>
  <c r="S31" i="3" s="1"/>
  <c r="N31" i="3"/>
  <c r="AI22" i="3"/>
  <c r="AI31" i="3" s="1"/>
  <c r="T22" i="3"/>
  <c r="T31" i="3" s="1"/>
  <c r="AH22" i="3"/>
  <c r="AH31" i="3" s="1"/>
  <c r="AD22" i="3"/>
  <c r="AD31" i="3" s="1"/>
  <c r="X22" i="3"/>
  <c r="V22" i="3"/>
  <c r="V31" i="3" s="1"/>
  <c r="AC22" i="3"/>
  <c r="AC31" i="3" s="1"/>
  <c r="O22" i="3"/>
  <c r="O31" i="3" s="1"/>
  <c r="AB22" i="3"/>
  <c r="AB31" i="3" s="1"/>
  <c r="AG22" i="3"/>
  <c r="AG31" i="3" s="1"/>
  <c r="Z22" i="3"/>
  <c r="Z31" i="3" s="1"/>
  <c r="AF22" i="3"/>
  <c r="AF31" i="3" s="1"/>
  <c r="U22" i="3"/>
  <c r="U31" i="3" s="1"/>
  <c r="AE22" i="3"/>
  <c r="AE31" i="3" s="1"/>
  <c r="B22" i="18"/>
  <c r="B33" i="18" s="1"/>
  <c r="B26" i="18"/>
  <c r="B34" i="18" s="1"/>
  <c r="M27" i="7"/>
  <c r="O27" i="7"/>
  <c r="O36" i="7" s="1"/>
  <c r="AE27" i="7"/>
  <c r="AF27" i="7" s="1"/>
  <c r="AG27" i="7" s="1"/>
  <c r="Z27" i="7"/>
  <c r="AA27" i="7" s="1"/>
  <c r="AB27" i="7" s="1"/>
  <c r="P27" i="7"/>
  <c r="Q27" i="7" s="1"/>
  <c r="R27" i="7" s="1"/>
  <c r="U27" i="7"/>
  <c r="V27" i="7" s="1"/>
  <c r="W27" i="7" s="1"/>
  <c r="W15" i="7"/>
  <c r="R15" i="7"/>
  <c r="AG15" i="7"/>
  <c r="AB15" i="7"/>
  <c r="C24" i="12"/>
  <c r="C26" i="12" s="1"/>
  <c r="C27" i="12" s="1"/>
  <c r="C28" i="12" s="1"/>
  <c r="H35" i="12"/>
  <c r="C11" i="7"/>
  <c r="C11" i="6"/>
  <c r="E6" i="16"/>
  <c r="E5" i="16"/>
  <c r="E28" i="16"/>
  <c r="E31" i="16" s="1"/>
  <c r="D38" i="16"/>
  <c r="D39" i="16" s="1"/>
  <c r="D11" i="16"/>
  <c r="D12" i="16" s="1"/>
  <c r="D26" i="16"/>
  <c r="F25" i="16"/>
  <c r="N13" i="6"/>
  <c r="AD13" i="6" s="1"/>
  <c r="AE13" i="6" s="1"/>
  <c r="AF13" i="6" s="1"/>
  <c r="AG13" i="6" s="1"/>
  <c r="AH13" i="6" s="1"/>
  <c r="E10" i="11"/>
  <c r="D10" i="11"/>
  <c r="H33" i="12"/>
  <c r="K32" i="12"/>
  <c r="M29" i="6"/>
  <c r="AC26" i="6"/>
  <c r="AG26" i="6"/>
  <c r="W26" i="6"/>
  <c r="C13" i="7"/>
  <c r="C14" i="7"/>
  <c r="V8" i="7"/>
  <c r="AA8" i="7"/>
  <c r="Q8" i="7"/>
  <c r="U18" i="7"/>
  <c r="V7" i="7"/>
  <c r="AF7" i="7"/>
  <c r="AE18" i="7"/>
  <c r="AA18" i="7"/>
  <c r="O18" i="7"/>
  <c r="Q7" i="7"/>
  <c r="P18" i="7"/>
  <c r="AB18" i="7"/>
  <c r="AD18" i="7"/>
  <c r="AC18" i="7"/>
  <c r="R6" i="7"/>
  <c r="N9" i="6"/>
  <c r="K34" i="6"/>
  <c r="K29" i="6"/>
  <c r="C22" i="6"/>
  <c r="C33" i="6" s="1"/>
  <c r="I41" i="6"/>
  <c r="K8" i="6"/>
  <c r="N16" i="6"/>
  <c r="L39" i="6"/>
  <c r="K6" i="6"/>
  <c r="M6" i="6" s="1"/>
  <c r="K28" i="3"/>
  <c r="T6" i="3"/>
  <c r="AI6" i="3"/>
  <c r="AI5" i="3"/>
  <c r="X31" i="3"/>
  <c r="L13" i="3"/>
  <c r="L36" i="3" s="1"/>
  <c r="N4" i="3"/>
  <c r="Z4" i="3" s="1"/>
  <c r="K33" i="3"/>
  <c r="K38" i="3"/>
  <c r="N9" i="3"/>
  <c r="L12" i="3"/>
  <c r="N28" i="7"/>
  <c r="M28" i="7" s="1"/>
  <c r="C43" i="11"/>
  <c r="C49" i="11" s="1"/>
  <c r="C50" i="11" s="1"/>
  <c r="I34" i="12"/>
  <c r="I35" i="12" s="1"/>
  <c r="C10" i="11"/>
  <c r="C25" i="12"/>
  <c r="E26" i="12"/>
  <c r="E27" i="12" s="1"/>
  <c r="E28" i="12" s="1"/>
  <c r="G21" i="12"/>
  <c r="G22" i="12" s="1"/>
  <c r="G24" i="12" s="1"/>
  <c r="J15" i="12"/>
  <c r="J31" i="12" s="1"/>
  <c r="J32" i="12" s="1"/>
  <c r="J33" i="12" s="1"/>
  <c r="H16" i="12"/>
  <c r="H21" i="12" s="1"/>
  <c r="H22" i="12" s="1"/>
  <c r="H24" i="12" s="1"/>
  <c r="H26" i="12" s="1"/>
  <c r="C24" i="7"/>
  <c r="C26" i="7"/>
  <c r="R22" i="2"/>
  <c r="R23" i="2" s="1"/>
  <c r="R25" i="2" s="1"/>
  <c r="S22" i="2"/>
  <c r="S23" i="2" s="1"/>
  <c r="S25" i="2" s="1"/>
  <c r="P22" i="2"/>
  <c r="P23" i="2" s="1"/>
  <c r="P25" i="2" s="1"/>
  <c r="I22" i="2"/>
  <c r="I23" i="2" s="1"/>
  <c r="I25" i="2" s="1"/>
  <c r="U22" i="2"/>
  <c r="U23" i="2" s="1"/>
  <c r="U25" i="2" s="1"/>
  <c r="Y22" i="2"/>
  <c r="Y23" i="2" s="1"/>
  <c r="Y25" i="2" s="1"/>
  <c r="J22" i="2"/>
  <c r="J23" i="2" s="1"/>
  <c r="J25" i="2" s="1"/>
  <c r="V22" i="2"/>
  <c r="V23" i="2" s="1"/>
  <c r="V25" i="2" s="1"/>
  <c r="L22" i="2"/>
  <c r="L23" i="2" s="1"/>
  <c r="L25" i="2" s="1"/>
  <c r="W22" i="2"/>
  <c r="W23" i="2" s="1"/>
  <c r="W25" i="2" s="1"/>
  <c r="M22" i="2"/>
  <c r="M23" i="2" s="1"/>
  <c r="M25" i="2" s="1"/>
  <c r="X22" i="2"/>
  <c r="X23" i="2" s="1"/>
  <c r="X25" i="2" s="1"/>
  <c r="H22" i="2"/>
  <c r="H23" i="2" s="1"/>
  <c r="H25" i="2" s="1"/>
  <c r="D15" i="3"/>
  <c r="C20" i="3"/>
  <c r="C21" i="3"/>
  <c r="C40" i="3" s="1"/>
  <c r="C24" i="6"/>
  <c r="D18" i="6"/>
  <c r="C23" i="6"/>
  <c r="D20" i="7"/>
  <c r="C25" i="7"/>
  <c r="O22" i="2"/>
  <c r="O23" i="2" s="1"/>
  <c r="O25" i="2" s="1"/>
  <c r="K22" i="2"/>
  <c r="K23" i="2" s="1"/>
  <c r="K25" i="2" s="1"/>
  <c r="C17" i="1"/>
  <c r="C24" i="1" s="1"/>
  <c r="C18" i="1"/>
  <c r="N27" i="6"/>
  <c r="M27" i="6" s="1"/>
  <c r="L31" i="6"/>
  <c r="N25" i="6"/>
  <c r="M25" i="6" s="1"/>
  <c r="N24" i="3"/>
  <c r="M24" i="3" s="1"/>
  <c r="N29" i="7"/>
  <c r="M29" i="7" s="1"/>
  <c r="J33" i="7"/>
  <c r="L31" i="7"/>
  <c r="N23" i="3"/>
  <c r="M23" i="3" s="1"/>
  <c r="J26" i="3"/>
  <c r="F28" i="3"/>
  <c r="E17" i="1"/>
  <c r="F32" i="16" l="1"/>
  <c r="F6" i="16"/>
  <c r="F11" i="16" s="1"/>
  <c r="F12" i="16" s="1"/>
  <c r="F5" i="16"/>
  <c r="D32" i="16"/>
  <c r="F26" i="12"/>
  <c r="F27" i="12" s="1"/>
  <c r="F28" i="12" s="1"/>
  <c r="AF36" i="7"/>
  <c r="D53" i="11"/>
  <c r="D58" i="11" s="1"/>
  <c r="D36" i="11"/>
  <c r="C4" i="16" s="1"/>
  <c r="B28" i="16"/>
  <c r="B31" i="16" s="1"/>
  <c r="B6" i="16"/>
  <c r="B5" i="16"/>
  <c r="B59" i="16"/>
  <c r="M36" i="7"/>
  <c r="M41" i="7"/>
  <c r="M59" i="3"/>
  <c r="M31" i="3"/>
  <c r="M56" i="3"/>
  <c r="M65" i="3"/>
  <c r="M62" i="3"/>
  <c r="U36" i="7"/>
  <c r="I50" i="18"/>
  <c r="H50" i="18" s="1"/>
  <c r="K50" i="18"/>
  <c r="L50" i="18" s="1"/>
  <c r="AE36" i="7"/>
  <c r="O41" i="7"/>
  <c r="M36" i="3"/>
  <c r="P36" i="7"/>
  <c r="Z36" i="7"/>
  <c r="Z41" i="7"/>
  <c r="AH15" i="7"/>
  <c r="AI15" i="7"/>
  <c r="S15" i="7"/>
  <c r="T15" i="7"/>
  <c r="AD15" i="7"/>
  <c r="AC15" i="7"/>
  <c r="Y15" i="7"/>
  <c r="X15" i="7"/>
  <c r="I27" i="6"/>
  <c r="Q27" i="6" s="1"/>
  <c r="D22" i="11"/>
  <c r="D25" i="11" s="1"/>
  <c r="D31" i="11" s="1"/>
  <c r="D11" i="6"/>
  <c r="D14" i="6"/>
  <c r="C38" i="6"/>
  <c r="G2" i="9"/>
  <c r="E33" i="16"/>
  <c r="E34" i="16" s="1"/>
  <c r="E32" i="16"/>
  <c r="E11" i="16"/>
  <c r="E12" i="16" s="1"/>
  <c r="E38" i="16"/>
  <c r="E26" i="16"/>
  <c r="D17" i="16"/>
  <c r="D43" i="16"/>
  <c r="D44" i="16" s="1"/>
  <c r="D13" i="16"/>
  <c r="D14" i="16"/>
  <c r="F38" i="16"/>
  <c r="F39" i="16" s="1"/>
  <c r="F48" i="16" s="1"/>
  <c r="F26" i="16"/>
  <c r="D40" i="16"/>
  <c r="D41" i="16" s="1"/>
  <c r="D45" i="16"/>
  <c r="T13" i="6"/>
  <c r="O13" i="6"/>
  <c r="P13" i="6" s="1"/>
  <c r="Q13" i="6" s="1"/>
  <c r="R13" i="6" s="1"/>
  <c r="M8" i="6"/>
  <c r="C65" i="6"/>
  <c r="C62" i="6"/>
  <c r="C68" i="6"/>
  <c r="M38" i="7"/>
  <c r="M33" i="7"/>
  <c r="M31" i="7"/>
  <c r="M43" i="7"/>
  <c r="M26" i="3"/>
  <c r="M38" i="3"/>
  <c r="M39" i="3" s="1"/>
  <c r="M40" i="3"/>
  <c r="M48" i="3"/>
  <c r="M52" i="3"/>
  <c r="M44" i="3"/>
  <c r="M33" i="3"/>
  <c r="M34" i="3" s="1"/>
  <c r="M28" i="3"/>
  <c r="M39" i="6"/>
  <c r="M34" i="6"/>
  <c r="M31" i="6"/>
  <c r="H26" i="6"/>
  <c r="P26" i="6" s="1"/>
  <c r="H22" i="3"/>
  <c r="I24" i="3"/>
  <c r="I33" i="3" s="1"/>
  <c r="E22" i="11"/>
  <c r="E25" i="11" s="1"/>
  <c r="E31" i="11" s="1"/>
  <c r="E11" i="11"/>
  <c r="E12" i="11" s="1"/>
  <c r="O16" i="6"/>
  <c r="T16" i="6"/>
  <c r="U16" i="6" s="1"/>
  <c r="V16" i="6" s="1"/>
  <c r="W16" i="6" s="1"/>
  <c r="X16" i="6" s="1"/>
  <c r="Y16" i="6"/>
  <c r="Z16" i="6" s="1"/>
  <c r="AA16" i="6" s="1"/>
  <c r="AB16" i="6" s="1"/>
  <c r="AC16" i="6" s="1"/>
  <c r="AD16" i="6"/>
  <c r="AE16" i="6" s="1"/>
  <c r="AF16" i="6" s="1"/>
  <c r="AG16" i="6" s="1"/>
  <c r="AH16" i="6" s="1"/>
  <c r="X26" i="6"/>
  <c r="AH26" i="6"/>
  <c r="AD27" i="6"/>
  <c r="T27" i="6"/>
  <c r="Y27" i="6"/>
  <c r="C59" i="6"/>
  <c r="C12" i="7"/>
  <c r="C40" i="7" s="1"/>
  <c r="AD25" i="6"/>
  <c r="T25" i="6"/>
  <c r="Y25" i="6"/>
  <c r="C16" i="7"/>
  <c r="C35" i="7" s="1"/>
  <c r="R8" i="7"/>
  <c r="Q36" i="7"/>
  <c r="V36" i="7"/>
  <c r="W8" i="7"/>
  <c r="AA36" i="7"/>
  <c r="AB8" i="7"/>
  <c r="AC27" i="7"/>
  <c r="AC41" i="7" s="1"/>
  <c r="AH27" i="7"/>
  <c r="AG36" i="7"/>
  <c r="X27" i="7"/>
  <c r="N43" i="7"/>
  <c r="Z28" i="7"/>
  <c r="AE28" i="7"/>
  <c r="P28" i="7"/>
  <c r="U28" i="7"/>
  <c r="N38" i="7"/>
  <c r="Z29" i="7"/>
  <c r="U29" i="7"/>
  <c r="U33" i="7" s="1"/>
  <c r="AE29" i="7"/>
  <c r="P29" i="7"/>
  <c r="P33" i="7" s="1"/>
  <c r="D14" i="7"/>
  <c r="D13" i="7"/>
  <c r="S27" i="7"/>
  <c r="AA41" i="7"/>
  <c r="AE41" i="7"/>
  <c r="AF18" i="7"/>
  <c r="AG7" i="7"/>
  <c r="AB41" i="7"/>
  <c r="P41" i="7"/>
  <c r="W7" i="7"/>
  <c r="V18" i="7"/>
  <c r="R7" i="7"/>
  <c r="Q18" i="7"/>
  <c r="U41" i="7"/>
  <c r="S6" i="7"/>
  <c r="D11" i="7"/>
  <c r="D12" i="7"/>
  <c r="C57" i="7"/>
  <c r="C49" i="7"/>
  <c r="C37" i="7"/>
  <c r="C53" i="7"/>
  <c r="C45" i="7"/>
  <c r="C70" i="7"/>
  <c r="C64" i="7"/>
  <c r="C67" i="7"/>
  <c r="C61" i="7"/>
  <c r="C42" i="7"/>
  <c r="T9" i="6"/>
  <c r="T17" i="6" s="1"/>
  <c r="N17" i="6"/>
  <c r="AE9" i="6"/>
  <c r="AF9" i="6"/>
  <c r="AG9" i="6"/>
  <c r="AH9" i="6"/>
  <c r="AH17" i="6" s="1"/>
  <c r="AD9" i="6"/>
  <c r="L34" i="6"/>
  <c r="L29" i="6"/>
  <c r="O9" i="6"/>
  <c r="D22" i="6"/>
  <c r="L8" i="6"/>
  <c r="J41" i="6"/>
  <c r="J36" i="6"/>
  <c r="C40" i="6"/>
  <c r="C55" i="6"/>
  <c r="C35" i="6"/>
  <c r="C51" i="6"/>
  <c r="C43" i="6"/>
  <c r="C47" i="6"/>
  <c r="Z23" i="3"/>
  <c r="AB23" i="3"/>
  <c r="AD23" i="3"/>
  <c r="AC23" i="3"/>
  <c r="AA23" i="3"/>
  <c r="AC24" i="3"/>
  <c r="AB24" i="3"/>
  <c r="AA24" i="3"/>
  <c r="Z24" i="3"/>
  <c r="AD24" i="3"/>
  <c r="AA4" i="3"/>
  <c r="Z13" i="3"/>
  <c r="Z36" i="3" s="1"/>
  <c r="AE9" i="3"/>
  <c r="AF9" i="3" s="1"/>
  <c r="P9" i="3"/>
  <c r="Q9" i="3" s="1"/>
  <c r="U9" i="3"/>
  <c r="V9" i="3" s="1"/>
  <c r="Z9" i="3"/>
  <c r="AA9" i="3" s="1"/>
  <c r="L6" i="6"/>
  <c r="N39" i="6"/>
  <c r="P4" i="3"/>
  <c r="AE4" i="3"/>
  <c r="U4" i="3"/>
  <c r="Q23" i="3"/>
  <c r="Y23" i="3"/>
  <c r="Y26" i="3" s="1"/>
  <c r="R23" i="3"/>
  <c r="AI23" i="3"/>
  <c r="X23" i="3"/>
  <c r="S23" i="3"/>
  <c r="AH23" i="3"/>
  <c r="W23" i="3"/>
  <c r="T23" i="3"/>
  <c r="AE23" i="3"/>
  <c r="AG23" i="3"/>
  <c r="V23" i="3"/>
  <c r="P23" i="3"/>
  <c r="AF23" i="3"/>
  <c r="U23" i="3"/>
  <c r="L28" i="3"/>
  <c r="AF24" i="3"/>
  <c r="U24" i="3"/>
  <c r="AE24" i="3"/>
  <c r="S24" i="3"/>
  <c r="Y24" i="3"/>
  <c r="Q24" i="3"/>
  <c r="AH24" i="3"/>
  <c r="W24" i="3"/>
  <c r="AI24" i="3"/>
  <c r="X24" i="3"/>
  <c r="R24" i="3"/>
  <c r="P24" i="3"/>
  <c r="AG24" i="3"/>
  <c r="V24" i="3"/>
  <c r="T24" i="3"/>
  <c r="Y31" i="3"/>
  <c r="O4" i="3"/>
  <c r="O13" i="3" s="1"/>
  <c r="O36" i="3" s="1"/>
  <c r="N13" i="3"/>
  <c r="N36" i="3" s="1"/>
  <c r="O9" i="3"/>
  <c r="O12" i="3" s="1"/>
  <c r="N12" i="3"/>
  <c r="N33" i="3" s="1"/>
  <c r="L38" i="3"/>
  <c r="L33" i="3"/>
  <c r="O29" i="7"/>
  <c r="O38" i="7" s="1"/>
  <c r="O28" i="7"/>
  <c r="O43" i="7" s="1"/>
  <c r="O25" i="6"/>
  <c r="C28" i="6"/>
  <c r="O27" i="6"/>
  <c r="J34" i="12"/>
  <c r="J35" i="12" s="1"/>
  <c r="C22" i="11"/>
  <c r="C11" i="11"/>
  <c r="D11" i="11"/>
  <c r="D12" i="11" s="1"/>
  <c r="G25" i="12"/>
  <c r="G26" i="12"/>
  <c r="G27" i="12" s="1"/>
  <c r="G28" i="12" s="1"/>
  <c r="H25" i="12"/>
  <c r="J16" i="12"/>
  <c r="J21" i="12" s="1"/>
  <c r="J22" i="12" s="1"/>
  <c r="J24" i="12" s="1"/>
  <c r="J25" i="12" s="1"/>
  <c r="Q22" i="2"/>
  <c r="Q23" i="2" s="1"/>
  <c r="Q25" i="2" s="1"/>
  <c r="E22" i="2"/>
  <c r="E23" i="2" s="1"/>
  <c r="E25" i="2" s="1"/>
  <c r="E17" i="2"/>
  <c r="E16" i="2"/>
  <c r="E26" i="2" s="1"/>
  <c r="N22" i="2"/>
  <c r="N23" i="2" s="1"/>
  <c r="N25" i="2" s="1"/>
  <c r="N16" i="2"/>
  <c r="N26" i="2" s="1"/>
  <c r="N17" i="2"/>
  <c r="D22" i="2"/>
  <c r="D23" i="2" s="1"/>
  <c r="D25" i="2" s="1"/>
  <c r="D16" i="2"/>
  <c r="D26" i="2" s="1"/>
  <c r="D17" i="2"/>
  <c r="F22" i="2"/>
  <c r="F23" i="2" s="1"/>
  <c r="F25" i="2" s="1"/>
  <c r="F17" i="2"/>
  <c r="F16" i="2"/>
  <c r="F26" i="2" s="1"/>
  <c r="C22" i="2"/>
  <c r="C23" i="2" s="1"/>
  <c r="C25" i="2" s="1"/>
  <c r="C17" i="2"/>
  <c r="C16" i="2"/>
  <c r="G22" i="2"/>
  <c r="G23" i="2" s="1"/>
  <c r="G25" i="2" s="1"/>
  <c r="G16" i="2"/>
  <c r="G26" i="2" s="1"/>
  <c r="G17" i="2"/>
  <c r="T22" i="2"/>
  <c r="T23" i="2" s="1"/>
  <c r="T25" i="2" s="1"/>
  <c r="T16" i="2"/>
  <c r="T26" i="2" s="1"/>
  <c r="T17" i="2"/>
  <c r="D24" i="7"/>
  <c r="D26" i="7"/>
  <c r="D25" i="7"/>
  <c r="U17" i="2"/>
  <c r="U16" i="2"/>
  <c r="U26" i="2" s="1"/>
  <c r="X16" i="2"/>
  <c r="X26" i="2" s="1"/>
  <c r="X17" i="2"/>
  <c r="I16" i="2"/>
  <c r="I26" i="2" s="1"/>
  <c r="I17" i="2"/>
  <c r="H17" i="2"/>
  <c r="H16" i="2"/>
  <c r="H26" i="2" s="1"/>
  <c r="D24" i="1"/>
  <c r="M16" i="2"/>
  <c r="M26" i="2" s="1"/>
  <c r="M17" i="2"/>
  <c r="P17" i="2"/>
  <c r="P16" i="2"/>
  <c r="W16" i="2"/>
  <c r="W26" i="2" s="1"/>
  <c r="W17" i="2"/>
  <c r="S16" i="2"/>
  <c r="S26" i="2" s="1"/>
  <c r="S17" i="2"/>
  <c r="C52" i="3"/>
  <c r="C32" i="3"/>
  <c r="C44" i="3"/>
  <c r="C48" i="3"/>
  <c r="C27" i="3"/>
  <c r="L16" i="2"/>
  <c r="L26" i="2" s="1"/>
  <c r="L17" i="2"/>
  <c r="R16" i="2"/>
  <c r="R26" i="2" s="1"/>
  <c r="R17" i="2"/>
  <c r="C37" i="3"/>
  <c r="C25" i="3"/>
  <c r="V17" i="2"/>
  <c r="V16" i="2"/>
  <c r="V26" i="2" s="1"/>
  <c r="Q16" i="2"/>
  <c r="Q26" i="2" s="1"/>
  <c r="Q17" i="2"/>
  <c r="C65" i="3"/>
  <c r="C62" i="3"/>
  <c r="C59" i="3"/>
  <c r="C56" i="3"/>
  <c r="C30" i="3"/>
  <c r="C35" i="3"/>
  <c r="J16" i="2"/>
  <c r="J17" i="2"/>
  <c r="E15" i="3"/>
  <c r="D19" i="3"/>
  <c r="D20" i="3"/>
  <c r="D21" i="3"/>
  <c r="Y17" i="2"/>
  <c r="Y16" i="2"/>
  <c r="Y26" i="2" s="1"/>
  <c r="E20" i="7"/>
  <c r="G20" i="7"/>
  <c r="G18" i="6"/>
  <c r="D23" i="6"/>
  <c r="E18" i="6"/>
  <c r="D24" i="6"/>
  <c r="C30" i="6"/>
  <c r="O17" i="2"/>
  <c r="O16" i="2"/>
  <c r="O26" i="2" s="1"/>
  <c r="K17" i="2"/>
  <c r="K16" i="2"/>
  <c r="K26" i="2" s="1"/>
  <c r="O24" i="3"/>
  <c r="O23" i="3"/>
  <c r="N31" i="7"/>
  <c r="N31" i="6"/>
  <c r="N26" i="3"/>
  <c r="N33" i="7"/>
  <c r="H23" i="16" l="1"/>
  <c r="I23" i="16" s="1"/>
  <c r="J23" i="16" s="1"/>
  <c r="B26" i="16"/>
  <c r="B38" i="16"/>
  <c r="B11" i="16"/>
  <c r="B12" i="16" s="1"/>
  <c r="B33" i="16"/>
  <c r="B34" i="16" s="1"/>
  <c r="B32" i="16"/>
  <c r="C59" i="16"/>
  <c r="C6" i="16"/>
  <c r="C5" i="16"/>
  <c r="C28" i="16"/>
  <c r="C31" i="16" s="1"/>
  <c r="I51" i="18"/>
  <c r="J43" i="18"/>
  <c r="J45" i="18" s="1"/>
  <c r="J49" i="18" s="1"/>
  <c r="K51" i="18"/>
  <c r="J42" i="18"/>
  <c r="J44" i="18" s="1"/>
  <c r="J48" i="18" s="1"/>
  <c r="C25" i="11"/>
  <c r="C31" i="11" s="1"/>
  <c r="H27" i="12"/>
  <c r="H28" i="12" s="1"/>
  <c r="R27" i="6"/>
  <c r="Q36" i="6"/>
  <c r="R26" i="6"/>
  <c r="P41" i="6"/>
  <c r="D65" i="6"/>
  <c r="D33" i="6"/>
  <c r="G39" i="9"/>
  <c r="G38" i="9"/>
  <c r="G40" i="9" s="1"/>
  <c r="Q41" i="6"/>
  <c r="S16" i="6"/>
  <c r="S39" i="6" s="1"/>
  <c r="P16" i="6"/>
  <c r="O17" i="6"/>
  <c r="O29" i="6" s="1"/>
  <c r="P9" i="6"/>
  <c r="C42" i="6"/>
  <c r="G7" i="9" s="1"/>
  <c r="AF17" i="6"/>
  <c r="AF29" i="6" s="1"/>
  <c r="AE17" i="6"/>
  <c r="AE29" i="6" s="1"/>
  <c r="G71" i="9"/>
  <c r="E11" i="6"/>
  <c r="E14" i="6"/>
  <c r="G11" i="6"/>
  <c r="G14" i="6"/>
  <c r="AD17" i="6"/>
  <c r="AD29" i="6" s="1"/>
  <c r="AG17" i="6"/>
  <c r="AG29" i="6" s="1"/>
  <c r="E43" i="16"/>
  <c r="E44" i="16" s="1"/>
  <c r="E39" i="16"/>
  <c r="E13" i="16"/>
  <c r="E17" i="16"/>
  <c r="E14" i="16"/>
  <c r="F17" i="16"/>
  <c r="F43" i="16"/>
  <c r="F44" i="16" s="1"/>
  <c r="F13" i="16"/>
  <c r="F14" i="16"/>
  <c r="F40" i="16"/>
  <c r="F41" i="16" s="1"/>
  <c r="F45" i="16"/>
  <c r="F47" i="16" s="1"/>
  <c r="F52" i="16" s="1"/>
  <c r="F55" i="16" s="1"/>
  <c r="S13" i="6"/>
  <c r="U13" i="6"/>
  <c r="C32" i="7"/>
  <c r="D59" i="6"/>
  <c r="D68" i="6"/>
  <c r="D62" i="6"/>
  <c r="I28" i="3"/>
  <c r="D40" i="6"/>
  <c r="M29" i="3"/>
  <c r="M42" i="3"/>
  <c r="M50" i="3"/>
  <c r="M46" i="3"/>
  <c r="M54" i="3"/>
  <c r="M63" i="3"/>
  <c r="M64" i="3" s="1"/>
  <c r="M60" i="3"/>
  <c r="M61" i="3" s="1"/>
  <c r="M57" i="3"/>
  <c r="M58" i="3" s="1"/>
  <c r="M66" i="3"/>
  <c r="M67" i="3" s="1"/>
  <c r="I31" i="6"/>
  <c r="I36" i="6"/>
  <c r="H31" i="3"/>
  <c r="H36" i="3"/>
  <c r="H29" i="6"/>
  <c r="H41" i="6"/>
  <c r="U9" i="6"/>
  <c r="U17" i="6" s="1"/>
  <c r="C30" i="7"/>
  <c r="M36" i="6"/>
  <c r="M41" i="6"/>
  <c r="N29" i="6"/>
  <c r="Z25" i="6"/>
  <c r="Y39" i="6"/>
  <c r="D38" i="6"/>
  <c r="AD39" i="6"/>
  <c r="AE25" i="6"/>
  <c r="Z27" i="6"/>
  <c r="Y31" i="6"/>
  <c r="T31" i="6"/>
  <c r="U27" i="6"/>
  <c r="T39" i="6"/>
  <c r="U25" i="6"/>
  <c r="AE27" i="6"/>
  <c r="AD31" i="6"/>
  <c r="Y27" i="7"/>
  <c r="D16" i="7"/>
  <c r="D30" i="7" s="1"/>
  <c r="AB36" i="7"/>
  <c r="AC8" i="7"/>
  <c r="G13" i="7"/>
  <c r="G14" i="7"/>
  <c r="Q29" i="7"/>
  <c r="Q33" i="7" s="1"/>
  <c r="P38" i="7"/>
  <c r="V28" i="7"/>
  <c r="U31" i="7"/>
  <c r="U43" i="7"/>
  <c r="AF29" i="7"/>
  <c r="AF33" i="7" s="1"/>
  <c r="AE38" i="7"/>
  <c r="Q28" i="7"/>
  <c r="P31" i="7"/>
  <c r="P43" i="7"/>
  <c r="AI27" i="7"/>
  <c r="AI36" i="7" s="1"/>
  <c r="AH36" i="7"/>
  <c r="O31" i="7"/>
  <c r="T27" i="7"/>
  <c r="U38" i="7"/>
  <c r="V29" i="7"/>
  <c r="AF28" i="7"/>
  <c r="AE43" i="7"/>
  <c r="AE31" i="7"/>
  <c r="X8" i="7"/>
  <c r="W36" i="7"/>
  <c r="S8" i="7"/>
  <c r="R36" i="7"/>
  <c r="E14" i="7"/>
  <c r="E13" i="7"/>
  <c r="AE33" i="7"/>
  <c r="Z38" i="7"/>
  <c r="AA29" i="7"/>
  <c r="Z33" i="7"/>
  <c r="AA28" i="7"/>
  <c r="Z31" i="7"/>
  <c r="Z43" i="7"/>
  <c r="AD27" i="7"/>
  <c r="V41" i="7"/>
  <c r="W18" i="7"/>
  <c r="X7" i="7"/>
  <c r="Q41" i="7"/>
  <c r="AG18" i="7"/>
  <c r="AH7" i="7"/>
  <c r="S7" i="7"/>
  <c r="R18" i="7"/>
  <c r="AF41" i="7"/>
  <c r="T6" i="7"/>
  <c r="G11" i="7"/>
  <c r="G12" i="7"/>
  <c r="C39" i="7"/>
  <c r="C59" i="7" s="1"/>
  <c r="E11" i="7"/>
  <c r="E12" i="7"/>
  <c r="C44" i="7"/>
  <c r="C71" i="7" s="1"/>
  <c r="C72" i="7" s="1"/>
  <c r="O33" i="7"/>
  <c r="D70" i="7"/>
  <c r="D64" i="7"/>
  <c r="D40" i="7"/>
  <c r="D67" i="7"/>
  <c r="D61" i="7"/>
  <c r="D57" i="7"/>
  <c r="D49" i="7"/>
  <c r="D37" i="7"/>
  <c r="D53" i="7"/>
  <c r="D45" i="7"/>
  <c r="D42" i="7"/>
  <c r="AH29" i="6"/>
  <c r="T34" i="6"/>
  <c r="T29" i="6"/>
  <c r="N34" i="6"/>
  <c r="S9" i="6"/>
  <c r="S17" i="6" s="1"/>
  <c r="G22" i="6"/>
  <c r="K36" i="6"/>
  <c r="K41" i="6"/>
  <c r="C37" i="6"/>
  <c r="G6" i="9" s="1"/>
  <c r="N8" i="6"/>
  <c r="E22" i="6"/>
  <c r="D51" i="6"/>
  <c r="D43" i="6"/>
  <c r="D55" i="6"/>
  <c r="D35" i="6"/>
  <c r="D47" i="6"/>
  <c r="C32" i="6"/>
  <c r="G5" i="9" s="1"/>
  <c r="G48" i="9" s="1"/>
  <c r="AA12" i="3"/>
  <c r="AA33" i="3" s="1"/>
  <c r="AB9" i="3"/>
  <c r="R9" i="3"/>
  <c r="Q12" i="3"/>
  <c r="Q38" i="3" s="1"/>
  <c r="AF12" i="3"/>
  <c r="AF33" i="3" s="1"/>
  <c r="AG9" i="3"/>
  <c r="AA26" i="3"/>
  <c r="V12" i="3"/>
  <c r="V33" i="3" s="1"/>
  <c r="W9" i="3"/>
  <c r="N38" i="3"/>
  <c r="Z12" i="3"/>
  <c r="Z33" i="3" s="1"/>
  <c r="U12" i="3"/>
  <c r="U38" i="3" s="1"/>
  <c r="AE12" i="3"/>
  <c r="AE38" i="3" s="1"/>
  <c r="P12" i="3"/>
  <c r="P38" i="3" s="1"/>
  <c r="AC26" i="3"/>
  <c r="AB4" i="3"/>
  <c r="AA13" i="3"/>
  <c r="AA36" i="3" s="1"/>
  <c r="AD26" i="3"/>
  <c r="AB26" i="3"/>
  <c r="Z28" i="3"/>
  <c r="Z26" i="3"/>
  <c r="N6" i="6"/>
  <c r="O31" i="6"/>
  <c r="O39" i="6"/>
  <c r="O38" i="3"/>
  <c r="N28" i="3"/>
  <c r="V26" i="3"/>
  <c r="V38" i="3"/>
  <c r="AI26" i="3"/>
  <c r="T26" i="3"/>
  <c r="Q26" i="3"/>
  <c r="AG26" i="3"/>
  <c r="W26" i="3"/>
  <c r="V4" i="3"/>
  <c r="U13" i="3"/>
  <c r="U36" i="3" s="1"/>
  <c r="U26" i="3"/>
  <c r="AH26" i="3"/>
  <c r="AF4" i="3"/>
  <c r="AE13" i="3"/>
  <c r="AE26" i="3"/>
  <c r="Q33" i="3"/>
  <c r="AF26" i="3"/>
  <c r="AF38" i="3"/>
  <c r="S26" i="3"/>
  <c r="Q4" i="3"/>
  <c r="P13" i="3"/>
  <c r="P36" i="3" s="1"/>
  <c r="R26" i="3"/>
  <c r="U33" i="3"/>
  <c r="P26" i="3"/>
  <c r="X26" i="3"/>
  <c r="O33" i="3"/>
  <c r="O28" i="3"/>
  <c r="K34" i="12"/>
  <c r="K35" i="12" s="1"/>
  <c r="C13" i="11"/>
  <c r="C28" i="11" a="1"/>
  <c r="C28" i="11" s="1"/>
  <c r="C8" i="11"/>
  <c r="C12" i="11" s="1"/>
  <c r="D19" i="11"/>
  <c r="D13" i="11"/>
  <c r="J26" i="12"/>
  <c r="J27" i="12" s="1"/>
  <c r="J28" i="12" s="1"/>
  <c r="I22" i="12"/>
  <c r="I24" i="12" s="1"/>
  <c r="O18" i="2"/>
  <c r="D18" i="2"/>
  <c r="N18" i="2"/>
  <c r="T18" i="2"/>
  <c r="F18" i="2"/>
  <c r="E18" i="2"/>
  <c r="C18" i="2"/>
  <c r="G18" i="2"/>
  <c r="C39" i="3"/>
  <c r="C57" i="3" s="1"/>
  <c r="C58" i="3" s="1"/>
  <c r="C34" i="3"/>
  <c r="C42" i="3" s="1"/>
  <c r="C29" i="3"/>
  <c r="C49" i="3" s="1"/>
  <c r="G26" i="7"/>
  <c r="G24" i="7"/>
  <c r="G25" i="7"/>
  <c r="E24" i="7"/>
  <c r="E25" i="7"/>
  <c r="E26" i="7"/>
  <c r="S18" i="2"/>
  <c r="D32" i="3"/>
  <c r="D48" i="3"/>
  <c r="D40" i="3"/>
  <c r="D44" i="3"/>
  <c r="D52" i="3"/>
  <c r="D27" i="3"/>
  <c r="V18" i="2"/>
  <c r="Q18" i="2"/>
  <c r="D37" i="3"/>
  <c r="D25" i="3"/>
  <c r="W18" i="2"/>
  <c r="D62" i="3"/>
  <c r="D59" i="3"/>
  <c r="D30" i="3"/>
  <c r="D56" i="3"/>
  <c r="D65" i="3"/>
  <c r="D35" i="3"/>
  <c r="P18" i="2"/>
  <c r="P27" i="2"/>
  <c r="P29" i="2" s="1"/>
  <c r="I18" i="2"/>
  <c r="F15" i="3"/>
  <c r="E19" i="3"/>
  <c r="E21" i="3"/>
  <c r="E20" i="3"/>
  <c r="X18" i="2"/>
  <c r="H27" i="2"/>
  <c r="H29" i="2" s="1"/>
  <c r="H18" i="2"/>
  <c r="R18" i="2"/>
  <c r="M18" i="2"/>
  <c r="U18" i="2"/>
  <c r="L18" i="2"/>
  <c r="Y18" i="2"/>
  <c r="J18" i="2"/>
  <c r="F20" i="7"/>
  <c r="H20" i="7"/>
  <c r="D28" i="6"/>
  <c r="G24" i="6"/>
  <c r="G23" i="6"/>
  <c r="D30" i="6"/>
  <c r="D32" i="7"/>
  <c r="F18" i="6"/>
  <c r="E24" i="6"/>
  <c r="E23" i="6"/>
  <c r="H18" i="6"/>
  <c r="O27" i="2"/>
  <c r="O29" i="2" s="1"/>
  <c r="K18" i="2"/>
  <c r="O26" i="3"/>
  <c r="H42" i="18" l="1"/>
  <c r="H44" i="18" s="1"/>
  <c r="H48" i="18" s="1"/>
  <c r="H43" i="18"/>
  <c r="H45" i="18" s="1"/>
  <c r="H49" i="18" s="1"/>
  <c r="J53" i="18"/>
  <c r="J54" i="18" s="1"/>
  <c r="J55" i="18" s="1"/>
  <c r="C17" i="11"/>
  <c r="C16" i="11"/>
  <c r="C33" i="16"/>
  <c r="C34" i="16" s="1"/>
  <c r="C32" i="16"/>
  <c r="C38" i="16"/>
  <c r="C26" i="16"/>
  <c r="C11" i="16"/>
  <c r="C12" i="16" s="1"/>
  <c r="AE33" i="3"/>
  <c r="B17" i="16"/>
  <c r="B14" i="16"/>
  <c r="B13" i="16"/>
  <c r="B39" i="16"/>
  <c r="B43" i="16"/>
  <c r="B44" i="16" s="1"/>
  <c r="P33" i="3"/>
  <c r="AA38" i="3"/>
  <c r="J56" i="18"/>
  <c r="J57" i="18" s="1"/>
  <c r="J58" i="18"/>
  <c r="Z38" i="3"/>
  <c r="L51" i="18"/>
  <c r="L43" i="18" s="1"/>
  <c r="L45" i="18" s="1"/>
  <c r="K43" i="18"/>
  <c r="K45" i="18" s="1"/>
  <c r="K49" i="18" s="1"/>
  <c r="K42" i="18"/>
  <c r="K44" i="18" s="1"/>
  <c r="K48" i="18" s="1"/>
  <c r="I43" i="18"/>
  <c r="I45" i="18" s="1"/>
  <c r="I49" i="18" s="1"/>
  <c r="I42" i="18"/>
  <c r="I44" i="18" s="1"/>
  <c r="I48" i="18" s="1"/>
  <c r="AD34" i="6"/>
  <c r="E33" i="6"/>
  <c r="AE34" i="6"/>
  <c r="C30" i="11"/>
  <c r="C72" i="11"/>
  <c r="C73" i="11" s="1"/>
  <c r="S27" i="6"/>
  <c r="R36" i="6"/>
  <c r="S26" i="6"/>
  <c r="S29" i="6" s="1"/>
  <c r="R41" i="6"/>
  <c r="G68" i="6"/>
  <c r="G33" i="6"/>
  <c r="C63" i="6"/>
  <c r="C64" i="6" s="1"/>
  <c r="C69" i="6"/>
  <c r="C70" i="6" s="1"/>
  <c r="C66" i="6"/>
  <c r="C67" i="6" s="1"/>
  <c r="C60" i="6"/>
  <c r="C61" i="6" s="1"/>
  <c r="Q9" i="6"/>
  <c r="R9" i="6" s="1"/>
  <c r="P17" i="6"/>
  <c r="P29" i="6" s="1"/>
  <c r="Q16" i="6"/>
  <c r="R16" i="6" s="1"/>
  <c r="P39" i="6"/>
  <c r="P31" i="6"/>
  <c r="H11" i="6"/>
  <c r="H14" i="6"/>
  <c r="F11" i="6"/>
  <c r="F14" i="6"/>
  <c r="C57" i="6"/>
  <c r="G46" i="9"/>
  <c r="E45" i="16"/>
  <c r="E47" i="16" s="1"/>
  <c r="E52" i="16" s="1"/>
  <c r="E55" i="16" s="1"/>
  <c r="E48" i="16"/>
  <c r="E40" i="16"/>
  <c r="E41" i="16" s="1"/>
  <c r="C34" i="7"/>
  <c r="C58" i="7" s="1"/>
  <c r="C60" i="7" s="1"/>
  <c r="C76" i="7" s="1"/>
  <c r="V13" i="6"/>
  <c r="D37" i="6"/>
  <c r="E59" i="6"/>
  <c r="E68" i="6"/>
  <c r="E62" i="6"/>
  <c r="G65" i="6"/>
  <c r="E38" i="6"/>
  <c r="E65" i="6"/>
  <c r="V9" i="6"/>
  <c r="V17" i="6" s="1"/>
  <c r="G59" i="6"/>
  <c r="G62" i="6"/>
  <c r="G38" i="6"/>
  <c r="D42" i="6"/>
  <c r="D69" i="6" s="1"/>
  <c r="D70" i="6" s="1"/>
  <c r="M73" i="3" a="1"/>
  <c r="M73" i="3" s="1"/>
  <c r="D28" i="11" a="1"/>
  <c r="D28" i="11" s="1"/>
  <c r="D35" i="7"/>
  <c r="D39" i="7" s="1"/>
  <c r="D59" i="7" s="1"/>
  <c r="E42" i="7"/>
  <c r="D32" i="6"/>
  <c r="D56" i="6" s="1"/>
  <c r="M49" i="3"/>
  <c r="M51" i="3" s="1"/>
  <c r="M70" i="3" s="1"/>
  <c r="M53" i="3"/>
  <c r="M55" i="3" s="1"/>
  <c r="M71" i="3" s="1"/>
  <c r="M45" i="3"/>
  <c r="M47" i="3" s="1"/>
  <c r="M69" i="3" s="1"/>
  <c r="M41" i="3"/>
  <c r="M43" i="3" s="1"/>
  <c r="AD8" i="6"/>
  <c r="T8" i="6"/>
  <c r="Y8" i="6"/>
  <c r="AF27" i="6"/>
  <c r="AE31" i="6"/>
  <c r="V27" i="6"/>
  <c r="U31" i="6"/>
  <c r="V25" i="6"/>
  <c r="U39" i="6"/>
  <c r="AA27" i="6"/>
  <c r="Z31" i="6"/>
  <c r="AF25" i="6"/>
  <c r="AE39" i="6"/>
  <c r="AA25" i="6"/>
  <c r="Z39" i="6"/>
  <c r="AF43" i="7"/>
  <c r="AG28" i="7"/>
  <c r="AF31" i="7"/>
  <c r="W28" i="7"/>
  <c r="V43" i="7"/>
  <c r="V31" i="7"/>
  <c r="E16" i="7"/>
  <c r="E35" i="7" s="1"/>
  <c r="X36" i="7"/>
  <c r="Y8" i="7"/>
  <c r="Q43" i="7"/>
  <c r="R28" i="7"/>
  <c r="Q31" i="7"/>
  <c r="R29" i="7"/>
  <c r="R33" i="7" s="1"/>
  <c r="Q38" i="7"/>
  <c r="AD41" i="7"/>
  <c r="W29" i="7"/>
  <c r="W33" i="7" s="1"/>
  <c r="V38" i="7"/>
  <c r="AA43" i="7"/>
  <c r="AB28" i="7"/>
  <c r="AA31" i="7"/>
  <c r="AF38" i="7"/>
  <c r="AG29" i="7"/>
  <c r="AG33" i="7" s="1"/>
  <c r="H14" i="7"/>
  <c r="H13" i="7"/>
  <c r="F14" i="7"/>
  <c r="F13" i="7"/>
  <c r="AA38" i="7"/>
  <c r="AB29" i="7"/>
  <c r="AA33" i="7"/>
  <c r="G16" i="7"/>
  <c r="G35" i="7" s="1"/>
  <c r="AD8" i="7"/>
  <c r="AC36" i="7"/>
  <c r="V33" i="7"/>
  <c r="T8" i="7"/>
  <c r="S36" i="7"/>
  <c r="AH18" i="7"/>
  <c r="AI7" i="7"/>
  <c r="AG41" i="7"/>
  <c r="R41" i="7"/>
  <c r="W41" i="7"/>
  <c r="S18" i="7"/>
  <c r="T7" i="7"/>
  <c r="X18" i="7"/>
  <c r="Y7" i="7"/>
  <c r="C47" i="7"/>
  <c r="C62" i="7"/>
  <c r="C63" i="7" s="1"/>
  <c r="C68" i="7"/>
  <c r="C69" i="7" s="1"/>
  <c r="C55" i="7"/>
  <c r="F11" i="7"/>
  <c r="F12" i="7"/>
  <c r="C65" i="7"/>
  <c r="C66" i="7" s="1"/>
  <c r="C51" i="7"/>
  <c r="H11" i="7"/>
  <c r="H12" i="7"/>
  <c r="D34" i="7"/>
  <c r="D54" i="7" s="1"/>
  <c r="G42" i="7"/>
  <c r="E57" i="7"/>
  <c r="E49" i="7"/>
  <c r="E53" i="7"/>
  <c r="E45" i="7"/>
  <c r="E37" i="7"/>
  <c r="D44" i="7"/>
  <c r="G61" i="7"/>
  <c r="G70" i="7"/>
  <c r="G64" i="7"/>
  <c r="G67" i="7"/>
  <c r="G40" i="7"/>
  <c r="G37" i="7"/>
  <c r="G53" i="7"/>
  <c r="G57" i="7"/>
  <c r="G49" i="7"/>
  <c r="G45" i="7"/>
  <c r="E70" i="7"/>
  <c r="E64" i="7"/>
  <c r="E67" i="7"/>
  <c r="E61" i="7"/>
  <c r="E40" i="7"/>
  <c r="Z6" i="6"/>
  <c r="Y6" i="6"/>
  <c r="T6" i="6"/>
  <c r="AC6" i="6"/>
  <c r="AB6" i="6"/>
  <c r="AD6" i="6"/>
  <c r="AA6" i="6"/>
  <c r="U34" i="6"/>
  <c r="U29" i="6"/>
  <c r="O34" i="6"/>
  <c r="S34" i="6"/>
  <c r="C49" i="6"/>
  <c r="C53" i="6"/>
  <c r="O8" i="6"/>
  <c r="P8" i="6" s="1"/>
  <c r="C45" i="6"/>
  <c r="F22" i="6"/>
  <c r="H22" i="6"/>
  <c r="L41" i="6"/>
  <c r="L36" i="6"/>
  <c r="G47" i="6"/>
  <c r="G55" i="6"/>
  <c r="G35" i="6"/>
  <c r="G43" i="6"/>
  <c r="G51" i="6"/>
  <c r="C56" i="6"/>
  <c r="C44" i="6"/>
  <c r="C48" i="6"/>
  <c r="C52" i="6"/>
  <c r="E40" i="6"/>
  <c r="E51" i="6"/>
  <c r="E47" i="6"/>
  <c r="E43" i="6"/>
  <c r="E55" i="6"/>
  <c r="E35" i="6"/>
  <c r="E37" i="6" s="1"/>
  <c r="G40" i="6"/>
  <c r="X9" i="3"/>
  <c r="W12" i="3"/>
  <c r="P28" i="3"/>
  <c r="R12" i="3"/>
  <c r="S9" i="3"/>
  <c r="AA28" i="3"/>
  <c r="AH9" i="3"/>
  <c r="AG12" i="3"/>
  <c r="AB13" i="3"/>
  <c r="AC4" i="3"/>
  <c r="AC9" i="3"/>
  <c r="AB12" i="3"/>
  <c r="S6" i="6"/>
  <c r="O6" i="6"/>
  <c r="P6" i="6" s="1"/>
  <c r="Q6" i="6" s="1"/>
  <c r="R6" i="6" s="1"/>
  <c r="U28" i="3"/>
  <c r="AF13" i="3"/>
  <c r="AG4" i="3"/>
  <c r="AE28" i="3"/>
  <c r="AE36" i="3"/>
  <c r="R4" i="3"/>
  <c r="Q13" i="3"/>
  <c r="V13" i="3"/>
  <c r="W4" i="3"/>
  <c r="C53" i="3"/>
  <c r="C45" i="3"/>
  <c r="C41" i="3"/>
  <c r="C43" i="3" s="1"/>
  <c r="C68" i="3" s="1"/>
  <c r="D17" i="11"/>
  <c r="D16" i="11"/>
  <c r="I25" i="12"/>
  <c r="I26" i="12"/>
  <c r="I27" i="12" s="1"/>
  <c r="I28" i="12" s="1"/>
  <c r="N27" i="2"/>
  <c r="U27" i="2"/>
  <c r="W27" i="2"/>
  <c r="X27" i="2"/>
  <c r="V27" i="2"/>
  <c r="S27" i="2"/>
  <c r="I27" i="2"/>
  <c r="F27" i="2"/>
  <c r="G27" i="2"/>
  <c r="C27" i="2"/>
  <c r="M27" i="2"/>
  <c r="D27" i="2"/>
  <c r="L27" i="2"/>
  <c r="T27" i="2"/>
  <c r="J27" i="2"/>
  <c r="R27" i="2"/>
  <c r="E27" i="2"/>
  <c r="K27" i="2"/>
  <c r="Y27" i="2"/>
  <c r="Q27" i="2"/>
  <c r="O28" i="2"/>
  <c r="P28" i="2"/>
  <c r="D34" i="3"/>
  <c r="D46" i="3" s="1"/>
  <c r="C50" i="3"/>
  <c r="C51" i="3" s="1"/>
  <c r="C66" i="3"/>
  <c r="C67" i="3" s="1"/>
  <c r="C60" i="3"/>
  <c r="C61" i="3" s="1"/>
  <c r="C63" i="3"/>
  <c r="C64" i="3" s="1"/>
  <c r="C46" i="3"/>
  <c r="C54" i="3"/>
  <c r="D39" i="3"/>
  <c r="D60" i="3" s="1"/>
  <c r="D61" i="3" s="1"/>
  <c r="F26" i="7"/>
  <c r="F25" i="7"/>
  <c r="F24" i="7"/>
  <c r="H24" i="7"/>
  <c r="H26" i="7"/>
  <c r="H25" i="7"/>
  <c r="H28" i="2"/>
  <c r="D29" i="3"/>
  <c r="E37" i="3"/>
  <c r="E25" i="3"/>
  <c r="E32" i="3"/>
  <c r="E44" i="3"/>
  <c r="E52" i="3"/>
  <c r="E40" i="3"/>
  <c r="E48" i="3"/>
  <c r="E27" i="3"/>
  <c r="E56" i="3"/>
  <c r="E65" i="3"/>
  <c r="E59" i="3"/>
  <c r="E62" i="3"/>
  <c r="E30" i="3"/>
  <c r="E35" i="3"/>
  <c r="G15" i="3"/>
  <c r="F19" i="3"/>
  <c r="F20" i="3"/>
  <c r="F21" i="3"/>
  <c r="E28" i="6"/>
  <c r="H23" i="6"/>
  <c r="H24" i="6"/>
  <c r="E30" i="6"/>
  <c r="G28" i="6"/>
  <c r="E32" i="7"/>
  <c r="G32" i="7"/>
  <c r="G30" i="6"/>
  <c r="F24" i="6"/>
  <c r="I18" i="6"/>
  <c r="F23" i="6"/>
  <c r="I20" i="7"/>
  <c r="H53" i="18" l="1"/>
  <c r="H54" i="18" s="1"/>
  <c r="H55" i="18" s="1"/>
  <c r="H56" i="18" s="1"/>
  <c r="H57" i="18" s="1"/>
  <c r="L49" i="18"/>
  <c r="L61" i="18"/>
  <c r="C76" i="6" a="1"/>
  <c r="C76" i="6" s="1"/>
  <c r="I53" i="18"/>
  <c r="I54" i="18" s="1"/>
  <c r="I55" i="18" s="1"/>
  <c r="I56" i="18" s="1"/>
  <c r="I57" i="18" s="1"/>
  <c r="K53" i="18"/>
  <c r="K54" i="18" s="1"/>
  <c r="K55" i="18" s="1"/>
  <c r="K58" i="18" s="1"/>
  <c r="B45" i="16"/>
  <c r="B40" i="16"/>
  <c r="B41" i="16" s="1"/>
  <c r="C17" i="16"/>
  <c r="C14" i="16"/>
  <c r="C13" i="16"/>
  <c r="C39" i="16"/>
  <c r="C43" i="16"/>
  <c r="C44" i="16" s="1"/>
  <c r="L42" i="18"/>
  <c r="D72" i="11"/>
  <c r="D73" i="11" s="1"/>
  <c r="D30" i="11"/>
  <c r="G37" i="6"/>
  <c r="H33" i="6"/>
  <c r="C58" i="6"/>
  <c r="C74" i="6" s="1"/>
  <c r="E42" i="6"/>
  <c r="E66" i="6" s="1"/>
  <c r="E67" i="6" s="1"/>
  <c r="F62" i="6"/>
  <c r="F33" i="6"/>
  <c r="R39" i="6"/>
  <c r="R31" i="6"/>
  <c r="R17" i="6"/>
  <c r="Q39" i="6"/>
  <c r="Q31" i="6"/>
  <c r="P34" i="6"/>
  <c r="Q8" i="6"/>
  <c r="R8" i="6" s="1"/>
  <c r="Y9" i="6"/>
  <c r="Y17" i="6" s="1"/>
  <c r="Q17" i="6"/>
  <c r="Q34" i="6" s="1"/>
  <c r="W9" i="6"/>
  <c r="W17" i="6" s="1"/>
  <c r="I11" i="6"/>
  <c r="I14" i="6"/>
  <c r="H38" i="6"/>
  <c r="G51" i="9"/>
  <c r="H59" i="6"/>
  <c r="C54" i="7"/>
  <c r="C56" i="7" s="1"/>
  <c r="C75" i="7" s="1"/>
  <c r="C50" i="7"/>
  <c r="C52" i="7" s="1"/>
  <c r="C74" i="7" s="1"/>
  <c r="C46" i="7"/>
  <c r="C48" i="7" s="1"/>
  <c r="C73" i="7" s="1"/>
  <c r="D53" i="6"/>
  <c r="D57" i="6"/>
  <c r="D58" i="6" s="1"/>
  <c r="D74" i="6" s="1"/>
  <c r="D45" i="6"/>
  <c r="D49" i="6"/>
  <c r="Y13" i="6"/>
  <c r="W13" i="6"/>
  <c r="E44" i="7"/>
  <c r="E68" i="7" s="1"/>
  <c r="E69" i="7" s="1"/>
  <c r="H65" i="6"/>
  <c r="D66" i="6"/>
  <c r="D67" i="6" s="1"/>
  <c r="D63" i="6"/>
  <c r="D64" i="6" s="1"/>
  <c r="D60" i="6"/>
  <c r="D61" i="6" s="1"/>
  <c r="G42" i="6"/>
  <c r="G63" i="6" s="1"/>
  <c r="G64" i="6" s="1"/>
  <c r="H62" i="6"/>
  <c r="H68" i="6"/>
  <c r="D48" i="6"/>
  <c r="D52" i="6"/>
  <c r="D44" i="6"/>
  <c r="M68" i="3"/>
  <c r="M74" i="3" s="1"/>
  <c r="M76" i="3" s="1"/>
  <c r="M72" i="3" a="1"/>
  <c r="M72" i="3" s="1"/>
  <c r="F16" i="7"/>
  <c r="F35" i="7" s="1"/>
  <c r="AG27" i="6"/>
  <c r="AF31" i="6"/>
  <c r="AB25" i="6"/>
  <c r="AA39" i="6"/>
  <c r="V39" i="6"/>
  <c r="W25" i="6"/>
  <c r="Z8" i="6"/>
  <c r="U8" i="6"/>
  <c r="F38" i="6"/>
  <c r="AE8" i="6"/>
  <c r="AA31" i="6"/>
  <c r="AB27" i="6"/>
  <c r="AG25" i="6"/>
  <c r="AF39" i="6"/>
  <c r="AF34" i="6"/>
  <c r="W27" i="6"/>
  <c r="V31" i="6"/>
  <c r="G30" i="7"/>
  <c r="G34" i="7" s="1"/>
  <c r="G46" i="7" s="1"/>
  <c r="E30" i="7"/>
  <c r="E34" i="7" s="1"/>
  <c r="E46" i="7" s="1"/>
  <c r="I14" i="7"/>
  <c r="I13" i="7"/>
  <c r="R43" i="7"/>
  <c r="S28" i="7"/>
  <c r="R31" i="7"/>
  <c r="H16" i="7"/>
  <c r="H35" i="7" s="1"/>
  <c r="W38" i="7"/>
  <c r="X29" i="7"/>
  <c r="X33" i="7" s="1"/>
  <c r="Y36" i="7"/>
  <c r="AH29" i="7"/>
  <c r="AG38" i="7"/>
  <c r="W43" i="7"/>
  <c r="X28" i="7"/>
  <c r="W31" i="7"/>
  <c r="AD36" i="7"/>
  <c r="AG43" i="7"/>
  <c r="AH28" i="7"/>
  <c r="AG31" i="7"/>
  <c r="R38" i="7"/>
  <c r="S29" i="7"/>
  <c r="AC29" i="7"/>
  <c r="AB38" i="7"/>
  <c r="AB33" i="7"/>
  <c r="T36" i="7"/>
  <c r="AB43" i="7"/>
  <c r="AC28" i="7"/>
  <c r="AB31" i="7"/>
  <c r="T18" i="7"/>
  <c r="S41" i="7"/>
  <c r="Y18" i="7"/>
  <c r="AH41" i="7"/>
  <c r="AI18" i="7"/>
  <c r="X41" i="7"/>
  <c r="C78" i="7" a="1"/>
  <c r="C78" i="7" s="1"/>
  <c r="D46" i="7"/>
  <c r="D58" i="7"/>
  <c r="D60" i="7" s="1"/>
  <c r="G44" i="7"/>
  <c r="G65" i="7" s="1"/>
  <c r="G66" i="7" s="1"/>
  <c r="I11" i="7"/>
  <c r="I12" i="7"/>
  <c r="D50" i="7"/>
  <c r="D47" i="7"/>
  <c r="D51" i="7"/>
  <c r="E39" i="7"/>
  <c r="E55" i="7" s="1"/>
  <c r="D55" i="7"/>
  <c r="D56" i="7" s="1"/>
  <c r="G39" i="7"/>
  <c r="G59" i="7" s="1"/>
  <c r="H42" i="7"/>
  <c r="H53" i="7"/>
  <c r="H45" i="7"/>
  <c r="H57" i="7"/>
  <c r="H49" i="7"/>
  <c r="H37" i="7"/>
  <c r="D71" i="7"/>
  <c r="D72" i="7" s="1"/>
  <c r="D65" i="7"/>
  <c r="D66" i="7" s="1"/>
  <c r="D68" i="7"/>
  <c r="D69" i="7" s="1"/>
  <c r="D62" i="7"/>
  <c r="D63" i="7" s="1"/>
  <c r="H61" i="7"/>
  <c r="H70" i="7"/>
  <c r="H64" i="7"/>
  <c r="H67" i="7"/>
  <c r="H40" i="7"/>
  <c r="F70" i="7"/>
  <c r="F64" i="7"/>
  <c r="F61" i="7"/>
  <c r="F67" i="7"/>
  <c r="F40" i="7"/>
  <c r="F42" i="7"/>
  <c r="F57" i="7"/>
  <c r="F49" i="7"/>
  <c r="F45" i="7"/>
  <c r="F37" i="7"/>
  <c r="F53" i="7"/>
  <c r="AE6" i="6"/>
  <c r="U6" i="6"/>
  <c r="C50" i="6"/>
  <c r="C72" i="6" s="1"/>
  <c r="V29" i="6"/>
  <c r="V34" i="6"/>
  <c r="C54" i="6"/>
  <c r="C73" i="6" s="1"/>
  <c r="F65" i="6"/>
  <c r="F59" i="6"/>
  <c r="C46" i="6"/>
  <c r="C71" i="6" s="1"/>
  <c r="F68" i="6"/>
  <c r="N41" i="6"/>
  <c r="N36" i="6"/>
  <c r="I22" i="6"/>
  <c r="S8" i="6"/>
  <c r="G49" i="6"/>
  <c r="G57" i="6"/>
  <c r="G53" i="6"/>
  <c r="G45" i="6"/>
  <c r="E57" i="6"/>
  <c r="E53" i="6"/>
  <c r="E49" i="6"/>
  <c r="E45" i="6"/>
  <c r="F47" i="6"/>
  <c r="F43" i="6"/>
  <c r="F55" i="6"/>
  <c r="F51" i="6"/>
  <c r="F35" i="6"/>
  <c r="H55" i="6"/>
  <c r="H35" i="6"/>
  <c r="H51" i="6"/>
  <c r="H43" i="6"/>
  <c r="H47" i="6"/>
  <c r="H40" i="6"/>
  <c r="H42" i="6" s="1"/>
  <c r="G32" i="6"/>
  <c r="F40" i="6"/>
  <c r="E32" i="6"/>
  <c r="E44" i="6" s="1"/>
  <c r="AG38" i="3"/>
  <c r="AG33" i="3"/>
  <c r="S12" i="3"/>
  <c r="T9" i="3"/>
  <c r="T12" i="3" s="1"/>
  <c r="AH12" i="3"/>
  <c r="AI9" i="3"/>
  <c r="AI12" i="3" s="1"/>
  <c r="AB33" i="3"/>
  <c r="AB38" i="3"/>
  <c r="R33" i="3"/>
  <c r="R38" i="3"/>
  <c r="AD9" i="3"/>
  <c r="AD12" i="3" s="1"/>
  <c r="AC12" i="3"/>
  <c r="AD4" i="3"/>
  <c r="AD13" i="3" s="1"/>
  <c r="AC13" i="3"/>
  <c r="W33" i="3"/>
  <c r="W38" i="3"/>
  <c r="AB36" i="3"/>
  <c r="AB28" i="3"/>
  <c r="X12" i="3"/>
  <c r="Y9" i="3"/>
  <c r="Y12" i="3" s="1"/>
  <c r="X4" i="3"/>
  <c r="W13" i="3"/>
  <c r="V36" i="3"/>
  <c r="V28" i="3"/>
  <c r="AG13" i="3"/>
  <c r="AH4" i="3"/>
  <c r="Q36" i="3"/>
  <c r="Q28" i="3"/>
  <c r="AF36" i="3"/>
  <c r="AF28" i="3"/>
  <c r="R13" i="3"/>
  <c r="S4" i="3"/>
  <c r="C55" i="3"/>
  <c r="C71" i="3" s="1"/>
  <c r="C47" i="3"/>
  <c r="C69" i="3" s="1"/>
  <c r="C70" i="3"/>
  <c r="D63" i="3"/>
  <c r="D64" i="3" s="1"/>
  <c r="D66" i="3"/>
  <c r="D67" i="3" s="1"/>
  <c r="D57" i="3"/>
  <c r="D58" i="3" s="1"/>
  <c r="D50" i="3"/>
  <c r="D42" i="3"/>
  <c r="D54" i="3"/>
  <c r="R28" i="2"/>
  <c r="R29" i="2"/>
  <c r="J28" i="2"/>
  <c r="J29" i="2"/>
  <c r="T28" i="2"/>
  <c r="T29" i="2"/>
  <c r="S28" i="2"/>
  <c r="S29" i="2"/>
  <c r="I28" i="2"/>
  <c r="D28" i="2"/>
  <c r="D29" i="2"/>
  <c r="X28" i="2"/>
  <c r="X29" i="2"/>
  <c r="L28" i="2"/>
  <c r="L29" i="2"/>
  <c r="Y28" i="2"/>
  <c r="Y29" i="2"/>
  <c r="M28" i="2"/>
  <c r="M29" i="2"/>
  <c r="W28" i="2"/>
  <c r="W29" i="2"/>
  <c r="F28" i="2"/>
  <c r="F29" i="2"/>
  <c r="V28" i="2"/>
  <c r="V29" i="2"/>
  <c r="K28" i="2"/>
  <c r="K29" i="2"/>
  <c r="C28" i="2"/>
  <c r="C29" i="2"/>
  <c r="U28" i="2"/>
  <c r="U29" i="2"/>
  <c r="E28" i="2"/>
  <c r="E29" i="2"/>
  <c r="G28" i="2"/>
  <c r="G29" i="2"/>
  <c r="N28" i="2"/>
  <c r="N29" i="2"/>
  <c r="Q28" i="2"/>
  <c r="Q29" i="2"/>
  <c r="E39" i="3"/>
  <c r="E60" i="3" s="1"/>
  <c r="E61" i="3" s="1"/>
  <c r="C73" i="3" a="1"/>
  <c r="C73" i="3" s="1"/>
  <c r="E34" i="3"/>
  <c r="E50" i="3" s="1"/>
  <c r="E29" i="3"/>
  <c r="E45" i="3" s="1"/>
  <c r="I25" i="7"/>
  <c r="I26" i="7"/>
  <c r="I24" i="7"/>
  <c r="G19" i="3"/>
  <c r="G21" i="3"/>
  <c r="G20" i="3"/>
  <c r="H15" i="3"/>
  <c r="F32" i="3"/>
  <c r="F40" i="3"/>
  <c r="F48" i="3"/>
  <c r="F44" i="3"/>
  <c r="F52" i="3"/>
  <c r="F27" i="3"/>
  <c r="F37" i="3"/>
  <c r="F25" i="3"/>
  <c r="F59" i="3"/>
  <c r="F65" i="3"/>
  <c r="F30" i="3"/>
  <c r="F35" i="3"/>
  <c r="F62" i="3"/>
  <c r="F56" i="3"/>
  <c r="D41" i="3"/>
  <c r="D45" i="3"/>
  <c r="D47" i="3" s="1"/>
  <c r="D69" i="3" s="1"/>
  <c r="D53" i="3"/>
  <c r="D49" i="3"/>
  <c r="S31" i="6"/>
  <c r="H30" i="6"/>
  <c r="H32" i="7"/>
  <c r="F30" i="6"/>
  <c r="F28" i="6"/>
  <c r="H28" i="6"/>
  <c r="F32" i="7"/>
  <c r="J18" i="6"/>
  <c r="I24" i="6"/>
  <c r="I23" i="6"/>
  <c r="J20" i="7"/>
  <c r="H58" i="18" l="1"/>
  <c r="L63" i="18"/>
  <c r="M63" i="18" s="1"/>
  <c r="I58" i="18"/>
  <c r="L44" i="18"/>
  <c r="L60" i="18" s="1"/>
  <c r="K56" i="18"/>
  <c r="K57" i="18" s="1"/>
  <c r="E63" i="6"/>
  <c r="E64" i="6" s="1"/>
  <c r="E60" i="6"/>
  <c r="E61" i="6" s="1"/>
  <c r="C48" i="16"/>
  <c r="C40" i="16"/>
  <c r="C41" i="16" s="1"/>
  <c r="C45" i="16"/>
  <c r="C47" i="16" s="1"/>
  <c r="C52" i="16" s="1"/>
  <c r="C55" i="16" s="1"/>
  <c r="B47" i="16"/>
  <c r="B52" i="16" s="1"/>
  <c r="B55" i="16" s="1"/>
  <c r="B48" i="16"/>
  <c r="E69" i="6"/>
  <c r="E70" i="6" s="1"/>
  <c r="X9" i="6"/>
  <c r="X17" i="6" s="1"/>
  <c r="I33" i="6"/>
  <c r="H30" i="7"/>
  <c r="H34" i="7" s="1"/>
  <c r="H58" i="7" s="1"/>
  <c r="R34" i="6"/>
  <c r="R29" i="6"/>
  <c r="Z9" i="6"/>
  <c r="Z17" i="6" s="1"/>
  <c r="D50" i="6"/>
  <c r="D72" i="6" s="1"/>
  <c r="Q29" i="6"/>
  <c r="D72" i="9"/>
  <c r="D45" i="9"/>
  <c r="J11" i="6"/>
  <c r="J14" i="6"/>
  <c r="I43" i="6"/>
  <c r="D46" i="6"/>
  <c r="D71" i="6" s="1"/>
  <c r="D54" i="6"/>
  <c r="D73" i="6" s="1"/>
  <c r="I59" i="6"/>
  <c r="H37" i="6"/>
  <c r="I16" i="7"/>
  <c r="I35" i="7" s="1"/>
  <c r="F30" i="7"/>
  <c r="F34" i="7" s="1"/>
  <c r="F58" i="7" s="1"/>
  <c r="E62" i="7"/>
  <c r="E63" i="7" s="1"/>
  <c r="E65" i="7"/>
  <c r="E66" i="7" s="1"/>
  <c r="X13" i="6"/>
  <c r="Z13" i="6"/>
  <c r="D76" i="6" a="1"/>
  <c r="D76" i="6" s="1"/>
  <c r="E71" i="7"/>
  <c r="E72" i="7" s="1"/>
  <c r="G60" i="6"/>
  <c r="G61" i="6" s="1"/>
  <c r="G69" i="6"/>
  <c r="G70" i="6" s="1"/>
  <c r="G66" i="6"/>
  <c r="G67" i="6" s="1"/>
  <c r="F42" i="6"/>
  <c r="F66" i="6" s="1"/>
  <c r="F67" i="6" s="1"/>
  <c r="X25" i="6"/>
  <c r="X39" i="6" s="1"/>
  <c r="W39" i="6"/>
  <c r="I38" i="6"/>
  <c r="AH25" i="6"/>
  <c r="AG39" i="6"/>
  <c r="AG34" i="6"/>
  <c r="T41" i="6"/>
  <c r="T36" i="6"/>
  <c r="AB31" i="6"/>
  <c r="AC27" i="6"/>
  <c r="AB39" i="6"/>
  <c r="AC25" i="6"/>
  <c r="AC39" i="6" s="1"/>
  <c r="I62" i="6"/>
  <c r="V8" i="6"/>
  <c r="I65" i="6"/>
  <c r="I68" i="6"/>
  <c r="AA8" i="6"/>
  <c r="AF8" i="6"/>
  <c r="X27" i="6"/>
  <c r="W31" i="6"/>
  <c r="AD41" i="6"/>
  <c r="AD36" i="6"/>
  <c r="Y41" i="6"/>
  <c r="Y36" i="6"/>
  <c r="AH27" i="6"/>
  <c r="AH31" i="6" s="1"/>
  <c r="AG31" i="6"/>
  <c r="AI29" i="7"/>
  <c r="AI38" i="7" s="1"/>
  <c r="AH38" i="7"/>
  <c r="T29" i="7"/>
  <c r="T38" i="7" s="1"/>
  <c r="S38" i="7"/>
  <c r="T28" i="7"/>
  <c r="S43" i="7"/>
  <c r="S31" i="7"/>
  <c r="AH33" i="7"/>
  <c r="AH43" i="7"/>
  <c r="AI28" i="7"/>
  <c r="AH31" i="7"/>
  <c r="X43" i="7"/>
  <c r="Y28" i="7"/>
  <c r="X31" i="7"/>
  <c r="AC43" i="7"/>
  <c r="AD28" i="7"/>
  <c r="AC31" i="7"/>
  <c r="Y29" i="7"/>
  <c r="Y38" i="7" s="1"/>
  <c r="X38" i="7"/>
  <c r="J14" i="7"/>
  <c r="J13" i="7"/>
  <c r="S33" i="7"/>
  <c r="AC38" i="7"/>
  <c r="AD29" i="7"/>
  <c r="AC33" i="7"/>
  <c r="AI41" i="7"/>
  <c r="T41" i="7"/>
  <c r="Y41" i="7"/>
  <c r="G68" i="7"/>
  <c r="G69" i="7" s="1"/>
  <c r="G71" i="7"/>
  <c r="G72" i="7" s="1"/>
  <c r="G62" i="7"/>
  <c r="G63" i="7" s="1"/>
  <c r="D48" i="7"/>
  <c r="D73" i="7" s="1"/>
  <c r="C79" i="7"/>
  <c r="C81" i="7" s="1"/>
  <c r="C77" i="7" a="1"/>
  <c r="C77" i="7" s="1"/>
  <c r="G58" i="7"/>
  <c r="G60" i="7" s="1"/>
  <c r="D52" i="7"/>
  <c r="D74" i="7" s="1"/>
  <c r="G50" i="7"/>
  <c r="J11" i="7"/>
  <c r="J12" i="7"/>
  <c r="G51" i="7"/>
  <c r="G54" i="7"/>
  <c r="E47" i="7"/>
  <c r="E48" i="7" s="1"/>
  <c r="E58" i="7"/>
  <c r="E51" i="7"/>
  <c r="E59" i="7"/>
  <c r="D75" i="7"/>
  <c r="H44" i="7"/>
  <c r="H68" i="7" s="1"/>
  <c r="H69" i="7" s="1"/>
  <c r="G55" i="7"/>
  <c r="G47" i="7"/>
  <c r="G48" i="7" s="1"/>
  <c r="D76" i="7"/>
  <c r="H39" i="7"/>
  <c r="H55" i="7" s="1"/>
  <c r="E54" i="7"/>
  <c r="E56" i="7" s="1"/>
  <c r="E75" i="7" s="1"/>
  <c r="E50" i="7"/>
  <c r="F44" i="7"/>
  <c r="I67" i="7"/>
  <c r="I61" i="7"/>
  <c r="I70" i="7"/>
  <c r="I64" i="7"/>
  <c r="I40" i="7"/>
  <c r="I53" i="7"/>
  <c r="I45" i="7"/>
  <c r="I57" i="7"/>
  <c r="I49" i="7"/>
  <c r="I37" i="7"/>
  <c r="D78" i="7" a="1"/>
  <c r="D78" i="7" s="1"/>
  <c r="I42" i="7"/>
  <c r="F39" i="7"/>
  <c r="C77" i="6"/>
  <c r="C79" i="6" s="1"/>
  <c r="V6" i="6"/>
  <c r="AF6" i="6"/>
  <c r="F37" i="6"/>
  <c r="C75" i="6" a="1"/>
  <c r="C75" i="6" s="1"/>
  <c r="W34" i="6"/>
  <c r="W29" i="6"/>
  <c r="X29" i="6"/>
  <c r="Y29" i="6"/>
  <c r="Y34" i="6"/>
  <c r="J22" i="6"/>
  <c r="O41" i="6"/>
  <c r="O36" i="6"/>
  <c r="F32" i="6"/>
  <c r="F52" i="6" s="1"/>
  <c r="E52" i="6"/>
  <c r="E54" i="6" s="1"/>
  <c r="E73" i="6" s="1"/>
  <c r="E48" i="6"/>
  <c r="E50" i="6" s="1"/>
  <c r="E72" i="6" s="1"/>
  <c r="E56" i="6"/>
  <c r="E58" i="6" s="1"/>
  <c r="E74" i="6" s="1"/>
  <c r="E46" i="6"/>
  <c r="H32" i="6"/>
  <c r="G52" i="6"/>
  <c r="G54" i="6" s="1"/>
  <c r="G44" i="6"/>
  <c r="G46" i="6" s="1"/>
  <c r="G56" i="6"/>
  <c r="G58" i="6" s="1"/>
  <c r="G48" i="6"/>
  <c r="G50" i="6" s="1"/>
  <c r="G72" i="6" s="1"/>
  <c r="I40" i="6"/>
  <c r="H69" i="6"/>
  <c r="H70" i="6" s="1"/>
  <c r="H63" i="6"/>
  <c r="H64" i="6" s="1"/>
  <c r="H66" i="6"/>
  <c r="H67" i="6" s="1"/>
  <c r="H60" i="6"/>
  <c r="H61" i="6" s="1"/>
  <c r="E76" i="6" a="1"/>
  <c r="E76" i="6" s="1"/>
  <c r="I55" i="6"/>
  <c r="I35" i="6"/>
  <c r="I51" i="6"/>
  <c r="I47" i="6"/>
  <c r="AC36" i="3"/>
  <c r="AC28" i="3"/>
  <c r="AI38" i="3"/>
  <c r="AI33" i="3"/>
  <c r="AD36" i="3"/>
  <c r="AD28" i="3"/>
  <c r="Y38" i="3"/>
  <c r="Y33" i="3"/>
  <c r="AC33" i="3"/>
  <c r="AC38" i="3"/>
  <c r="T33" i="3"/>
  <c r="T38" i="3"/>
  <c r="AH33" i="3"/>
  <c r="AH38" i="3"/>
  <c r="X33" i="3"/>
  <c r="X38" i="3"/>
  <c r="AD38" i="3"/>
  <c r="AD33" i="3"/>
  <c r="S38" i="3"/>
  <c r="S33" i="3"/>
  <c r="AH13" i="3"/>
  <c r="AI4" i="3"/>
  <c r="AI13" i="3" s="1"/>
  <c r="C72" i="3" a="1"/>
  <c r="C72" i="3" s="1"/>
  <c r="S13" i="3"/>
  <c r="T4" i="3"/>
  <c r="T13" i="3" s="1"/>
  <c r="AG36" i="3"/>
  <c r="AG28" i="3"/>
  <c r="R36" i="3"/>
  <c r="R28" i="3"/>
  <c r="W36" i="3"/>
  <c r="W28" i="3"/>
  <c r="Y4" i="3"/>
  <c r="Y13" i="3" s="1"/>
  <c r="X13" i="3"/>
  <c r="C74" i="3"/>
  <c r="C76" i="3" s="1"/>
  <c r="E57" i="3"/>
  <c r="E58" i="3" s="1"/>
  <c r="E63" i="3"/>
  <c r="E64" i="3" s="1"/>
  <c r="E66" i="3"/>
  <c r="E67" i="3" s="1"/>
  <c r="D43" i="3"/>
  <c r="D68" i="3" s="1"/>
  <c r="D51" i="3"/>
  <c r="D70" i="3" s="1"/>
  <c r="D55" i="3"/>
  <c r="D71" i="3" s="1"/>
  <c r="D73" i="3" a="1"/>
  <c r="D73" i="3" s="1"/>
  <c r="E49" i="3"/>
  <c r="E51" i="3" s="1"/>
  <c r="E53" i="3"/>
  <c r="E42" i="3"/>
  <c r="E46" i="3"/>
  <c r="E47" i="3" s="1"/>
  <c r="E69" i="3" s="1"/>
  <c r="E41" i="3"/>
  <c r="F34" i="3"/>
  <c r="F46" i="3" s="1"/>
  <c r="E54" i="3"/>
  <c r="F29" i="3"/>
  <c r="F41" i="3" s="1"/>
  <c r="J25" i="7"/>
  <c r="J26" i="7"/>
  <c r="J24" i="7"/>
  <c r="H19" i="3"/>
  <c r="H20" i="3"/>
  <c r="I15" i="3"/>
  <c r="H21" i="3"/>
  <c r="G37" i="3"/>
  <c r="G25" i="3"/>
  <c r="G32" i="3"/>
  <c r="G40" i="3"/>
  <c r="G44" i="3"/>
  <c r="G48" i="3"/>
  <c r="G52" i="3"/>
  <c r="G27" i="3"/>
  <c r="G62" i="3"/>
  <c r="G56" i="3"/>
  <c r="G65" i="3"/>
  <c r="G59" i="3"/>
  <c r="G30" i="3"/>
  <c r="G35" i="3"/>
  <c r="F39" i="3"/>
  <c r="I32" i="7"/>
  <c r="J23" i="6"/>
  <c r="K18" i="6"/>
  <c r="K14" i="6" s="1"/>
  <c r="J24" i="6"/>
  <c r="I28" i="6"/>
  <c r="I30" i="6"/>
  <c r="K20" i="7"/>
  <c r="M20" i="7" s="1"/>
  <c r="L48" i="18" l="1"/>
  <c r="L62" i="18" s="1"/>
  <c r="L53" i="18"/>
  <c r="L54" i="18" s="1"/>
  <c r="L55" i="18" s="1"/>
  <c r="L58" i="18" s="1"/>
  <c r="M25" i="7"/>
  <c r="M24" i="7"/>
  <c r="M26" i="7"/>
  <c r="M14" i="7"/>
  <c r="M13" i="7"/>
  <c r="M16" i="7" s="1"/>
  <c r="M30" i="7" s="1"/>
  <c r="M11" i="7"/>
  <c r="M12" i="7"/>
  <c r="AA9" i="6"/>
  <c r="AA17" i="6" s="1"/>
  <c r="I30" i="7"/>
  <c r="J68" i="6"/>
  <c r="J33" i="6"/>
  <c r="J65" i="6"/>
  <c r="D75" i="6" a="1"/>
  <c r="D75" i="6" s="1"/>
  <c r="H53" i="6"/>
  <c r="I37" i="6"/>
  <c r="I53" i="6" s="1"/>
  <c r="H57" i="6"/>
  <c r="H45" i="6"/>
  <c r="H49" i="6"/>
  <c r="I42" i="6"/>
  <c r="I66" i="6" s="1"/>
  <c r="I67" i="6" s="1"/>
  <c r="F57" i="6"/>
  <c r="E73" i="7"/>
  <c r="D77" i="6"/>
  <c r="D79" i="6" s="1"/>
  <c r="G73" i="6"/>
  <c r="F69" i="6"/>
  <c r="F70" i="6" s="1"/>
  <c r="E78" i="7" a="1"/>
  <c r="E78" i="7" s="1"/>
  <c r="AA13" i="6"/>
  <c r="F60" i="6"/>
  <c r="F61" i="6" s="1"/>
  <c r="M18" i="6"/>
  <c r="K11" i="6"/>
  <c r="G74" i="6"/>
  <c r="G76" i="6" a="1"/>
  <c r="G76" i="6" s="1"/>
  <c r="F63" i="6"/>
  <c r="F64" i="6" s="1"/>
  <c r="J40" i="6"/>
  <c r="J59" i="6"/>
  <c r="M24" i="6"/>
  <c r="M22" i="6"/>
  <c r="M23" i="6"/>
  <c r="X34" i="6"/>
  <c r="AI33" i="7"/>
  <c r="Y33" i="7"/>
  <c r="T33" i="7"/>
  <c r="G73" i="7"/>
  <c r="AG8" i="6"/>
  <c r="W8" i="6"/>
  <c r="J38" i="6"/>
  <c r="Z41" i="6"/>
  <c r="Z36" i="6"/>
  <c r="AB8" i="6"/>
  <c r="AH39" i="6"/>
  <c r="AH34" i="6"/>
  <c r="AC31" i="6"/>
  <c r="X31" i="6"/>
  <c r="AE41" i="6"/>
  <c r="AE36" i="6"/>
  <c r="U41" i="6"/>
  <c r="U36" i="6"/>
  <c r="Y43" i="7"/>
  <c r="Y31" i="7"/>
  <c r="T43" i="7"/>
  <c r="T31" i="7"/>
  <c r="AI43" i="7"/>
  <c r="AI31" i="7"/>
  <c r="K14" i="7"/>
  <c r="K13" i="7"/>
  <c r="AD38" i="7"/>
  <c r="AD33" i="7"/>
  <c r="AD43" i="7"/>
  <c r="AD31" i="7"/>
  <c r="J16" i="7"/>
  <c r="J30" i="7" s="1"/>
  <c r="G76" i="7"/>
  <c r="G78" i="7" a="1"/>
  <c r="G78" i="7" s="1"/>
  <c r="D77" i="7" a="1"/>
  <c r="D77" i="7" s="1"/>
  <c r="E52" i="7"/>
  <c r="E74" i="7" s="1"/>
  <c r="G56" i="7"/>
  <c r="G75" i="7" s="1"/>
  <c r="G52" i="7"/>
  <c r="G74" i="7" s="1"/>
  <c r="H59" i="7"/>
  <c r="H60" i="7" s="1"/>
  <c r="K11" i="7"/>
  <c r="K12" i="7"/>
  <c r="H71" i="7"/>
  <c r="H72" i="7" s="1"/>
  <c r="H62" i="7"/>
  <c r="H63" i="7" s="1"/>
  <c r="F46" i="7"/>
  <c r="F54" i="7"/>
  <c r="H65" i="7"/>
  <c r="H66" i="7" s="1"/>
  <c r="D79" i="7"/>
  <c r="D81" i="7" s="1"/>
  <c r="E60" i="7"/>
  <c r="E76" i="7" s="1"/>
  <c r="H47" i="7"/>
  <c r="H51" i="7"/>
  <c r="H46" i="7"/>
  <c r="H54" i="7"/>
  <c r="H56" i="7" s="1"/>
  <c r="H75" i="7" s="1"/>
  <c r="H50" i="7"/>
  <c r="I34" i="7"/>
  <c r="I58" i="7" s="1"/>
  <c r="F50" i="7"/>
  <c r="F59" i="7"/>
  <c r="F60" i="7" s="1"/>
  <c r="F51" i="7"/>
  <c r="F47" i="7"/>
  <c r="F55" i="7"/>
  <c r="J67" i="7"/>
  <c r="J61" i="7"/>
  <c r="J70" i="7"/>
  <c r="J64" i="7"/>
  <c r="J40" i="7"/>
  <c r="J53" i="7"/>
  <c r="J45" i="7"/>
  <c r="J49" i="7"/>
  <c r="J57" i="7"/>
  <c r="J37" i="7"/>
  <c r="F65" i="7"/>
  <c r="F66" i="7" s="1"/>
  <c r="F71" i="7"/>
  <c r="F72" i="7" s="1"/>
  <c r="F68" i="7"/>
  <c r="F69" i="7" s="1"/>
  <c r="F62" i="7"/>
  <c r="F63" i="7" s="1"/>
  <c r="J42" i="7"/>
  <c r="I44" i="7"/>
  <c r="I39" i="7"/>
  <c r="AG6" i="6"/>
  <c r="W6" i="6"/>
  <c r="F45" i="6"/>
  <c r="F49" i="6"/>
  <c r="F53" i="6"/>
  <c r="F54" i="6" s="1"/>
  <c r="F73" i="6" s="1"/>
  <c r="AB9" i="6"/>
  <c r="AB17" i="6" s="1"/>
  <c r="Z34" i="6"/>
  <c r="Z29" i="6"/>
  <c r="F56" i="6"/>
  <c r="F44" i="6"/>
  <c r="F48" i="6"/>
  <c r="J62" i="6"/>
  <c r="S41" i="6"/>
  <c r="S36" i="6"/>
  <c r="K22" i="6"/>
  <c r="K33" i="6" s="1"/>
  <c r="G71" i="6"/>
  <c r="G75" i="6" a="1"/>
  <c r="G75" i="6" s="1"/>
  <c r="H56" i="6"/>
  <c r="H48" i="6"/>
  <c r="H52" i="6"/>
  <c r="H54" i="6" s="1"/>
  <c r="H73" i="6" s="1"/>
  <c r="H44" i="6"/>
  <c r="I32" i="6"/>
  <c r="E71" i="6"/>
  <c r="E77" i="6" s="1"/>
  <c r="E79" i="6" s="1"/>
  <c r="E75" i="6" a="1"/>
  <c r="E75" i="6" s="1"/>
  <c r="H76" i="6" a="1"/>
  <c r="H76" i="6" s="1"/>
  <c r="J55" i="6"/>
  <c r="J35" i="6"/>
  <c r="J51" i="6"/>
  <c r="J47" i="6"/>
  <c r="J43" i="6"/>
  <c r="X36" i="3"/>
  <c r="X28" i="3"/>
  <c r="Y36" i="3"/>
  <c r="Y28" i="3"/>
  <c r="T36" i="3"/>
  <c r="T28" i="3"/>
  <c r="S36" i="3"/>
  <c r="S28" i="3"/>
  <c r="AI36" i="3"/>
  <c r="AI28" i="3"/>
  <c r="AH36" i="3"/>
  <c r="AH28" i="3"/>
  <c r="E73" i="3" a="1"/>
  <c r="E73" i="3" s="1"/>
  <c r="E70" i="3"/>
  <c r="D74" i="3"/>
  <c r="D76" i="3" s="1"/>
  <c r="D72" i="3" a="1"/>
  <c r="D72" i="3" s="1"/>
  <c r="E55" i="3"/>
  <c r="E71" i="3" s="1"/>
  <c r="E43" i="3"/>
  <c r="F50" i="3"/>
  <c r="F53" i="3"/>
  <c r="F54" i="3"/>
  <c r="F45" i="3"/>
  <c r="F47" i="3" s="1"/>
  <c r="F42" i="3"/>
  <c r="F43" i="3" s="1"/>
  <c r="F49" i="3"/>
  <c r="G39" i="3"/>
  <c r="G60" i="3" s="1"/>
  <c r="G61" i="3" s="1"/>
  <c r="K26" i="7"/>
  <c r="K25" i="7"/>
  <c r="K24" i="7"/>
  <c r="F66" i="3"/>
  <c r="F67" i="3" s="1"/>
  <c r="F60" i="3"/>
  <c r="F61" i="3" s="1"/>
  <c r="F63" i="3"/>
  <c r="F64" i="3" s="1"/>
  <c r="F57" i="3"/>
  <c r="F58" i="3" s="1"/>
  <c r="J15" i="3"/>
  <c r="I19" i="3"/>
  <c r="I21" i="3"/>
  <c r="I20" i="3"/>
  <c r="G29" i="3"/>
  <c r="H37" i="3"/>
  <c r="H25" i="3"/>
  <c r="H59" i="3"/>
  <c r="H65" i="3"/>
  <c r="H30" i="3"/>
  <c r="H62" i="3"/>
  <c r="H56" i="3"/>
  <c r="H35" i="3"/>
  <c r="G34" i="3"/>
  <c r="H32" i="3"/>
  <c r="H52" i="3"/>
  <c r="H27" i="3"/>
  <c r="H40" i="3"/>
  <c r="H44" i="3"/>
  <c r="H48" i="3"/>
  <c r="K23" i="6"/>
  <c r="L18" i="6"/>
  <c r="K24" i="6"/>
  <c r="J32" i="7"/>
  <c r="L20" i="7"/>
  <c r="J28" i="6"/>
  <c r="J30" i="6"/>
  <c r="L66" i="18" l="1"/>
  <c r="L65" i="18" s="1"/>
  <c r="L67" i="18" s="1"/>
  <c r="L70" i="18" s="1"/>
  <c r="L71" i="18" s="1"/>
  <c r="L72" i="18" s="1"/>
  <c r="L74" i="18" s="1"/>
  <c r="M62" i="18"/>
  <c r="L56" i="18"/>
  <c r="L57" i="18" s="1"/>
  <c r="I45" i="6"/>
  <c r="I57" i="6"/>
  <c r="M57" i="7"/>
  <c r="M53" i="7"/>
  <c r="M49" i="7"/>
  <c r="M45" i="7"/>
  <c r="M37" i="7"/>
  <c r="M32" i="7"/>
  <c r="M34" i="7" s="1"/>
  <c r="M61" i="7"/>
  <c r="M64" i="7"/>
  <c r="M70" i="7"/>
  <c r="M67" i="7"/>
  <c r="M35" i="7"/>
  <c r="M39" i="7" s="1"/>
  <c r="M40" i="7"/>
  <c r="M42" i="7"/>
  <c r="I49" i="6"/>
  <c r="H46" i="6"/>
  <c r="H71" i="6" s="1"/>
  <c r="H50" i="6"/>
  <c r="H72" i="6" s="1"/>
  <c r="H58" i="6"/>
  <c r="H74" i="6" s="1"/>
  <c r="I69" i="6"/>
  <c r="I70" i="6" s="1"/>
  <c r="I60" i="6"/>
  <c r="I61" i="6" s="1"/>
  <c r="I63" i="6"/>
  <c r="I64" i="6" s="1"/>
  <c r="L11" i="6"/>
  <c r="L14" i="6"/>
  <c r="K65" i="6"/>
  <c r="M11" i="6"/>
  <c r="M40" i="6" s="1"/>
  <c r="M14" i="6"/>
  <c r="F58" i="6"/>
  <c r="F74" i="6" s="1"/>
  <c r="J37" i="6"/>
  <c r="J53" i="6" s="1"/>
  <c r="J35" i="7"/>
  <c r="J39" i="7" s="1"/>
  <c r="J59" i="7" s="1"/>
  <c r="AB13" i="6"/>
  <c r="J42" i="6"/>
  <c r="J60" i="6" s="1"/>
  <c r="J61" i="6" s="1"/>
  <c r="G77" i="6"/>
  <c r="G79" i="6" s="1"/>
  <c r="F76" i="6" a="1"/>
  <c r="F76" i="6" s="1"/>
  <c r="K38" i="6"/>
  <c r="K68" i="6"/>
  <c r="K59" i="6"/>
  <c r="M38" i="6"/>
  <c r="M65" i="6"/>
  <c r="M59" i="6"/>
  <c r="M62" i="6"/>
  <c r="M68" i="6"/>
  <c r="K62" i="6"/>
  <c r="M30" i="6"/>
  <c r="M43" i="6"/>
  <c r="M51" i="6"/>
  <c r="M55" i="6"/>
  <c r="M47" i="6"/>
  <c r="X8" i="6"/>
  <c r="AA41" i="6"/>
  <c r="AA36" i="6"/>
  <c r="AC8" i="6"/>
  <c r="AF36" i="6"/>
  <c r="AF41" i="6"/>
  <c r="AH8" i="6"/>
  <c r="V41" i="6"/>
  <c r="V36" i="6"/>
  <c r="L14" i="7"/>
  <c r="L13" i="7"/>
  <c r="K16" i="7"/>
  <c r="K30" i="7" s="1"/>
  <c r="G77" i="7" a="1"/>
  <c r="G77" i="7" s="1"/>
  <c r="G79" i="7"/>
  <c r="G81" i="7" s="1"/>
  <c r="H48" i="7"/>
  <c r="H73" i="7" s="1"/>
  <c r="E79" i="7"/>
  <c r="E81" i="7" s="1"/>
  <c r="H76" i="7"/>
  <c r="H52" i="7"/>
  <c r="F48" i="7"/>
  <c r="F73" i="7" s="1"/>
  <c r="F56" i="7"/>
  <c r="F75" i="7" s="1"/>
  <c r="L11" i="7"/>
  <c r="L12" i="7"/>
  <c r="E77" i="7" a="1"/>
  <c r="E77" i="7" s="1"/>
  <c r="H78" i="7" a="1"/>
  <c r="H78" i="7" s="1"/>
  <c r="I54" i="7"/>
  <c r="I46" i="7"/>
  <c r="I50" i="7"/>
  <c r="J34" i="7"/>
  <c r="J46" i="7" s="1"/>
  <c r="F52" i="7"/>
  <c r="F74" i="7" s="1"/>
  <c r="F76" i="7"/>
  <c r="F78" i="7" a="1"/>
  <c r="F78" i="7" s="1"/>
  <c r="K42" i="7"/>
  <c r="K64" i="7"/>
  <c r="K70" i="7"/>
  <c r="K67" i="7"/>
  <c r="K61" i="7"/>
  <c r="K40" i="7"/>
  <c r="K37" i="7"/>
  <c r="K49" i="7"/>
  <c r="K53" i="7"/>
  <c r="K45" i="7"/>
  <c r="K57" i="7"/>
  <c r="J44" i="7"/>
  <c r="I47" i="7"/>
  <c r="I55" i="7"/>
  <c r="I51" i="7"/>
  <c r="I59" i="7"/>
  <c r="I60" i="7" s="1"/>
  <c r="I65" i="7"/>
  <c r="I66" i="7" s="1"/>
  <c r="I68" i="7"/>
  <c r="I69" i="7" s="1"/>
  <c r="I62" i="7"/>
  <c r="I63" i="7" s="1"/>
  <c r="I71" i="7"/>
  <c r="I72" i="7" s="1"/>
  <c r="F50" i="6"/>
  <c r="F72" i="6" s="1"/>
  <c r="F46" i="6"/>
  <c r="X6" i="6"/>
  <c r="AH6" i="6"/>
  <c r="AC9" i="6"/>
  <c r="AC17" i="6" s="1"/>
  <c r="AA29" i="6"/>
  <c r="AA34" i="6"/>
  <c r="L22" i="6"/>
  <c r="K40" i="6"/>
  <c r="K55" i="6"/>
  <c r="K35" i="6"/>
  <c r="K37" i="6" s="1"/>
  <c r="K51" i="6"/>
  <c r="K43" i="6"/>
  <c r="K47" i="6"/>
  <c r="J32" i="6"/>
  <c r="I52" i="6"/>
  <c r="I54" i="6" s="1"/>
  <c r="I73" i="6" s="1"/>
  <c r="I56" i="6"/>
  <c r="I58" i="6" s="1"/>
  <c r="I44" i="6"/>
  <c r="I46" i="6" s="1"/>
  <c r="I48" i="6"/>
  <c r="H39" i="3"/>
  <c r="H66" i="3" s="1"/>
  <c r="H67" i="3" s="1"/>
  <c r="F69" i="3"/>
  <c r="F68" i="3"/>
  <c r="E68" i="3"/>
  <c r="E74" i="3" s="1"/>
  <c r="E76" i="3" s="1"/>
  <c r="E72" i="3" a="1"/>
  <c r="E72" i="3" s="1"/>
  <c r="F55" i="3"/>
  <c r="F71" i="3" s="1"/>
  <c r="G63" i="3"/>
  <c r="G64" i="3" s="1"/>
  <c r="F51" i="3"/>
  <c r="G66" i="3"/>
  <c r="G67" i="3" s="1"/>
  <c r="G57" i="3"/>
  <c r="G58" i="3" s="1"/>
  <c r="F73" i="3" a="1"/>
  <c r="F73" i="3" s="1"/>
  <c r="H34" i="3"/>
  <c r="H54" i="3" s="1"/>
  <c r="L24" i="7"/>
  <c r="L25" i="7"/>
  <c r="L26" i="7"/>
  <c r="G46" i="3"/>
  <c r="G50" i="3"/>
  <c r="G54" i="3"/>
  <c r="G42" i="3"/>
  <c r="I32" i="3"/>
  <c r="I40" i="3"/>
  <c r="I52" i="3"/>
  <c r="I27" i="3"/>
  <c r="I48" i="3"/>
  <c r="I44" i="3"/>
  <c r="I37" i="3"/>
  <c r="I25" i="3"/>
  <c r="I30" i="3"/>
  <c r="I62" i="3"/>
  <c r="I59" i="3"/>
  <c r="I56" i="3"/>
  <c r="I65" i="3"/>
  <c r="I35" i="3"/>
  <c r="K15" i="3"/>
  <c r="J19" i="3"/>
  <c r="J21" i="3"/>
  <c r="J20" i="3"/>
  <c r="H29" i="3"/>
  <c r="G45" i="3"/>
  <c r="G53" i="3"/>
  <c r="G41" i="3"/>
  <c r="G49" i="3"/>
  <c r="N20" i="7"/>
  <c r="K32" i="7"/>
  <c r="K30" i="6"/>
  <c r="N18" i="6"/>
  <c r="L24" i="6"/>
  <c r="L23" i="6"/>
  <c r="K28" i="6"/>
  <c r="I50" i="6" l="1"/>
  <c r="M50" i="7"/>
  <c r="M58" i="7"/>
  <c r="M54" i="7"/>
  <c r="M46" i="7"/>
  <c r="M44" i="7"/>
  <c r="M47" i="7"/>
  <c r="M51" i="7"/>
  <c r="M52" i="7" s="1"/>
  <c r="M59" i="7"/>
  <c r="M55" i="7"/>
  <c r="M56" i="7"/>
  <c r="M60" i="7"/>
  <c r="M33" i="6"/>
  <c r="H75" i="6" a="1"/>
  <c r="H75" i="6" s="1"/>
  <c r="H77" i="6"/>
  <c r="H79" i="6" s="1"/>
  <c r="L59" i="6"/>
  <c r="L33" i="6"/>
  <c r="I72" i="6"/>
  <c r="C38" i="1" s="1"/>
  <c r="K42" i="6"/>
  <c r="K60" i="6" s="1"/>
  <c r="K61" i="6" s="1"/>
  <c r="I74" i="6"/>
  <c r="I76" i="6" a="1"/>
  <c r="I76" i="6" s="1"/>
  <c r="L68" i="6"/>
  <c r="M28" i="6"/>
  <c r="M32" i="6" s="1"/>
  <c r="L65" i="6"/>
  <c r="M35" i="6"/>
  <c r="D50" i="9"/>
  <c r="C50" i="9"/>
  <c r="N11" i="6"/>
  <c r="N14" i="6"/>
  <c r="E50" i="9" s="1"/>
  <c r="L62" i="6"/>
  <c r="L38" i="6"/>
  <c r="J57" i="6"/>
  <c r="J69" i="6"/>
  <c r="J70" i="6" s="1"/>
  <c r="J66" i="6"/>
  <c r="J67" i="6" s="1"/>
  <c r="J45" i="6"/>
  <c r="J49" i="6"/>
  <c r="J63" i="6"/>
  <c r="J64" i="6" s="1"/>
  <c r="AC13" i="6"/>
  <c r="M42" i="6"/>
  <c r="M69" i="6" s="1"/>
  <c r="M70" i="6" s="1"/>
  <c r="F75" i="6" a="1"/>
  <c r="F75" i="6" s="1"/>
  <c r="H57" i="3"/>
  <c r="H58" i="3" s="1"/>
  <c r="K35" i="7"/>
  <c r="K39" i="7" s="1"/>
  <c r="K59" i="7" s="1"/>
  <c r="H63" i="3"/>
  <c r="H64" i="3" s="1"/>
  <c r="H60" i="3"/>
  <c r="H61" i="3" s="1"/>
  <c r="AG36" i="6"/>
  <c r="AG41" i="6"/>
  <c r="W41" i="6"/>
  <c r="W36" i="6"/>
  <c r="T18" i="6"/>
  <c r="AD18" i="6"/>
  <c r="Y18" i="6"/>
  <c r="AB41" i="6"/>
  <c r="AB36" i="6"/>
  <c r="X41" i="6"/>
  <c r="X36" i="6"/>
  <c r="K44" i="7"/>
  <c r="K71" i="7" s="1"/>
  <c r="K72" i="7" s="1"/>
  <c r="L16" i="7"/>
  <c r="L35" i="7" s="1"/>
  <c r="P20" i="7"/>
  <c r="Z20" i="7"/>
  <c r="U20" i="7"/>
  <c r="N24" i="7"/>
  <c r="AE20" i="7"/>
  <c r="N25" i="7"/>
  <c r="N14" i="7"/>
  <c r="N13" i="7"/>
  <c r="H77" i="7" a="1"/>
  <c r="H77" i="7" s="1"/>
  <c r="I48" i="7"/>
  <c r="I73" i="7" s="1"/>
  <c r="H74" i="7"/>
  <c r="H79" i="7" s="1"/>
  <c r="H81" i="7" s="1"/>
  <c r="I52" i="7"/>
  <c r="I74" i="7" s="1"/>
  <c r="N11" i="7"/>
  <c r="N12" i="7"/>
  <c r="I56" i="7"/>
  <c r="J58" i="7"/>
  <c r="J60" i="7" s="1"/>
  <c r="J54" i="7"/>
  <c r="J50" i="7"/>
  <c r="J47" i="7"/>
  <c r="J48" i="7" s="1"/>
  <c r="F79" i="7"/>
  <c r="F81" i="7" s="1"/>
  <c r="F77" i="7" a="1"/>
  <c r="F77" i="7" s="1"/>
  <c r="J55" i="7"/>
  <c r="J51" i="7"/>
  <c r="K34" i="7"/>
  <c r="K46" i="7" s="1"/>
  <c r="I78" i="7" a="1"/>
  <c r="I78" i="7" s="1"/>
  <c r="I76" i="7"/>
  <c r="L42" i="7"/>
  <c r="J68" i="7"/>
  <c r="J69" i="7" s="1"/>
  <c r="J71" i="7"/>
  <c r="J72" i="7" s="1"/>
  <c r="J65" i="7"/>
  <c r="J66" i="7" s="1"/>
  <c r="J62" i="7"/>
  <c r="J63" i="7" s="1"/>
  <c r="L64" i="7"/>
  <c r="L67" i="7"/>
  <c r="L61" i="7"/>
  <c r="L70" i="7"/>
  <c r="L40" i="7"/>
  <c r="L37" i="7"/>
  <c r="L53" i="7"/>
  <c r="L45" i="7"/>
  <c r="L49" i="7"/>
  <c r="L57" i="7"/>
  <c r="F71" i="6"/>
  <c r="F77" i="6" s="1"/>
  <c r="F79" i="6" s="1"/>
  <c r="AB29" i="6"/>
  <c r="AB34" i="6"/>
  <c r="AC34" i="6"/>
  <c r="AC29" i="6"/>
  <c r="N22" i="6"/>
  <c r="L40" i="6"/>
  <c r="I71" i="6"/>
  <c r="I75" i="6" a="1"/>
  <c r="I75" i="6" s="1"/>
  <c r="K57" i="6"/>
  <c r="K53" i="6"/>
  <c r="K49" i="6"/>
  <c r="K45" i="6"/>
  <c r="L51" i="6"/>
  <c r="L47" i="6"/>
  <c r="L43" i="6"/>
  <c r="L55" i="6"/>
  <c r="L35" i="6"/>
  <c r="J44" i="6"/>
  <c r="J52" i="6"/>
  <c r="J54" i="6" s="1"/>
  <c r="J56" i="6"/>
  <c r="J48" i="6"/>
  <c r="K32" i="6"/>
  <c r="G43" i="3"/>
  <c r="G68" i="3" s="1"/>
  <c r="H46" i="3"/>
  <c r="F72" i="3" a="1"/>
  <c r="F72" i="3" s="1"/>
  <c r="F70" i="3"/>
  <c r="F74" i="3" s="1"/>
  <c r="F76" i="3" s="1"/>
  <c r="G73" i="3" a="1"/>
  <c r="G73" i="3" s="1"/>
  <c r="I39" i="3"/>
  <c r="I66" i="3" s="1"/>
  <c r="I67" i="3" s="1"/>
  <c r="H50" i="3"/>
  <c r="H42" i="3"/>
  <c r="G55" i="3"/>
  <c r="G71" i="3" s="1"/>
  <c r="G51" i="3"/>
  <c r="G70" i="3" s="1"/>
  <c r="G47" i="3"/>
  <c r="G69" i="3" s="1"/>
  <c r="N26" i="7"/>
  <c r="J32" i="3"/>
  <c r="J27" i="3"/>
  <c r="J52" i="3"/>
  <c r="J44" i="3"/>
  <c r="J40" i="3"/>
  <c r="J48" i="3"/>
  <c r="J37" i="3"/>
  <c r="J25" i="3"/>
  <c r="J65" i="3"/>
  <c r="J62" i="3"/>
  <c r="J59" i="3"/>
  <c r="J56" i="3"/>
  <c r="J35" i="3"/>
  <c r="J30" i="3"/>
  <c r="I34" i="3"/>
  <c r="H53" i="3"/>
  <c r="H55" i="3" s="1"/>
  <c r="H71" i="3" s="1"/>
  <c r="H45" i="3"/>
  <c r="H41" i="3"/>
  <c r="H49" i="3"/>
  <c r="I29" i="3"/>
  <c r="K19" i="3"/>
  <c r="K20" i="3"/>
  <c r="K21" i="3"/>
  <c r="L15" i="3"/>
  <c r="O20" i="7"/>
  <c r="L28" i="6"/>
  <c r="L32" i="7"/>
  <c r="L30" i="6"/>
  <c r="N24" i="6"/>
  <c r="N23" i="6"/>
  <c r="O18" i="6"/>
  <c r="P18" i="6" s="1"/>
  <c r="S18" i="6"/>
  <c r="M37" i="6" l="1"/>
  <c r="L37" i="6"/>
  <c r="M71" i="7"/>
  <c r="M72" i="7" s="1"/>
  <c r="M76" i="7" s="1"/>
  <c r="M68" i="7"/>
  <c r="M69" i="7" s="1"/>
  <c r="M75" i="7" s="1"/>
  <c r="M65" i="7"/>
  <c r="M66" i="7" s="1"/>
  <c r="M74" i="7" s="1"/>
  <c r="M62" i="7"/>
  <c r="M63" i="7" s="1"/>
  <c r="M78" i="7" s="1" a="1"/>
  <c r="M78" i="7" s="1"/>
  <c r="M48" i="7"/>
  <c r="K63" i="6"/>
  <c r="K64" i="6" s="1"/>
  <c r="K66" i="6"/>
  <c r="K67" i="6" s="1"/>
  <c r="K69" i="6"/>
  <c r="K70" i="6" s="1"/>
  <c r="J73" i="6"/>
  <c r="I77" i="6"/>
  <c r="I79" i="6" s="1"/>
  <c r="N65" i="6"/>
  <c r="N33" i="6"/>
  <c r="L42" i="6"/>
  <c r="J58" i="6"/>
  <c r="J74" i="6" s="1"/>
  <c r="P24" i="6"/>
  <c r="C4" i="9" s="1"/>
  <c r="Q18" i="6"/>
  <c r="R18" i="6" s="1"/>
  <c r="P22" i="6"/>
  <c r="P23" i="6"/>
  <c r="C3" i="9" s="1"/>
  <c r="P14" i="6"/>
  <c r="P11" i="6"/>
  <c r="T11" i="6"/>
  <c r="T14" i="6"/>
  <c r="AD11" i="6"/>
  <c r="AD14" i="6"/>
  <c r="O11" i="6"/>
  <c r="O35" i="6" s="1"/>
  <c r="O14" i="6"/>
  <c r="G50" i="9" s="1"/>
  <c r="G52" i="9" s="1"/>
  <c r="F50" i="9"/>
  <c r="S11" i="6"/>
  <c r="S14" i="6"/>
  <c r="Y11" i="6"/>
  <c r="Y14" i="6"/>
  <c r="J46" i="6"/>
  <c r="J50" i="6"/>
  <c r="J72" i="6" s="1"/>
  <c r="J76" i="6" a="1"/>
  <c r="J76" i="6" s="1"/>
  <c r="L30" i="7"/>
  <c r="L34" i="7" s="1"/>
  <c r="L54" i="7" s="1"/>
  <c r="M63" i="6"/>
  <c r="M64" i="6" s="1"/>
  <c r="M66" i="6"/>
  <c r="M67" i="6" s="1"/>
  <c r="M60" i="6"/>
  <c r="M61" i="6" s="1"/>
  <c r="M52" i="6"/>
  <c r="M44" i="6"/>
  <c r="M56" i="6"/>
  <c r="M48" i="6"/>
  <c r="M53" i="6"/>
  <c r="M45" i="6"/>
  <c r="M49" i="6"/>
  <c r="M57" i="6"/>
  <c r="H73" i="3" a="1"/>
  <c r="H73" i="3" s="1"/>
  <c r="K65" i="7"/>
  <c r="K66" i="7" s="1"/>
  <c r="K62" i="7"/>
  <c r="K63" i="7" s="1"/>
  <c r="K68" i="7"/>
  <c r="K69" i="7" s="1"/>
  <c r="N62" i="6"/>
  <c r="AD24" i="6"/>
  <c r="AD23" i="6"/>
  <c r="AE18" i="6"/>
  <c r="AD22" i="6"/>
  <c r="N59" i="6"/>
  <c r="N68" i="6"/>
  <c r="T23" i="6"/>
  <c r="T22" i="6"/>
  <c r="U18" i="6"/>
  <c r="T24" i="6"/>
  <c r="Y24" i="6"/>
  <c r="Y23" i="6"/>
  <c r="Z18" i="6"/>
  <c r="Y22" i="6"/>
  <c r="AH36" i="6"/>
  <c r="AH41" i="6"/>
  <c r="N38" i="6"/>
  <c r="AC41" i="6"/>
  <c r="AC36" i="6"/>
  <c r="J52" i="7"/>
  <c r="J74" i="7" s="1"/>
  <c r="N16" i="7"/>
  <c r="N35" i="7" s="1"/>
  <c r="I77" i="7" a="1"/>
  <c r="I77" i="7" s="1"/>
  <c r="D38" i="1"/>
  <c r="AF20" i="7"/>
  <c r="AE11" i="7"/>
  <c r="AE26" i="7"/>
  <c r="AE25" i="7"/>
  <c r="AE24" i="7"/>
  <c r="AE13" i="7"/>
  <c r="AE14" i="7"/>
  <c r="AE12" i="7"/>
  <c r="V20" i="7"/>
  <c r="U25" i="7"/>
  <c r="U26" i="7"/>
  <c r="U11" i="7"/>
  <c r="U24" i="7"/>
  <c r="U14" i="7"/>
  <c r="U13" i="7"/>
  <c r="U12" i="7"/>
  <c r="Z11" i="7"/>
  <c r="Z25" i="7"/>
  <c r="Z26" i="7"/>
  <c r="Z24" i="7"/>
  <c r="AA20" i="7"/>
  <c r="Z14" i="7"/>
  <c r="Z13" i="7"/>
  <c r="Z12" i="7"/>
  <c r="Q20" i="7"/>
  <c r="P26" i="7"/>
  <c r="P11" i="7"/>
  <c r="P25" i="7"/>
  <c r="P24" i="7"/>
  <c r="P13" i="7"/>
  <c r="P14" i="7"/>
  <c r="P12" i="7"/>
  <c r="O14" i="7"/>
  <c r="O13" i="7"/>
  <c r="I75" i="7"/>
  <c r="I79" i="7" s="1"/>
  <c r="I81" i="7" s="1"/>
  <c r="J56" i="7"/>
  <c r="J75" i="7" s="1"/>
  <c r="O11" i="7"/>
  <c r="O12" i="7"/>
  <c r="K50" i="7"/>
  <c r="J76" i="7"/>
  <c r="K47" i="7"/>
  <c r="K48" i="7" s="1"/>
  <c r="K55" i="7"/>
  <c r="K51" i="7"/>
  <c r="K54" i="7"/>
  <c r="J73" i="7"/>
  <c r="K58" i="7"/>
  <c r="K60" i="7" s="1"/>
  <c r="K76" i="7" s="1"/>
  <c r="L44" i="7"/>
  <c r="J78" i="7" a="1"/>
  <c r="J78" i="7" s="1"/>
  <c r="N57" i="7"/>
  <c r="N49" i="7"/>
  <c r="N53" i="7"/>
  <c r="N45" i="7"/>
  <c r="N37" i="7"/>
  <c r="L39" i="7"/>
  <c r="N42" i="7"/>
  <c r="N70" i="7"/>
  <c r="N64" i="7"/>
  <c r="N67" i="7"/>
  <c r="N61" i="7"/>
  <c r="N40" i="7"/>
  <c r="O22" i="6"/>
  <c r="S22" i="6"/>
  <c r="L57" i="6"/>
  <c r="L45" i="6"/>
  <c r="L53" i="6"/>
  <c r="L49" i="6"/>
  <c r="L60" i="6"/>
  <c r="L61" i="6" s="1"/>
  <c r="L69" i="6"/>
  <c r="L70" i="6" s="1"/>
  <c r="L63" i="6"/>
  <c r="L64" i="6" s="1"/>
  <c r="L66" i="6"/>
  <c r="L67" i="6" s="1"/>
  <c r="N35" i="6"/>
  <c r="N55" i="6"/>
  <c r="N47" i="6"/>
  <c r="N51" i="6"/>
  <c r="N43" i="6"/>
  <c r="K52" i="6"/>
  <c r="K54" i="6" s="1"/>
  <c r="K56" i="6"/>
  <c r="K58" i="6" s="1"/>
  <c r="K48" i="6"/>
  <c r="K50" i="6" s="1"/>
  <c r="K44" i="6"/>
  <c r="K46" i="6" s="1"/>
  <c r="N40" i="6"/>
  <c r="L32" i="6"/>
  <c r="H47" i="3"/>
  <c r="H69" i="3" s="1"/>
  <c r="I63" i="3"/>
  <c r="I64" i="3" s="1"/>
  <c r="I57" i="3"/>
  <c r="I58" i="3" s="1"/>
  <c r="I60" i="3"/>
  <c r="I61" i="3" s="1"/>
  <c r="H43" i="3"/>
  <c r="H68" i="3" s="1"/>
  <c r="H51" i="3"/>
  <c r="H70" i="3" s="1"/>
  <c r="G72" i="3" a="1"/>
  <c r="G72" i="3" s="1"/>
  <c r="G74" i="3"/>
  <c r="G76" i="3" s="1"/>
  <c r="J34" i="3"/>
  <c r="J50" i="3" s="1"/>
  <c r="O26" i="7"/>
  <c r="O24" i="7"/>
  <c r="O25" i="7"/>
  <c r="L21" i="3"/>
  <c r="L20" i="3"/>
  <c r="L19" i="3"/>
  <c r="N15" i="3"/>
  <c r="Z15" i="3" s="1"/>
  <c r="K32" i="3"/>
  <c r="K44" i="3"/>
  <c r="K52" i="3"/>
  <c r="K40" i="3"/>
  <c r="K48" i="3"/>
  <c r="K27" i="3"/>
  <c r="K37" i="3"/>
  <c r="K25" i="3"/>
  <c r="J29" i="3"/>
  <c r="K56" i="3"/>
  <c r="K62" i="3"/>
  <c r="K30" i="3"/>
  <c r="K59" i="3"/>
  <c r="K35" i="3"/>
  <c r="K65" i="3"/>
  <c r="I46" i="3"/>
  <c r="I54" i="3"/>
  <c r="I50" i="3"/>
  <c r="I42" i="3"/>
  <c r="I45" i="3"/>
  <c r="I41" i="3"/>
  <c r="I49" i="3"/>
  <c r="I53" i="3"/>
  <c r="J39" i="3"/>
  <c r="D37" i="1"/>
  <c r="N30" i="6"/>
  <c r="O23" i="6"/>
  <c r="O24" i="6"/>
  <c r="N32" i="7"/>
  <c r="S24" i="6"/>
  <c r="F4" i="9" s="1"/>
  <c r="F55" i="9" s="1"/>
  <c r="S23" i="6"/>
  <c r="F3" i="9" s="1"/>
  <c r="M3" i="9" s="1"/>
  <c r="N28" i="6"/>
  <c r="C55" i="9" l="1"/>
  <c r="N4" i="9"/>
  <c r="K76" i="6" a="1"/>
  <c r="K76" i="6" s="1"/>
  <c r="K72" i="6"/>
  <c r="K74" i="6"/>
  <c r="H50" i="9"/>
  <c r="K73" i="6"/>
  <c r="M73" i="7"/>
  <c r="M79" i="7" s="1"/>
  <c r="M81" i="7" s="1"/>
  <c r="M77" i="7" a="1"/>
  <c r="M77" i="7" s="1"/>
  <c r="T33" i="6"/>
  <c r="K3" i="9"/>
  <c r="K72" i="9" s="1"/>
  <c r="N3" i="9"/>
  <c r="AD33" i="6"/>
  <c r="H54" i="9"/>
  <c r="H52" i="9"/>
  <c r="Y33" i="6"/>
  <c r="K4" i="9"/>
  <c r="K73" i="9" s="1"/>
  <c r="C56" i="9"/>
  <c r="C41" i="9"/>
  <c r="C43" i="9" s="1"/>
  <c r="M4" i="9"/>
  <c r="M41" i="9" s="1"/>
  <c r="M43" i="9" s="1"/>
  <c r="F56" i="9"/>
  <c r="M66" i="9"/>
  <c r="M72" i="9"/>
  <c r="O59" i="6"/>
  <c r="O33" i="6"/>
  <c r="C42" i="9"/>
  <c r="S33" i="6"/>
  <c r="F2" i="9"/>
  <c r="M2" i="9" s="1"/>
  <c r="C2" i="9"/>
  <c r="P33" i="6"/>
  <c r="F42" i="9"/>
  <c r="F41" i="9"/>
  <c r="F43" i="9" s="1"/>
  <c r="C72" i="9"/>
  <c r="C45" i="9"/>
  <c r="C66" i="9"/>
  <c r="C73" i="9"/>
  <c r="R22" i="6"/>
  <c r="R23" i="6"/>
  <c r="E3" i="9" s="1"/>
  <c r="L3" i="9" s="1"/>
  <c r="R24" i="6"/>
  <c r="E4" i="9" s="1"/>
  <c r="E55" i="9" s="1"/>
  <c r="R14" i="6"/>
  <c r="R11" i="6"/>
  <c r="P40" i="6"/>
  <c r="P28" i="6"/>
  <c r="P62" i="6"/>
  <c r="P38" i="6"/>
  <c r="P68" i="6"/>
  <c r="P59" i="6"/>
  <c r="P65" i="6"/>
  <c r="Q22" i="6"/>
  <c r="Q23" i="6"/>
  <c r="Q24" i="6"/>
  <c r="D4" i="9" s="1"/>
  <c r="D55" i="9" s="1"/>
  <c r="Q14" i="6"/>
  <c r="Q11" i="6"/>
  <c r="P35" i="6"/>
  <c r="P43" i="6"/>
  <c r="P55" i="6"/>
  <c r="P47" i="6"/>
  <c r="P51" i="6"/>
  <c r="P30" i="6"/>
  <c r="AE11" i="6"/>
  <c r="AE14" i="6"/>
  <c r="U11" i="6"/>
  <c r="U14" i="6"/>
  <c r="G54" i="9"/>
  <c r="F73" i="9"/>
  <c r="Z11" i="6"/>
  <c r="Z14" i="6"/>
  <c r="J75" i="6" a="1"/>
  <c r="J75" i="6" s="1"/>
  <c r="F72" i="9"/>
  <c r="F66" i="9"/>
  <c r="F45" i="9"/>
  <c r="J71" i="6"/>
  <c r="J77" i="6" s="1"/>
  <c r="J79" i="6" s="1"/>
  <c r="G43" i="9"/>
  <c r="G73" i="9"/>
  <c r="G66" i="9"/>
  <c r="M76" i="6" a="1"/>
  <c r="M76" i="6" s="1"/>
  <c r="K78" i="7" a="1"/>
  <c r="K78" i="7" s="1"/>
  <c r="M50" i="6"/>
  <c r="M72" i="6" s="1"/>
  <c r="K73" i="7"/>
  <c r="M46" i="6"/>
  <c r="M71" i="6" s="1"/>
  <c r="M54" i="6"/>
  <c r="M73" i="6" s="1"/>
  <c r="S59" i="6"/>
  <c r="S65" i="6"/>
  <c r="S68" i="6"/>
  <c r="S62" i="6"/>
  <c r="AD35" i="6"/>
  <c r="O62" i="6"/>
  <c r="M58" i="6"/>
  <c r="M74" i="6" s="1"/>
  <c r="N37" i="6"/>
  <c r="N45" i="6" s="1"/>
  <c r="N30" i="7"/>
  <c r="N34" i="7" s="1"/>
  <c r="N58" i="7" s="1"/>
  <c r="N39" i="7"/>
  <c r="N47" i="7" s="1"/>
  <c r="I73" i="3" a="1"/>
  <c r="I73" i="3" s="1"/>
  <c r="O68" i="6"/>
  <c r="Y40" i="6"/>
  <c r="Y28" i="6"/>
  <c r="Y55" i="6"/>
  <c r="Y47" i="6"/>
  <c r="Y51" i="6"/>
  <c r="Y30" i="6"/>
  <c r="Y43" i="6"/>
  <c r="Y35" i="6"/>
  <c r="T51" i="6"/>
  <c r="T43" i="6"/>
  <c r="T55" i="6"/>
  <c r="T30" i="6"/>
  <c r="T35" i="6"/>
  <c r="T47" i="6"/>
  <c r="AE24" i="6"/>
  <c r="AE22" i="6"/>
  <c r="AE33" i="6" s="1"/>
  <c r="AE23" i="6"/>
  <c r="AF18" i="6"/>
  <c r="O38" i="6"/>
  <c r="AD68" i="6"/>
  <c r="AD59" i="6"/>
  <c r="AD65" i="6"/>
  <c r="AD62" i="6"/>
  <c r="AD38" i="6"/>
  <c r="N42" i="6"/>
  <c r="N63" i="6" s="1"/>
  <c r="N64" i="6" s="1"/>
  <c r="S38" i="6"/>
  <c r="V18" i="6"/>
  <c r="U23" i="6"/>
  <c r="U22" i="6"/>
  <c r="U24" i="6"/>
  <c r="AD40" i="6"/>
  <c r="AD28" i="6"/>
  <c r="J77" i="7" a="1"/>
  <c r="J77" i="7" s="1"/>
  <c r="T38" i="6"/>
  <c r="T59" i="6"/>
  <c r="T65" i="6"/>
  <c r="T68" i="6"/>
  <c r="T62" i="6"/>
  <c r="AD55" i="6"/>
  <c r="AD51" i="6"/>
  <c r="AD43" i="6"/>
  <c r="AD30" i="6"/>
  <c r="AD47" i="6"/>
  <c r="Z24" i="6"/>
  <c r="Z23" i="6"/>
  <c r="Z22" i="6"/>
  <c r="AA18" i="6"/>
  <c r="O65" i="6"/>
  <c r="Y65" i="6"/>
  <c r="Y62" i="6"/>
  <c r="Y38" i="6"/>
  <c r="Y68" i="6"/>
  <c r="Y59" i="6"/>
  <c r="T40" i="6"/>
  <c r="T28" i="6"/>
  <c r="P16" i="7"/>
  <c r="P30" i="7" s="1"/>
  <c r="O16" i="7"/>
  <c r="O30" i="7" s="1"/>
  <c r="P42" i="7"/>
  <c r="AA24" i="7"/>
  <c r="AA11" i="7"/>
  <c r="AB20" i="7"/>
  <c r="AA26" i="7"/>
  <c r="AA25" i="7"/>
  <c r="AA12" i="7"/>
  <c r="AA14" i="7"/>
  <c r="AA13" i="7"/>
  <c r="P61" i="7"/>
  <c r="P70" i="7"/>
  <c r="P64" i="7"/>
  <c r="P67" i="7"/>
  <c r="P40" i="7"/>
  <c r="Z70" i="7"/>
  <c r="Z67" i="7"/>
  <c r="Z64" i="7"/>
  <c r="Z61" i="7"/>
  <c r="Z40" i="7"/>
  <c r="U64" i="7"/>
  <c r="U61" i="7"/>
  <c r="U67" i="7"/>
  <c r="U70" i="7"/>
  <c r="U40" i="7"/>
  <c r="AE16" i="7"/>
  <c r="AE30" i="7" s="1"/>
  <c r="P57" i="7"/>
  <c r="P45" i="7"/>
  <c r="P49" i="7"/>
  <c r="P37" i="7"/>
  <c r="P53" i="7"/>
  <c r="P32" i="7"/>
  <c r="Z49" i="7"/>
  <c r="Z45" i="7"/>
  <c r="Z53" i="7"/>
  <c r="Z57" i="7"/>
  <c r="Z32" i="7"/>
  <c r="AE70" i="7"/>
  <c r="AE67" i="7"/>
  <c r="AE64" i="7"/>
  <c r="AE61" i="7"/>
  <c r="AE40" i="7"/>
  <c r="R20" i="7"/>
  <c r="Q25" i="7"/>
  <c r="Q11" i="7"/>
  <c r="Q24" i="7"/>
  <c r="Q26" i="7"/>
  <c r="Q14" i="7"/>
  <c r="Q13" i="7"/>
  <c r="Q12" i="7"/>
  <c r="Z42" i="7"/>
  <c r="U53" i="7"/>
  <c r="U49" i="7"/>
  <c r="U45" i="7"/>
  <c r="U57" i="7"/>
  <c r="U37" i="7"/>
  <c r="U32" i="7"/>
  <c r="AE42" i="7"/>
  <c r="Z37" i="7"/>
  <c r="U42" i="7"/>
  <c r="AE57" i="7"/>
  <c r="AE45" i="7"/>
  <c r="AE53" i="7"/>
  <c r="AE49" i="7"/>
  <c r="AE37" i="7"/>
  <c r="AE32" i="7"/>
  <c r="Z16" i="7"/>
  <c r="Z35" i="7" s="1"/>
  <c r="Z39" i="7" s="1"/>
  <c r="V24" i="7"/>
  <c r="W20" i="7"/>
  <c r="V26" i="7"/>
  <c r="V11" i="7"/>
  <c r="V25" i="7"/>
  <c r="V13" i="7"/>
  <c r="V14" i="7"/>
  <c r="V12" i="7"/>
  <c r="U16" i="7"/>
  <c r="U30" i="7" s="1"/>
  <c r="AF24" i="7"/>
  <c r="AF25" i="7"/>
  <c r="AF26" i="7"/>
  <c r="AF11" i="7"/>
  <c r="AG20" i="7"/>
  <c r="AF13" i="7"/>
  <c r="AF14" i="7"/>
  <c r="AF12" i="7"/>
  <c r="K52" i="7"/>
  <c r="K74" i="7" s="1"/>
  <c r="K56" i="7"/>
  <c r="K75" i="7" s="1"/>
  <c r="J79" i="7"/>
  <c r="J81" i="7" s="1"/>
  <c r="D39" i="1"/>
  <c r="O42" i="7"/>
  <c r="L50" i="7"/>
  <c r="L58" i="7"/>
  <c r="N44" i="7"/>
  <c r="N68" i="7" s="1"/>
  <c r="N69" i="7" s="1"/>
  <c r="L46" i="7"/>
  <c r="O57" i="7"/>
  <c r="O49" i="7"/>
  <c r="O37" i="7"/>
  <c r="O45" i="7"/>
  <c r="O53" i="7"/>
  <c r="O70" i="7"/>
  <c r="O64" i="7"/>
  <c r="O67" i="7"/>
  <c r="O61" i="7"/>
  <c r="O40" i="7"/>
  <c r="L47" i="7"/>
  <c r="L59" i="7"/>
  <c r="L55" i="7"/>
  <c r="L56" i="7" s="1"/>
  <c r="L51" i="7"/>
  <c r="L71" i="7"/>
  <c r="L72" i="7" s="1"/>
  <c r="L65" i="7"/>
  <c r="L66" i="7" s="1"/>
  <c r="L62" i="7"/>
  <c r="L63" i="7" s="1"/>
  <c r="L68" i="7"/>
  <c r="L69" i="7" s="1"/>
  <c r="N32" i="6"/>
  <c r="N48" i="6" s="1"/>
  <c r="O40" i="6"/>
  <c r="L76" i="6" a="1"/>
  <c r="L76" i="6" s="1"/>
  <c r="S40" i="6"/>
  <c r="S47" i="6"/>
  <c r="S51" i="6"/>
  <c r="S55" i="6"/>
  <c r="S43" i="6"/>
  <c r="S35" i="6"/>
  <c r="S37" i="6" s="1"/>
  <c r="F6" i="9" s="1"/>
  <c r="M6" i="9" s="1"/>
  <c r="M46" i="9" s="1"/>
  <c r="O55" i="6"/>
  <c r="O51" i="6"/>
  <c r="O43" i="6"/>
  <c r="O47" i="6"/>
  <c r="L56" i="6"/>
  <c r="L58" i="6" s="1"/>
  <c r="L74" i="6" s="1"/>
  <c r="L44" i="6"/>
  <c r="L46" i="6" s="1"/>
  <c r="L52" i="6"/>
  <c r="L54" i="6" s="1"/>
  <c r="L73" i="6" s="1"/>
  <c r="L48" i="6"/>
  <c r="L50" i="6" s="1"/>
  <c r="L72" i="6" s="1"/>
  <c r="K75" i="6" a="1"/>
  <c r="K75" i="6" s="1"/>
  <c r="K71" i="6"/>
  <c r="K77" i="6" s="1"/>
  <c r="K79" i="6" s="1"/>
  <c r="Z20" i="3"/>
  <c r="Z19" i="3"/>
  <c r="AA15" i="3"/>
  <c r="Z21" i="3"/>
  <c r="AE15" i="3"/>
  <c r="P15" i="3"/>
  <c r="U15" i="3"/>
  <c r="H74" i="3"/>
  <c r="H76" i="3" s="1"/>
  <c r="H72" i="3" a="1"/>
  <c r="H72" i="3" s="1"/>
  <c r="J46" i="3"/>
  <c r="J42" i="3"/>
  <c r="J54" i="3"/>
  <c r="I43" i="3"/>
  <c r="I68" i="3" s="1"/>
  <c r="K29" i="3"/>
  <c r="K41" i="3" s="1"/>
  <c r="I51" i="3"/>
  <c r="I70" i="3" s="1"/>
  <c r="J53" i="3"/>
  <c r="J49" i="3"/>
  <c r="J51" i="3" s="1"/>
  <c r="J45" i="3"/>
  <c r="J41" i="3"/>
  <c r="J57" i="3"/>
  <c r="J58" i="3" s="1"/>
  <c r="J66" i="3"/>
  <c r="J67" i="3" s="1"/>
  <c r="J63" i="3"/>
  <c r="J64" i="3" s="1"/>
  <c r="J60" i="3"/>
  <c r="J61" i="3" s="1"/>
  <c r="I47" i="3"/>
  <c r="K39" i="3"/>
  <c r="O15" i="3"/>
  <c r="N21" i="3"/>
  <c r="N20" i="3"/>
  <c r="N19" i="3"/>
  <c r="L30" i="3"/>
  <c r="L56" i="3"/>
  <c r="L35" i="3"/>
  <c r="L59" i="3"/>
  <c r="L65" i="3"/>
  <c r="L62" i="3"/>
  <c r="K34" i="3"/>
  <c r="L37" i="3"/>
  <c r="L25" i="3"/>
  <c r="L32" i="3"/>
  <c r="L40" i="3"/>
  <c r="L44" i="3"/>
  <c r="L48" i="3"/>
  <c r="L27" i="3"/>
  <c r="L52" i="3"/>
  <c r="I55" i="3"/>
  <c r="I71" i="3" s="1"/>
  <c r="C39" i="1"/>
  <c r="C37" i="1"/>
  <c r="O30" i="6"/>
  <c r="O32" i="7"/>
  <c r="G72" i="9"/>
  <c r="S28" i="6"/>
  <c r="S30" i="6"/>
  <c r="O28" i="6"/>
  <c r="K42" i="9" l="1"/>
  <c r="K2" i="9"/>
  <c r="K39" i="9" s="1"/>
  <c r="N2" i="9"/>
  <c r="K41" i="9"/>
  <c r="K43" i="9" s="1"/>
  <c r="N55" i="9"/>
  <c r="N73" i="9"/>
  <c r="N42" i="9"/>
  <c r="N41" i="9"/>
  <c r="N43" i="9" s="1"/>
  <c r="N56" i="9"/>
  <c r="K45" i="9"/>
  <c r="K66" i="9"/>
  <c r="M73" i="9"/>
  <c r="M42" i="9"/>
  <c r="I50" i="9"/>
  <c r="N66" i="9"/>
  <c r="N72" i="9"/>
  <c r="L50" i="9"/>
  <c r="Z33" i="6"/>
  <c r="U33" i="6"/>
  <c r="J50" i="9"/>
  <c r="K50" i="9"/>
  <c r="M50" i="9"/>
  <c r="M52" i="9" s="1"/>
  <c r="H65" i="9"/>
  <c r="H63" i="9"/>
  <c r="M56" i="9"/>
  <c r="M55" i="9"/>
  <c r="K56" i="9"/>
  <c r="K55" i="9"/>
  <c r="L4" i="9"/>
  <c r="E56" i="9"/>
  <c r="J4" i="9"/>
  <c r="J55" i="9" s="1"/>
  <c r="D56" i="9"/>
  <c r="M39" i="9"/>
  <c r="M38" i="9"/>
  <c r="M40" i="9" s="1"/>
  <c r="M71" i="9"/>
  <c r="M51" i="9"/>
  <c r="M58" i="9" s="1"/>
  <c r="K71" i="9"/>
  <c r="L72" i="9"/>
  <c r="L45" i="9"/>
  <c r="E45" i="9"/>
  <c r="I4" i="9"/>
  <c r="I55" i="9" s="1"/>
  <c r="D42" i="9"/>
  <c r="F39" i="9"/>
  <c r="F38" i="9"/>
  <c r="F40" i="9" s="1"/>
  <c r="F71" i="9"/>
  <c r="E2" i="9"/>
  <c r="L2" i="9" s="1"/>
  <c r="R33" i="6"/>
  <c r="D2" i="9"/>
  <c r="Q33" i="6"/>
  <c r="C39" i="9"/>
  <c r="C38" i="9"/>
  <c r="C40" i="9" s="1"/>
  <c r="C71" i="9"/>
  <c r="E41" i="9"/>
  <c r="E43" i="9" s="1"/>
  <c r="E42" i="9"/>
  <c r="D41" i="9"/>
  <c r="D43" i="9" s="1"/>
  <c r="D66" i="9"/>
  <c r="D73" i="9"/>
  <c r="E72" i="9"/>
  <c r="E73" i="9"/>
  <c r="E66" i="9"/>
  <c r="R55" i="6"/>
  <c r="R47" i="6"/>
  <c r="R30" i="6"/>
  <c r="R51" i="6"/>
  <c r="R43" i="6"/>
  <c r="R35" i="6"/>
  <c r="R40" i="6"/>
  <c r="R28" i="6"/>
  <c r="P42" i="6"/>
  <c r="C7" i="9" s="1"/>
  <c r="R62" i="6"/>
  <c r="R38" i="6"/>
  <c r="R68" i="6"/>
  <c r="R65" i="6"/>
  <c r="R59" i="6"/>
  <c r="P37" i="6"/>
  <c r="C6" i="9" s="1"/>
  <c r="Y42" i="6"/>
  <c r="Y60" i="6" s="1"/>
  <c r="Y61" i="6" s="1"/>
  <c r="Q55" i="6"/>
  <c r="Q47" i="6"/>
  <c r="Q30" i="6"/>
  <c r="Q51" i="6"/>
  <c r="Q43" i="6"/>
  <c r="Q35" i="6"/>
  <c r="Q40" i="6"/>
  <c r="Q28" i="6"/>
  <c r="P32" i="6"/>
  <c r="C5" i="9" s="1"/>
  <c r="N5" i="9" s="1"/>
  <c r="N48" i="9" s="1"/>
  <c r="Q62" i="6"/>
  <c r="Q38" i="6"/>
  <c r="Q68" i="6"/>
  <c r="Q65" i="6"/>
  <c r="Q59" i="6"/>
  <c r="AA11" i="6"/>
  <c r="AA14" i="6"/>
  <c r="AF11" i="6"/>
  <c r="AF14" i="6"/>
  <c r="V11" i="6"/>
  <c r="V14" i="6"/>
  <c r="N50" i="9" s="1"/>
  <c r="G58" i="9"/>
  <c r="O35" i="7"/>
  <c r="O39" i="7" s="1"/>
  <c r="N53" i="6"/>
  <c r="N49" i="6"/>
  <c r="N50" i="6" s="1"/>
  <c r="N72" i="6" s="1"/>
  <c r="AD37" i="6"/>
  <c r="AD45" i="6" s="1"/>
  <c r="N55" i="7"/>
  <c r="N59" i="7"/>
  <c r="N60" i="7" s="1"/>
  <c r="N51" i="7"/>
  <c r="N57" i="6"/>
  <c r="N66" i="6"/>
  <c r="N67" i="6" s="1"/>
  <c r="O37" i="6"/>
  <c r="M75" i="6" a="1"/>
  <c r="M75" i="6" s="1"/>
  <c r="T32" i="6"/>
  <c r="T52" i="6" s="1"/>
  <c r="M77" i="6"/>
  <c r="M79" i="6" s="1"/>
  <c r="Y37" i="6"/>
  <c r="Y53" i="6" s="1"/>
  <c r="AE35" i="7"/>
  <c r="AE39" i="7" s="1"/>
  <c r="AE51" i="7" s="1"/>
  <c r="P44" i="7"/>
  <c r="P65" i="7" s="1"/>
  <c r="P66" i="7" s="1"/>
  <c r="S42" i="6"/>
  <c r="F7" i="9" s="1"/>
  <c r="M7" i="9" s="1"/>
  <c r="M47" i="9" s="1"/>
  <c r="M53" i="9" s="1"/>
  <c r="O42" i="6"/>
  <c r="P35" i="7"/>
  <c r="P39" i="7" s="1"/>
  <c r="P34" i="7"/>
  <c r="P46" i="7" s="1"/>
  <c r="N60" i="6"/>
  <c r="N61" i="6" s="1"/>
  <c r="T37" i="6"/>
  <c r="N69" i="6"/>
  <c r="N70" i="6" s="1"/>
  <c r="T42" i="6"/>
  <c r="U40" i="6"/>
  <c r="U28" i="6"/>
  <c r="AA22" i="6"/>
  <c r="AA23" i="6"/>
  <c r="AB18" i="6"/>
  <c r="AA24" i="6"/>
  <c r="AD32" i="6"/>
  <c r="Z62" i="6"/>
  <c r="Z38" i="6"/>
  <c r="Z65" i="6"/>
  <c r="Z68" i="6"/>
  <c r="Z59" i="6"/>
  <c r="V23" i="6"/>
  <c r="V22" i="6"/>
  <c r="V33" i="6" s="1"/>
  <c r="V24" i="6"/>
  <c r="W18" i="6"/>
  <c r="Z40" i="6"/>
  <c r="Z28" i="6"/>
  <c r="AD42" i="6"/>
  <c r="AF22" i="6"/>
  <c r="AF24" i="6"/>
  <c r="AF23" i="6"/>
  <c r="AG18" i="6"/>
  <c r="Y32" i="6"/>
  <c r="AE35" i="6"/>
  <c r="AE30" i="6"/>
  <c r="AE55" i="6"/>
  <c r="AE51" i="6"/>
  <c r="AE47" i="6"/>
  <c r="AE43" i="6"/>
  <c r="O44" i="7"/>
  <c r="O68" i="7" s="1"/>
  <c r="O69" i="7" s="1"/>
  <c r="O32" i="6"/>
  <c r="Z35" i="6"/>
  <c r="Z30" i="6"/>
  <c r="Z55" i="6"/>
  <c r="Z43" i="6"/>
  <c r="Z47" i="6"/>
  <c r="Z51" i="6"/>
  <c r="U55" i="6"/>
  <c r="U47" i="6"/>
  <c r="U51" i="6"/>
  <c r="U43" i="6"/>
  <c r="U35" i="6"/>
  <c r="U30" i="6"/>
  <c r="AE40" i="6"/>
  <c r="AE28" i="6"/>
  <c r="U59" i="6"/>
  <c r="U65" i="6"/>
  <c r="U62" i="6"/>
  <c r="U68" i="6"/>
  <c r="U38" i="6"/>
  <c r="AE68" i="6"/>
  <c r="AE59" i="6"/>
  <c r="AE62" i="6"/>
  <c r="AE38" i="6"/>
  <c r="AE65" i="6"/>
  <c r="Q16" i="7"/>
  <c r="Q30" i="7" s="1"/>
  <c r="Z44" i="7"/>
  <c r="Z62" i="7" s="1"/>
  <c r="Z63" i="7" s="1"/>
  <c r="AE44" i="7"/>
  <c r="AE65" i="7" s="1"/>
  <c r="AE66" i="7" s="1"/>
  <c r="AE34" i="7"/>
  <c r="AE54" i="7" s="1"/>
  <c r="U44" i="7"/>
  <c r="U65" i="7" s="1"/>
  <c r="U66" i="7" s="1"/>
  <c r="AA16" i="7"/>
  <c r="AA35" i="7" s="1"/>
  <c r="U34" i="7"/>
  <c r="U54" i="7" s="1"/>
  <c r="AF37" i="7"/>
  <c r="AF57" i="7"/>
  <c r="AF49" i="7"/>
  <c r="AF53" i="7"/>
  <c r="AF45" i="7"/>
  <c r="AF32" i="7"/>
  <c r="V42" i="7"/>
  <c r="R11" i="7"/>
  <c r="S20" i="7"/>
  <c r="R25" i="7"/>
  <c r="R24" i="7"/>
  <c r="R26" i="7"/>
  <c r="R13" i="7"/>
  <c r="R14" i="7"/>
  <c r="R12" i="7"/>
  <c r="AA42" i="7"/>
  <c r="AF61" i="7"/>
  <c r="AF64" i="7"/>
  <c r="AF70" i="7"/>
  <c r="AF67" i="7"/>
  <c r="AF40" i="7"/>
  <c r="V57" i="7"/>
  <c r="V37" i="7"/>
  <c r="V49" i="7"/>
  <c r="V53" i="7"/>
  <c r="V45" i="7"/>
  <c r="V32" i="7"/>
  <c r="AB24" i="7"/>
  <c r="AB11" i="7"/>
  <c r="AC20" i="7"/>
  <c r="AB26" i="7"/>
  <c r="AB25" i="7"/>
  <c r="AB12" i="7"/>
  <c r="AB14" i="7"/>
  <c r="AB13" i="7"/>
  <c r="W11" i="7"/>
  <c r="X20" i="7"/>
  <c r="W24" i="7"/>
  <c r="W26" i="7"/>
  <c r="W25" i="7"/>
  <c r="W14" i="7"/>
  <c r="W13" i="7"/>
  <c r="W12" i="7"/>
  <c r="AA45" i="7"/>
  <c r="AA57" i="7"/>
  <c r="AA37" i="7"/>
  <c r="AA53" i="7"/>
  <c r="AA49" i="7"/>
  <c r="AA32" i="7"/>
  <c r="V67" i="7"/>
  <c r="V61" i="7"/>
  <c r="V70" i="7"/>
  <c r="V64" i="7"/>
  <c r="V40" i="7"/>
  <c r="Q37" i="7"/>
  <c r="Q49" i="7"/>
  <c r="Q45" i="7"/>
  <c r="Q57" i="7"/>
  <c r="Q53" i="7"/>
  <c r="Q32" i="7"/>
  <c r="U35" i="7"/>
  <c r="U39" i="7" s="1"/>
  <c r="AA67" i="7"/>
  <c r="AA70" i="7"/>
  <c r="AA64" i="7"/>
  <c r="AA61" i="7"/>
  <c r="AA40" i="7"/>
  <c r="K77" i="7" a="1"/>
  <c r="K77" i="7" s="1"/>
  <c r="AF16" i="7"/>
  <c r="AF30" i="7" s="1"/>
  <c r="Z59" i="7"/>
  <c r="Z51" i="7"/>
  <c r="Z47" i="7"/>
  <c r="Z55" i="7"/>
  <c r="Q64" i="7"/>
  <c r="Q67" i="7"/>
  <c r="Q61" i="7"/>
  <c r="Q70" i="7"/>
  <c r="Q40" i="7"/>
  <c r="AF42" i="7"/>
  <c r="AG25" i="7"/>
  <c r="AG24" i="7"/>
  <c r="AG11" i="7"/>
  <c r="AG26" i="7"/>
  <c r="AH20" i="7"/>
  <c r="AG13" i="7"/>
  <c r="AG14" i="7"/>
  <c r="AG12" i="7"/>
  <c r="V16" i="7"/>
  <c r="V30" i="7" s="1"/>
  <c r="Z30" i="7"/>
  <c r="Z34" i="7" s="1"/>
  <c r="Q42" i="7"/>
  <c r="K79" i="7"/>
  <c r="K81" i="7" s="1"/>
  <c r="L52" i="7"/>
  <c r="L74" i="7" s="1"/>
  <c r="L60" i="7"/>
  <c r="L76" i="7" s="1"/>
  <c r="L48" i="7"/>
  <c r="N65" i="7"/>
  <c r="N66" i="7" s="1"/>
  <c r="N71" i="7"/>
  <c r="N72" i="7" s="1"/>
  <c r="N62" i="7"/>
  <c r="N63" i="7" s="1"/>
  <c r="L75" i="7"/>
  <c r="N46" i="7"/>
  <c r="N48" i="7" s="1"/>
  <c r="N54" i="7"/>
  <c r="N50" i="7"/>
  <c r="L78" i="7" a="1"/>
  <c r="L78" i="7" s="1"/>
  <c r="O34" i="7"/>
  <c r="O46" i="7" s="1"/>
  <c r="N56" i="6"/>
  <c r="N44" i="6"/>
  <c r="N46" i="6" s="1"/>
  <c r="N52" i="6"/>
  <c r="S49" i="6"/>
  <c r="S53" i="6"/>
  <c r="S57" i="6"/>
  <c r="S45" i="6"/>
  <c r="S32" i="6"/>
  <c r="F5" i="9" s="1"/>
  <c r="M5" i="9" s="1"/>
  <c r="M48" i="9" s="1"/>
  <c r="M54" i="9" s="1"/>
  <c r="L71" i="6"/>
  <c r="L77" i="6" s="1"/>
  <c r="L79" i="6" s="1"/>
  <c r="L75" i="6" a="1"/>
  <c r="L75" i="6" s="1"/>
  <c r="Z32" i="3"/>
  <c r="Z48" i="3"/>
  <c r="Z52" i="3"/>
  <c r="Z44" i="3"/>
  <c r="Z27" i="3"/>
  <c r="Z40" i="3"/>
  <c r="AA20" i="3"/>
  <c r="AA21" i="3"/>
  <c r="AB15" i="3"/>
  <c r="AA19" i="3"/>
  <c r="Z65" i="3"/>
  <c r="Z30" i="3"/>
  <c r="Z59" i="3"/>
  <c r="Z35" i="3"/>
  <c r="Z56" i="3"/>
  <c r="Z62" i="3"/>
  <c r="Z25" i="3"/>
  <c r="Z37" i="3"/>
  <c r="U20" i="3"/>
  <c r="U19" i="3"/>
  <c r="U21" i="3"/>
  <c r="V15" i="3"/>
  <c r="P19" i="3"/>
  <c r="P21" i="3"/>
  <c r="Q15" i="3"/>
  <c r="P20" i="3"/>
  <c r="AE21" i="3"/>
  <c r="AE20" i="3"/>
  <c r="AE19" i="3"/>
  <c r="AF15" i="3"/>
  <c r="K49" i="3"/>
  <c r="L39" i="3"/>
  <c r="L66" i="3" s="1"/>
  <c r="L67" i="3" s="1"/>
  <c r="K45" i="3"/>
  <c r="J70" i="3"/>
  <c r="K53" i="3"/>
  <c r="I69" i="3"/>
  <c r="E38" i="1" s="1"/>
  <c r="J43" i="3"/>
  <c r="J68" i="3" s="1"/>
  <c r="J47" i="3"/>
  <c r="J69" i="3" s="1"/>
  <c r="J55" i="3"/>
  <c r="J71" i="3" s="1"/>
  <c r="I72" i="3" a="1"/>
  <c r="I72" i="3" s="1"/>
  <c r="L29" i="3"/>
  <c r="L49" i="3" s="1"/>
  <c r="O20" i="3"/>
  <c r="O19" i="3"/>
  <c r="O21" i="3"/>
  <c r="K60" i="3"/>
  <c r="K61" i="3" s="1"/>
  <c r="K63" i="3"/>
  <c r="K64" i="3" s="1"/>
  <c r="K66" i="3"/>
  <c r="K67" i="3" s="1"/>
  <c r="K57" i="3"/>
  <c r="K58" i="3" s="1"/>
  <c r="E37" i="1"/>
  <c r="L34" i="3"/>
  <c r="K50" i="3"/>
  <c r="K46" i="3"/>
  <c r="K54" i="3"/>
  <c r="K42" i="3"/>
  <c r="K43" i="3" s="1"/>
  <c r="N35" i="3"/>
  <c r="N30" i="3"/>
  <c r="N62" i="3"/>
  <c r="N56" i="3"/>
  <c r="N65" i="3"/>
  <c r="N59" i="3"/>
  <c r="N37" i="3"/>
  <c r="N25" i="3"/>
  <c r="J73" i="3" a="1"/>
  <c r="J73" i="3" s="1"/>
  <c r="N32" i="3"/>
  <c r="N27" i="3"/>
  <c r="N52" i="3"/>
  <c r="N48" i="3"/>
  <c r="N40" i="3"/>
  <c r="N44" i="3"/>
  <c r="K38" i="9" l="1"/>
  <c r="K40" i="9" s="1"/>
  <c r="N71" i="9"/>
  <c r="N38" i="9"/>
  <c r="N40" i="9" s="1"/>
  <c r="Z39" i="3"/>
  <c r="AA33" i="6"/>
  <c r="R32" i="6"/>
  <c r="E5" i="9" s="1"/>
  <c r="L5" i="9" s="1"/>
  <c r="L48" i="9" s="1"/>
  <c r="AF33" i="6"/>
  <c r="L54" i="9"/>
  <c r="K7" i="9"/>
  <c r="K47" i="9" s="1"/>
  <c r="K53" i="9" s="1"/>
  <c r="N7" i="9"/>
  <c r="N47" i="9" s="1"/>
  <c r="N53" i="9" s="1"/>
  <c r="N54" i="9"/>
  <c r="H67" i="9"/>
  <c r="H64" i="9"/>
  <c r="K6" i="9"/>
  <c r="K46" i="9" s="1"/>
  <c r="K52" i="9" s="1"/>
  <c r="N6" i="9"/>
  <c r="N46" i="9" s="1"/>
  <c r="L56" i="9"/>
  <c r="L55" i="9"/>
  <c r="J41" i="9"/>
  <c r="J43" i="9" s="1"/>
  <c r="L66" i="9"/>
  <c r="L42" i="9"/>
  <c r="L41" i="9"/>
  <c r="L43" i="9" s="1"/>
  <c r="L73" i="9"/>
  <c r="K5" i="9"/>
  <c r="K48" i="9" s="1"/>
  <c r="K54" i="9" s="1"/>
  <c r="C48" i="9"/>
  <c r="C54" i="9" s="1"/>
  <c r="I42" i="9"/>
  <c r="I56" i="9"/>
  <c r="M65" i="9"/>
  <c r="J73" i="9"/>
  <c r="L38" i="9"/>
  <c r="L40" i="9" s="1"/>
  <c r="L39" i="9"/>
  <c r="L71" i="9"/>
  <c r="I2" i="9"/>
  <c r="I38" i="9" s="1"/>
  <c r="I40" i="9" s="1"/>
  <c r="J2" i="9"/>
  <c r="J39" i="9" s="1"/>
  <c r="J72" i="9"/>
  <c r="J66" i="9"/>
  <c r="J45" i="9"/>
  <c r="I66" i="9"/>
  <c r="I73" i="9"/>
  <c r="I41" i="9"/>
  <c r="Y63" i="6"/>
  <c r="Y64" i="6" s="1"/>
  <c r="Y69" i="6"/>
  <c r="Y70" i="6" s="1"/>
  <c r="Y66" i="6"/>
  <c r="Y67" i="6" s="1"/>
  <c r="E38" i="9"/>
  <c r="E40" i="9" s="1"/>
  <c r="E39" i="9"/>
  <c r="E71" i="9"/>
  <c r="D38" i="9"/>
  <c r="D40" i="9" s="1"/>
  <c r="D39" i="9"/>
  <c r="D71" i="9"/>
  <c r="Q37" i="6"/>
  <c r="D6" i="9" s="1"/>
  <c r="D46" i="9" s="1"/>
  <c r="P60" i="6"/>
  <c r="P61" i="6" s="1"/>
  <c r="P69" i="6"/>
  <c r="P70" i="6" s="1"/>
  <c r="P66" i="6"/>
  <c r="P67" i="6" s="1"/>
  <c r="P63" i="6"/>
  <c r="P64" i="6" s="1"/>
  <c r="C47" i="9"/>
  <c r="C53" i="9" s="1"/>
  <c r="C46" i="9"/>
  <c r="C52" i="9" s="1"/>
  <c r="R37" i="6"/>
  <c r="R56" i="6"/>
  <c r="R48" i="6"/>
  <c r="R52" i="6"/>
  <c r="R44" i="6"/>
  <c r="Q32" i="6"/>
  <c r="Q48" i="6" s="1"/>
  <c r="R42" i="6"/>
  <c r="E7" i="9" s="1"/>
  <c r="L7" i="9" s="1"/>
  <c r="L47" i="9" s="1"/>
  <c r="L53" i="9" s="1"/>
  <c r="L65" i="9" s="1"/>
  <c r="AD49" i="6"/>
  <c r="AD57" i="6"/>
  <c r="P52" i="6"/>
  <c r="P48" i="6"/>
  <c r="P56" i="6"/>
  <c r="P44" i="6"/>
  <c r="AD53" i="6"/>
  <c r="Q42" i="6"/>
  <c r="D7" i="9" s="1"/>
  <c r="J7" i="9" s="1"/>
  <c r="P53" i="6"/>
  <c r="P49" i="6"/>
  <c r="P45" i="6"/>
  <c r="P57" i="6"/>
  <c r="AB11" i="6"/>
  <c r="AB14" i="6"/>
  <c r="O52" i="6"/>
  <c r="F48" i="9"/>
  <c r="F54" i="9" s="1"/>
  <c r="W11" i="6"/>
  <c r="W14" i="6"/>
  <c r="AG11" i="6"/>
  <c r="AG14" i="6"/>
  <c r="O66" i="6"/>
  <c r="O67" i="6" s="1"/>
  <c r="F47" i="9"/>
  <c r="F53" i="9" s="1"/>
  <c r="O53" i="6"/>
  <c r="F46" i="9"/>
  <c r="F52" i="9" s="1"/>
  <c r="N54" i="6"/>
  <c r="N73" i="6" s="1"/>
  <c r="N56" i="7"/>
  <c r="N75" i="7" s="1"/>
  <c r="S60" i="6"/>
  <c r="S61" i="6" s="1"/>
  <c r="G47" i="9"/>
  <c r="G53" i="9" s="1"/>
  <c r="G65" i="9" s="1"/>
  <c r="P71" i="7"/>
  <c r="P72" i="7" s="1"/>
  <c r="P68" i="7"/>
  <c r="P69" i="7" s="1"/>
  <c r="N52" i="7"/>
  <c r="N58" i="6"/>
  <c r="N74" i="6" s="1"/>
  <c r="S63" i="6"/>
  <c r="S64" i="6" s="1"/>
  <c r="O69" i="6"/>
  <c r="O70" i="6" s="1"/>
  <c r="O60" i="6"/>
  <c r="O61" i="6" s="1"/>
  <c r="O63" i="6"/>
  <c r="O64" i="6" s="1"/>
  <c r="O57" i="6"/>
  <c r="O49" i="6"/>
  <c r="O45" i="6"/>
  <c r="T48" i="6"/>
  <c r="U42" i="6"/>
  <c r="U69" i="6" s="1"/>
  <c r="U70" i="6" s="1"/>
  <c r="AE32" i="6"/>
  <c r="AE48" i="6" s="1"/>
  <c r="S66" i="6"/>
  <c r="S67" i="6" s="1"/>
  <c r="S69" i="6"/>
  <c r="S70" i="6" s="1"/>
  <c r="Y57" i="6"/>
  <c r="Y45" i="6"/>
  <c r="Y49" i="6"/>
  <c r="T56" i="6"/>
  <c r="T44" i="6"/>
  <c r="P58" i="7"/>
  <c r="AA44" i="7"/>
  <c r="AA68" i="7" s="1"/>
  <c r="AA69" i="7" s="1"/>
  <c r="P62" i="7"/>
  <c r="P63" i="7" s="1"/>
  <c r="O44" i="6"/>
  <c r="Q35" i="7"/>
  <c r="Q39" i="7" s="1"/>
  <c r="P50" i="7"/>
  <c r="P54" i="7"/>
  <c r="O71" i="7"/>
  <c r="O72" i="7" s="1"/>
  <c r="N76" i="6" a="1"/>
  <c r="N76" i="6" s="1"/>
  <c r="O62" i="7"/>
  <c r="O63" i="7" s="1"/>
  <c r="O65" i="7"/>
  <c r="O66" i="7" s="1"/>
  <c r="O56" i="6"/>
  <c r="O48" i="6"/>
  <c r="Z68" i="7"/>
  <c r="Z69" i="7" s="1"/>
  <c r="AE71" i="7"/>
  <c r="AE72" i="7" s="1"/>
  <c r="U37" i="6"/>
  <c r="Z32" i="6"/>
  <c r="Z44" i="6" s="1"/>
  <c r="Z37" i="6"/>
  <c r="Z57" i="6" s="1"/>
  <c r="Z71" i="7"/>
  <c r="Z72" i="7" s="1"/>
  <c r="AE62" i="7"/>
  <c r="AE63" i="7" s="1"/>
  <c r="AF62" i="6"/>
  <c r="AF65" i="6"/>
  <c r="AF38" i="6"/>
  <c r="AF59" i="6"/>
  <c r="AF68" i="6"/>
  <c r="V40" i="6"/>
  <c r="V28" i="6"/>
  <c r="AA51" i="6"/>
  <c r="AA43" i="6"/>
  <c r="AA35" i="6"/>
  <c r="AA47" i="6"/>
  <c r="AA30" i="6"/>
  <c r="AA55" i="6"/>
  <c r="Y52" i="6"/>
  <c r="Y54" i="6" s="1"/>
  <c r="Y44" i="6"/>
  <c r="Y48" i="6"/>
  <c r="Y56" i="6"/>
  <c r="AB23" i="6"/>
  <c r="AC18" i="6"/>
  <c r="AB24" i="6"/>
  <c r="AB22" i="6"/>
  <c r="U32" i="6"/>
  <c r="AA40" i="6"/>
  <c r="AA28" i="6"/>
  <c r="Q34" i="7"/>
  <c r="Q50" i="7" s="1"/>
  <c r="AE37" i="6"/>
  <c r="AG22" i="6"/>
  <c r="AG33" i="6" s="1"/>
  <c r="AH18" i="6"/>
  <c r="AG23" i="6"/>
  <c r="AG24" i="6"/>
  <c r="W23" i="6"/>
  <c r="W22" i="6"/>
  <c r="W33" i="6" s="1"/>
  <c r="X18" i="6"/>
  <c r="W24" i="6"/>
  <c r="AA59" i="6"/>
  <c r="AA62" i="6"/>
  <c r="AA68" i="6"/>
  <c r="AA38" i="6"/>
  <c r="AA65" i="6"/>
  <c r="AD63" i="6"/>
  <c r="AD64" i="6" s="1"/>
  <c r="AD69" i="6"/>
  <c r="AD70" i="6" s="1"/>
  <c r="AD66" i="6"/>
  <c r="AD67" i="6" s="1"/>
  <c r="AD60" i="6"/>
  <c r="AD61" i="6" s="1"/>
  <c r="AE68" i="7"/>
  <c r="AE69" i="7" s="1"/>
  <c r="Z65" i="7"/>
  <c r="Z66" i="7" s="1"/>
  <c r="AF40" i="6"/>
  <c r="AF28" i="6"/>
  <c r="V51" i="6"/>
  <c r="V35" i="6"/>
  <c r="V43" i="6"/>
  <c r="V30" i="6"/>
  <c r="V55" i="6"/>
  <c r="V47" i="6"/>
  <c r="Z42" i="6"/>
  <c r="T63" i="6"/>
  <c r="T64" i="6" s="1"/>
  <c r="T60" i="6"/>
  <c r="T61" i="6" s="1"/>
  <c r="T69" i="6"/>
  <c r="T70" i="6" s="1"/>
  <c r="T66" i="6"/>
  <c r="T67" i="6" s="1"/>
  <c r="AD48" i="6"/>
  <c r="AD44" i="6"/>
  <c r="AD46" i="6" s="1"/>
  <c r="AD52" i="6"/>
  <c r="AD56" i="6"/>
  <c r="AE42" i="6"/>
  <c r="AF51" i="6"/>
  <c r="AF35" i="6"/>
  <c r="AF43" i="6"/>
  <c r="AF30" i="6"/>
  <c r="AF55" i="6"/>
  <c r="AF47" i="6"/>
  <c r="V59" i="6"/>
  <c r="V62" i="6"/>
  <c r="V38" i="6"/>
  <c r="V65" i="6"/>
  <c r="V68" i="6"/>
  <c r="AF34" i="7"/>
  <c r="AF54" i="7" s="1"/>
  <c r="V44" i="7"/>
  <c r="V68" i="7" s="1"/>
  <c r="V69" i="7" s="1"/>
  <c r="AE47" i="7"/>
  <c r="U46" i="7"/>
  <c r="AE55" i="7"/>
  <c r="AE56" i="7" s="1"/>
  <c r="AE59" i="7"/>
  <c r="U62" i="7"/>
  <c r="U63" i="7" s="1"/>
  <c r="U71" i="7"/>
  <c r="U72" i="7" s="1"/>
  <c r="U68" i="7"/>
  <c r="U69" i="7" s="1"/>
  <c r="AB42" i="7"/>
  <c r="AE50" i="7"/>
  <c r="AE52" i="7" s="1"/>
  <c r="AE74" i="7" s="1"/>
  <c r="V35" i="7"/>
  <c r="V39" i="7" s="1"/>
  <c r="V55" i="7" s="1"/>
  <c r="AA39" i="7"/>
  <c r="AA51" i="7" s="1"/>
  <c r="W16" i="7"/>
  <c r="W35" i="7" s="1"/>
  <c r="U58" i="7"/>
  <c r="AE58" i="7"/>
  <c r="AF35" i="7"/>
  <c r="AF39" i="7" s="1"/>
  <c r="AF55" i="7" s="1"/>
  <c r="U50" i="7"/>
  <c r="AA30" i="7"/>
  <c r="AA34" i="7" s="1"/>
  <c r="Q44" i="7"/>
  <c r="Q68" i="7" s="1"/>
  <c r="Q69" i="7" s="1"/>
  <c r="AE46" i="7"/>
  <c r="Z46" i="7"/>
  <c r="Z48" i="7" s="1"/>
  <c r="Z58" i="7"/>
  <c r="Z60" i="7" s="1"/>
  <c r="Z50" i="7"/>
  <c r="Z52" i="7" s="1"/>
  <c r="Z54" i="7"/>
  <c r="Z56" i="7" s="1"/>
  <c r="AB57" i="7"/>
  <c r="AB49" i="7"/>
  <c r="AB37" i="7"/>
  <c r="AB53" i="7"/>
  <c r="AB45" i="7"/>
  <c r="AB32" i="7"/>
  <c r="V34" i="7"/>
  <c r="R42" i="7"/>
  <c r="AG70" i="7"/>
  <c r="AG67" i="7"/>
  <c r="AG61" i="7"/>
  <c r="AG64" i="7"/>
  <c r="AG40" i="7"/>
  <c r="AC24" i="7"/>
  <c r="AD20" i="7"/>
  <c r="AC26" i="7"/>
  <c r="AC25" i="7"/>
  <c r="AC11" i="7"/>
  <c r="AC12" i="7"/>
  <c r="AC14" i="7"/>
  <c r="AC13" i="7"/>
  <c r="T20" i="7"/>
  <c r="S25" i="7"/>
  <c r="S26" i="7"/>
  <c r="S24" i="7"/>
  <c r="S11" i="7"/>
  <c r="S13" i="7"/>
  <c r="S14" i="7"/>
  <c r="S12" i="7"/>
  <c r="AG57" i="7"/>
  <c r="AG53" i="7"/>
  <c r="AG49" i="7"/>
  <c r="AG45" i="7"/>
  <c r="AG37" i="7"/>
  <c r="AG32" i="7"/>
  <c r="N76" i="7"/>
  <c r="AG42" i="7"/>
  <c r="W42" i="7"/>
  <c r="R67" i="7"/>
  <c r="R61" i="7"/>
  <c r="R70" i="7"/>
  <c r="R64" i="7"/>
  <c r="R40" i="7"/>
  <c r="U59" i="7"/>
  <c r="U51" i="7"/>
  <c r="U55" i="7"/>
  <c r="U56" i="7" s="1"/>
  <c r="U47" i="7"/>
  <c r="W45" i="7"/>
  <c r="W37" i="7"/>
  <c r="W57" i="7"/>
  <c r="W49" i="7"/>
  <c r="W53" i="7"/>
  <c r="W32" i="7"/>
  <c r="AB16" i="7"/>
  <c r="AB30" i="7" s="1"/>
  <c r="AB64" i="7"/>
  <c r="AB67" i="7"/>
  <c r="AB61" i="7"/>
  <c r="AB70" i="7"/>
  <c r="AB40" i="7"/>
  <c r="L77" i="7" a="1"/>
  <c r="L77" i="7" s="1"/>
  <c r="AG16" i="7"/>
  <c r="AG30" i="7" s="1"/>
  <c r="W64" i="7"/>
  <c r="W67" i="7"/>
  <c r="W70" i="7"/>
  <c r="W61" i="7"/>
  <c r="W40" i="7"/>
  <c r="X24" i="7"/>
  <c r="Y20" i="7"/>
  <c r="X26" i="7"/>
  <c r="X11" i="7"/>
  <c r="X25" i="7"/>
  <c r="X14" i="7"/>
  <c r="X13" i="7"/>
  <c r="X12" i="7"/>
  <c r="R16" i="7"/>
  <c r="R35" i="7" s="1"/>
  <c r="AH25" i="7"/>
  <c r="AI20" i="7"/>
  <c r="AH24" i="7"/>
  <c r="AH11" i="7"/>
  <c r="AH26" i="7"/>
  <c r="AH13" i="7"/>
  <c r="AH14" i="7"/>
  <c r="AH12" i="7"/>
  <c r="AF44" i="7"/>
  <c r="R45" i="7"/>
  <c r="R37" i="7"/>
  <c r="R53" i="7"/>
  <c r="R57" i="7"/>
  <c r="R49" i="7"/>
  <c r="R32" i="7"/>
  <c r="N78" i="7" a="1"/>
  <c r="N78" i="7" s="1"/>
  <c r="L73" i="7"/>
  <c r="L79" i="7" s="1"/>
  <c r="L81" i="7" s="1"/>
  <c r="N73" i="7"/>
  <c r="O58" i="7"/>
  <c r="O54" i="7"/>
  <c r="O50" i="7"/>
  <c r="O59" i="7"/>
  <c r="O55" i="7"/>
  <c r="O51" i="7"/>
  <c r="O47" i="7"/>
  <c r="O48" i="7" s="1"/>
  <c r="N71" i="6"/>
  <c r="S48" i="6"/>
  <c r="S50" i="6" s="1"/>
  <c r="S44" i="6"/>
  <c r="S46" i="6" s="1"/>
  <c r="S56" i="6"/>
  <c r="S58" i="6" s="1"/>
  <c r="S52" i="6"/>
  <c r="S54" i="6" s="1"/>
  <c r="AA52" i="3"/>
  <c r="AA48" i="3"/>
  <c r="AA32" i="3"/>
  <c r="AA44" i="3"/>
  <c r="AA40" i="3"/>
  <c r="AA27" i="3"/>
  <c r="Z60" i="3"/>
  <c r="Z61" i="3" s="1"/>
  <c r="Z63" i="3"/>
  <c r="Z64" i="3" s="1"/>
  <c r="Z57" i="3"/>
  <c r="Z58" i="3" s="1"/>
  <c r="Z66" i="3"/>
  <c r="Z67" i="3" s="1"/>
  <c r="AA25" i="3"/>
  <c r="AA37" i="3"/>
  <c r="AA35" i="3"/>
  <c r="AA30" i="3"/>
  <c r="AA65" i="3"/>
  <c r="AA62" i="3"/>
  <c r="AA56" i="3"/>
  <c r="AA59" i="3"/>
  <c r="Z29" i="3"/>
  <c r="AB20" i="3"/>
  <c r="AC15" i="3"/>
  <c r="AB19" i="3"/>
  <c r="AB21" i="3"/>
  <c r="Z34" i="3"/>
  <c r="L60" i="3"/>
  <c r="L61" i="3" s="1"/>
  <c r="R15" i="3"/>
  <c r="Q20" i="3"/>
  <c r="Q21" i="3"/>
  <c r="Q19" i="3"/>
  <c r="P44" i="3"/>
  <c r="P52" i="3"/>
  <c r="P32" i="3"/>
  <c r="P48" i="3"/>
  <c r="P27" i="3"/>
  <c r="P40" i="3"/>
  <c r="P56" i="3"/>
  <c r="P35" i="3"/>
  <c r="P59" i="3"/>
  <c r="P62" i="3"/>
  <c r="P65" i="3"/>
  <c r="P30" i="3"/>
  <c r="AF20" i="3"/>
  <c r="AF19" i="3"/>
  <c r="AG15" i="3"/>
  <c r="AF21" i="3"/>
  <c r="W15" i="3"/>
  <c r="V21" i="3"/>
  <c r="V19" i="3"/>
  <c r="V20" i="3"/>
  <c r="L63" i="3"/>
  <c r="L64" i="3" s="1"/>
  <c r="AE65" i="3"/>
  <c r="AE62" i="3"/>
  <c r="AE59" i="3"/>
  <c r="AE56" i="3"/>
  <c r="AE30" i="3"/>
  <c r="AE35" i="3"/>
  <c r="AE39" i="3" s="1"/>
  <c r="U32" i="3"/>
  <c r="U40" i="3"/>
  <c r="U52" i="3"/>
  <c r="U48" i="3"/>
  <c r="U44" i="3"/>
  <c r="U27" i="3"/>
  <c r="P37" i="3"/>
  <c r="P25" i="3"/>
  <c r="AE25" i="3"/>
  <c r="AE37" i="3"/>
  <c r="U62" i="3"/>
  <c r="U59" i="3"/>
  <c r="U56" i="3"/>
  <c r="U30" i="3"/>
  <c r="U65" i="3"/>
  <c r="U35" i="3"/>
  <c r="AE32" i="3"/>
  <c r="AE48" i="3"/>
  <c r="AE44" i="3"/>
  <c r="AE40" i="3"/>
  <c r="AE52" i="3"/>
  <c r="AE27" i="3"/>
  <c r="U37" i="3"/>
  <c r="U25" i="3"/>
  <c r="K51" i="3"/>
  <c r="K70" i="3" s="1"/>
  <c r="K47" i="3"/>
  <c r="K69" i="3" s="1"/>
  <c r="L57" i="3"/>
  <c r="L58" i="3" s="1"/>
  <c r="I74" i="3"/>
  <c r="K55" i="3"/>
  <c r="K71" i="3" s="1"/>
  <c r="K68" i="3"/>
  <c r="J72" i="3" a="1"/>
  <c r="J72" i="3" s="1"/>
  <c r="L53" i="3"/>
  <c r="J74" i="3"/>
  <c r="J76" i="3" s="1"/>
  <c r="L45" i="3"/>
  <c r="L41" i="3"/>
  <c r="K73" i="3" a="1"/>
  <c r="K73" i="3" s="1"/>
  <c r="N39" i="3"/>
  <c r="N57" i="3" s="1"/>
  <c r="N58" i="3" s="1"/>
  <c r="N34" i="3"/>
  <c r="N42" i="3" s="1"/>
  <c r="L54" i="3"/>
  <c r="L42" i="3"/>
  <c r="L50" i="3"/>
  <c r="L51" i="3" s="1"/>
  <c r="L46" i="3"/>
  <c r="O32" i="3"/>
  <c r="O52" i="3"/>
  <c r="O44" i="3"/>
  <c r="O40" i="3"/>
  <c r="O27" i="3"/>
  <c r="O48" i="3"/>
  <c r="O35" i="3"/>
  <c r="O62" i="3"/>
  <c r="O65" i="3"/>
  <c r="O59" i="3"/>
  <c r="O56" i="3"/>
  <c r="O30" i="3"/>
  <c r="N29" i="3"/>
  <c r="O37" i="3"/>
  <c r="O25" i="3"/>
  <c r="E48" i="9" l="1"/>
  <c r="E54" i="9" s="1"/>
  <c r="K65" i="9"/>
  <c r="Y73" i="6"/>
  <c r="K51" i="9"/>
  <c r="K58" i="9" s="1"/>
  <c r="K63" i="9" s="1"/>
  <c r="K67" i="9" s="1"/>
  <c r="K75" i="9" s="1"/>
  <c r="K76" i="9" s="1"/>
  <c r="K77" i="9" s="1"/>
  <c r="M63" i="9"/>
  <c r="M67" i="9" s="1"/>
  <c r="M75" i="9" s="1"/>
  <c r="M76" i="9" s="1"/>
  <c r="M77" i="9" s="1"/>
  <c r="H75" i="9"/>
  <c r="H76" i="9" s="1"/>
  <c r="H77" i="9" s="1"/>
  <c r="AB33" i="6"/>
  <c r="AD58" i="6"/>
  <c r="N65" i="9"/>
  <c r="N51" i="9"/>
  <c r="N58" i="9" s="1"/>
  <c r="N63" i="9" s="1"/>
  <c r="N52" i="9"/>
  <c r="Q52" i="6"/>
  <c r="I71" i="9"/>
  <c r="I39" i="9"/>
  <c r="J71" i="9"/>
  <c r="J38" i="9"/>
  <c r="J40" i="9" s="1"/>
  <c r="Y76" i="6" a="1"/>
  <c r="Y76" i="6" s="1"/>
  <c r="I6" i="9"/>
  <c r="I46" i="9" s="1"/>
  <c r="I52" i="9" s="1"/>
  <c r="J6" i="9"/>
  <c r="J46" i="9" s="1"/>
  <c r="J51" i="9" s="1"/>
  <c r="E47" i="9"/>
  <c r="E53" i="9" s="1"/>
  <c r="E65" i="9" s="1"/>
  <c r="J47" i="9"/>
  <c r="J53" i="9" s="1"/>
  <c r="D47" i="9"/>
  <c r="D53" i="9" s="1"/>
  <c r="I7" i="9"/>
  <c r="I47" i="9" s="1"/>
  <c r="I53" i="9" s="1"/>
  <c r="I43" i="9"/>
  <c r="Q57" i="6"/>
  <c r="D52" i="9"/>
  <c r="Q45" i="6"/>
  <c r="Q53" i="6"/>
  <c r="Q54" i="6" s="1"/>
  <c r="Q49" i="6"/>
  <c r="Q50" i="6" s="1"/>
  <c r="Q44" i="6"/>
  <c r="D5" i="9"/>
  <c r="J5" i="9" s="1"/>
  <c r="J48" i="9" s="1"/>
  <c r="J54" i="9" s="1"/>
  <c r="C65" i="9"/>
  <c r="R53" i="6"/>
  <c r="R54" i="6" s="1"/>
  <c r="E6" i="9"/>
  <c r="L6" i="9" s="1"/>
  <c r="L46" i="9" s="1"/>
  <c r="P76" i="6" a="1"/>
  <c r="P76" i="6" s="1"/>
  <c r="Q56" i="6"/>
  <c r="R49" i="6"/>
  <c r="R50" i="6" s="1"/>
  <c r="R57" i="6"/>
  <c r="R58" i="6" s="1"/>
  <c r="P50" i="6"/>
  <c r="P72" i="6" s="1"/>
  <c r="AD50" i="6"/>
  <c r="AD72" i="6" s="1"/>
  <c r="R45" i="6"/>
  <c r="R46" i="6" s="1"/>
  <c r="C51" i="9"/>
  <c r="C58" i="9" s="1"/>
  <c r="R63" i="6"/>
  <c r="R64" i="6" s="1"/>
  <c r="R69" i="6"/>
  <c r="R70" i="6" s="1"/>
  <c r="R60" i="6"/>
  <c r="R61" i="6" s="1"/>
  <c r="R66" i="6"/>
  <c r="R67" i="6" s="1"/>
  <c r="O54" i="6"/>
  <c r="O73" i="6" s="1"/>
  <c r="AD54" i="6"/>
  <c r="AD73" i="6" s="1"/>
  <c r="P58" i="6"/>
  <c r="P74" i="6" s="1"/>
  <c r="P46" i="6"/>
  <c r="P54" i="6"/>
  <c r="P73" i="6" s="1"/>
  <c r="Q63" i="6"/>
  <c r="Q64" i="6" s="1"/>
  <c r="Q69" i="6"/>
  <c r="Q70" i="6" s="1"/>
  <c r="Q60" i="6"/>
  <c r="Q61" i="6" s="1"/>
  <c r="Q66" i="6"/>
  <c r="Q67" i="6" s="1"/>
  <c r="AC11" i="6"/>
  <c r="AC14" i="6"/>
  <c r="X11" i="6"/>
  <c r="X14" i="6"/>
  <c r="AH11" i="6"/>
  <c r="AH14" i="6"/>
  <c r="N77" i="7" a="1"/>
  <c r="N77" i="7" s="1"/>
  <c r="F65" i="9"/>
  <c r="F51" i="9"/>
  <c r="F58" i="9" s="1"/>
  <c r="N75" i="6" a="1"/>
  <c r="N75" i="6" s="1"/>
  <c r="P78" i="7" a="1"/>
  <c r="P78" i="7" s="1"/>
  <c r="N74" i="7"/>
  <c r="N79" i="7" s="1"/>
  <c r="D40" i="1" s="1"/>
  <c r="S72" i="6"/>
  <c r="O46" i="6"/>
  <c r="O71" i="6" s="1"/>
  <c r="S74" i="6"/>
  <c r="Y46" i="6"/>
  <c r="Y71" i="6" s="1"/>
  <c r="O76" i="6" a="1"/>
  <c r="O76" i="6" s="1"/>
  <c r="O50" i="6"/>
  <c r="O72" i="6" s="1"/>
  <c r="Y50" i="6"/>
  <c r="Y72" i="6" s="1"/>
  <c r="O58" i="6"/>
  <c r="O74" i="6" s="1"/>
  <c r="V42" i="6"/>
  <c r="V66" i="6" s="1"/>
  <c r="V67" i="6" s="1"/>
  <c r="Y58" i="6"/>
  <c r="Y74" i="6" s="1"/>
  <c r="U63" i="6"/>
  <c r="U64" i="6" s="1"/>
  <c r="U66" i="6"/>
  <c r="U67" i="6" s="1"/>
  <c r="U60" i="6"/>
  <c r="U61" i="6" s="1"/>
  <c r="AE52" i="6"/>
  <c r="AE56" i="6"/>
  <c r="AE44" i="6"/>
  <c r="S73" i="6"/>
  <c r="S76" i="6" a="1"/>
  <c r="S76" i="6" s="1"/>
  <c r="AA62" i="7"/>
  <c r="AA63" i="7" s="1"/>
  <c r="AA71" i="7"/>
  <c r="AA72" i="7" s="1"/>
  <c r="AA65" i="7"/>
  <c r="AA66" i="7" s="1"/>
  <c r="O78" i="7" a="1"/>
  <c r="O78" i="7" s="1"/>
  <c r="N77" i="6"/>
  <c r="N79" i="6" s="1"/>
  <c r="AB44" i="7"/>
  <c r="AB65" i="7" s="1"/>
  <c r="AB66" i="7" s="1"/>
  <c r="AE48" i="7"/>
  <c r="AE73" i="7" s="1"/>
  <c r="Z75" i="7"/>
  <c r="V71" i="7"/>
  <c r="V72" i="7" s="1"/>
  <c r="V47" i="7"/>
  <c r="P39" i="3"/>
  <c r="P60" i="3" s="1"/>
  <c r="P61" i="3" s="1"/>
  <c r="Z56" i="6"/>
  <c r="Z58" i="6" s="1"/>
  <c r="V51" i="7"/>
  <c r="V59" i="7"/>
  <c r="Z52" i="6"/>
  <c r="P29" i="3"/>
  <c r="P53" i="3" s="1"/>
  <c r="AA47" i="7"/>
  <c r="L70" i="3"/>
  <c r="L73" i="3" a="1"/>
  <c r="L73" i="3" s="1"/>
  <c r="AE75" i="7"/>
  <c r="AE78" i="7" a="1"/>
  <c r="AE78" i="7" s="1"/>
  <c r="U48" i="7"/>
  <c r="U73" i="7" s="1"/>
  <c r="AB34" i="7"/>
  <c r="AB46" i="7" s="1"/>
  <c r="Q62" i="7"/>
  <c r="Q63" i="7" s="1"/>
  <c r="Z45" i="6"/>
  <c r="Z46" i="6" s="1"/>
  <c r="V62" i="7"/>
  <c r="V63" i="7" s="1"/>
  <c r="Z78" i="7" a="1"/>
  <c r="Z78" i="7" s="1"/>
  <c r="V65" i="7"/>
  <c r="V66" i="7" s="1"/>
  <c r="U52" i="7"/>
  <c r="U74" i="7" s="1"/>
  <c r="Z53" i="6"/>
  <c r="Z48" i="6"/>
  <c r="Z49" i="6"/>
  <c r="Q46" i="7"/>
  <c r="Q54" i="7"/>
  <c r="Z76" i="7"/>
  <c r="U29" i="3"/>
  <c r="AA34" i="3"/>
  <c r="AA46" i="3" s="1"/>
  <c r="AA29" i="3"/>
  <c r="AA53" i="3" s="1"/>
  <c r="Q58" i="7"/>
  <c r="AA39" i="3"/>
  <c r="AA60" i="3" s="1"/>
  <c r="AA61" i="3" s="1"/>
  <c r="Z74" i="7"/>
  <c r="V37" i="6"/>
  <c r="AA37" i="6"/>
  <c r="AA49" i="6" s="1"/>
  <c r="AF37" i="6"/>
  <c r="AF49" i="6" s="1"/>
  <c r="T76" i="6" a="1"/>
  <c r="T76" i="6" s="1"/>
  <c r="AA59" i="7"/>
  <c r="Z66" i="6"/>
  <c r="Z67" i="6" s="1"/>
  <c r="Z60" i="6"/>
  <c r="Z61" i="6" s="1"/>
  <c r="Z63" i="6"/>
  <c r="Z64" i="6" s="1"/>
  <c r="Z69" i="6"/>
  <c r="Z70" i="6" s="1"/>
  <c r="W35" i="6"/>
  <c r="W55" i="6"/>
  <c r="W43" i="6"/>
  <c r="W47" i="6"/>
  <c r="W51" i="6"/>
  <c r="W30" i="6"/>
  <c r="AG68" i="6"/>
  <c r="AG59" i="6"/>
  <c r="AG62" i="6"/>
  <c r="AG38" i="6"/>
  <c r="AG65" i="6"/>
  <c r="AB40" i="6"/>
  <c r="AB28" i="6"/>
  <c r="AH22" i="6"/>
  <c r="AH33" i="6" s="1"/>
  <c r="AH24" i="6"/>
  <c r="AH23" i="6"/>
  <c r="X23" i="6"/>
  <c r="X22" i="6"/>
  <c r="X33" i="6" s="1"/>
  <c r="X24" i="6"/>
  <c r="AE57" i="6"/>
  <c r="AE45" i="6"/>
  <c r="AE49" i="6"/>
  <c r="AE50" i="6" s="1"/>
  <c r="AE53" i="6"/>
  <c r="AF42" i="6"/>
  <c r="AD71" i="6"/>
  <c r="AF32" i="6"/>
  <c r="AF50" i="7"/>
  <c r="W62" i="6"/>
  <c r="W68" i="6"/>
  <c r="W59" i="6"/>
  <c r="W65" i="6"/>
  <c r="W38" i="6"/>
  <c r="AG40" i="6"/>
  <c r="AG28" i="6"/>
  <c r="AC24" i="6"/>
  <c r="AC23" i="6"/>
  <c r="AC22" i="6"/>
  <c r="AF46" i="7"/>
  <c r="U75" i="7"/>
  <c r="AE60" i="6"/>
  <c r="AE61" i="6" s="1"/>
  <c r="AE63" i="6"/>
  <c r="AE64" i="6" s="1"/>
  <c r="AE69" i="6"/>
  <c r="AE70" i="6" s="1"/>
  <c r="AE66" i="6"/>
  <c r="AE67" i="6" s="1"/>
  <c r="AA42" i="6"/>
  <c r="W40" i="6"/>
  <c r="W28" i="6"/>
  <c r="AA32" i="6"/>
  <c r="U52" i="6"/>
  <c r="U44" i="6"/>
  <c r="U48" i="6"/>
  <c r="U56" i="6"/>
  <c r="AB35" i="6"/>
  <c r="AB51" i="6"/>
  <c r="AB43" i="6"/>
  <c r="AB30" i="6"/>
  <c r="AB55" i="6"/>
  <c r="AB47" i="6"/>
  <c r="AF58" i="7"/>
  <c r="AD74" i="6"/>
  <c r="AD76" i="6" a="1"/>
  <c r="AD76" i="6" s="1"/>
  <c r="V32" i="6"/>
  <c r="AG35" i="6"/>
  <c r="AG51" i="6"/>
  <c r="AG30" i="6"/>
  <c r="AG43" i="6"/>
  <c r="AG55" i="6"/>
  <c r="AG47" i="6"/>
  <c r="AB62" i="6"/>
  <c r="AB68" i="6"/>
  <c r="AB65" i="6"/>
  <c r="AB59" i="6"/>
  <c r="AB38" i="6"/>
  <c r="W39" i="7"/>
  <c r="W47" i="7" s="1"/>
  <c r="AE60" i="7"/>
  <c r="AE76" i="7" s="1"/>
  <c r="W30" i="7"/>
  <c r="W34" i="7" s="1"/>
  <c r="R39" i="7"/>
  <c r="U60" i="7"/>
  <c r="U76" i="7" s="1"/>
  <c r="R44" i="7"/>
  <c r="R68" i="7" s="1"/>
  <c r="R69" i="7" s="1"/>
  <c r="U78" i="7" a="1"/>
  <c r="U78" i="7" s="1"/>
  <c r="AF59" i="7"/>
  <c r="AF51" i="7"/>
  <c r="Q65" i="7"/>
  <c r="Q66" i="7" s="1"/>
  <c r="Q71" i="7"/>
  <c r="Q72" i="7" s="1"/>
  <c r="AC16" i="7"/>
  <c r="AC35" i="7" s="1"/>
  <c r="AF56" i="7"/>
  <c r="AF47" i="7"/>
  <c r="AA55" i="7"/>
  <c r="AG34" i="7"/>
  <c r="AG46" i="7" s="1"/>
  <c r="AA54" i="7"/>
  <c r="AA46" i="7"/>
  <c r="AA58" i="7"/>
  <c r="AA50" i="7"/>
  <c r="AA52" i="7" s="1"/>
  <c r="AB35" i="7"/>
  <c r="AB39" i="7" s="1"/>
  <c r="AB47" i="7" s="1"/>
  <c r="AH42" i="7"/>
  <c r="X42" i="7"/>
  <c r="T25" i="7"/>
  <c r="T11" i="7"/>
  <c r="T24" i="7"/>
  <c r="T26" i="7"/>
  <c r="T13" i="7"/>
  <c r="T14" i="7"/>
  <c r="T12" i="7"/>
  <c r="AD24" i="7"/>
  <c r="AD11" i="7"/>
  <c r="AD26" i="7"/>
  <c r="AD25" i="7"/>
  <c r="AD12" i="7"/>
  <c r="AD14" i="7"/>
  <c r="AD13" i="7"/>
  <c r="AC70" i="7"/>
  <c r="AC61" i="7"/>
  <c r="AC64" i="7"/>
  <c r="AC67" i="7"/>
  <c r="AC40" i="7"/>
  <c r="X45" i="7"/>
  <c r="X57" i="7"/>
  <c r="X37" i="7"/>
  <c r="X49" i="7"/>
  <c r="X53" i="7"/>
  <c r="X32" i="7"/>
  <c r="S16" i="7"/>
  <c r="S30" i="7" s="1"/>
  <c r="Y24" i="7"/>
  <c r="Y26" i="7"/>
  <c r="Y11" i="7"/>
  <c r="Y25" i="7"/>
  <c r="Y13" i="7"/>
  <c r="Y14" i="7"/>
  <c r="Y12" i="7"/>
  <c r="AG44" i="7"/>
  <c r="R30" i="7"/>
  <c r="R34" i="7" s="1"/>
  <c r="Z73" i="7"/>
  <c r="Z77" i="7" a="1"/>
  <c r="Z77" i="7" s="1"/>
  <c r="AH16" i="7"/>
  <c r="AH30" i="7" s="1"/>
  <c r="AH57" i="7"/>
  <c r="AH49" i="7"/>
  <c r="AH53" i="7"/>
  <c r="AH45" i="7"/>
  <c r="AH37" i="7"/>
  <c r="AH32" i="7"/>
  <c r="X61" i="7"/>
  <c r="X67" i="7"/>
  <c r="X70" i="7"/>
  <c r="X64" i="7"/>
  <c r="X40" i="7"/>
  <c r="AG35" i="7"/>
  <c r="AG39" i="7" s="1"/>
  <c r="V54" i="7"/>
  <c r="V56" i="7" s="1"/>
  <c r="V75" i="7" s="1"/>
  <c r="V46" i="7"/>
  <c r="V58" i="7"/>
  <c r="V50" i="7"/>
  <c r="X16" i="7"/>
  <c r="X35" i="7" s="1"/>
  <c r="S64" i="7"/>
  <c r="S67" i="7"/>
  <c r="S70" i="7"/>
  <c r="S61" i="7"/>
  <c r="S40" i="7"/>
  <c r="AH70" i="7"/>
  <c r="AH61" i="7"/>
  <c r="AH64" i="7"/>
  <c r="AH67" i="7"/>
  <c r="AH40" i="7"/>
  <c r="S57" i="7"/>
  <c r="S37" i="7"/>
  <c r="S45" i="7"/>
  <c r="S53" i="7"/>
  <c r="S49" i="7"/>
  <c r="S32" i="7"/>
  <c r="AC42" i="7"/>
  <c r="AF62" i="7"/>
  <c r="AF63" i="7" s="1"/>
  <c r="AF65" i="7"/>
  <c r="AF66" i="7" s="1"/>
  <c r="AF68" i="7"/>
  <c r="AF69" i="7" s="1"/>
  <c r="AF71" i="7"/>
  <c r="AF72" i="7" s="1"/>
  <c r="AI26" i="7"/>
  <c r="AI25" i="7"/>
  <c r="AI24" i="7"/>
  <c r="AI11" i="7"/>
  <c r="AI13" i="7"/>
  <c r="AI14" i="7"/>
  <c r="AI12" i="7"/>
  <c r="W44" i="7"/>
  <c r="S42" i="7"/>
  <c r="AC37" i="7"/>
  <c r="AC57" i="7"/>
  <c r="AC49" i="7"/>
  <c r="AC53" i="7"/>
  <c r="AC45" i="7"/>
  <c r="AC32" i="7"/>
  <c r="O60" i="7"/>
  <c r="O76" i="7" s="1"/>
  <c r="O56" i="7"/>
  <c r="O75" i="7" s="1"/>
  <c r="O52" i="7"/>
  <c r="O74" i="7" s="1"/>
  <c r="O73" i="7"/>
  <c r="S75" i="6" a="1"/>
  <c r="S75" i="6" s="1"/>
  <c r="S71" i="6"/>
  <c r="U39" i="3"/>
  <c r="Z54" i="3"/>
  <c r="Z50" i="3"/>
  <c r="Z42" i="3"/>
  <c r="Z46" i="3"/>
  <c r="AB30" i="3"/>
  <c r="AB65" i="3"/>
  <c r="AB56" i="3"/>
  <c r="AB59" i="3"/>
  <c r="AB35" i="3"/>
  <c r="AB62" i="3"/>
  <c r="AC21" i="3"/>
  <c r="AC20" i="3"/>
  <c r="AD15" i="3"/>
  <c r="AC19" i="3"/>
  <c r="AB25" i="3"/>
  <c r="AB37" i="3"/>
  <c r="AB44" i="3"/>
  <c r="AB48" i="3"/>
  <c r="AB52" i="3"/>
  <c r="AB40" i="3"/>
  <c r="AB32" i="3"/>
  <c r="AB27" i="3"/>
  <c r="Z41" i="3"/>
  <c r="Z53" i="3"/>
  <c r="Z45" i="3"/>
  <c r="Z49" i="3"/>
  <c r="Z73" i="3" a="1"/>
  <c r="Z73" i="3" s="1"/>
  <c r="E39" i="1"/>
  <c r="I76" i="3"/>
  <c r="V25" i="3"/>
  <c r="V37" i="3"/>
  <c r="P34" i="3"/>
  <c r="AE34" i="3"/>
  <c r="V52" i="3"/>
  <c r="V44" i="3"/>
  <c r="V48" i="3"/>
  <c r="V40" i="3"/>
  <c r="V32" i="3"/>
  <c r="V27" i="3"/>
  <c r="AE29" i="3"/>
  <c r="U34" i="3"/>
  <c r="W20" i="3"/>
  <c r="W19" i="3"/>
  <c r="X15" i="3"/>
  <c r="W21" i="3"/>
  <c r="AF27" i="3"/>
  <c r="AF40" i="3"/>
  <c r="AF52" i="3"/>
  <c r="AF44" i="3"/>
  <c r="AF32" i="3"/>
  <c r="AF48" i="3"/>
  <c r="Q56" i="3"/>
  <c r="Q62" i="3"/>
  <c r="Q30" i="3"/>
  <c r="Q59" i="3"/>
  <c r="Q65" i="3"/>
  <c r="Q35" i="3"/>
  <c r="AG21" i="3"/>
  <c r="AG19" i="3"/>
  <c r="AG20" i="3"/>
  <c r="AH15" i="3"/>
  <c r="Q32" i="3"/>
  <c r="Q40" i="3"/>
  <c r="Q44" i="3"/>
  <c r="Q52" i="3"/>
  <c r="Q48" i="3"/>
  <c r="Q27" i="3"/>
  <c r="V65" i="3"/>
  <c r="V56" i="3"/>
  <c r="V30" i="3"/>
  <c r="V59" i="3"/>
  <c r="V62" i="3"/>
  <c r="V35" i="3"/>
  <c r="AF30" i="3"/>
  <c r="AF34" i="3" s="1"/>
  <c r="AF62" i="3"/>
  <c r="AF56" i="3"/>
  <c r="AF65" i="3"/>
  <c r="AF59" i="3"/>
  <c r="AF35" i="3"/>
  <c r="Q37" i="3"/>
  <c r="Q25" i="3"/>
  <c r="AE66" i="3"/>
  <c r="AE67" i="3" s="1"/>
  <c r="AE57" i="3"/>
  <c r="AE58" i="3" s="1"/>
  <c r="AE60" i="3"/>
  <c r="AE61" i="3" s="1"/>
  <c r="AE63" i="3"/>
  <c r="AE64" i="3" s="1"/>
  <c r="AF37" i="3"/>
  <c r="AF25" i="3"/>
  <c r="R19" i="3"/>
  <c r="R21" i="3"/>
  <c r="R20" i="3"/>
  <c r="S15" i="3"/>
  <c r="K72" i="3" a="1"/>
  <c r="K72" i="3" s="1"/>
  <c r="L55" i="3"/>
  <c r="L71" i="3" s="1"/>
  <c r="L43" i="3"/>
  <c r="L68" i="3" s="1"/>
  <c r="L47" i="3"/>
  <c r="L69" i="3" s="1"/>
  <c r="K74" i="3"/>
  <c r="K76" i="3" s="1"/>
  <c r="N66" i="3"/>
  <c r="N67" i="3" s="1"/>
  <c r="N63" i="3"/>
  <c r="N64" i="3" s="1"/>
  <c r="N60" i="3"/>
  <c r="N61" i="3" s="1"/>
  <c r="N54" i="3"/>
  <c r="N50" i="3"/>
  <c r="O29" i="3"/>
  <c r="O49" i="3" s="1"/>
  <c r="N46" i="3"/>
  <c r="O39" i="3"/>
  <c r="O60" i="3" s="1"/>
  <c r="O61" i="3" s="1"/>
  <c r="N53" i="3"/>
  <c r="N41" i="3"/>
  <c r="N43" i="3" s="1"/>
  <c r="N68" i="3" s="1"/>
  <c r="N49" i="3"/>
  <c r="N45" i="3"/>
  <c r="O34" i="3"/>
  <c r="M64" i="9" l="1"/>
  <c r="V39" i="3"/>
  <c r="K64" i="9"/>
  <c r="Q34" i="3"/>
  <c r="Q46" i="6"/>
  <c r="AC33" i="6"/>
  <c r="I51" i="9"/>
  <c r="N64" i="9"/>
  <c r="N67" i="9"/>
  <c r="L51" i="9"/>
  <c r="L58" i="9" s="1"/>
  <c r="L63" i="9" s="1"/>
  <c r="L67" i="9" s="1"/>
  <c r="L75" i="9" s="1"/>
  <c r="L52" i="9"/>
  <c r="J65" i="9"/>
  <c r="J52" i="9"/>
  <c r="D48" i="9"/>
  <c r="D54" i="9" s="1"/>
  <c r="I5" i="9"/>
  <c r="I48" i="9" s="1"/>
  <c r="I54" i="9" s="1"/>
  <c r="I58" i="9"/>
  <c r="Q58" i="6"/>
  <c r="Q75" i="6" s="1" a="1"/>
  <c r="Q75" i="6" s="1"/>
  <c r="D65" i="9"/>
  <c r="D51" i="9"/>
  <c r="D58" i="9" s="1"/>
  <c r="E46" i="9"/>
  <c r="Q72" i="6"/>
  <c r="AE54" i="6"/>
  <c r="AE73" i="6" s="1"/>
  <c r="C63" i="9"/>
  <c r="C67" i="9" s="1"/>
  <c r="C75" i="9" s="1"/>
  <c r="AD75" i="6" a="1"/>
  <c r="AD75" i="6" s="1"/>
  <c r="Q73" i="6"/>
  <c r="R74" i="6"/>
  <c r="R73" i="6"/>
  <c r="R75" i="6" a="1"/>
  <c r="R75" i="6" s="1"/>
  <c r="R72" i="6"/>
  <c r="R76" i="6" a="1"/>
  <c r="R76" i="6" s="1"/>
  <c r="R71" i="6"/>
  <c r="Q76" i="6" a="1"/>
  <c r="Q76" i="6" s="1"/>
  <c r="Q71" i="6"/>
  <c r="P75" i="6" a="1"/>
  <c r="P75" i="6" s="1"/>
  <c r="P71" i="6"/>
  <c r="P77" i="6" s="1"/>
  <c r="P79" i="6" s="1"/>
  <c r="F63" i="9"/>
  <c r="G63" i="9"/>
  <c r="AC39" i="7"/>
  <c r="AC59" i="7" s="1"/>
  <c r="V52" i="7"/>
  <c r="V74" i="7" s="1"/>
  <c r="AE58" i="6"/>
  <c r="AE74" i="6" s="1"/>
  <c r="O77" i="6"/>
  <c r="O79" i="6" s="1"/>
  <c r="V60" i="7"/>
  <c r="V76" i="7" s="1"/>
  <c r="AB71" i="7"/>
  <c r="AB72" i="7" s="1"/>
  <c r="AB68" i="7"/>
  <c r="AB69" i="7" s="1"/>
  <c r="AE46" i="6"/>
  <c r="O75" i="6" a="1"/>
  <c r="O75" i="6" s="1"/>
  <c r="V60" i="6"/>
  <c r="V61" i="6" s="1"/>
  <c r="Y75" i="6" a="1"/>
  <c r="Y75" i="6" s="1"/>
  <c r="C40" i="1"/>
  <c r="AB42" i="6"/>
  <c r="AB66" i="6" s="1"/>
  <c r="AB67" i="6" s="1"/>
  <c r="V63" i="6"/>
  <c r="V64" i="6" s="1"/>
  <c r="V69" i="6"/>
  <c r="V70" i="6" s="1"/>
  <c r="S77" i="6"/>
  <c r="S79" i="6" s="1"/>
  <c r="Y77" i="6"/>
  <c r="Y79" i="6" s="1"/>
  <c r="U76" i="6" a="1"/>
  <c r="U76" i="6" s="1"/>
  <c r="AA74" i="7"/>
  <c r="W32" i="6"/>
  <c r="W44" i="6" s="1"/>
  <c r="AB62" i="7"/>
  <c r="AB63" i="7" s="1"/>
  <c r="AA78" i="7" a="1"/>
  <c r="AA78" i="7" s="1"/>
  <c r="V48" i="7"/>
  <c r="AA63" i="3"/>
  <c r="AA64" i="3" s="1"/>
  <c r="P49" i="3"/>
  <c r="P45" i="3"/>
  <c r="P41" i="3"/>
  <c r="AA41" i="3"/>
  <c r="AA45" i="3"/>
  <c r="AA47" i="3" s="1"/>
  <c r="AA69" i="3" s="1"/>
  <c r="AA49" i="3"/>
  <c r="P57" i="3"/>
  <c r="P58" i="3" s="1"/>
  <c r="P63" i="3"/>
  <c r="P64" i="3" s="1"/>
  <c r="P66" i="3"/>
  <c r="P67" i="3" s="1"/>
  <c r="AA42" i="3"/>
  <c r="AB54" i="7"/>
  <c r="AC30" i="7"/>
  <c r="AC34" i="7" s="1"/>
  <c r="AB58" i="7"/>
  <c r="AA54" i="3"/>
  <c r="AA55" i="3" s="1"/>
  <c r="AB50" i="7"/>
  <c r="AA50" i="3"/>
  <c r="AE77" i="7" a="1"/>
  <c r="AE77" i="7" s="1"/>
  <c r="Z54" i="6"/>
  <c r="Z73" i="6" s="1"/>
  <c r="R62" i="7"/>
  <c r="R63" i="7" s="1"/>
  <c r="AA48" i="7"/>
  <c r="AA73" i="7" s="1"/>
  <c r="AE79" i="7"/>
  <c r="AE81" i="7" s="1"/>
  <c r="V78" i="7" a="1"/>
  <c r="V78" i="7" s="1"/>
  <c r="Z51" i="3"/>
  <c r="Z70" i="3" s="1"/>
  <c r="Z43" i="3"/>
  <c r="Z68" i="3" s="1"/>
  <c r="Z47" i="3"/>
  <c r="Z69" i="3" s="1"/>
  <c r="AA66" i="3"/>
  <c r="AA67" i="3" s="1"/>
  <c r="AA57" i="3"/>
  <c r="AA58" i="3" s="1"/>
  <c r="Z79" i="7"/>
  <c r="Z81" i="7" s="1"/>
  <c r="Z50" i="6"/>
  <c r="AF60" i="7"/>
  <c r="AF76" i="7" s="1"/>
  <c r="AA45" i="6"/>
  <c r="AF53" i="6"/>
  <c r="AA53" i="6"/>
  <c r="AA57" i="6"/>
  <c r="U77" i="7" a="1"/>
  <c r="U77" i="7" s="1"/>
  <c r="AF48" i="7"/>
  <c r="AF73" i="7" s="1"/>
  <c r="AF75" i="7"/>
  <c r="AF52" i="7"/>
  <c r="AF74" i="7" s="1"/>
  <c r="W55" i="7"/>
  <c r="AA60" i="7"/>
  <c r="AA76" i="7" s="1"/>
  <c r="Z76" i="6" a="1"/>
  <c r="Z76" i="6" s="1"/>
  <c r="AB34" i="3"/>
  <c r="AB54" i="3" s="1"/>
  <c r="Z55" i="3"/>
  <c r="Z71" i="3" s="1"/>
  <c r="W51" i="7"/>
  <c r="AF57" i="6"/>
  <c r="W59" i="7"/>
  <c r="AF45" i="6"/>
  <c r="W37" i="6"/>
  <c r="AB32" i="6"/>
  <c r="AB48" i="6" s="1"/>
  <c r="AG37" i="6"/>
  <c r="AG53" i="6" s="1"/>
  <c r="Z74" i="6"/>
  <c r="AD77" i="6"/>
  <c r="AD79" i="6" s="1"/>
  <c r="X55" i="6"/>
  <c r="X43" i="6"/>
  <c r="X51" i="6"/>
  <c r="X47" i="6"/>
  <c r="X35" i="6"/>
  <c r="X30" i="6"/>
  <c r="AB37" i="6"/>
  <c r="V48" i="6"/>
  <c r="V52" i="6"/>
  <c r="V56" i="6"/>
  <c r="V44" i="6"/>
  <c r="AC55" i="6"/>
  <c r="AC47" i="6"/>
  <c r="AC51" i="6"/>
  <c r="AC30" i="6"/>
  <c r="AC43" i="6"/>
  <c r="AC35" i="6"/>
  <c r="AA56" i="6"/>
  <c r="AA52" i="6"/>
  <c r="AA44" i="6"/>
  <c r="AA48" i="6"/>
  <c r="AA50" i="6" s="1"/>
  <c r="X59" i="6"/>
  <c r="X65" i="6"/>
  <c r="X68" i="6"/>
  <c r="X38" i="6"/>
  <c r="X62" i="6"/>
  <c r="R65" i="7"/>
  <c r="R66" i="7" s="1"/>
  <c r="X40" i="6"/>
  <c r="X28" i="6"/>
  <c r="AH40" i="6"/>
  <c r="AH28" i="6"/>
  <c r="AF44" i="6"/>
  <c r="AF48" i="6"/>
  <c r="AF50" i="6" s="1"/>
  <c r="AF56" i="6"/>
  <c r="AF52" i="6"/>
  <c r="R71" i="7"/>
  <c r="R72" i="7" s="1"/>
  <c r="AF63" i="6"/>
  <c r="AF64" i="6" s="1"/>
  <c r="AF69" i="6"/>
  <c r="AF70" i="6" s="1"/>
  <c r="AF66" i="6"/>
  <c r="AF67" i="6" s="1"/>
  <c r="AF60" i="6"/>
  <c r="AF61" i="6" s="1"/>
  <c r="AH43" i="6"/>
  <c r="AH35" i="6"/>
  <c r="AH55" i="6"/>
  <c r="AH47" i="6"/>
  <c r="AH51" i="6"/>
  <c r="AH30" i="6"/>
  <c r="AG42" i="6"/>
  <c r="AA66" i="6"/>
  <c r="AA67" i="6" s="1"/>
  <c r="AA69" i="6"/>
  <c r="AA70" i="6" s="1"/>
  <c r="AA60" i="6"/>
  <c r="AA61" i="6" s="1"/>
  <c r="AA63" i="6"/>
  <c r="AA64" i="6" s="1"/>
  <c r="W42" i="6"/>
  <c r="AH68" i="6"/>
  <c r="AH65" i="6"/>
  <c r="AH62" i="6"/>
  <c r="AH38" i="6"/>
  <c r="AH59" i="6"/>
  <c r="AG32" i="6"/>
  <c r="AE76" i="6" a="1"/>
  <c r="AE76" i="6" s="1"/>
  <c r="AE72" i="6"/>
  <c r="AC62" i="6"/>
  <c r="AC38" i="6"/>
  <c r="AC68" i="6"/>
  <c r="AC65" i="6"/>
  <c r="AC59" i="6"/>
  <c r="Q78" i="7" a="1"/>
  <c r="Q78" i="7" s="1"/>
  <c r="AC40" i="6"/>
  <c r="AC28" i="6"/>
  <c r="Z71" i="6"/>
  <c r="AG54" i="7"/>
  <c r="U79" i="7"/>
  <c r="U81" i="7" s="1"/>
  <c r="AA56" i="7"/>
  <c r="AA75" i="7" s="1"/>
  <c r="S44" i="7"/>
  <c r="S68" i="7" s="1"/>
  <c r="S69" i="7" s="1"/>
  <c r="AG58" i="7"/>
  <c r="T42" i="7"/>
  <c r="AG50" i="7"/>
  <c r="AB55" i="7"/>
  <c r="S34" i="7"/>
  <c r="S58" i="7" s="1"/>
  <c r="AB59" i="7"/>
  <c r="AB51" i="7"/>
  <c r="S35" i="7"/>
  <c r="S39" i="7" s="1"/>
  <c r="AB48" i="7"/>
  <c r="AH44" i="7"/>
  <c r="AH68" i="7" s="1"/>
  <c r="AH69" i="7" s="1"/>
  <c r="AI16" i="7"/>
  <c r="AI35" i="7" s="1"/>
  <c r="AH35" i="7"/>
  <c r="AH39" i="7" s="1"/>
  <c r="X44" i="7"/>
  <c r="X71" i="7" s="1"/>
  <c r="X72" i="7" s="1"/>
  <c r="AF78" i="7" a="1"/>
  <c r="AF78" i="7" s="1"/>
  <c r="R50" i="7"/>
  <c r="R46" i="7"/>
  <c r="R54" i="7"/>
  <c r="R58" i="7"/>
  <c r="X39" i="7"/>
  <c r="AG62" i="7"/>
  <c r="AG63" i="7" s="1"/>
  <c r="AG65" i="7"/>
  <c r="AG66" i="7" s="1"/>
  <c r="AG68" i="7"/>
  <c r="AG69" i="7" s="1"/>
  <c r="AG71" i="7"/>
  <c r="AG72" i="7" s="1"/>
  <c r="Y49" i="7"/>
  <c r="Y53" i="7"/>
  <c r="Y37" i="7"/>
  <c r="Y45" i="7"/>
  <c r="Y57" i="7"/>
  <c r="Y32" i="7"/>
  <c r="AD16" i="7"/>
  <c r="AD30" i="7" s="1"/>
  <c r="AI61" i="7"/>
  <c r="AI64" i="7"/>
  <c r="AI67" i="7"/>
  <c r="AI70" i="7"/>
  <c r="AI40" i="7"/>
  <c r="Y64" i="7"/>
  <c r="Y67" i="7"/>
  <c r="Y70" i="7"/>
  <c r="Y61" i="7"/>
  <c r="Y40" i="7"/>
  <c r="AC44" i="7"/>
  <c r="W62" i="7"/>
  <c r="W63" i="7" s="1"/>
  <c r="W65" i="7"/>
  <c r="W66" i="7" s="1"/>
  <c r="W71" i="7"/>
  <c r="W72" i="7" s="1"/>
  <c r="W68" i="7"/>
  <c r="W69" i="7" s="1"/>
  <c r="AI45" i="7"/>
  <c r="AI37" i="7"/>
  <c r="AI57" i="7"/>
  <c r="AI53" i="7"/>
  <c r="AI49" i="7"/>
  <c r="AI32" i="7"/>
  <c r="T16" i="7"/>
  <c r="T30" i="7" s="1"/>
  <c r="Y16" i="7"/>
  <c r="Y30" i="7" s="1"/>
  <c r="AD42" i="7"/>
  <c r="T45" i="7"/>
  <c r="T53" i="7"/>
  <c r="T49" i="7"/>
  <c r="T57" i="7"/>
  <c r="T37" i="7"/>
  <c r="T32" i="7"/>
  <c r="X30" i="7"/>
  <c r="X34" i="7" s="1"/>
  <c r="AG51" i="7"/>
  <c r="AG55" i="7"/>
  <c r="AG59" i="7"/>
  <c r="AG47" i="7"/>
  <c r="AG48" i="7" s="1"/>
  <c r="AD37" i="7"/>
  <c r="AD57" i="7"/>
  <c r="AD53" i="7"/>
  <c r="AD45" i="7"/>
  <c r="AD49" i="7"/>
  <c r="AD32" i="7"/>
  <c r="T67" i="7"/>
  <c r="T61" i="7"/>
  <c r="T64" i="7"/>
  <c r="T70" i="7"/>
  <c r="T40" i="7"/>
  <c r="AD61" i="7"/>
  <c r="AD64" i="7"/>
  <c r="AD70" i="7"/>
  <c r="AD67" i="7"/>
  <c r="AD40" i="7"/>
  <c r="AI42" i="7"/>
  <c r="W58" i="7"/>
  <c r="W46" i="7"/>
  <c r="W48" i="7" s="1"/>
  <c r="W50" i="7"/>
  <c r="W54" i="7"/>
  <c r="AH34" i="7"/>
  <c r="Y42" i="7"/>
  <c r="N81" i="7"/>
  <c r="O77" i="7" a="1"/>
  <c r="O77" i="7" s="1"/>
  <c r="O79" i="7"/>
  <c r="O81" i="7" s="1"/>
  <c r="AD21" i="3"/>
  <c r="AD19" i="3"/>
  <c r="AD20" i="3"/>
  <c r="AC25" i="3"/>
  <c r="AC37" i="3"/>
  <c r="AC65" i="3"/>
  <c r="AC56" i="3"/>
  <c r="AC59" i="3"/>
  <c r="AC35" i="3"/>
  <c r="AC62" i="3"/>
  <c r="AC30" i="3"/>
  <c r="AB29" i="3"/>
  <c r="AC40" i="3"/>
  <c r="AC32" i="3"/>
  <c r="AC27" i="3"/>
  <c r="AC44" i="3"/>
  <c r="AC52" i="3"/>
  <c r="AC48" i="3"/>
  <c r="AB39" i="3"/>
  <c r="V34" i="3"/>
  <c r="V42" i="3" s="1"/>
  <c r="AF29" i="3"/>
  <c r="W40" i="3"/>
  <c r="W44" i="3"/>
  <c r="W32" i="3"/>
  <c r="W48" i="3"/>
  <c r="W52" i="3"/>
  <c r="W27" i="3"/>
  <c r="X21" i="3"/>
  <c r="Y15" i="3"/>
  <c r="X19" i="3"/>
  <c r="X20" i="3"/>
  <c r="AH20" i="3"/>
  <c r="AH19" i="3"/>
  <c r="AH21" i="3"/>
  <c r="AI15" i="3"/>
  <c r="W59" i="3"/>
  <c r="W30" i="3"/>
  <c r="W62" i="3"/>
  <c r="W65" i="3"/>
  <c r="W56" i="3"/>
  <c r="W35" i="3"/>
  <c r="R30" i="3"/>
  <c r="R56" i="3"/>
  <c r="R62" i="3"/>
  <c r="R35" i="3"/>
  <c r="R59" i="3"/>
  <c r="R65" i="3"/>
  <c r="AE73" i="3" a="1"/>
  <c r="AE73" i="3" s="1"/>
  <c r="AG25" i="3"/>
  <c r="AG37" i="3"/>
  <c r="Q39" i="3"/>
  <c r="W37" i="3"/>
  <c r="W25" i="3"/>
  <c r="P54" i="3"/>
  <c r="P55" i="3" s="1"/>
  <c r="P42" i="3"/>
  <c r="P50" i="3"/>
  <c r="P46" i="3"/>
  <c r="Q50" i="3"/>
  <c r="Q46" i="3"/>
  <c r="Q54" i="3"/>
  <c r="Q42" i="3"/>
  <c r="S20" i="3"/>
  <c r="T15" i="3"/>
  <c r="S21" i="3"/>
  <c r="S19" i="3"/>
  <c r="R25" i="3"/>
  <c r="R37" i="3"/>
  <c r="Q29" i="3"/>
  <c r="AG30" i="3"/>
  <c r="AG56" i="3"/>
  <c r="AG35" i="3"/>
  <c r="AG62" i="3"/>
  <c r="AG65" i="3"/>
  <c r="AG59" i="3"/>
  <c r="U54" i="3"/>
  <c r="U50" i="3"/>
  <c r="U42" i="3"/>
  <c r="U46" i="3"/>
  <c r="AF39" i="3"/>
  <c r="R48" i="3"/>
  <c r="R32" i="3"/>
  <c r="R44" i="3"/>
  <c r="R52" i="3"/>
  <c r="R27" i="3"/>
  <c r="R40" i="3"/>
  <c r="AF54" i="3"/>
  <c r="AF42" i="3"/>
  <c r="AF46" i="3"/>
  <c r="AF50" i="3"/>
  <c r="AG52" i="3"/>
  <c r="AG48" i="3"/>
  <c r="AG32" i="3"/>
  <c r="AG40" i="3"/>
  <c r="AG44" i="3"/>
  <c r="AG27" i="3"/>
  <c r="AE53" i="3"/>
  <c r="AE45" i="3"/>
  <c r="AE49" i="3"/>
  <c r="AE41" i="3"/>
  <c r="AE42" i="3"/>
  <c r="AE50" i="3"/>
  <c r="AE46" i="3"/>
  <c r="AE54" i="3"/>
  <c r="V29" i="3"/>
  <c r="L72" i="3" a="1"/>
  <c r="L72" i="3" s="1"/>
  <c r="L74" i="3"/>
  <c r="L76" i="3" s="1"/>
  <c r="N73" i="3" a="1"/>
  <c r="N73" i="3" s="1"/>
  <c r="O41" i="3"/>
  <c r="O45" i="3"/>
  <c r="O53" i="3"/>
  <c r="O57" i="3"/>
  <c r="O58" i="3" s="1"/>
  <c r="N51" i="3"/>
  <c r="N70" i="3" s="1"/>
  <c r="O66" i="3"/>
  <c r="O67" i="3" s="1"/>
  <c r="N47" i="3"/>
  <c r="N69" i="3" s="1"/>
  <c r="N55" i="3"/>
  <c r="N71" i="3" s="1"/>
  <c r="O63" i="3"/>
  <c r="O64" i="3" s="1"/>
  <c r="O46" i="3"/>
  <c r="O42" i="3"/>
  <c r="O50" i="3"/>
  <c r="O51" i="3" s="1"/>
  <c r="O54" i="3"/>
  <c r="D63" i="9" l="1"/>
  <c r="D67" i="9" s="1"/>
  <c r="D75" i="9" s="1"/>
  <c r="D76" i="9" s="1"/>
  <c r="D77" i="9" s="1"/>
  <c r="N75" i="9"/>
  <c r="N76" i="9" s="1"/>
  <c r="N77" i="9" s="1"/>
  <c r="AC47" i="7"/>
  <c r="Q74" i="6"/>
  <c r="G67" i="9"/>
  <c r="F64" i="9"/>
  <c r="F67" i="9"/>
  <c r="F75" i="9" s="1"/>
  <c r="F76" i="9" s="1"/>
  <c r="F77" i="9" s="1"/>
  <c r="J63" i="9"/>
  <c r="J67" i="9" s="1"/>
  <c r="J75" i="9" s="1"/>
  <c r="I63" i="9"/>
  <c r="I67" i="9" s="1"/>
  <c r="I75" i="9" s="1"/>
  <c r="AC55" i="7"/>
  <c r="L64" i="9"/>
  <c r="L76" i="9"/>
  <c r="L77" i="9" s="1"/>
  <c r="C76" i="9"/>
  <c r="C77" i="9" s="1"/>
  <c r="C64" i="9"/>
  <c r="J64" i="9"/>
  <c r="J76" i="9"/>
  <c r="J77" i="9" s="1"/>
  <c r="I65" i="9"/>
  <c r="AC51" i="7"/>
  <c r="E52" i="9"/>
  <c r="E51" i="9"/>
  <c r="E58" i="9" s="1"/>
  <c r="E63" i="9" s="1"/>
  <c r="E67" i="9" s="1"/>
  <c r="E75" i="9" s="1"/>
  <c r="P43" i="3"/>
  <c r="D64" i="9"/>
  <c r="Q77" i="6"/>
  <c r="Q79" i="6" s="1"/>
  <c r="R77" i="6"/>
  <c r="R79" i="6" s="1"/>
  <c r="C41" i="1"/>
  <c r="W48" i="6"/>
  <c r="AE75" i="6" a="1"/>
  <c r="AE75" i="6" s="1"/>
  <c r="G64" i="9"/>
  <c r="P51" i="3"/>
  <c r="P70" i="3" s="1"/>
  <c r="AB52" i="7"/>
  <c r="AB74" i="7" s="1"/>
  <c r="AB69" i="6"/>
  <c r="AB70" i="6" s="1"/>
  <c r="AB63" i="6"/>
  <c r="AB64" i="6" s="1"/>
  <c r="AB60" i="6"/>
  <c r="AB61" i="6" s="1"/>
  <c r="P47" i="3"/>
  <c r="P69" i="3" s="1"/>
  <c r="P73" i="3" a="1"/>
  <c r="P73" i="3" s="1"/>
  <c r="AA43" i="3"/>
  <c r="AB78" i="7" a="1"/>
  <c r="AB78" i="7" s="1"/>
  <c r="V77" i="7" a="1"/>
  <c r="V77" i="7" s="1"/>
  <c r="AB73" i="7"/>
  <c r="V73" i="7"/>
  <c r="V79" i="7" s="1"/>
  <c r="AE71" i="6"/>
  <c r="AE77" i="6" s="1"/>
  <c r="W56" i="6"/>
  <c r="W52" i="6"/>
  <c r="V76" i="6" a="1"/>
  <c r="V76" i="6" s="1"/>
  <c r="Y81" i="6"/>
  <c r="AB56" i="7"/>
  <c r="AB75" i="7" s="1"/>
  <c r="AA51" i="3"/>
  <c r="AA70" i="3" s="1"/>
  <c r="P71" i="3"/>
  <c r="AA71" i="3"/>
  <c r="AE83" i="7"/>
  <c r="AB60" i="7"/>
  <c r="AB76" i="7" s="1"/>
  <c r="AA73" i="3" a="1"/>
  <c r="AA73" i="3" s="1"/>
  <c r="Z75" i="6" a="1"/>
  <c r="Z75" i="6" s="1"/>
  <c r="T44" i="7"/>
  <c r="T62" i="7" s="1"/>
  <c r="T63" i="7" s="1"/>
  <c r="AG60" i="7"/>
  <c r="AG76" i="7" s="1"/>
  <c r="W56" i="7"/>
  <c r="W75" i="7" s="1"/>
  <c r="Z83" i="7"/>
  <c r="AA79" i="7"/>
  <c r="AA81" i="7" s="1"/>
  <c r="D62" i="11"/>
  <c r="D64" i="11" s="1"/>
  <c r="AB50" i="3"/>
  <c r="AG49" i="6"/>
  <c r="AB46" i="3"/>
  <c r="Z72" i="6"/>
  <c r="Z77" i="6" s="1"/>
  <c r="Z79" i="6" s="1"/>
  <c r="AB42" i="3"/>
  <c r="AF54" i="6"/>
  <c r="AF73" i="6" s="1"/>
  <c r="AA46" i="6"/>
  <c r="AA71" i="6" s="1"/>
  <c r="AF58" i="6"/>
  <c r="AF74" i="6" s="1"/>
  <c r="AB56" i="6"/>
  <c r="S50" i="7"/>
  <c r="AB44" i="6"/>
  <c r="AA54" i="6"/>
  <c r="AA73" i="6" s="1"/>
  <c r="D41" i="1"/>
  <c r="AA58" i="6"/>
  <c r="AA74" i="6" s="1"/>
  <c r="AD81" i="6"/>
  <c r="AG57" i="6"/>
  <c r="AF77" i="7" a="1"/>
  <c r="AF77" i="7" s="1"/>
  <c r="AG45" i="6"/>
  <c r="AG56" i="7"/>
  <c r="AG75" i="7" s="1"/>
  <c r="AH62" i="7"/>
  <c r="AH63" i="7" s="1"/>
  <c r="U83" i="7"/>
  <c r="W52" i="7"/>
  <c r="W74" i="7" s="1"/>
  <c r="AA77" i="7" a="1"/>
  <c r="AA77" i="7" s="1"/>
  <c r="R78" i="7" a="1"/>
  <c r="R78" i="7" s="1"/>
  <c r="AC34" i="3"/>
  <c r="AC50" i="3" s="1"/>
  <c r="V50" i="3"/>
  <c r="Z72" i="3" a="1"/>
  <c r="Z72" i="3" s="1"/>
  <c r="V46" i="3"/>
  <c r="Z74" i="3"/>
  <c r="V54" i="3"/>
  <c r="W60" i="7"/>
  <c r="W76" i="7" s="1"/>
  <c r="AD35" i="7"/>
  <c r="AD39" i="7" s="1"/>
  <c r="S54" i="7"/>
  <c r="AC42" i="6"/>
  <c r="AC60" i="6" s="1"/>
  <c r="AC61" i="6" s="1"/>
  <c r="AC37" i="6"/>
  <c r="AC49" i="6" s="1"/>
  <c r="AF46" i="6"/>
  <c r="AC39" i="3"/>
  <c r="AC60" i="3" s="1"/>
  <c r="AC61" i="3" s="1"/>
  <c r="AH37" i="6"/>
  <c r="AH57" i="6" s="1"/>
  <c r="AD34" i="7"/>
  <c r="AD50" i="7" s="1"/>
  <c r="X42" i="6"/>
  <c r="X60" i="6" s="1"/>
  <c r="X61" i="6" s="1"/>
  <c r="AB52" i="6"/>
  <c r="AH42" i="6"/>
  <c r="AH69" i="6" s="1"/>
  <c r="AH70" i="6" s="1"/>
  <c r="AC32" i="6"/>
  <c r="AC48" i="6" s="1"/>
  <c r="AH32" i="6"/>
  <c r="W66" i="6"/>
  <c r="W67" i="6" s="1"/>
  <c r="W60" i="6"/>
  <c r="W61" i="6" s="1"/>
  <c r="W69" i="6"/>
  <c r="W70" i="6" s="1"/>
  <c r="W63" i="6"/>
  <c r="W64" i="6" s="1"/>
  <c r="AA72" i="6"/>
  <c r="AG44" i="6"/>
  <c r="AG48" i="6"/>
  <c r="AG56" i="6"/>
  <c r="AG52" i="6"/>
  <c r="AG54" i="6" s="1"/>
  <c r="AF76" i="6" a="1"/>
  <c r="AF76" i="6" s="1"/>
  <c r="AF72" i="6"/>
  <c r="X32" i="6"/>
  <c r="AA76" i="6" a="1"/>
  <c r="AA76" i="6" s="1"/>
  <c r="AG69" i="6"/>
  <c r="AG70" i="6" s="1"/>
  <c r="AG66" i="6"/>
  <c r="AG67" i="6" s="1"/>
  <c r="AG60" i="6"/>
  <c r="AG61" i="6" s="1"/>
  <c r="AG63" i="6"/>
  <c r="AG64" i="6" s="1"/>
  <c r="X37" i="6"/>
  <c r="AG52" i="7"/>
  <c r="AB45" i="6"/>
  <c r="AB53" i="6"/>
  <c r="AB57" i="6"/>
  <c r="AB49" i="6"/>
  <c r="AB50" i="6" s="1"/>
  <c r="AI30" i="7"/>
  <c r="AI34" i="7" s="1"/>
  <c r="X65" i="7"/>
  <c r="X66" i="7" s="1"/>
  <c r="S46" i="7"/>
  <c r="S62" i="7"/>
  <c r="S63" i="7" s="1"/>
  <c r="T35" i="7"/>
  <c r="T39" i="7" s="1"/>
  <c r="S71" i="7"/>
  <c r="S72" i="7" s="1"/>
  <c r="S65" i="7"/>
  <c r="S66" i="7" s="1"/>
  <c r="Y34" i="7"/>
  <c r="Y50" i="7" s="1"/>
  <c r="AH65" i="7"/>
  <c r="AH66" i="7" s="1"/>
  <c r="AH71" i="7"/>
  <c r="AH72" i="7" s="1"/>
  <c r="X62" i="7"/>
  <c r="X63" i="7" s="1"/>
  <c r="AD44" i="7"/>
  <c r="AD62" i="7" s="1"/>
  <c r="AD63" i="7" s="1"/>
  <c r="X68" i="7"/>
  <c r="X69" i="7" s="1"/>
  <c r="AF79" i="7"/>
  <c r="AF81" i="7" s="1"/>
  <c r="AG73" i="7"/>
  <c r="X54" i="7"/>
  <c r="X50" i="7"/>
  <c r="X58" i="7"/>
  <c r="X46" i="7"/>
  <c r="AH46" i="7"/>
  <c r="AH54" i="7"/>
  <c r="AH58" i="7"/>
  <c r="AH50" i="7"/>
  <c r="T34" i="7"/>
  <c r="W78" i="7" a="1"/>
  <c r="W78" i="7" s="1"/>
  <c r="Y44" i="7"/>
  <c r="Y35" i="7"/>
  <c r="Y39" i="7" s="1"/>
  <c r="AI44" i="7"/>
  <c r="AG78" i="7" a="1"/>
  <c r="AG78" i="7" s="1"/>
  <c r="W73" i="7"/>
  <c r="AC68" i="7"/>
  <c r="AC69" i="7" s="1"/>
  <c r="AC71" i="7"/>
  <c r="AC72" i="7" s="1"/>
  <c r="AC62" i="7"/>
  <c r="AC63" i="7" s="1"/>
  <c r="AC65" i="7"/>
  <c r="AC66" i="7" s="1"/>
  <c r="AI39" i="7"/>
  <c r="X55" i="7"/>
  <c r="X47" i="7"/>
  <c r="X51" i="7"/>
  <c r="X59" i="7"/>
  <c r="AC58" i="7"/>
  <c r="AC60" i="7" s="1"/>
  <c r="AC54" i="7"/>
  <c r="AC56" i="7" s="1"/>
  <c r="AC50" i="7"/>
  <c r="AC46" i="7"/>
  <c r="AC48" i="7" s="1"/>
  <c r="AH51" i="7"/>
  <c r="AH55" i="7"/>
  <c r="AH47" i="7"/>
  <c r="AH59" i="7"/>
  <c r="AB60" i="3"/>
  <c r="AB61" i="3" s="1"/>
  <c r="AB63" i="3"/>
  <c r="AB64" i="3" s="1"/>
  <c r="AB66" i="3"/>
  <c r="AB67" i="3" s="1"/>
  <c r="AB57" i="3"/>
  <c r="AB58" i="3" s="1"/>
  <c r="AD37" i="3"/>
  <c r="AD25" i="3"/>
  <c r="AB45" i="3"/>
  <c r="AB49" i="3"/>
  <c r="AB41" i="3"/>
  <c r="AB53" i="3"/>
  <c r="AB55" i="3" s="1"/>
  <c r="AD65" i="3"/>
  <c r="AD59" i="3"/>
  <c r="AD62" i="3"/>
  <c r="AD35" i="3"/>
  <c r="AD39" i="3" s="1"/>
  <c r="AD56" i="3"/>
  <c r="AD30" i="3"/>
  <c r="AD48" i="3"/>
  <c r="AD44" i="3"/>
  <c r="AD40" i="3"/>
  <c r="AD32" i="3"/>
  <c r="AD52" i="3"/>
  <c r="AD27" i="3"/>
  <c r="AC29" i="3"/>
  <c r="W29" i="3"/>
  <c r="W34" i="3"/>
  <c r="W46" i="3" s="1"/>
  <c r="R29" i="3"/>
  <c r="R45" i="3" s="1"/>
  <c r="P68" i="3"/>
  <c r="Q49" i="3"/>
  <c r="Q51" i="3" s="1"/>
  <c r="Q41" i="3"/>
  <c r="Q43" i="3" s="1"/>
  <c r="Q53" i="3"/>
  <c r="Q55" i="3" s="1"/>
  <c r="Q45" i="3"/>
  <c r="Q47" i="3" s="1"/>
  <c r="R39" i="3"/>
  <c r="Y19" i="3"/>
  <c r="Y20" i="3"/>
  <c r="Y21" i="3"/>
  <c r="AE55" i="3"/>
  <c r="AE71" i="3" s="1"/>
  <c r="AI20" i="3"/>
  <c r="AI21" i="3"/>
  <c r="AI19" i="3"/>
  <c r="S35" i="3"/>
  <c r="S30" i="3"/>
  <c r="S59" i="3"/>
  <c r="S56" i="3"/>
  <c r="S62" i="3"/>
  <c r="S65" i="3"/>
  <c r="AG29" i="3"/>
  <c r="R34" i="3"/>
  <c r="AH32" i="3"/>
  <c r="AH27" i="3"/>
  <c r="AH52" i="3"/>
  <c r="AH44" i="3"/>
  <c r="AH40" i="3"/>
  <c r="AH48" i="3"/>
  <c r="W39" i="3"/>
  <c r="AH59" i="3"/>
  <c r="AH35" i="3"/>
  <c r="AH62" i="3"/>
  <c r="AH30" i="3"/>
  <c r="AH65" i="3"/>
  <c r="AH56" i="3"/>
  <c r="X52" i="3"/>
  <c r="X44" i="3"/>
  <c r="X32" i="3"/>
  <c r="X48" i="3"/>
  <c r="X40" i="3"/>
  <c r="X27" i="3"/>
  <c r="AE47" i="3"/>
  <c r="AE69" i="3" s="1"/>
  <c r="AF66" i="3"/>
  <c r="AF67" i="3" s="1"/>
  <c r="AF60" i="3"/>
  <c r="AF61" i="3" s="1"/>
  <c r="AF57" i="3"/>
  <c r="AF58" i="3" s="1"/>
  <c r="AF63" i="3"/>
  <c r="AF64" i="3" s="1"/>
  <c r="S52" i="3"/>
  <c r="S27" i="3"/>
  <c r="S32" i="3"/>
  <c r="S44" i="3"/>
  <c r="S40" i="3"/>
  <c r="S48" i="3"/>
  <c r="AE51" i="3"/>
  <c r="AE70" i="3" s="1"/>
  <c r="AG39" i="3"/>
  <c r="T20" i="3"/>
  <c r="T19" i="3"/>
  <c r="T21" i="3"/>
  <c r="AH37" i="3"/>
  <c r="AH25" i="3"/>
  <c r="AF41" i="3"/>
  <c r="AF43" i="3" s="1"/>
  <c r="AF53" i="3"/>
  <c r="AF55" i="3" s="1"/>
  <c r="AF45" i="3"/>
  <c r="AF47" i="3" s="1"/>
  <c r="AF49" i="3"/>
  <c r="AF51" i="3" s="1"/>
  <c r="S37" i="3"/>
  <c r="S25" i="3"/>
  <c r="X37" i="3"/>
  <c r="X25" i="3"/>
  <c r="Q60" i="3"/>
  <c r="Q61" i="3" s="1"/>
  <c r="Q66" i="3"/>
  <c r="Q67" i="3" s="1"/>
  <c r="Q63" i="3"/>
  <c r="Q64" i="3" s="1"/>
  <c r="Q57" i="3"/>
  <c r="Q58" i="3" s="1"/>
  <c r="AE43" i="3"/>
  <c r="AG34" i="3"/>
  <c r="X56" i="3"/>
  <c r="X65" i="3"/>
  <c r="X59" i="3"/>
  <c r="X62" i="3"/>
  <c r="X30" i="3"/>
  <c r="X35" i="3"/>
  <c r="O70" i="3"/>
  <c r="O43" i="3"/>
  <c r="O68" i="3" s="1"/>
  <c r="O47" i="3"/>
  <c r="O69" i="3" s="1"/>
  <c r="O55" i="3"/>
  <c r="O71" i="3" s="1"/>
  <c r="N72" i="3" a="1"/>
  <c r="N72" i="3" s="1"/>
  <c r="O73" i="3" a="1"/>
  <c r="O73" i="3" s="1"/>
  <c r="N74" i="3"/>
  <c r="AC52" i="7" l="1"/>
  <c r="AD34" i="3"/>
  <c r="G75" i="9"/>
  <c r="G76" i="9" s="1"/>
  <c r="G77" i="9" s="1"/>
  <c r="I64" i="9"/>
  <c r="I76" i="9"/>
  <c r="I77" i="9" s="1"/>
  <c r="E64" i="9"/>
  <c r="E76" i="9"/>
  <c r="E77" i="9" s="1"/>
  <c r="C62" i="11"/>
  <c r="C64" i="11" s="1"/>
  <c r="AB72" i="6"/>
  <c r="P72" i="3" a="1"/>
  <c r="P72" i="3" s="1"/>
  <c r="AB76" i="6" a="1"/>
  <c r="AB76" i="6" s="1"/>
  <c r="AA72" i="3" a="1"/>
  <c r="AA72" i="3" s="1"/>
  <c r="AA68" i="3"/>
  <c r="AA74" i="3" s="1"/>
  <c r="AA78" i="3" s="1"/>
  <c r="AB47" i="3"/>
  <c r="AB69" i="3" s="1"/>
  <c r="P74" i="3"/>
  <c r="P78" i="3" s="1"/>
  <c r="AC76" i="7"/>
  <c r="V81" i="7"/>
  <c r="V83" i="7"/>
  <c r="AB79" i="7"/>
  <c r="AB83" i="7" s="1"/>
  <c r="AB77" i="7" a="1"/>
  <c r="AB77" i="7" s="1"/>
  <c r="T71" i="7"/>
  <c r="T72" i="7" s="1"/>
  <c r="T68" i="7"/>
  <c r="T69" i="7" s="1"/>
  <c r="T65" i="7"/>
  <c r="T66" i="7" s="1"/>
  <c r="AC66" i="3"/>
  <c r="AC67" i="3" s="1"/>
  <c r="AA83" i="7"/>
  <c r="W77" i="7" a="1"/>
  <c r="W77" i="7" s="1"/>
  <c r="AC54" i="3"/>
  <c r="AD46" i="7"/>
  <c r="AB51" i="3"/>
  <c r="AB70" i="3" s="1"/>
  <c r="AG50" i="6"/>
  <c r="AG72" i="6" s="1"/>
  <c r="AB43" i="3"/>
  <c r="X66" i="6"/>
  <c r="X67" i="6" s="1"/>
  <c r="AH66" i="6"/>
  <c r="AH67" i="6" s="1"/>
  <c r="AC66" i="6"/>
  <c r="AC67" i="6" s="1"/>
  <c r="AH63" i="6"/>
  <c r="AH64" i="6" s="1"/>
  <c r="AB58" i="6"/>
  <c r="AB74" i="6" s="1"/>
  <c r="X69" i="6"/>
  <c r="X70" i="6" s="1"/>
  <c r="X63" i="6"/>
  <c r="X64" i="6" s="1"/>
  <c r="Z81" i="6"/>
  <c r="AF75" i="6" a="1"/>
  <c r="AF75" i="6" s="1"/>
  <c r="AC46" i="3"/>
  <c r="AC42" i="3"/>
  <c r="AH60" i="6"/>
  <c r="AH61" i="6" s="1"/>
  <c r="AC69" i="6"/>
  <c r="AC70" i="6" s="1"/>
  <c r="AB46" i="6"/>
  <c r="AB71" i="6" s="1"/>
  <c r="AG77" i="7" a="1"/>
  <c r="AG77" i="7" s="1"/>
  <c r="AA75" i="6" a="1"/>
  <c r="AA75" i="6" s="1"/>
  <c r="AG46" i="6"/>
  <c r="AG71" i="6" s="1"/>
  <c r="AC53" i="6"/>
  <c r="AG74" i="7"/>
  <c r="AG79" i="7" s="1"/>
  <c r="AG83" i="7" s="1"/>
  <c r="AH53" i="6"/>
  <c r="AG58" i="6"/>
  <c r="AG74" i="6" s="1"/>
  <c r="AH49" i="6"/>
  <c r="AF71" i="6"/>
  <c r="AF77" i="6" s="1"/>
  <c r="AF81" i="6" s="1"/>
  <c r="AD65" i="7"/>
  <c r="AD66" i="7" s="1"/>
  <c r="Y54" i="7"/>
  <c r="Y46" i="7"/>
  <c r="AB54" i="6"/>
  <c r="AB73" i="6" s="1"/>
  <c r="AH45" i="6"/>
  <c r="AH78" i="7" a="1"/>
  <c r="AH78" i="7" s="1"/>
  <c r="AD54" i="7"/>
  <c r="AD58" i="7"/>
  <c r="AD68" i="7"/>
  <c r="AD69" i="7" s="1"/>
  <c r="AH29" i="3"/>
  <c r="AH45" i="3" s="1"/>
  <c r="X29" i="3"/>
  <c r="X41" i="3" s="1"/>
  <c r="AC57" i="3"/>
  <c r="AC58" i="3" s="1"/>
  <c r="AC63" i="3"/>
  <c r="AC64" i="3" s="1"/>
  <c r="R49" i="3"/>
  <c r="R41" i="3"/>
  <c r="R53" i="3"/>
  <c r="AC57" i="6"/>
  <c r="AC45" i="6"/>
  <c r="W50" i="3"/>
  <c r="AC56" i="6"/>
  <c r="AC44" i="6"/>
  <c r="W54" i="3"/>
  <c r="W42" i="3"/>
  <c r="AC52" i="6"/>
  <c r="AC63" i="6"/>
  <c r="AC64" i="6" s="1"/>
  <c r="AB71" i="3"/>
  <c r="AC50" i="6"/>
  <c r="AG73" i="6"/>
  <c r="AG76" i="6" a="1"/>
  <c r="AG76" i="6" s="1"/>
  <c r="AE79" i="6"/>
  <c r="AE81" i="6"/>
  <c r="AA77" i="6"/>
  <c r="X48" i="6"/>
  <c r="X56" i="6"/>
  <c r="X52" i="6"/>
  <c r="X44" i="6"/>
  <c r="AH44" i="6"/>
  <c r="AH56" i="6"/>
  <c r="AH58" i="6" s="1"/>
  <c r="AH74" i="6" s="1"/>
  <c r="AH52" i="6"/>
  <c r="AH48" i="6"/>
  <c r="Y58" i="7"/>
  <c r="W76" i="6" a="1"/>
  <c r="W76" i="6" s="1"/>
  <c r="S78" i="7" a="1"/>
  <c r="S78" i="7" s="1"/>
  <c r="AD71" i="7"/>
  <c r="AD72" i="7" s="1"/>
  <c r="X78" i="7" a="1"/>
  <c r="X78" i="7" s="1"/>
  <c r="AC74" i="7"/>
  <c r="AF83" i="7"/>
  <c r="AC75" i="7"/>
  <c r="W79" i="7"/>
  <c r="W81" i="7" s="1"/>
  <c r="AC78" i="7" a="1"/>
  <c r="AC78" i="7" s="1"/>
  <c r="X52" i="7"/>
  <c r="X74" i="7" s="1"/>
  <c r="X56" i="7"/>
  <c r="X75" i="7" s="1"/>
  <c r="Y68" i="7"/>
  <c r="Y69" i="7" s="1"/>
  <c r="Y71" i="7"/>
  <c r="Y72" i="7" s="1"/>
  <c r="Y62" i="7"/>
  <c r="Y63" i="7" s="1"/>
  <c r="Y65" i="7"/>
  <c r="Y66" i="7" s="1"/>
  <c r="AH52" i="7"/>
  <c r="AH74" i="7" s="1"/>
  <c r="AH60" i="7"/>
  <c r="AH76" i="7" s="1"/>
  <c r="AH56" i="7"/>
  <c r="AH75" i="7" s="1"/>
  <c r="AI68" i="7"/>
  <c r="AI69" i="7" s="1"/>
  <c r="AI62" i="7"/>
  <c r="AI63" i="7" s="1"/>
  <c r="AI65" i="7"/>
  <c r="AI66" i="7" s="1"/>
  <c r="AI71" i="7"/>
  <c r="AI72" i="7" s="1"/>
  <c r="T54" i="7"/>
  <c r="T46" i="7"/>
  <c r="T50" i="7"/>
  <c r="T58" i="7"/>
  <c r="AH48" i="7"/>
  <c r="AI46" i="7"/>
  <c r="AI50" i="7"/>
  <c r="AI58" i="7"/>
  <c r="AI54" i="7"/>
  <c r="X48" i="7"/>
  <c r="AC73" i="7"/>
  <c r="AC77" i="7" a="1"/>
  <c r="AC77" i="7" s="1"/>
  <c r="AI55" i="7"/>
  <c r="AI47" i="7"/>
  <c r="AI59" i="7"/>
  <c r="AI51" i="7"/>
  <c r="AD55" i="7"/>
  <c r="AD47" i="7"/>
  <c r="AD51" i="7"/>
  <c r="AD52" i="7" s="1"/>
  <c r="AD59" i="7"/>
  <c r="Y51" i="7"/>
  <c r="Y52" i="7" s="1"/>
  <c r="Y55" i="7"/>
  <c r="Y47" i="7"/>
  <c r="Y59" i="7"/>
  <c r="X60" i="7"/>
  <c r="X76" i="7" s="1"/>
  <c r="AD54" i="3"/>
  <c r="AD46" i="3"/>
  <c r="AD42" i="3"/>
  <c r="AD50" i="3"/>
  <c r="AB73" i="3" a="1"/>
  <c r="AB73" i="3" s="1"/>
  <c r="AD29" i="3"/>
  <c r="AC53" i="3"/>
  <c r="AC49" i="3"/>
  <c r="AC51" i="3" s="1"/>
  <c r="AC45" i="3"/>
  <c r="AC41" i="3"/>
  <c r="S29" i="3"/>
  <c r="S53" i="3" s="1"/>
  <c r="AD63" i="3"/>
  <c r="AD64" i="3" s="1"/>
  <c r="AD57" i="3"/>
  <c r="AD58" i="3" s="1"/>
  <c r="AD60" i="3"/>
  <c r="AD61" i="3" s="1"/>
  <c r="AD66" i="3"/>
  <c r="AD67" i="3" s="1"/>
  <c r="N76" i="3"/>
  <c r="Z78" i="3"/>
  <c r="AF69" i="3"/>
  <c r="Q72" i="3" a="1"/>
  <c r="Q72" i="3" s="1"/>
  <c r="AF71" i="3"/>
  <c r="AG63" i="3"/>
  <c r="AG64" i="3" s="1"/>
  <c r="AG66" i="3"/>
  <c r="AG67" i="3" s="1"/>
  <c r="AG57" i="3"/>
  <c r="AG58" i="3" s="1"/>
  <c r="AG60" i="3"/>
  <c r="AG61" i="3" s="1"/>
  <c r="AH39" i="3"/>
  <c r="S39" i="3"/>
  <c r="R42" i="3"/>
  <c r="R46" i="3"/>
  <c r="R47" i="3" s="1"/>
  <c r="R54" i="3"/>
  <c r="R50" i="3"/>
  <c r="AF68" i="3"/>
  <c r="AF72" i="3" a="1"/>
  <c r="AF72" i="3" s="1"/>
  <c r="AF73" i="3" a="1"/>
  <c r="AF73" i="3" s="1"/>
  <c r="AG41" i="3"/>
  <c r="AG53" i="3"/>
  <c r="AG49" i="3"/>
  <c r="AG45" i="3"/>
  <c r="AI59" i="3"/>
  <c r="AI35" i="3"/>
  <c r="AI62" i="3"/>
  <c r="AI30" i="3"/>
  <c r="AI65" i="3"/>
  <c r="AI56" i="3"/>
  <c r="Y32" i="3"/>
  <c r="Y48" i="3"/>
  <c r="Y40" i="3"/>
  <c r="Y44" i="3"/>
  <c r="Y27" i="3"/>
  <c r="Y52" i="3"/>
  <c r="Q69" i="3"/>
  <c r="R60" i="3"/>
  <c r="R61" i="3" s="1"/>
  <c r="R63" i="3"/>
  <c r="R64" i="3" s="1"/>
  <c r="R66" i="3"/>
  <c r="R67" i="3" s="1"/>
  <c r="R57" i="3"/>
  <c r="R58" i="3" s="1"/>
  <c r="AG42" i="3"/>
  <c r="AG46" i="3"/>
  <c r="AG54" i="3"/>
  <c r="AG50" i="3"/>
  <c r="AI32" i="3"/>
  <c r="AI52" i="3"/>
  <c r="AI27" i="3"/>
  <c r="AI44" i="3"/>
  <c r="AI48" i="3"/>
  <c r="AI40" i="3"/>
  <c r="Y25" i="3"/>
  <c r="Y37" i="3"/>
  <c r="Q71" i="3"/>
  <c r="AE68" i="3"/>
  <c r="AE74" i="3" s="1"/>
  <c r="AE78" i="3" s="1"/>
  <c r="AE72" i="3" a="1"/>
  <c r="AE72" i="3" s="1"/>
  <c r="AI37" i="3"/>
  <c r="AI25" i="3"/>
  <c r="Y62" i="3"/>
  <c r="Y56" i="3"/>
  <c r="Y30" i="3"/>
  <c r="Y65" i="3"/>
  <c r="Y35" i="3"/>
  <c r="Y59" i="3"/>
  <c r="O72" i="3" a="1"/>
  <c r="O72" i="3" s="1"/>
  <c r="X39" i="3"/>
  <c r="X60" i="3" s="1"/>
  <c r="X61" i="3" s="1"/>
  <c r="Q68" i="3"/>
  <c r="Q73" i="3" a="1"/>
  <c r="Q73" i="3" s="1"/>
  <c r="T52" i="3"/>
  <c r="T27" i="3"/>
  <c r="T40" i="3"/>
  <c r="T44" i="3"/>
  <c r="T48" i="3"/>
  <c r="T32" i="3"/>
  <c r="Q70" i="3"/>
  <c r="X34" i="3"/>
  <c r="T65" i="3"/>
  <c r="T30" i="3"/>
  <c r="T59" i="3"/>
  <c r="T56" i="3"/>
  <c r="T62" i="3"/>
  <c r="T35" i="3"/>
  <c r="AH34" i="3"/>
  <c r="AF70" i="3"/>
  <c r="T25" i="3"/>
  <c r="T37" i="3"/>
  <c r="S34" i="3"/>
  <c r="E40" i="1"/>
  <c r="O74" i="3"/>
  <c r="W57" i="3"/>
  <c r="W58" i="3" s="1"/>
  <c r="W45" i="3"/>
  <c r="W47" i="3" s="1"/>
  <c r="V57" i="3"/>
  <c r="V58" i="3" s="1"/>
  <c r="U57" i="3"/>
  <c r="U58" i="3" s="1"/>
  <c r="W63" i="3"/>
  <c r="W64" i="3" s="1"/>
  <c r="U60" i="3"/>
  <c r="U61" i="3" s="1"/>
  <c r="U53" i="3"/>
  <c r="U55" i="3" s="1"/>
  <c r="V45" i="3"/>
  <c r="V47" i="3" s="1"/>
  <c r="W66" i="3"/>
  <c r="W67" i="3" s="1"/>
  <c r="U49" i="3"/>
  <c r="U51" i="3" s="1"/>
  <c r="U45" i="3"/>
  <c r="U47" i="3" s="1"/>
  <c r="W49" i="3"/>
  <c r="V60" i="3"/>
  <c r="V61" i="3" s="1"/>
  <c r="V53" i="3"/>
  <c r="V55" i="3" s="1"/>
  <c r="W53" i="3"/>
  <c r="V49" i="3"/>
  <c r="V51" i="3" s="1"/>
  <c r="V66" i="3"/>
  <c r="V67" i="3" s="1"/>
  <c r="U66" i="3"/>
  <c r="U67" i="3" s="1"/>
  <c r="U41" i="3"/>
  <c r="U43" i="3" s="1"/>
  <c r="U63" i="3"/>
  <c r="U64" i="3" s="1"/>
  <c r="W41" i="3"/>
  <c r="W60" i="3"/>
  <c r="W61" i="3" s="1"/>
  <c r="V41" i="3"/>
  <c r="V43" i="3" s="1"/>
  <c r="V63" i="3"/>
  <c r="V64" i="3" s="1"/>
  <c r="Y39" i="3" l="1"/>
  <c r="Y66" i="3" s="1"/>
  <c r="AH49" i="3"/>
  <c r="AH41" i="3"/>
  <c r="AB81" i="7"/>
  <c r="AH53" i="3"/>
  <c r="AB72" i="3" a="1"/>
  <c r="AB72" i="3" s="1"/>
  <c r="T78" i="7" a="1"/>
  <c r="T78" i="7" s="1"/>
  <c r="S41" i="3"/>
  <c r="X53" i="3"/>
  <c r="X45" i="3"/>
  <c r="X49" i="3"/>
  <c r="AD48" i="7"/>
  <c r="AD73" i="7" s="1"/>
  <c r="AC55" i="3"/>
  <c r="AC71" i="3" s="1"/>
  <c r="W51" i="3"/>
  <c r="W70" i="3" s="1"/>
  <c r="AC47" i="3"/>
  <c r="AC69" i="3" s="1"/>
  <c r="AB68" i="3"/>
  <c r="AB74" i="3" s="1"/>
  <c r="AB78" i="3" s="1"/>
  <c r="Y57" i="3"/>
  <c r="Y58" i="3" s="1"/>
  <c r="R51" i="3"/>
  <c r="R70" i="3" s="1"/>
  <c r="AC43" i="3"/>
  <c r="AG75" i="6" a="1"/>
  <c r="AG75" i="6" s="1"/>
  <c r="X76" i="6" a="1"/>
  <c r="X76" i="6" s="1"/>
  <c r="R55" i="3"/>
  <c r="R71" i="3" s="1"/>
  <c r="R43" i="3"/>
  <c r="R68" i="3" s="1"/>
  <c r="AH76" i="6" a="1"/>
  <c r="AH76" i="6" s="1"/>
  <c r="AC70" i="3"/>
  <c r="AC73" i="3" a="1"/>
  <c r="AC73" i="3" s="1"/>
  <c r="AC76" i="6" a="1"/>
  <c r="AC76" i="6" s="1"/>
  <c r="Y56" i="7"/>
  <c r="Y75" i="7" s="1"/>
  <c r="AC54" i="6"/>
  <c r="AC73" i="6" s="1"/>
  <c r="AH54" i="6"/>
  <c r="AH73" i="6" s="1"/>
  <c r="AC72" i="6"/>
  <c r="AH50" i="6"/>
  <c r="AH72" i="6" s="1"/>
  <c r="AB75" i="6" a="1"/>
  <c r="AB75" i="6" s="1"/>
  <c r="AD74" i="7"/>
  <c r="Y48" i="7"/>
  <c r="Y73" i="7" s="1"/>
  <c r="AB77" i="6"/>
  <c r="AB79" i="6" s="1"/>
  <c r="AD56" i="7"/>
  <c r="AD75" i="7" s="1"/>
  <c r="AD60" i="7"/>
  <c r="AD76" i="7" s="1"/>
  <c r="AC46" i="6"/>
  <c r="AC71" i="6" s="1"/>
  <c r="AD78" i="7" a="1"/>
  <c r="AD78" i="7" s="1"/>
  <c r="AH46" i="6"/>
  <c r="AC58" i="6"/>
  <c r="AC74" i="6" s="1"/>
  <c r="AG81" i="7"/>
  <c r="Y60" i="7"/>
  <c r="W55" i="3"/>
  <c r="W71" i="3" s="1"/>
  <c r="AF79" i="6"/>
  <c r="W43" i="3"/>
  <c r="W68" i="3" s="1"/>
  <c r="Y34" i="3"/>
  <c r="Y42" i="3" s="1"/>
  <c r="AG77" i="6"/>
  <c r="AG79" i="6" s="1"/>
  <c r="AA79" i="6"/>
  <c r="AA81" i="6"/>
  <c r="AC79" i="7"/>
  <c r="AC83" i="7" s="1"/>
  <c r="W83" i="7"/>
  <c r="Y74" i="7"/>
  <c r="AI56" i="7"/>
  <c r="AI75" i="7" s="1"/>
  <c r="AI48" i="7"/>
  <c r="AI73" i="7" s="1"/>
  <c r="Y78" i="7" a="1"/>
  <c r="Y78" i="7" s="1"/>
  <c r="AI60" i="7"/>
  <c r="AI76" i="7" s="1"/>
  <c r="AI52" i="7"/>
  <c r="AI74" i="7" s="1"/>
  <c r="X73" i="7"/>
  <c r="X79" i="7" s="1"/>
  <c r="X77" i="7" a="1"/>
  <c r="X77" i="7" s="1"/>
  <c r="AI78" i="7" a="1"/>
  <c r="AI78" i="7" s="1"/>
  <c r="AH73" i="7"/>
  <c r="AH79" i="7" s="1"/>
  <c r="AH77" i="7" a="1"/>
  <c r="AH77" i="7" s="1"/>
  <c r="S49" i="3"/>
  <c r="S45" i="3"/>
  <c r="AD73" i="3" a="1"/>
  <c r="AD73" i="3" s="1"/>
  <c r="AD49" i="3"/>
  <c r="AD51" i="3" s="1"/>
  <c r="AD70" i="3" s="1"/>
  <c r="AD41" i="3"/>
  <c r="AD43" i="3" s="1"/>
  <c r="AD53" i="3"/>
  <c r="AD55" i="3" s="1"/>
  <c r="AD71" i="3" s="1"/>
  <c r="AD45" i="3"/>
  <c r="AD47" i="3" s="1"/>
  <c r="AD69" i="3" s="1"/>
  <c r="AI29" i="3"/>
  <c r="AI49" i="3" s="1"/>
  <c r="R69" i="3"/>
  <c r="Y29" i="3"/>
  <c r="Y41" i="3" s="1"/>
  <c r="AI34" i="3"/>
  <c r="AI42" i="3" s="1"/>
  <c r="R73" i="3" a="1"/>
  <c r="R73" i="3" s="1"/>
  <c r="T29" i="3"/>
  <c r="T41" i="3" s="1"/>
  <c r="Y67" i="3"/>
  <c r="E41" i="1"/>
  <c r="O76" i="3"/>
  <c r="E62" i="11" s="1"/>
  <c r="E64" i="11" s="1"/>
  <c r="Y60" i="3"/>
  <c r="Y61" i="3" s="1"/>
  <c r="AG51" i="3"/>
  <c r="AG70" i="3" s="1"/>
  <c r="AG43" i="3"/>
  <c r="AG68" i="3" s="1"/>
  <c r="Q74" i="3"/>
  <c r="Q78" i="3" s="1"/>
  <c r="X63" i="3"/>
  <c r="X64" i="3" s="1"/>
  <c r="T39" i="3"/>
  <c r="AG55" i="3"/>
  <c r="AG71" i="3" s="1"/>
  <c r="S60" i="3"/>
  <c r="S61" i="3" s="1"/>
  <c r="S57" i="3"/>
  <c r="S58" i="3" s="1"/>
  <c r="S66" i="3"/>
  <c r="S67" i="3" s="1"/>
  <c r="S63" i="3"/>
  <c r="S64" i="3" s="1"/>
  <c r="AH63" i="3"/>
  <c r="AH64" i="3" s="1"/>
  <c r="AH60" i="3"/>
  <c r="AH61" i="3" s="1"/>
  <c r="AH57" i="3"/>
  <c r="AH58" i="3" s="1"/>
  <c r="AH66" i="3"/>
  <c r="AH67" i="3" s="1"/>
  <c r="X66" i="3"/>
  <c r="X67" i="3" s="1"/>
  <c r="X57" i="3"/>
  <c r="X58" i="3" s="1"/>
  <c r="T34" i="3"/>
  <c r="AI39" i="3"/>
  <c r="AF74" i="3"/>
  <c r="AF78" i="3" s="1"/>
  <c r="AG73" i="3" a="1"/>
  <c r="AG73" i="3" s="1"/>
  <c r="S42" i="3"/>
  <c r="S46" i="3"/>
  <c r="S50" i="3"/>
  <c r="S54" i="3"/>
  <c r="S55" i="3" s="1"/>
  <c r="X50" i="3"/>
  <c r="X42" i="3"/>
  <c r="X43" i="3" s="1"/>
  <c r="X46" i="3"/>
  <c r="X54" i="3"/>
  <c r="AG47" i="3"/>
  <c r="AG69" i="3" s="1"/>
  <c r="Y63" i="3"/>
  <c r="Y64" i="3" s="1"/>
  <c r="AH54" i="3"/>
  <c r="AH55" i="3" s="1"/>
  <c r="AH46" i="3"/>
  <c r="AH47" i="3" s="1"/>
  <c r="AH50" i="3"/>
  <c r="AH51" i="3" s="1"/>
  <c r="AH42" i="3"/>
  <c r="AH43" i="3" s="1"/>
  <c r="V71" i="3"/>
  <c r="U69" i="3"/>
  <c r="U73" i="3" a="1"/>
  <c r="U73" i="3" s="1"/>
  <c r="V70" i="3"/>
  <c r="V73" i="3" a="1"/>
  <c r="V73" i="3" s="1"/>
  <c r="V69" i="3"/>
  <c r="U70" i="3"/>
  <c r="W73" i="3" a="1"/>
  <c r="W73" i="3" s="1"/>
  <c r="U71" i="3"/>
  <c r="U68" i="3"/>
  <c r="V72" i="3" a="1"/>
  <c r="V72" i="3" s="1"/>
  <c r="V68" i="3"/>
  <c r="U72" i="3" a="1"/>
  <c r="U72" i="3" s="1"/>
  <c r="W69" i="3"/>
  <c r="X55" i="3" l="1"/>
  <c r="S43" i="3"/>
  <c r="X51" i="3"/>
  <c r="X47" i="3"/>
  <c r="X69" i="3" s="1"/>
  <c r="AC72" i="3" a="1"/>
  <c r="AC72" i="3" s="1"/>
  <c r="T49" i="3"/>
  <c r="AC68" i="3"/>
  <c r="AC74" i="3" s="1"/>
  <c r="AC78" i="3" s="1"/>
  <c r="R72" i="3" a="1"/>
  <c r="R72" i="3" s="1"/>
  <c r="T45" i="3"/>
  <c r="Y45" i="3"/>
  <c r="X70" i="3"/>
  <c r="AH75" i="6" a="1"/>
  <c r="AH75" i="6" s="1"/>
  <c r="AB81" i="6"/>
  <c r="Y77" i="7" a="1"/>
  <c r="Y77" i="7" s="1"/>
  <c r="AD77" i="7" a="1"/>
  <c r="AD77" i="7" s="1"/>
  <c r="Y76" i="7"/>
  <c r="Y79" i="7" s="1"/>
  <c r="Y81" i="7" s="1"/>
  <c r="AD79" i="7"/>
  <c r="AD83" i="7" s="1"/>
  <c r="AC77" i="6"/>
  <c r="AC79" i="6" s="1"/>
  <c r="AC75" i="6" a="1"/>
  <c r="AC75" i="6" s="1"/>
  <c r="AH71" i="6"/>
  <c r="AH77" i="6" s="1"/>
  <c r="AH81" i="6" s="1"/>
  <c r="AC81" i="7"/>
  <c r="S47" i="3"/>
  <c r="S69" i="3" s="1"/>
  <c r="W72" i="3" a="1"/>
  <c r="W72" i="3" s="1"/>
  <c r="AI45" i="3"/>
  <c r="AI53" i="3"/>
  <c r="AI41" i="3"/>
  <c r="AI43" i="3" s="1"/>
  <c r="T53" i="3"/>
  <c r="Y46" i="3"/>
  <c r="Y50" i="3"/>
  <c r="S51" i="3"/>
  <c r="S72" i="3" s="1" a="1"/>
  <c r="S72" i="3" s="1"/>
  <c r="AI54" i="3"/>
  <c r="Y54" i="3"/>
  <c r="AH70" i="3"/>
  <c r="AG81" i="6"/>
  <c r="AI77" i="7" a="1"/>
  <c r="AI77" i="7" s="1"/>
  <c r="AI79" i="7"/>
  <c r="AI81" i="7" s="1"/>
  <c r="AH81" i="7"/>
  <c r="AH83" i="7"/>
  <c r="X81" i="7"/>
  <c r="X83" i="7"/>
  <c r="AI50" i="3"/>
  <c r="AI51" i="3" s="1"/>
  <c r="AD72" i="3" a="1"/>
  <c r="AD72" i="3" s="1"/>
  <c r="AD68" i="3"/>
  <c r="AD74" i="3" s="1"/>
  <c r="AD78" i="3" s="1"/>
  <c r="Y43" i="3"/>
  <c r="Y68" i="3" s="1"/>
  <c r="AI46" i="3"/>
  <c r="Y49" i="3"/>
  <c r="Y53" i="3"/>
  <c r="R74" i="3"/>
  <c r="R78" i="3" s="1"/>
  <c r="AH69" i="3"/>
  <c r="S71" i="3"/>
  <c r="AH71" i="3"/>
  <c r="AG72" i="3" a="1"/>
  <c r="AG72" i="3" s="1"/>
  <c r="X73" i="3" a="1"/>
  <c r="X73" i="3" s="1"/>
  <c r="U74" i="3"/>
  <c r="U78" i="3" s="1"/>
  <c r="X71" i="3"/>
  <c r="S68" i="3"/>
  <c r="X68" i="3"/>
  <c r="AH72" i="3" a="1"/>
  <c r="AH72" i="3" s="1"/>
  <c r="AH68" i="3"/>
  <c r="AI63" i="3"/>
  <c r="AI64" i="3" s="1"/>
  <c r="AI57" i="3"/>
  <c r="AI58" i="3" s="1"/>
  <c r="AI66" i="3"/>
  <c r="AI67" i="3" s="1"/>
  <c r="AI60" i="3"/>
  <c r="AI61" i="3" s="1"/>
  <c r="S73" i="3" a="1"/>
  <c r="S73" i="3" s="1"/>
  <c r="AG74" i="3"/>
  <c r="AG78" i="3" s="1"/>
  <c r="T46" i="3"/>
  <c r="T50" i="3"/>
  <c r="T54" i="3"/>
  <c r="T42" i="3"/>
  <c r="T43" i="3" s="1"/>
  <c r="AH73" i="3" a="1"/>
  <c r="AH73" i="3" s="1"/>
  <c r="T57" i="3"/>
  <c r="T58" i="3" s="1"/>
  <c r="T66" i="3"/>
  <c r="T67" i="3" s="1"/>
  <c r="T60" i="3"/>
  <c r="T61" i="3" s="1"/>
  <c r="T63" i="3"/>
  <c r="T64" i="3" s="1"/>
  <c r="Y73" i="3" a="1"/>
  <c r="Y73" i="3" s="1"/>
  <c r="W74" i="3"/>
  <c r="W78" i="3" s="1"/>
  <c r="V74" i="3"/>
  <c r="V78" i="3" s="1"/>
  <c r="X72" i="3" l="1" a="1"/>
  <c r="X72" i="3" s="1"/>
  <c r="T51" i="3"/>
  <c r="T47" i="3"/>
  <c r="Y47" i="3"/>
  <c r="Y69" i="3" s="1"/>
  <c r="T55" i="3"/>
  <c r="T71" i="3" s="1"/>
  <c r="S70" i="3"/>
  <c r="S74" i="3" s="1"/>
  <c r="S78" i="3" s="1"/>
  <c r="AI55" i="3"/>
  <c r="AI71" i="3" s="1"/>
  <c r="T69" i="3"/>
  <c r="AI47" i="3"/>
  <c r="AI69" i="3" s="1"/>
  <c r="AD81" i="7"/>
  <c r="AC81" i="6"/>
  <c r="AH79" i="6"/>
  <c r="Y83" i="7"/>
  <c r="Y51" i="3"/>
  <c r="Y70" i="3" s="1"/>
  <c r="T70" i="3"/>
  <c r="X74" i="3"/>
  <c r="X78" i="3" s="1"/>
  <c r="Y55" i="3"/>
  <c r="Y71" i="3" s="1"/>
  <c r="AI83" i="7"/>
  <c r="AI70" i="3"/>
  <c r="AH74" i="3"/>
  <c r="AH78" i="3" s="1"/>
  <c r="T73" i="3" a="1"/>
  <c r="T73" i="3" s="1"/>
  <c r="AI73" i="3" a="1"/>
  <c r="AI73" i="3" s="1"/>
  <c r="T68" i="3"/>
  <c r="AI68" i="3"/>
  <c r="T72" i="3" l="1" a="1"/>
  <c r="T72" i="3" s="1"/>
  <c r="AI72" i="3" a="1"/>
  <c r="AI72" i="3" s="1"/>
  <c r="Y74" i="3"/>
  <c r="Y78" i="3" s="1"/>
  <c r="Y72" i="3" a="1"/>
  <c r="Y72" i="3" s="1"/>
  <c r="AI74" i="3"/>
  <c r="AI78" i="3" s="1"/>
  <c r="T74" i="3"/>
  <c r="T78" i="3" s="1"/>
  <c r="V53" i="6"/>
  <c r="V54" i="6" s="1"/>
  <c r="V73" i="6" s="1"/>
  <c r="V49" i="6"/>
  <c r="V50" i="6" s="1"/>
  <c r="V72" i="6" s="1"/>
  <c r="V45" i="6"/>
  <c r="V46" i="6" s="1"/>
  <c r="V57" i="6"/>
  <c r="V58" i="6" s="1"/>
  <c r="V74" i="6" s="1"/>
  <c r="V75" i="6" l="1" a="1"/>
  <c r="V75" i="6" s="1"/>
  <c r="V71" i="6"/>
  <c r="V77" i="6" s="1"/>
  <c r="V81" i="6" s="1"/>
  <c r="X57" i="6"/>
  <c r="X58" i="6" s="1"/>
  <c r="X74" i="6" s="1"/>
  <c r="W49" i="6"/>
  <c r="W50" i="6" s="1"/>
  <c r="W72" i="6" s="1"/>
  <c r="W57" i="6"/>
  <c r="W58" i="6" s="1"/>
  <c r="W74" i="6" s="1"/>
  <c r="X49" i="6"/>
  <c r="X50" i="6" s="1"/>
  <c r="X72" i="6" s="1"/>
  <c r="X45" i="6"/>
  <c r="X46" i="6" s="1"/>
  <c r="X53" i="6"/>
  <c r="X54" i="6" s="1"/>
  <c r="X73" i="6" s="1"/>
  <c r="W53" i="6"/>
  <c r="W54" i="6" s="1"/>
  <c r="W73" i="6" s="1"/>
  <c r="W45" i="6"/>
  <c r="W46" i="6" s="1"/>
  <c r="W75" i="6" l="1" a="1"/>
  <c r="W75" i="6" s="1"/>
  <c r="W71" i="6"/>
  <c r="W77" i="6" s="1"/>
  <c r="W81" i="6" s="1"/>
  <c r="V79" i="6"/>
  <c r="X71" i="6"/>
  <c r="X77" i="6" s="1"/>
  <c r="X81" i="6" s="1"/>
  <c r="X75" i="6" a="1"/>
  <c r="X75" i="6" s="1"/>
  <c r="U49" i="6"/>
  <c r="U50" i="6" s="1"/>
  <c r="U72" i="6" s="1"/>
  <c r="U57" i="6"/>
  <c r="U58" i="6" s="1"/>
  <c r="U74" i="6" s="1"/>
  <c r="U45" i="6"/>
  <c r="U46" i="6" s="1"/>
  <c r="U53" i="6"/>
  <c r="U54" i="6" s="1"/>
  <c r="U73" i="6" s="1"/>
  <c r="T49" i="6"/>
  <c r="T50" i="6" s="1"/>
  <c r="T72" i="6" s="1"/>
  <c r="T53" i="6"/>
  <c r="T54" i="6" s="1"/>
  <c r="T73" i="6" s="1"/>
  <c r="T45" i="6"/>
  <c r="T46" i="6" s="1"/>
  <c r="T71" i="6" s="1"/>
  <c r="T57" i="6"/>
  <c r="T58" i="6" s="1"/>
  <c r="T74" i="6" s="1"/>
  <c r="T75" i="6" l="1" a="1"/>
  <c r="T75" i="6" s="1"/>
  <c r="T77" i="6"/>
  <c r="T81" i="6" s="1"/>
  <c r="U75" i="6" a="1"/>
  <c r="U75" i="6" s="1"/>
  <c r="U71" i="6"/>
  <c r="U77" i="6" s="1"/>
  <c r="U81" i="6" s="1"/>
  <c r="X79" i="6"/>
  <c r="W79" i="6"/>
  <c r="T79" i="6" l="1"/>
  <c r="U79" i="6"/>
  <c r="P55" i="7"/>
  <c r="P56" i="7" s="1"/>
  <c r="P75" i="7" s="1"/>
  <c r="P51" i="7"/>
  <c r="P52" i="7" s="1"/>
  <c r="P74" i="7" s="1"/>
  <c r="P59" i="7"/>
  <c r="P60" i="7" s="1"/>
  <c r="P76" i="7" s="1"/>
  <c r="P47" i="7"/>
  <c r="P48" i="7" s="1"/>
  <c r="P77" i="7" l="1" a="1"/>
  <c r="P77" i="7" s="1"/>
  <c r="P73" i="7"/>
  <c r="P79" i="7" s="1"/>
  <c r="P83" i="7" s="1"/>
  <c r="P81" i="7" l="1"/>
  <c r="S51" i="7"/>
  <c r="S52" i="7" s="1"/>
  <c r="S74" i="7" s="1"/>
  <c r="T59" i="7"/>
  <c r="T60" i="7" s="1"/>
  <c r="T76" i="7" s="1"/>
  <c r="T55" i="7"/>
  <c r="T56" i="7" s="1"/>
  <c r="T75" i="7" s="1"/>
  <c r="Q51" i="7"/>
  <c r="Q52" i="7" s="1"/>
  <c r="Q74" i="7" s="1"/>
  <c r="R59" i="7"/>
  <c r="R60" i="7" s="1"/>
  <c r="R76" i="7" s="1"/>
  <c r="Q55" i="7"/>
  <c r="Q56" i="7" s="1"/>
  <c r="Q75" i="7" s="1"/>
  <c r="R55" i="7"/>
  <c r="R56" i="7" s="1"/>
  <c r="R75" i="7" s="1"/>
  <c r="T51" i="7"/>
  <c r="T52" i="7" s="1"/>
  <c r="T74" i="7" s="1"/>
  <c r="R47" i="7"/>
  <c r="R48" i="7" s="1"/>
  <c r="R51" i="7"/>
  <c r="R52" i="7" s="1"/>
  <c r="R74" i="7" s="1"/>
  <c r="T47" i="7"/>
  <c r="T48" i="7" s="1"/>
  <c r="Q47" i="7"/>
  <c r="Q48" i="7" s="1"/>
  <c r="Q59" i="7"/>
  <c r="Q60" i="7" s="1"/>
  <c r="Q76" i="7" s="1"/>
  <c r="S55" i="7"/>
  <c r="S56" i="7" s="1"/>
  <c r="S75" i="7" s="1"/>
  <c r="S59" i="7"/>
  <c r="S60" i="7" s="1"/>
  <c r="S76" i="7" s="1"/>
  <c r="S47" i="7"/>
  <c r="S48" i="7" s="1"/>
  <c r="S73" i="7" s="1"/>
  <c r="S79" i="7" l="1"/>
  <c r="S83" i="7" s="1"/>
  <c r="Q77" i="7" a="1"/>
  <c r="Q77" i="7" s="1"/>
  <c r="T77" i="7" a="1"/>
  <c r="T77" i="7" s="1"/>
  <c r="T73" i="7"/>
  <c r="T79" i="7" s="1"/>
  <c r="T83" i="7" s="1"/>
  <c r="R73" i="7"/>
  <c r="R79" i="7" s="1"/>
  <c r="R83" i="7" s="1"/>
  <c r="R77" i="7" a="1"/>
  <c r="R77" i="7" s="1"/>
  <c r="S77" i="7" a="1"/>
  <c r="S77" i="7" s="1"/>
  <c r="Q73" i="7"/>
  <c r="Q79" i="7" s="1"/>
  <c r="Q83" i="7" s="1"/>
  <c r="S81" i="7" l="1"/>
  <c r="Q81" i="7"/>
  <c r="R81" i="7"/>
  <c r="T8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tc={AAC8F6E7-4CC5-44DA-AFE1-50B5B2FEBBC7}</author>
    <author>tc={F3D5955F-A7C0-4430-BFA5-E6A52139895A}</author>
    <author>tc={24544703-EB8D-46A3-AACC-5E76CD67C416}</author>
    <author>tc={908243D6-F8EA-4C3D-8B1B-6784D84DF3FE}</author>
    <author>tc={79314A04-19CA-4936-BE1B-AB6A40AF9825}</author>
    <author>tc={6CC72D14-D7AA-4448-9943-248CF29ACEF4}</author>
  </authors>
  <commentList>
    <comment ref="A7" authorId="0" shapeId="0" xr:uid="{AAC8F6E7-4CC5-44DA-AFE1-50B5B2FEBB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8" authorId="1" shapeId="0" xr:uid="{F3D5955F-A7C0-4430-BFA5-E6A5213989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18" authorId="2" shapeId="0" xr:uid="{24544703-EB8D-46A3-AACC-5E76CD67C4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https://www.amanatool.com/pub/media/productattachments/HSS-Aluminum-Speed-Chart-v5.pdf</t>
      </text>
    </comment>
    <comment ref="A22" authorId="3" shapeId="0" xr:uid="{908243D6-F8EA-4C3D-8B1B-6784D84DF3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https://www.amanatool.com/pub/media/productattachments/Solid-Carbide-Compression-Spirals-v9.pdf</t>
      </text>
    </comment>
    <comment ref="A24" authorId="4" shapeId="0" xr:uid="{79314A04-19CA-4936-BE1B-AB6A40AF98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https://www.amanatool.com/pub/media/productattachments/Spoilboard_2-Wing-Speed-Chart-v8.pdf</t>
      </text>
    </comment>
    <comment ref="A25" authorId="5" shapeId="0" xr:uid="{6CC72D14-D7AA-4448-9943-248CF29ACEF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https://www.amanatool.com/pub/media/productattachments/Carbide-Tipped-Spoilboard-3-4-Wing-Speed-Chart-v2.pdf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tc={EE284767-67E4-4974-B7F2-59056546A3F5}</author>
    <author>tc={C247414C-4368-4731-B161-A26716FA6036}</author>
  </authors>
  <commentList>
    <comment ref="A7" authorId="0" shapeId="0" xr:uid="{EE284767-67E4-4974-B7F2-59056546A3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https://www.enerpac.com/en-us/training/e/cutting-technology
Reply:
    http://www.mitsubishicarbide.com/en/technical_information/tec_rotating_tools/face_mills/tec_milling_formula/tec_milling_power_formula</t>
      </text>
    </comment>
    <comment ref="A19" authorId="1" shapeId="0" xr:uid="{C247414C-4368-4731-B161-A26716FA603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https://www.cutter-shop.com/information/chip-load-chart.html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<sst xmlns="http://schemas.openxmlformats.org/spreadsheetml/2006/main" count="1622" uniqueCount="718">
  <si>
    <t>Ball Screw Nominal Diameter</t>
  </si>
  <si>
    <t>Ball Screw Lead</t>
  </si>
  <si>
    <t>Ball Screw Root Diameter</t>
  </si>
  <si>
    <t>mm</t>
  </si>
  <si>
    <t>Nm</t>
  </si>
  <si>
    <t>rpm</t>
  </si>
  <si>
    <t>Critical Speed</t>
  </si>
  <si>
    <t>Ball Screw Length</t>
  </si>
  <si>
    <t>Max Speed</t>
  </si>
  <si>
    <t>Effective Max Speed</t>
  </si>
  <si>
    <t>mm/m</t>
  </si>
  <si>
    <t>in/m</t>
  </si>
  <si>
    <t>Time to Traverse</t>
  </si>
  <si>
    <t>s</t>
  </si>
  <si>
    <t>X Axis</t>
  </si>
  <si>
    <t>Y Axis</t>
  </si>
  <si>
    <t>Z Axis</t>
  </si>
  <si>
    <t>Buckling Load</t>
  </si>
  <si>
    <t>Max Force from Torque</t>
  </si>
  <si>
    <t>N</t>
  </si>
  <si>
    <t>Max Allowable Load</t>
  </si>
  <si>
    <t>Max Motor Torque</t>
  </si>
  <si>
    <t>Motor Torque at Max Speed</t>
  </si>
  <si>
    <t>Traverses with 1.5" 80% Shell Mill</t>
  </si>
  <si>
    <t>Axis Length</t>
  </si>
  <si>
    <t>in</t>
  </si>
  <si>
    <t>-</t>
  </si>
  <si>
    <t>Time to Face XY</t>
  </si>
  <si>
    <t>m</t>
  </si>
  <si>
    <t>Spindle Power</t>
  </si>
  <si>
    <t>Spindle Efficiency</t>
  </si>
  <si>
    <t>W</t>
  </si>
  <si>
    <t>%</t>
  </si>
  <si>
    <t>Cutting Face Width</t>
  </si>
  <si>
    <t>Cutting Depth</t>
  </si>
  <si>
    <t>Cutting Material</t>
  </si>
  <si>
    <t>Milling Power Factor (dull)</t>
  </si>
  <si>
    <t>hp/in^3/min</t>
  </si>
  <si>
    <t>W/mm^3/min</t>
  </si>
  <si>
    <t>Maximum Cutting Rate</t>
  </si>
  <si>
    <t>mm/min</t>
  </si>
  <si>
    <t>in/min</t>
  </si>
  <si>
    <t>{Aluminum,Wood,Steel}</t>
  </si>
  <si>
    <t>Cutting Power</t>
  </si>
  <si>
    <t>Aluminum</t>
  </si>
  <si>
    <t>Wood</t>
  </si>
  <si>
    <t>Steel</t>
  </si>
  <si>
    <t>Force at Max Cutting Rate</t>
  </si>
  <si>
    <t>Spoilboard Cutting</t>
  </si>
  <si>
    <t>Wood Milling</t>
  </si>
  <si>
    <t>Steel Milling</t>
  </si>
  <si>
    <t>Aluminum Face Milling</t>
  </si>
  <si>
    <t>Aluminum Side Milling</t>
  </si>
  <si>
    <t>High Power Spindle</t>
  </si>
  <si>
    <t>Low Power Spindle</t>
  </si>
  <si>
    <t>Tooth Load</t>
  </si>
  <si>
    <t>mm/tooth</t>
  </si>
  <si>
    <t>Spindle Speed (1 Flute)</t>
  </si>
  <si>
    <t>RPM</t>
  </si>
  <si>
    <t>#</t>
  </si>
  <si>
    <t>Max Spindle Speed</t>
  </si>
  <si>
    <t>kg</t>
  </si>
  <si>
    <t>Approximate total mass</t>
  </si>
  <si>
    <t>Approximate payload mass</t>
  </si>
  <si>
    <t>g</t>
  </si>
  <si>
    <t>Motors/axis</t>
  </si>
  <si>
    <t>Max Force when moving</t>
  </si>
  <si>
    <t>Medium Power Spindle</t>
  </si>
  <si>
    <t>Min Spindle Speed</t>
  </si>
  <si>
    <t>1G Accel Force</t>
  </si>
  <si>
    <t>lb</t>
  </si>
  <si>
    <t>Acceleration FOS</t>
  </si>
  <si>
    <t>Force on tool</t>
  </si>
  <si>
    <t>Carriage Width</t>
  </si>
  <si>
    <t>Lateral Bearing Spacing</t>
  </si>
  <si>
    <t>Axial Bearing Spacing</t>
  </si>
  <si>
    <t>Normal CG Offset</t>
  </si>
  <si>
    <t>Axial CG Offset</t>
  </si>
  <si>
    <t>Axial Acceleration</t>
  </si>
  <si>
    <t>m/s^2</t>
  </si>
  <si>
    <t>Normal Acceleration</t>
  </si>
  <si>
    <t>Lateral Acceleration</t>
  </si>
  <si>
    <t>Torque by Lateral Axis</t>
  </si>
  <si>
    <t>Torque by Normal Axis</t>
  </si>
  <si>
    <t>Torque by Axial Axis</t>
  </si>
  <si>
    <t>Lateral CG Offset</t>
  </si>
  <si>
    <t>Lateral Tool Offset</t>
  </si>
  <si>
    <t>Axial Tool Offset</t>
  </si>
  <si>
    <t>Normal Tool Offset</t>
  </si>
  <si>
    <t>X Axis Position</t>
  </si>
  <si>
    <t>Y Axis Position</t>
  </si>
  <si>
    <t>Z Axis Position</t>
  </si>
  <si>
    <t>Lateral Tool Force</t>
  </si>
  <si>
    <t>Axial Tool Force</t>
  </si>
  <si>
    <t>Normal Tool Force</t>
  </si>
  <si>
    <t>Axial Inertial Force</t>
  </si>
  <si>
    <t>Normal Inertial Force</t>
  </si>
  <si>
    <t>Lateral Inertial Force</t>
  </si>
  <si>
    <t>Normal By B2</t>
  </si>
  <si>
    <t>Normal By B3</t>
  </si>
  <si>
    <t>Normal By B4</t>
  </si>
  <si>
    <t>Lateral By B1</t>
  </si>
  <si>
    <t>Lateral By B2</t>
  </si>
  <si>
    <t>Lateral By B3</t>
  </si>
  <si>
    <t>Lateral By B4</t>
  </si>
  <si>
    <t>B1 Total Force</t>
  </si>
  <si>
    <t>B2 Total Force</t>
  </si>
  <si>
    <t>B3 Total Force</t>
  </si>
  <si>
    <t>B4 Total Force</t>
  </si>
  <si>
    <t>Max Individual Bearing Force</t>
  </si>
  <si>
    <t>Lateral Torque from Axial Inertial Load</t>
  </si>
  <si>
    <t>Lateral Torque from Axial Tool Load</t>
  </si>
  <si>
    <t>Lateral Torque from Normal Inertial Load</t>
  </si>
  <si>
    <t>Lateral Torque from Normal Tool Load</t>
  </si>
  <si>
    <t>Total Stage Mass</t>
  </si>
  <si>
    <t>Axial Torque from Lateral Inertial Load</t>
  </si>
  <si>
    <t>Axial Torque from Lateral Tool Load</t>
  </si>
  <si>
    <t>Axial Torque from Normal Inertial Load</t>
  </si>
  <si>
    <t>Axial Torque from Normal Tool Load</t>
  </si>
  <si>
    <t>Normal Torque from Lateral Inertial Load</t>
  </si>
  <si>
    <t>Normal Torque from Lateral Tool Load</t>
  </si>
  <si>
    <t>Normal Torque from Axial Inertial Load</t>
  </si>
  <si>
    <t>Normal Torque from Axial Tool Load</t>
  </si>
  <si>
    <t>Normal By B1</t>
  </si>
  <si>
    <t>B1 Normal from Normal</t>
  </si>
  <si>
    <t>B1 Normal from Lateral Torque</t>
  </si>
  <si>
    <t>B1 Normal from Axial Torque</t>
  </si>
  <si>
    <t>B2 Normal from Normal</t>
  </si>
  <si>
    <t>B2 Normal from Lateral Torque</t>
  </si>
  <si>
    <t>B2 Normal from Axial Torque</t>
  </si>
  <si>
    <t>B3 Normal from Normal</t>
  </si>
  <si>
    <t>B3 Normal from Lateral Torque</t>
  </si>
  <si>
    <t>B3 Normal from Axial Torque</t>
  </si>
  <si>
    <t>B4 Normal from Normal</t>
  </si>
  <si>
    <t>B4 Normal from Lateral Torque</t>
  </si>
  <si>
    <t>B4 Normal from Axial Torque</t>
  </si>
  <si>
    <t>B1 Lateral from Lateral</t>
  </si>
  <si>
    <t>B1 Lateral from Normal Torque</t>
  </si>
  <si>
    <t>Max Dynamic Bearing Load</t>
  </si>
  <si>
    <t>Max Static Bearing Load</t>
  </si>
  <si>
    <t>Max Normal Bearing Force</t>
  </si>
  <si>
    <t>Max Lateral Bearing Force</t>
  </si>
  <si>
    <t>Max Dynamic Lateral Force</t>
  </si>
  <si>
    <t>Max Dynamic Normal Force</t>
  </si>
  <si>
    <t>Max Axial Moment</t>
  </si>
  <si>
    <t>Max Lateral Moment</t>
  </si>
  <si>
    <t>Max Normal Moment</t>
  </si>
  <si>
    <t>Gantry Length</t>
  </si>
  <si>
    <t>mm^4</t>
  </si>
  <si>
    <t>Max Lateral Force</t>
  </si>
  <si>
    <t>Max Axial Force</t>
  </si>
  <si>
    <t>Max Normal Force</t>
  </si>
  <si>
    <t>Modulus of Elasticity</t>
  </si>
  <si>
    <t>N/mm^2</t>
  </si>
  <si>
    <t>Lateral Deflection from Lateral Load (fixed)</t>
  </si>
  <si>
    <t>Normal Deflection from Normal Load (fixed)</t>
  </si>
  <si>
    <t>Aluminum Finish Pass</t>
  </si>
  <si>
    <t>Actual Cutting Rate</t>
  </si>
  <si>
    <t>Actual Cutting Power</t>
  </si>
  <si>
    <t>Finish Pass</t>
  </si>
  <si>
    <t>Modulus of Rigidity</t>
  </si>
  <si>
    <t>Angular Deflection from Axial Moment</t>
  </si>
  <si>
    <t>rad</t>
  </si>
  <si>
    <t>Crash Bearing Force</t>
  </si>
  <si>
    <t>Ludicrous Power Spindle</t>
  </si>
  <si>
    <t>Characteristic Volume</t>
  </si>
  <si>
    <t>mm^3</t>
  </si>
  <si>
    <t>Characteristic Volume Time</t>
  </si>
  <si>
    <t>min</t>
  </si>
  <si>
    <t>Max Free Acceleration</t>
  </si>
  <si>
    <t>Max Cut Force</t>
  </si>
  <si>
    <t>Max Cutting Acceleration</t>
  </si>
  <si>
    <t>Motor Torque at Cutting Speed</t>
  </si>
  <si>
    <t>Max Motor Speed</t>
  </si>
  <si>
    <t>Max Cut Motor Speed</t>
  </si>
  <si>
    <t>Max Cut Tool Speed</t>
  </si>
  <si>
    <t>Max Force When Cutting</t>
  </si>
  <si>
    <t>Speed</t>
  </si>
  <si>
    <t>Torque</t>
  </si>
  <si>
    <t>Power</t>
  </si>
  <si>
    <t>Speed (rpm)</t>
  </si>
  <si>
    <t>Axis</t>
  </si>
  <si>
    <t>X</t>
  </si>
  <si>
    <t>Z</t>
  </si>
  <si>
    <t>Y</t>
  </si>
  <si>
    <t>Stage Mass Estimate</t>
  </si>
  <si>
    <t>Target Acceleration</t>
  </si>
  <si>
    <t>Inertial Load</t>
  </si>
  <si>
    <t>Inertial Mass Estimate</t>
  </si>
  <si>
    <t>Wood Cutting Speed</t>
  </si>
  <si>
    <t>IPM</t>
  </si>
  <si>
    <t>Aluminum Cutting Speed</t>
  </si>
  <si>
    <t>Wood Cutting Force</t>
  </si>
  <si>
    <t>Aluminum Cutting Force</t>
  </si>
  <si>
    <t>Wood Cutting Power</t>
  </si>
  <si>
    <t>Aluminum Cutting Power</t>
  </si>
  <si>
    <t>Max Cutting Power</t>
  </si>
  <si>
    <t>Max Cutting Speed</t>
  </si>
  <si>
    <t>Min Screw Pitch</t>
  </si>
  <si>
    <t>Selected Screw Pitch</t>
  </si>
  <si>
    <t>Wood Cutting Torque</t>
  </si>
  <si>
    <t>Aluminum Cutting Torque</t>
  </si>
  <si>
    <t>Torque FOS</t>
  </si>
  <si>
    <t>Desired Wood Cutting Torque</t>
  </si>
  <si>
    <t>Desired Aluminum Cutting Torque</t>
  </si>
  <si>
    <t>Available Wood Cutting Torque</t>
  </si>
  <si>
    <t>Available Aluminum Cutting Torque</t>
  </si>
  <si>
    <t>Number of Motors</t>
  </si>
  <si>
    <t>Wood Cutting Margin</t>
  </si>
  <si>
    <t>Aluminum Cutting Margin</t>
  </si>
  <si>
    <t>Max Rapid Speed</t>
  </si>
  <si>
    <t>Min Critical Speed</t>
  </si>
  <si>
    <t>Axis Range of Motion</t>
  </si>
  <si>
    <t>Screw Length</t>
  </si>
  <si>
    <t>Screw Length Selected</t>
  </si>
  <si>
    <t>Minimum Root Diameter</t>
  </si>
  <si>
    <t>Minimum Root Diameter (screw whip)</t>
  </si>
  <si>
    <t>Stall Torque</t>
  </si>
  <si>
    <t>Current Limiting Factor</t>
  </si>
  <si>
    <t>Number of Screws</t>
  </si>
  <si>
    <t>Minimum Root Diameter (buckling)</t>
  </si>
  <si>
    <t>Compressive Screw Length</t>
  </si>
  <si>
    <t>Root Diameter</t>
  </si>
  <si>
    <t>Approximate Screw Diameter</t>
  </si>
  <si>
    <t>Screw Diameter Selected</t>
  </si>
  <si>
    <t>Cutting Radius</t>
  </si>
  <si>
    <t>Power on tool</t>
  </si>
  <si>
    <t>Flutes Required on Endmill at max RPM</t>
  </si>
  <si>
    <t>Flutes Required on Endmill at min RPM</t>
  </si>
  <si>
    <t>in/tooth</t>
  </si>
  <si>
    <t>Diameter</t>
  </si>
  <si>
    <t>Max RPM</t>
  </si>
  <si>
    <t>Flutes</t>
  </si>
  <si>
    <t>Work Material</t>
  </si>
  <si>
    <t>Tool Style</t>
  </si>
  <si>
    <t>HSS End Mill</t>
  </si>
  <si>
    <t>Soft Wood</t>
  </si>
  <si>
    <t>Max DOC</t>
  </si>
  <si>
    <t>Hard Wood</t>
  </si>
  <si>
    <t>Power Factor</t>
  </si>
  <si>
    <t>rev/min</t>
  </si>
  <si>
    <t>hp/in^3/m</t>
  </si>
  <si>
    <t>AOC/HP</t>
  </si>
  <si>
    <t>in^2/HP</t>
  </si>
  <si>
    <t>in/HP</t>
  </si>
  <si>
    <t>HP</t>
  </si>
  <si>
    <t>Target Chip Load</t>
  </si>
  <si>
    <t>Target Feed Rate</t>
  </si>
  <si>
    <t>Carbide End Mill</t>
  </si>
  <si>
    <t>Mild Steel</t>
  </si>
  <si>
    <t>Stainless Steel</t>
  </si>
  <si>
    <t>Flycutter</t>
  </si>
  <si>
    <t>Hardwood Slot Cutting</t>
  </si>
  <si>
    <t>Aluminum Slot Cutting</t>
  </si>
  <si>
    <t>Hardwood Profiling</t>
  </si>
  <si>
    <t>Aluminum Profiling</t>
  </si>
  <si>
    <t>Rated Spindle Speed</t>
  </si>
  <si>
    <t>Rated Spindle Power</t>
  </si>
  <si>
    <t>Max Continuous Spindle Power</t>
  </si>
  <si>
    <t>Steel Slot Cutting</t>
  </si>
  <si>
    <t>Steel Profiling</t>
  </si>
  <si>
    <t>Tool Diameter</t>
  </si>
  <si>
    <t>Flute Count</t>
  </si>
  <si>
    <t>Width of cut</t>
  </si>
  <si>
    <t>Target Speed</t>
  </si>
  <si>
    <t>Target Tooth Load</t>
  </si>
  <si>
    <t>Max Area of Cut</t>
  </si>
  <si>
    <t>in^2</t>
  </si>
  <si>
    <t>Target Width of cut</t>
  </si>
  <si>
    <t>Name</t>
  </si>
  <si>
    <t>Tool</t>
  </si>
  <si>
    <t>Available Power at Speed</t>
  </si>
  <si>
    <t>W/in^3/min</t>
  </si>
  <si>
    <t>1.5" 2F Flycutter on Soft Wood</t>
  </si>
  <si>
    <t>1.125" 3F Flycutter on Soft Wood</t>
  </si>
  <si>
    <t>Cutting Torque</t>
  </si>
  <si>
    <t>Tangential Force</t>
  </si>
  <si>
    <t>0.3125" 2F HSS End Mill on Aluminum</t>
  </si>
  <si>
    <t>Tangential Power</t>
  </si>
  <si>
    <t>Max Spindle Torque</t>
  </si>
  <si>
    <t>0.1875" 3F Carbide End Mill on Mild Steel</t>
  </si>
  <si>
    <t>Spindle Utilization</t>
  </si>
  <si>
    <t>Max Tangential Force</t>
  </si>
  <si>
    <t>Max Tangential Power</t>
  </si>
  <si>
    <t>Power Limited Max depth of cut</t>
  </si>
  <si>
    <t>Geometry Limited Max Depth of Cut</t>
  </si>
  <si>
    <t>Depth of Cut</t>
  </si>
  <si>
    <t>0.375" 3F Carbide End Mill on Hard Wood</t>
  </si>
  <si>
    <t>Shoulder DOC/HP</t>
  </si>
  <si>
    <t>Max Power</t>
  </si>
  <si>
    <t>Max Axial DOC</t>
  </si>
  <si>
    <t>Target Radial DOC</t>
  </si>
  <si>
    <t>Part Number</t>
  </si>
  <si>
    <t>RC-2248</t>
  </si>
  <si>
    <t>RC-2265</t>
  </si>
  <si>
    <t>HSS1641</t>
  </si>
  <si>
    <t>Torque at 100%</t>
  </si>
  <si>
    <t>Force at 100%</t>
  </si>
  <si>
    <t>Power at 100% Utilization</t>
  </si>
  <si>
    <t>Frame Size</t>
  </si>
  <si>
    <t>PN</t>
  </si>
  <si>
    <t>Voltage</t>
  </si>
  <si>
    <t>HT17-071</t>
  </si>
  <si>
    <t>rot/s</t>
  </si>
  <si>
    <t>oz-in</t>
  </si>
  <si>
    <t>V</t>
  </si>
  <si>
    <t>Applied Motion</t>
  </si>
  <si>
    <t>NEMA</t>
  </si>
  <si>
    <t>https://www.applied-motion.com/sites/default/files/STR_speed-torque.pdf</t>
  </si>
  <si>
    <t>HT23-398</t>
  </si>
  <si>
    <t>HT24-105</t>
  </si>
  <si>
    <t>HT34-505</t>
  </si>
  <si>
    <t>HT34-486</t>
  </si>
  <si>
    <t>Power with Inertia</t>
  </si>
  <si>
    <t>Buckling Margin</t>
  </si>
  <si>
    <t>rps</t>
  </si>
  <si>
    <t>Ncm</t>
  </si>
  <si>
    <t>Watt</t>
  </si>
  <si>
    <t>Min Motor Speed</t>
  </si>
  <si>
    <t>Max Screw Pitch</t>
  </si>
  <si>
    <t>Buckling Strength</t>
  </si>
  <si>
    <t>Screw Whip Margin</t>
  </si>
  <si>
    <t>Rapid Torque FOS</t>
  </si>
  <si>
    <t>Zero Margin Rapid Torque / Motor</t>
  </si>
  <si>
    <t>Screw Whip Max Speed</t>
  </si>
  <si>
    <t>Stall Force</t>
  </si>
  <si>
    <t>Torque (75%)</t>
  </si>
  <si>
    <t>Power (75%)</t>
  </si>
  <si>
    <t>Torque (100%)</t>
  </si>
  <si>
    <t>Power (100%)</t>
  </si>
  <si>
    <t>Torque (50%)</t>
  </si>
  <si>
    <t>Power (50%)</t>
  </si>
  <si>
    <t>Rapid Speed</t>
  </si>
  <si>
    <t>Idle</t>
  </si>
  <si>
    <t>Z Axis Acceleration</t>
  </si>
  <si>
    <t>X Axis Acceleration</t>
  </si>
  <si>
    <t>Y Axis Acceleration</t>
  </si>
  <si>
    <t>X Axis Stall</t>
  </si>
  <si>
    <t>Y Axis Stall</t>
  </si>
  <si>
    <t>Z Axis Stall</t>
  </si>
  <si>
    <t>X Axis Cutting, while ALL Accelerating</t>
  </si>
  <si>
    <t>Y Axis Cutting, while ALL Accelerating</t>
  </si>
  <si>
    <t>ALL Axes Accelerating</t>
  </si>
  <si>
    <t>ALL Axes Stall</t>
  </si>
  <si>
    <t>ALL Axes 20G Crash</t>
  </si>
  <si>
    <t>Actual Range of Motion</t>
  </si>
  <si>
    <t>Axial Tool Offset from CG</t>
  </si>
  <si>
    <t>Normal Spindle Offset</t>
  </si>
  <si>
    <t>Output Change</t>
  </si>
  <si>
    <t>Input Change</t>
  </si>
  <si>
    <t>Factor of Safety, Static Load</t>
  </si>
  <si>
    <t>Representative Load</t>
  </si>
  <si>
    <t>Normal spacing from Z Axis</t>
  </si>
  <si>
    <t>Finish Pass (Stiffness)</t>
  </si>
  <si>
    <t>Normal Z Axis Offset</t>
  </si>
  <si>
    <t>Axial offset to X axis</t>
  </si>
  <si>
    <t>Normal offset to X axis</t>
  </si>
  <si>
    <t>Static axial CG offset</t>
  </si>
  <si>
    <t>Normal CG offset from Z</t>
  </si>
  <si>
    <t>Normal CG offset from X</t>
  </si>
  <si>
    <t>Normal CG offset from Y</t>
  </si>
  <si>
    <t>Normal Offset to X Axis</t>
  </si>
  <si>
    <t>Axial Offset to X Axis</t>
  </si>
  <si>
    <t>ALL Axes Stall while ALL Accelerating</t>
  </si>
  <si>
    <t>All Axes Stall</t>
  </si>
  <si>
    <t>ALL Axes Stall while Accelerating</t>
  </si>
  <si>
    <t>Max Load Case (with FOS)</t>
  </si>
  <si>
    <t>Bearing Capacity</t>
  </si>
  <si>
    <t>HGW20-CA</t>
  </si>
  <si>
    <t>Bearing Margin</t>
  </si>
  <si>
    <t>Bearing Axial Spacing</t>
  </si>
  <si>
    <t>Bearing Lateral Spacing</t>
  </si>
  <si>
    <t>Bearing Height</t>
  </si>
  <si>
    <t>Axial CG Offset from bearings at down</t>
  </si>
  <si>
    <t>Lateral Position of Z Axis Bearings</t>
  </si>
  <si>
    <t>Static Lateral CG Offset</t>
  </si>
  <si>
    <t>Lateral Z axis CG Offset</t>
  </si>
  <si>
    <t>Static Normal CG Offset</t>
  </si>
  <si>
    <t>Min Rail Length</t>
  </si>
  <si>
    <t>Screw Losses Estimate</t>
  </si>
  <si>
    <t>Stage Mass</t>
  </si>
  <si>
    <t>mm/s</t>
  </si>
  <si>
    <t>Crash Energy</t>
  </si>
  <si>
    <t>mm^2</t>
  </si>
  <si>
    <t>N*mm</t>
  </si>
  <si>
    <t>Max Stress</t>
  </si>
  <si>
    <t>N/mm</t>
  </si>
  <si>
    <t>Total Crash Force</t>
  </si>
  <si>
    <t>MPa</t>
  </si>
  <si>
    <t>Urethane-Product-Guide-Applications-RevJan2014.pdf (harknessindustries.com)</t>
  </si>
  <si>
    <t>Target Deceleration</t>
  </si>
  <si>
    <t>mm/s^2</t>
  </si>
  <si>
    <t>Target Decel Force</t>
  </si>
  <si>
    <t>Urethane Durometer</t>
  </si>
  <si>
    <t>90A</t>
  </si>
  <si>
    <t>Target Total Strain</t>
  </si>
  <si>
    <t>Target Decel Strain</t>
  </si>
  <si>
    <t>Target Stall Strain</t>
  </si>
  <si>
    <t>Target Bumper Area</t>
  </si>
  <si>
    <t>MPA</t>
  </si>
  <si>
    <t>Selected Length</t>
  </si>
  <si>
    <t>Selected Thickness</t>
  </si>
  <si>
    <t>Selected Area</t>
  </si>
  <si>
    <t>Decel Strain</t>
  </si>
  <si>
    <t>Decel Force</t>
  </si>
  <si>
    <t>Decel Max Rate</t>
  </si>
  <si>
    <t>Stall Strain</t>
  </si>
  <si>
    <t>Total Strain</t>
  </si>
  <si>
    <t>Total Force</t>
  </si>
  <si>
    <t>Moment arm</t>
  </si>
  <si>
    <t>Moment</t>
  </si>
  <si>
    <t>Nmm</t>
  </si>
  <si>
    <t>Bracket Thickness</t>
  </si>
  <si>
    <t>Bracket Inertia</t>
  </si>
  <si>
    <t>Bracket Width</t>
  </si>
  <si>
    <t>Yield Strength</t>
  </si>
  <si>
    <t>FOS Yield</t>
  </si>
  <si>
    <t>MOS Yield</t>
  </si>
  <si>
    <t>Hard Stop Range of Motion</t>
  </si>
  <si>
    <t>Flag Height</t>
  </si>
  <si>
    <t>Sensor Diameter</t>
  </si>
  <si>
    <t>Sensor Overlap to Trigger</t>
  </si>
  <si>
    <t>Range of Trigger</t>
  </si>
  <si>
    <t>Desired Buffer</t>
  </si>
  <si>
    <t>Center Spacing</t>
  </si>
  <si>
    <t>1G stopping distance</t>
  </si>
  <si>
    <t>lbs/inch</t>
  </si>
  <si>
    <t>Ideal Decel Distance</t>
  </si>
  <si>
    <t>Ideal Spring Rate</t>
  </si>
  <si>
    <t>Max Compression at Ideal Rate</t>
  </si>
  <si>
    <t>Max Thickness</t>
  </si>
  <si>
    <t>Material chart generated through the mapping process outline by Dr.... | Download Scientific Diagram (researchgate.net)</t>
  </si>
  <si>
    <t>lbs/in</t>
  </si>
  <si>
    <t>Min Stress/Elasticity</t>
  </si>
  <si>
    <t>Stress FOS</t>
  </si>
  <si>
    <t>60A</t>
  </si>
  <si>
    <t>75A</t>
  </si>
  <si>
    <t>85A</t>
  </si>
  <si>
    <t>95A</t>
  </si>
  <si>
    <t>60D</t>
  </si>
  <si>
    <t>modulus</t>
  </si>
  <si>
    <t>yield strain</t>
  </si>
  <si>
    <t>strength, psi</t>
  </si>
  <si>
    <t>strength, mpa</t>
  </si>
  <si>
    <t>Selected Bumper Width</t>
  </si>
  <si>
    <t>Ideal Bumper Length</t>
  </si>
  <si>
    <t>Ideal Bumper Thickness</t>
  </si>
  <si>
    <t>Ideal Length</t>
  </si>
  <si>
    <t>A</t>
  </si>
  <si>
    <t>B</t>
  </si>
  <si>
    <t>C</t>
  </si>
  <si>
    <t>kg*mm/s^2</t>
  </si>
  <si>
    <t>s^2/mm</t>
  </si>
  <si>
    <t>Desired Spring Rate</t>
  </si>
  <si>
    <t>Selected Spring Rate</t>
  </si>
  <si>
    <t>Min Width</t>
  </si>
  <si>
    <t>Z+</t>
  </si>
  <si>
    <t>Z-</t>
  </si>
  <si>
    <t>Distance Between Hard Stops</t>
  </si>
  <si>
    <t>Distance Between Plate Edges</t>
  </si>
  <si>
    <t>Mechanical Travel Distance</t>
  </si>
  <si>
    <t>Deceleration Distance</t>
  </si>
  <si>
    <t>Sensor Offset</t>
  </si>
  <si>
    <t>Software Offset</t>
  </si>
  <si>
    <t>Usable Range</t>
  </si>
  <si>
    <t>kgf/um</t>
  </si>
  <si>
    <t>Angular Deflection from Normal Moment</t>
  </si>
  <si>
    <t>Angular Deflection from Lateral Moment</t>
  </si>
  <si>
    <t>Normal Deflection from Axial Moment</t>
  </si>
  <si>
    <t>Axial Deflection from Normal Moment</t>
  </si>
  <si>
    <t>Axial Deflection from Lateral Moment</t>
  </si>
  <si>
    <t>Total Lateral Deflection</t>
  </si>
  <si>
    <t>Total Normal Deflection</t>
  </si>
  <si>
    <t>Total Axial Deflection</t>
  </si>
  <si>
    <t>Total Tangential Deflection</t>
  </si>
  <si>
    <t>Lateral Ball Nut Stiffness</t>
  </si>
  <si>
    <t>Axial Ball Nut Stiffness</t>
  </si>
  <si>
    <t>Normal Ball Nut Stiffness</t>
  </si>
  <si>
    <t>Lateral Ball Nut Deflection</t>
  </si>
  <si>
    <t>Axial Ball Nut Deflection</t>
  </si>
  <si>
    <t>Normal Ball Nut Deflection</t>
  </si>
  <si>
    <t>Max Hog X</t>
  </si>
  <si>
    <t>Max Hog Y</t>
  </si>
  <si>
    <t>Total Tangential Force</t>
  </si>
  <si>
    <t>Equivalent Tangential Stiffness</t>
  </si>
  <si>
    <t>Head Mass</t>
  </si>
  <si>
    <t>Hz</t>
  </si>
  <si>
    <t>Natural Frequency of Total Deflection</t>
  </si>
  <si>
    <t>One Flute RPM Resonance</t>
  </si>
  <si>
    <t>Two Flute RPM Resonance</t>
  </si>
  <si>
    <t>Gantry Area Moment of Inertia (Normal)</t>
  </si>
  <si>
    <t>Gantry Width</t>
  </si>
  <si>
    <t>Gantry Height</t>
  </si>
  <si>
    <t>Gantry Thickness</t>
  </si>
  <si>
    <t>Gantry Area Moment of Inertia (Lateral)</t>
  </si>
  <si>
    <t>Gantry Polar Moment of Inertia</t>
  </si>
  <si>
    <t>Riser Width</t>
  </si>
  <si>
    <t>Riser Height</t>
  </si>
  <si>
    <t>Riser Thickness</t>
  </si>
  <si>
    <t>Riser Area Moment of Inertia (Normal)</t>
  </si>
  <si>
    <t>Riser Plate Thickness</t>
  </si>
  <si>
    <t>Riser Plate Area Moment of Inertia (Normal)</t>
  </si>
  <si>
    <t>Riser Moment of Inertia (Normal)</t>
  </si>
  <si>
    <t>Max Hog XY</t>
  </si>
  <si>
    <t>FEA Lateral Deflection</t>
  </si>
  <si>
    <t>FEA Axial Deflection</t>
  </si>
  <si>
    <t>FEA Normal Deflection</t>
  </si>
  <si>
    <t>Riser Area Moment of Inertia (Offset)</t>
  </si>
  <si>
    <t>Riser Plate Area Moment of Inertia (Offset)</t>
  </si>
  <si>
    <t>Normal Deflection from Normal Load (simple)</t>
  </si>
  <si>
    <t>Lateral Deflection from Lateral Load (simple)</t>
  </si>
  <si>
    <t>Lateral Deflection from Lateral Load (avg)</t>
  </si>
  <si>
    <t>Riser Area Moment of Inertia (Axial)</t>
  </si>
  <si>
    <t>Lateral Deflection from Axial Moment</t>
  </si>
  <si>
    <t>Riser Neutral Bias Into Extrusion</t>
  </si>
  <si>
    <t>Riser Length Equivalent</t>
  </si>
  <si>
    <t>X Pass (Stiffness)</t>
  </si>
  <si>
    <t>Y Pass (Stiffness)</t>
  </si>
  <si>
    <t>XY Pass (Stiffness)</t>
  </si>
  <si>
    <t>TEST</t>
  </si>
  <si>
    <t>Normal Deflection of Gantry from Normal Load (avg)</t>
  </si>
  <si>
    <t>Axial Deflection from Axial Load</t>
  </si>
  <si>
    <t>Steel Gantry Max Hog Y</t>
  </si>
  <si>
    <t>Extra Tube Max Hog Y</t>
  </si>
  <si>
    <t>Gantry Area</t>
  </si>
  <si>
    <t>Density</t>
  </si>
  <si>
    <t>Gantry Mass</t>
  </si>
  <si>
    <t>Gantry Volume</t>
  </si>
  <si>
    <t>cm^3</t>
  </si>
  <si>
    <t>g/cm^3</t>
  </si>
  <si>
    <t>Extra Tube Max Hog XY</t>
  </si>
  <si>
    <t>Extra Tube Max Hog X</t>
  </si>
  <si>
    <t>Extra tube Finish</t>
  </si>
  <si>
    <t>Screw Elasticity</t>
  </si>
  <si>
    <t>Screw Axial Stiffness</t>
  </si>
  <si>
    <t>Screw Rigidity</t>
  </si>
  <si>
    <t>N/mm2</t>
  </si>
  <si>
    <t>mm4</t>
  </si>
  <si>
    <t>Screw Inertia</t>
  </si>
  <si>
    <t>Screw Stiffness</t>
  </si>
  <si>
    <t>Nm/rad</t>
  </si>
  <si>
    <t>Motor Stiffness</t>
  </si>
  <si>
    <t>Motor Stiffness (wood)</t>
  </si>
  <si>
    <t>Motor Stiffness (aluminum)</t>
  </si>
  <si>
    <t>Z Axis Carriage Width</t>
  </si>
  <si>
    <t>Z Axis Carriage Thickness</t>
  </si>
  <si>
    <t>Z Axis Carriage Moment of Inertia</t>
  </si>
  <si>
    <t>Normal Deflection from Normal Load</t>
  </si>
  <si>
    <t>Angular Deflection from Normal Load</t>
  </si>
  <si>
    <t>Tube Risers Max Hog X</t>
  </si>
  <si>
    <t>Length</t>
  </si>
  <si>
    <t>(screw to floor)</t>
  </si>
  <si>
    <t>half of Y, all of X/Z, on one leg</t>
  </si>
  <si>
    <t>Deceleration</t>
  </si>
  <si>
    <t>Support Moment Arm</t>
  </si>
  <si>
    <t>t slot joint to center of diagonal intercetion on leg</t>
  </si>
  <si>
    <t>Horizontal Support Force</t>
  </si>
  <si>
    <t>Support arm angle</t>
  </si>
  <si>
    <t>deg</t>
  </si>
  <si>
    <t>Base Mass</t>
  </si>
  <si>
    <t>reacted by friction on the ground</t>
  </si>
  <si>
    <t>Total Mass</t>
  </si>
  <si>
    <t>total Weight</t>
  </si>
  <si>
    <t>Required Friction</t>
  </si>
  <si>
    <t>between feet and concrete. &lt;0.1 would be nice…</t>
  </si>
  <si>
    <t>Leg Moment</t>
  </si>
  <si>
    <t>worst case, single leg</t>
  </si>
  <si>
    <t>Axial support force</t>
  </si>
  <si>
    <t>Support width</t>
  </si>
  <si>
    <t>Support thickness</t>
  </si>
  <si>
    <t>Elasticity</t>
  </si>
  <si>
    <t>Support Length</t>
  </si>
  <si>
    <t>Euler Critical Load</t>
  </si>
  <si>
    <t>200GPa steel, 70 AL</t>
  </si>
  <si>
    <t>Lowes</t>
  </si>
  <si>
    <t>Tslot</t>
  </si>
  <si>
    <t>Steel Plate</t>
  </si>
  <si>
    <t>Al Plate</t>
  </si>
  <si>
    <t>Support cross Section Inertia</t>
  </si>
  <si>
    <t>COTS gusset</t>
  </si>
  <si>
    <t>COTS plate</t>
  </si>
  <si>
    <t>K factor</t>
  </si>
  <si>
    <t>1=pinned both, 0.7=pinned one fixed one</t>
  </si>
  <si>
    <t>Lowes Anchored</t>
  </si>
  <si>
    <t>Al Strip</t>
  </si>
  <si>
    <t>Lowes Anchored Reversed</t>
  </si>
  <si>
    <t>Al 3x4 Plate</t>
  </si>
  <si>
    <t>Stand mass</t>
  </si>
  <si>
    <t>Inertia Y</t>
  </si>
  <si>
    <t>Inertia X</t>
  </si>
  <si>
    <t>Force Y</t>
  </si>
  <si>
    <t>Force X</t>
  </si>
  <si>
    <t>Carriage Mass</t>
  </si>
  <si>
    <t>Single Leg Mass Y</t>
  </si>
  <si>
    <t>Single Leg Force Y</t>
  </si>
  <si>
    <t>Double Leg Mass Y</t>
  </si>
  <si>
    <t>Doule Leg Force Y</t>
  </si>
  <si>
    <t>Single Leg Mass X</t>
  </si>
  <si>
    <t>Single Leg Force X</t>
  </si>
  <si>
    <t>Deflection Y</t>
  </si>
  <si>
    <t>Mpa = N/mm^2</t>
  </si>
  <si>
    <t>Deflection X</t>
  </si>
  <si>
    <t>Stiffness Y</t>
  </si>
  <si>
    <t>Stiffness X</t>
  </si>
  <si>
    <t>natural Freq Y</t>
  </si>
  <si>
    <t>Natural Freq X</t>
  </si>
  <si>
    <t>Table mass (optional)</t>
  </si>
  <si>
    <t>Support Area</t>
  </si>
  <si>
    <t>Support Stress</t>
  </si>
  <si>
    <t>mm2</t>
  </si>
  <si>
    <t>MOS 3 Buckling</t>
  </si>
  <si>
    <t>Yield</t>
  </si>
  <si>
    <t>MOS 3 Yield</t>
  </si>
  <si>
    <t>Gusset Deflection</t>
  </si>
  <si>
    <t>Gusset Deflection at foot</t>
  </si>
  <si>
    <t>Mass Y</t>
  </si>
  <si>
    <t>Mass X</t>
  </si>
  <si>
    <t>Min NF</t>
  </si>
  <si>
    <t>Period</t>
  </si>
  <si>
    <t>Accel Time</t>
  </si>
  <si>
    <t>Max Distance</t>
  </si>
  <si>
    <t>Material removal Rate</t>
  </si>
  <si>
    <t>in^3/s</t>
  </si>
  <si>
    <t>Static normal CG offset</t>
  </si>
  <si>
    <t>Linked Max Rapid Speed</t>
  </si>
  <si>
    <t>Screw Whiping Length</t>
  </si>
  <si>
    <t>Width</t>
  </si>
  <si>
    <t>Height</t>
  </si>
  <si>
    <t>Thickness</t>
  </si>
  <si>
    <t>Lateral Inertia</t>
  </si>
  <si>
    <t>Normal Inertia</t>
  </si>
  <si>
    <t>Area</t>
  </si>
  <si>
    <t>PrintNC 50100</t>
  </si>
  <si>
    <t>PrintNC 100100</t>
  </si>
  <si>
    <t>TS80160+100100</t>
  </si>
  <si>
    <t>AL150150</t>
  </si>
  <si>
    <t>Lat I/A</t>
  </si>
  <si>
    <t>Norm I/A</t>
  </si>
  <si>
    <t>Natural Frequency</t>
  </si>
  <si>
    <t>rad/s</t>
  </si>
  <si>
    <t>Damping ratio</t>
  </si>
  <si>
    <t>Critical damping</t>
  </si>
  <si>
    <t>Real damping</t>
  </si>
  <si>
    <t>energy Amplitude</t>
  </si>
  <si>
    <t>1/2*m*v^2</t>
  </si>
  <si>
    <t>J</t>
  </si>
  <si>
    <t>max speed</t>
  </si>
  <si>
    <t>m/s</t>
  </si>
  <si>
    <t>position amplitude</t>
  </si>
  <si>
    <t>kg*rad/s</t>
  </si>
  <si>
    <t>Ns/m</t>
  </si>
  <si>
    <t>kg*m^2/s^2; J*s/m^2</t>
  </si>
  <si>
    <t>Force at max amplitude</t>
  </si>
  <si>
    <t>Max Moment</t>
  </si>
  <si>
    <t>Neutral Axis</t>
  </si>
  <si>
    <t>stress</t>
  </si>
  <si>
    <t>Mpa</t>
  </si>
  <si>
    <t>yield</t>
  </si>
  <si>
    <t>Material</t>
  </si>
  <si>
    <t>Loss Factor (2*damp ratio)</t>
  </si>
  <si>
    <t>Plywood</t>
  </si>
  <si>
    <t>Rubber</t>
  </si>
  <si>
    <t>dense concrete</t>
  </si>
  <si>
    <t>light Concrete</t>
  </si>
  <si>
    <t>Oak</t>
  </si>
  <si>
    <t>Table Beam Inertia</t>
  </si>
  <si>
    <t>Table Beam Length</t>
  </si>
  <si>
    <t>Blocking Spacing, X (from outside)</t>
  </si>
  <si>
    <t>Cross Member Spacing, Y (from outside)</t>
  </si>
  <si>
    <t>Table Width, X</t>
  </si>
  <si>
    <t>Table Length, Y</t>
  </si>
  <si>
    <t>Junction Distance, X</t>
  </si>
  <si>
    <t>Junction Moment, Y</t>
  </si>
  <si>
    <t>Load Distribution to Beam (X)</t>
  </si>
  <si>
    <t>Beam Load</t>
  </si>
  <si>
    <t>Blocking Load</t>
  </si>
  <si>
    <t>Down Force (Half)</t>
  </si>
  <si>
    <t>Blocking I</t>
  </si>
  <si>
    <t>Beam I</t>
  </si>
  <si>
    <t>Beam Deflection</t>
  </si>
  <si>
    <t>Bloking Deflection</t>
  </si>
  <si>
    <t>Beam Length</t>
  </si>
  <si>
    <t>Blockin Length</t>
  </si>
  <si>
    <t>Lateral Deflection of Table</t>
  </si>
  <si>
    <t>Amplitude at NF, Y</t>
  </si>
  <si>
    <t>Acceleration at NF, Y</t>
  </si>
  <si>
    <t>Amplitude at NF, X</t>
  </si>
  <si>
    <t>Acceleration at NF, X</t>
  </si>
  <si>
    <t>Steel Plate &amp; Leg</t>
  </si>
  <si>
    <t>Encoder Count</t>
  </si>
  <si>
    <t>pul/rev</t>
  </si>
  <si>
    <t>Axis Resolution</t>
  </si>
  <si>
    <t>mm/pul</t>
  </si>
  <si>
    <t>Machine Accuracy Goal</t>
  </si>
  <si>
    <t>Resolution Margin (FOS4)</t>
  </si>
  <si>
    <t>Total Length</t>
  </si>
  <si>
    <t>Enclosure Exit</t>
  </si>
  <si>
    <t>Base Length</t>
  </si>
  <si>
    <t>Carriage Length</t>
  </si>
  <si>
    <t>YM Home Switch</t>
  </si>
  <si>
    <t>YS Home Switch</t>
  </si>
  <si>
    <t>X Home Switch</t>
  </si>
  <si>
    <t>Y Limit 1</t>
  </si>
  <si>
    <t>Y Limit 2</t>
  </si>
  <si>
    <t>X Limit 1</t>
  </si>
  <si>
    <t>X Limit 2</t>
  </si>
  <si>
    <t>Z Home</t>
  </si>
  <si>
    <t>Z Limit 1</t>
  </si>
  <si>
    <t>Z Limit 2</t>
  </si>
  <si>
    <t>YM Motor</t>
  </si>
  <si>
    <t>YS Motor</t>
  </si>
  <si>
    <t>X Motor</t>
  </si>
  <si>
    <t>Z Motor</t>
  </si>
  <si>
    <t>Machine Stiffness</t>
  </si>
  <si>
    <t>N/um</t>
  </si>
  <si>
    <t>Servo Motor</t>
  </si>
  <si>
    <t>Spindle Length</t>
  </si>
  <si>
    <t>Length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</si>
</sst>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0"/>
    <numFmt numFmtId="170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4" borderId="9" applyNumberFormat="0" applyAlignment="0" applyProtection="0"/>
  </cellStyleXfs>
  <cellXfs count="12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2" fillId="2" borderId="1" xfId="2"/>
    <xf numFmtId="1" fontId="3" fillId="3" borderId="1" xfId="3" applyNumberFormat="1"/>
    <xf numFmtId="164" fontId="3" fillId="3" borderId="1" xfId="3" applyNumberFormat="1"/>
    <xf numFmtId="1" fontId="2" fillId="2" borderId="1" xfId="2" applyNumberFormat="1"/>
    <xf numFmtId="9" fontId="0" fillId="0" borderId="0" xfId="0" applyNumberFormat="1"/>
    <xf numFmtId="9" fontId="2" fillId="2" borderId="1" xfId="2" applyNumberFormat="1"/>
    <xf numFmtId="0" fontId="4" fillId="0" borderId="0" xfId="5"/>
    <xf numFmtId="166" fontId="0" fillId="0" borderId="0" xfId="4" applyNumberFormat="1" applyFont="1"/>
    <xf numFmtId="0" fontId="0" fillId="0" borderId="0" xfId="0" applyAlignment="1">
      <alignment textRotation="45"/>
    </xf>
    <xf numFmtId="165" fontId="3" fillId="3" borderId="1" xfId="3" applyNumberFormat="1"/>
    <xf numFmtId="0" fontId="3" fillId="3" borderId="1" xfId="3"/>
    <xf numFmtId="0" fontId="0" fillId="0" borderId="2" xfId="0" applyBorder="1" applyAlignment="1">
      <alignment textRotation="45"/>
    </xf>
    <xf numFmtId="0" fontId="0" fillId="0" borderId="0" xfId="0" applyBorder="1" applyAlignment="1">
      <alignment textRotation="45"/>
    </xf>
    <xf numFmtId="0" fontId="2" fillId="2" borderId="3" xfId="2" applyBorder="1"/>
    <xf numFmtId="0" fontId="2" fillId="2" borderId="1" xfId="2" applyBorder="1"/>
    <xf numFmtId="9" fontId="0" fillId="0" borderId="2" xfId="1" applyFont="1" applyBorder="1"/>
    <xf numFmtId="9" fontId="0" fillId="0" borderId="0" xfId="1" applyFon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2" xfId="0" applyBorder="1"/>
    <xf numFmtId="0" fontId="0" fillId="0" borderId="0" xfId="0" applyBorder="1"/>
    <xf numFmtId="165" fontId="0" fillId="0" borderId="2" xfId="0" applyNumberFormat="1" applyBorder="1"/>
    <xf numFmtId="165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3" fillId="3" borderId="3" xfId="3" applyNumberFormat="1" applyBorder="1"/>
    <xf numFmtId="1" fontId="3" fillId="3" borderId="1" xfId="3" applyNumberFormat="1" applyBorder="1"/>
    <xf numFmtId="2" fontId="0" fillId="0" borderId="2" xfId="0" applyNumberFormat="1" applyBorder="1"/>
    <xf numFmtId="2" fontId="0" fillId="0" borderId="0" xfId="0" applyNumberFormat="1" applyBorder="1"/>
    <xf numFmtId="164" fontId="3" fillId="3" borderId="3" xfId="3" applyNumberFormat="1" applyBorder="1"/>
    <xf numFmtId="164" fontId="3" fillId="3" borderId="1" xfId="3" applyNumberFormat="1" applyBorder="1"/>
    <xf numFmtId="0" fontId="0" fillId="0" borderId="4" xfId="0" applyBorder="1" applyAlignment="1">
      <alignment textRotation="45"/>
    </xf>
    <xf numFmtId="0" fontId="2" fillId="2" borderId="5" xfId="2" applyBorder="1"/>
    <xf numFmtId="9" fontId="0" fillId="0" borderId="4" xfId="1" applyFont="1" applyBorder="1"/>
    <xf numFmtId="0" fontId="0" fillId="0" borderId="4" xfId="0" applyNumberFormat="1" applyBorder="1"/>
    <xf numFmtId="0" fontId="0" fillId="0" borderId="4" xfId="0" applyBorder="1"/>
    <xf numFmtId="165" fontId="0" fillId="0" borderId="4" xfId="0" applyNumberFormat="1" applyBorder="1"/>
    <xf numFmtId="1" fontId="0" fillId="0" borderId="4" xfId="0" applyNumberFormat="1" applyBorder="1"/>
    <xf numFmtId="1" fontId="3" fillId="3" borderId="5" xfId="3" applyNumberFormat="1" applyBorder="1"/>
    <xf numFmtId="2" fontId="0" fillId="0" borderId="4" xfId="0" applyNumberFormat="1" applyBorder="1"/>
    <xf numFmtId="164" fontId="3" fillId="3" borderId="5" xfId="3" applyNumberFormat="1" applyBorder="1"/>
    <xf numFmtId="0" fontId="5" fillId="0" borderId="0" xfId="0" applyFont="1"/>
    <xf numFmtId="0" fontId="0" fillId="0" borderId="0" xfId="0" applyFont="1"/>
    <xf numFmtId="0" fontId="0" fillId="0" borderId="0" xfId="0" quotePrefix="1"/>
    <xf numFmtId="49" fontId="0" fillId="0" borderId="0" xfId="0" applyNumberFormat="1" applyAlignment="1">
      <alignment wrapText="1"/>
    </xf>
    <xf numFmtId="2" fontId="4" fillId="0" borderId="0" xfId="5" applyNumberFormat="1"/>
    <xf numFmtId="9" fontId="4" fillId="0" borderId="0" xfId="1" applyFont="1"/>
    <xf numFmtId="9" fontId="3" fillId="3" borderId="1" xfId="3" applyNumberFormat="1"/>
    <xf numFmtId="0" fontId="7" fillId="0" borderId="0" xfId="6"/>
    <xf numFmtId="167" fontId="0" fillId="0" borderId="0" xfId="1" applyNumberFormat="1" applyFont="1"/>
    <xf numFmtId="166" fontId="3" fillId="3" borderId="1" xfId="3" applyNumberFormat="1"/>
    <xf numFmtId="9" fontId="2" fillId="2" borderId="1" xfId="2" applyNumberFormat="1" applyBorder="1"/>
    <xf numFmtId="9" fontId="2" fillId="2" borderId="5" xfId="2" applyNumberFormat="1" applyBorder="1"/>
    <xf numFmtId="0" fontId="4" fillId="0" borderId="0" xfId="5" applyBorder="1"/>
    <xf numFmtId="0" fontId="4" fillId="0" borderId="4" xfId="5" applyBorder="1"/>
    <xf numFmtId="1" fontId="2" fillId="2" borderId="1" xfId="2" applyNumberFormat="1" applyBorder="1"/>
    <xf numFmtId="1" fontId="2" fillId="2" borderId="5" xfId="2" applyNumberFormat="1" applyBorder="1"/>
    <xf numFmtId="166" fontId="3" fillId="3" borderId="1" xfId="3" applyNumberFormat="1" applyBorder="1"/>
    <xf numFmtId="166" fontId="3" fillId="3" borderId="5" xfId="3" applyNumberFormat="1" applyBorder="1"/>
    <xf numFmtId="9" fontId="4" fillId="0" borderId="0" xfId="1" applyFont="1" applyBorder="1"/>
    <xf numFmtId="9" fontId="4" fillId="0" borderId="4" xfId="1" applyFont="1" applyBorder="1"/>
    <xf numFmtId="1" fontId="4" fillId="2" borderId="5" xfId="5" applyNumberFormat="1" applyFill="1" applyBorder="1"/>
    <xf numFmtId="1" fontId="4" fillId="2" borderId="7" xfId="5" applyNumberFormat="1" applyFill="1" applyBorder="1"/>
    <xf numFmtId="0" fontId="0" fillId="0" borderId="4" xfId="0" applyBorder="1" applyAlignment="1"/>
    <xf numFmtId="9" fontId="0" fillId="0" borderId="2" xfId="0" applyNumberFormat="1" applyBorder="1" applyAlignment="1"/>
    <xf numFmtId="9" fontId="0" fillId="0" borderId="0" xfId="0" applyNumberFormat="1" applyBorder="1" applyAlignment="1"/>
    <xf numFmtId="9" fontId="0" fillId="0" borderId="4" xfId="0" applyNumberFormat="1" applyBorder="1" applyAlignment="1"/>
    <xf numFmtId="9" fontId="4" fillId="0" borderId="2" xfId="1" applyFont="1" applyBorder="1"/>
    <xf numFmtId="0" fontId="4" fillId="0" borderId="2" xfId="5" applyBorder="1"/>
    <xf numFmtId="1" fontId="4" fillId="2" borderId="8" xfId="5" applyNumberFormat="1" applyFill="1" applyBorder="1"/>
    <xf numFmtId="166" fontId="3" fillId="3" borderId="3" xfId="3" applyNumberFormat="1" applyBorder="1"/>
    <xf numFmtId="9" fontId="2" fillId="2" borderId="3" xfId="2" applyNumberFormat="1" applyBorder="1"/>
    <xf numFmtId="9" fontId="3" fillId="3" borderId="3" xfId="3" applyNumberFormat="1" applyBorder="1"/>
    <xf numFmtId="9" fontId="3" fillId="3" borderId="1" xfId="3" applyNumberFormat="1" applyBorder="1"/>
    <xf numFmtId="9" fontId="3" fillId="3" borderId="5" xfId="3" applyNumberFormat="1" applyBorder="1"/>
    <xf numFmtId="166" fontId="2" fillId="2" borderId="1" xfId="2" applyNumberFormat="1"/>
    <xf numFmtId="168" fontId="2" fillId="2" borderId="1" xfId="2" applyNumberFormat="1"/>
    <xf numFmtId="168" fontId="3" fillId="3" borderId="1" xfId="3" applyNumberFormat="1"/>
    <xf numFmtId="43" fontId="2" fillId="2" borderId="1" xfId="2" applyNumberFormat="1"/>
    <xf numFmtId="0" fontId="8" fillId="0" borderId="6" xfId="7"/>
    <xf numFmtId="0" fontId="0" fillId="0" borderId="4" xfId="0" applyFill="1" applyBorder="1" applyAlignment="1">
      <alignment textRotation="45"/>
    </xf>
    <xf numFmtId="1" fontId="4" fillId="0" borderId="4" xfId="5" applyNumberFormat="1" applyBorder="1"/>
    <xf numFmtId="43" fontId="2" fillId="2" borderId="5" xfId="2" applyNumberFormat="1" applyBorder="1"/>
    <xf numFmtId="168" fontId="2" fillId="2" borderId="5" xfId="2" applyNumberFormat="1" applyBorder="1"/>
    <xf numFmtId="0" fontId="4" fillId="0" borderId="2" xfId="5" applyFill="1" applyBorder="1"/>
    <xf numFmtId="0" fontId="4" fillId="0" borderId="0" xfId="5" applyFill="1" applyBorder="1"/>
    <xf numFmtId="0" fontId="4" fillId="0" borderId="4" xfId="5" applyFill="1" applyBorder="1"/>
    <xf numFmtId="1" fontId="4" fillId="0" borderId="0" xfId="5" applyNumberFormat="1"/>
    <xf numFmtId="166" fontId="2" fillId="2" borderId="5" xfId="2" applyNumberFormat="1" applyBorder="1"/>
    <xf numFmtId="0" fontId="2" fillId="2" borderId="1" xfId="2" applyNumberFormat="1"/>
    <xf numFmtId="9" fontId="4" fillId="0" borderId="0" xfId="5" applyNumberFormat="1"/>
    <xf numFmtId="0" fontId="0" fillId="0" borderId="0" xfId="0" applyFill="1" applyBorder="1" applyAlignment="1"/>
    <xf numFmtId="0" fontId="0" fillId="0" borderId="0" xfId="0" applyAlignment="1"/>
    <xf numFmtId="1" fontId="8" fillId="0" borderId="6" xfId="7" applyNumberFormat="1"/>
    <xf numFmtId="2" fontId="2" fillId="2" borderId="1" xfId="2" applyNumberFormat="1"/>
    <xf numFmtId="2" fontId="3" fillId="3" borderId="1" xfId="3" applyNumberFormat="1"/>
    <xf numFmtId="169" fontId="3" fillId="3" borderId="1" xfId="3" applyNumberFormat="1"/>
    <xf numFmtId="166" fontId="4" fillId="0" borderId="0" xfId="5" applyNumberFormat="1"/>
    <xf numFmtId="169" fontId="9" fillId="4" borderId="9" xfId="8" applyNumberFormat="1"/>
    <xf numFmtId="1" fontId="9" fillId="4" borderId="9" xfId="8" applyNumberFormat="1"/>
    <xf numFmtId="165" fontId="3" fillId="3" borderId="10" xfId="3" applyNumberFormat="1" applyBorder="1"/>
    <xf numFmtId="0" fontId="0" fillId="0" borderId="11" xfId="0" applyBorder="1"/>
    <xf numFmtId="165" fontId="3" fillId="3" borderId="12" xfId="3" applyNumberFormat="1" applyBorder="1"/>
    <xf numFmtId="0" fontId="3" fillId="3" borderId="12" xfId="3" applyBorder="1"/>
    <xf numFmtId="165" fontId="3" fillId="3" borderId="13" xfId="3" applyNumberFormat="1" applyBorder="1"/>
    <xf numFmtId="166" fontId="10" fillId="0" borderId="0" xfId="5" applyNumberFormat="1" applyFont="1"/>
    <xf numFmtId="1" fontId="10" fillId="0" borderId="0" xfId="5" applyNumberFormat="1" applyFont="1"/>
    <xf numFmtId="0" fontId="10" fillId="0" borderId="0" xfId="5" applyFont="1"/>
    <xf numFmtId="43" fontId="3" fillId="3" borderId="12" xfId="3" applyNumberFormat="1" applyBorder="1"/>
    <xf numFmtId="0" fontId="0" fillId="0" borderId="14" xfId="0" applyBorder="1"/>
    <xf numFmtId="165" fontId="3" fillId="3" borderId="15" xfId="3" applyNumberFormat="1" applyBorder="1"/>
    <xf numFmtId="166" fontId="3" fillId="3" borderId="10" xfId="3" applyNumberFormat="1" applyBorder="1"/>
    <xf numFmtId="170" fontId="3" fillId="3" borderId="13" xfId="3" applyNumberFormat="1" applyBorder="1"/>
    <xf numFmtId="0" fontId="0" fillId="0" borderId="0" xfId="0" applyFill="1" applyBorder="1"/>
    <xf numFmtId="1" fontId="9" fillId="4" borderId="16" xfId="8" applyNumberFormat="1" applyBorder="1"/>
    <xf numFmtId="0" fontId="11" fillId="0" borderId="0" xfId="0" applyFont="1"/>
    <xf numFmtId="0" fontId="0" fillId="5" borderId="0" xfId="0" applyFill="1"/>
    <xf numFmtId="9" fontId="0" fillId="0" borderId="0" xfId="1" applyNumberFormat="1" applyFont="1"/>
    <xf numFmtId="0" fontId="12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9">
    <cellStyle name="Calculation" xfId="3" builtinId="22"/>
    <cellStyle name="Check Cell" xfId="8" builtinId="23"/>
    <cellStyle name="Comma" xfId="4" builtinId="3"/>
    <cellStyle name="Explanatory Text" xfId="5" builtinId="53"/>
    <cellStyle name="Hyperlink" xfId="6" builtinId="8"/>
    <cellStyle name="Input" xfId="2" builtinId="20"/>
    <cellStyle name="Linked Cell" xfId="7" builtinId="24"/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Stepper Motor Power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'NEMA Power Comparison'!$A$3:$A$6</c:f>
              <c:strCache>
                <c:ptCount val="4"/>
                <c:pt idx="0">
                  <c:v>NEMA 17</c:v>
                </c:pt>
                <c:pt idx="1">
                  <c:v>NEMA 23</c:v>
                </c:pt>
                <c:pt idx="2">
                  <c:v>NEMA 24</c:v>
                </c:pt>
                <c:pt idx="3">
                  <c:v>NEMA 34</c:v>
                </c:pt>
              </c:strCache>
            </c:strRef>
          </c:cat>
          <c:val>
            <c:numRef>
              <c:f>'NEMA Power Comparison'!$G$3:$G$6</c:f>
              <c:numCache>
                <c:formatCode>General</c:formatCode>
                <c:ptCount val="4"/>
                <c:pt idx="0">
                  <c:v>25.72838719583897</c:v>
                </c:pt>
                <c:pt idx="1">
                  <c:v>93.154505364244542</c:v>
                </c:pt>
                <c:pt idx="2">
                  <c:v>106.46229184485091</c:v>
                </c:pt>
                <c:pt idx="3">
                  <c:v>141.94972245980122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8-4E28-A463-6D3F1F71C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580184"/>
        <c:axId val="678829360"/>
      </c:barChart>
      <c:catAx>
        <c:axId val="8755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Frame Size,</a:t>
                </a:r>
                <a:r>
                  <a:rPr lang="en-US" baseline="0"/>
                  <a:t> Mid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29360"/>
        <c:crosses val="autoZero"/>
        <c:auto val="1"/>
        <c:lblAlgn val="ctr"/>
        <c:lblOffset val="100"/>
        <c:noMultiLvlLbl val="0"/>
      </c:catAx>
      <c:valAx>
        <c:axId val="6788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at 48V, 1200RPM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8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Limited NEMA 34 Motor Performance (60V)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'NEMA34 Power'!$B$1</c:f>
              <c:strCache>
                <c:ptCount val="1"/>
                <c:pt idx="0">
                  <c:v>Torque (100%)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Power'!$B$2:$B$23</c:f>
              <c:numCache>
                <c:formatCode>General</c:formatCode>
                <c:ptCount val="22"/>
                <c:pt idx="0">
                  <c:v>850</c:v>
                </c:pt>
                <c:pt idx="1">
                  <c:v>725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9D4-8FE2-4140EF325F20}"/>
            </c:ext>
          </c:extLst>
        </c:ser>
        <c:ser>
          <c:idx val="2"/>
          <c:order val="2"/>
          <c:tx>
            <c:strRef>
              <c:f>'NEMA34 Power'!$D$1</c:f>
              <c:strCache>
                <c:ptCount val="1"/>
                <c:pt idx="0">
                  <c:v>Torque (75%)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Power'!$D$2:$D$17</c:f>
              <c:numCache>
                <c:formatCode>General</c:formatCode>
                <c:ptCount val="16"/>
                <c:pt idx="0">
                  <c:v>637.5</c:v>
                </c:pt>
                <c:pt idx="1">
                  <c:v>637.5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F2-4D9C-9364-B27009B56A54}"/>
            </c:ext>
          </c:extLst>
        </c:ser>
        <c:ser>
          <c:idx val="4"/>
          <c:order val="4"/>
          <c:tx>
            <c:strRef>
              <c:f>'NEMA34 Power'!$F$1</c:f>
              <c:strCache>
                <c:ptCount val="1"/>
                <c:pt idx="0">
                  <c:v>Torque (50%)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Power'!$F$2:$F$17</c:f>
              <c:numCache>
                <c:formatCode>General</c:formatCode>
                <c:ptCount val="16"/>
                <c:pt idx="0">
                  <c:v>425</c:v>
                </c:pt>
                <c:pt idx="1">
                  <c:v>425</c:v>
                </c:pt>
                <c:pt idx="2">
                  <c:v>425</c:v>
                </c:pt>
                <c:pt idx="3">
                  <c:v>425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42656"/>
        <c:axId val="700144296"/>
      </c:scatterChart>
      <c:scatterChart>
        <c:scatterStyle val="smoothMarker"/>
        <c:varyColors val="0"/>
        <c:ser>
          <c:idx val="1"/>
          <c:order val="1"/>
          <c:tx>
            <c:strRef>
              <c:f>'NEMA34 Power'!$C$1</c:f>
              <c:strCache>
                <c:ptCount val="1"/>
                <c:pt idx="0">
                  <c:v>Power (100%)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Power'!$C$2:$C$23</c:f>
              <c:numCache>
                <c:formatCode>General</c:formatCode>
                <c:ptCount val="22"/>
                <c:pt idx="0">
                  <c:v>66.746250000000003</c:v>
                </c:pt>
                <c:pt idx="1">
                  <c:v>113.86124999999998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9D4-8FE2-4140EF325F20}"/>
            </c:ext>
          </c:extLst>
        </c:ser>
        <c:ser>
          <c:idx val="3"/>
          <c:order val="3"/>
          <c:tx>
            <c:strRef>
              <c:f>'NEMA34 Power'!$E$1</c:f>
              <c:strCache>
                <c:ptCount val="1"/>
                <c:pt idx="0">
                  <c:v>Power (75%)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Power'!$E$2:$E$17</c:f>
              <c:numCache>
                <c:formatCode>General</c:formatCode>
                <c:ptCount val="16"/>
                <c:pt idx="0">
                  <c:v>50.059687499999995</c:v>
                </c:pt>
                <c:pt idx="1">
                  <c:v>100.11937499999999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F2-4D9C-9364-B27009B56A54}"/>
            </c:ext>
          </c:extLst>
        </c:ser>
        <c:ser>
          <c:idx val="5"/>
          <c:order val="5"/>
          <c:tx>
            <c:strRef>
              <c:f>'NEMA34 Power'!$G$1</c:f>
              <c:strCache>
                <c:ptCount val="1"/>
                <c:pt idx="0">
                  <c:v>Power (50%)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Power'!$G$2:$G$17</c:f>
              <c:numCache>
                <c:formatCode>General</c:formatCode>
                <c:ptCount val="16"/>
                <c:pt idx="0">
                  <c:v>33.373125000000002</c:v>
                </c:pt>
                <c:pt idx="1">
                  <c:v>66.746250000000003</c:v>
                </c:pt>
                <c:pt idx="2">
                  <c:v>100.11937500000001</c:v>
                </c:pt>
                <c:pt idx="3">
                  <c:v>133.49250000000001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14176"/>
        <c:axId val="629113520"/>
      </c:scatterChart>
      <c:valAx>
        <c:axId val="700142656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4296"/>
        <c:crosses val="autoZero"/>
        <c:crossBetween val="midCat"/>
        <c:majorUnit val="250"/>
      </c:valAx>
      <c:valAx>
        <c:axId val="7001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</a:t>
                </a:r>
                <a:r>
                  <a:rPr lang="en-US" baseline="0"/>
                  <a:t> Torque (Ncm)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2656"/>
        <c:crosses val="autoZero"/>
        <c:crossBetween val="midCat"/>
      </c:valAx>
      <c:valAx>
        <c:axId val="629113520"/>
        <c:scaling>
          <c:orientation val="minMax"/>
          <c:max val="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14176"/>
        <c:crosses val="max"/>
        <c:crossBetween val="midCat"/>
      </c:valAx>
      <c:valAx>
        <c:axId val="62911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911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NEMA 23 Performance (48V)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Torque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'NEMA23 Power'!$D$3:$D$18</c:f>
              <c:numCache>
                <c:formatCode>General</c:formatCode>
                <c:ptCount val="16"/>
                <c:pt idx="0">
                  <c:v>200</c:v>
                </c:pt>
                <c:pt idx="1">
                  <c:v>185</c:v>
                </c:pt>
                <c:pt idx="2">
                  <c:v>175</c:v>
                </c:pt>
                <c:pt idx="3">
                  <c:v>165</c:v>
                </c:pt>
                <c:pt idx="4">
                  <c:v>155</c:v>
                </c:pt>
                <c:pt idx="5">
                  <c:v>145</c:v>
                </c:pt>
                <c:pt idx="6">
                  <c:v>135</c:v>
                </c:pt>
                <c:pt idx="7">
                  <c:v>125</c:v>
                </c:pt>
                <c:pt idx="8">
                  <c:v>115</c:v>
                </c:pt>
                <c:pt idx="9">
                  <c:v>105</c:v>
                </c:pt>
                <c:pt idx="10">
                  <c:v>95</c:v>
                </c:pt>
                <c:pt idx="11">
                  <c:v>90</c:v>
                </c:pt>
                <c:pt idx="12">
                  <c:v>85</c:v>
                </c:pt>
                <c:pt idx="13">
                  <c:v>80</c:v>
                </c:pt>
                <c:pt idx="14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69192"/>
        <c:axId val="636370832"/>
      </c:scatterChart>
      <c:scatterChart>
        <c:scatterStyle val="smooth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'NEMA23 Power'!$E$3:$E$18</c:f>
              <c:numCache>
                <c:formatCode>General</c:formatCode>
                <c:ptCount val="16"/>
                <c:pt idx="0">
                  <c:v>20.939999999999998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66680"/>
        <c:axId val="634308624"/>
      </c:scatterChart>
      <c:valAx>
        <c:axId val="636369192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70832"/>
        <c:crosses val="autoZero"/>
        <c:crossBetween val="midCat"/>
      </c:valAx>
      <c:valAx>
        <c:axId val="6363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Torque (Ncm)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69192"/>
        <c:crosses val="autoZero"/>
        <c:crossBetween val="midCat"/>
      </c:valAx>
      <c:valAx>
        <c:axId val="634308624"/>
        <c:scaling>
          <c:orientation val="minMax"/>
          <c:max val="1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66680"/>
        <c:crosses val="max"/>
        <c:crossBetween val="midCat"/>
        <c:majorUnit val="25"/>
      </c:valAx>
      <c:valAx>
        <c:axId val="69196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3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'Z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Forces'!$P$77:$T$77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Forces'!$P$78:$T$78</c:f>
              <c:numCache>
                <c:formatCode>0%</c:formatCode>
                <c:ptCount val="5"/>
                <c:pt idx="0">
                  <c:v>1.5262574676287191</c:v>
                </c:pt>
                <c:pt idx="1">
                  <c:v>1.1708534976174869</c:v>
                </c:pt>
                <c:pt idx="2">
                  <c:v>1</c:v>
                </c:pt>
                <c:pt idx="3">
                  <c:v>0.91741324299022364</c:v>
                </c:pt>
                <c:pt idx="4">
                  <c:v>0.8770658990831911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E-488E-AD00-40117BE0BBFE}"/>
            </c:ext>
          </c:extLst>
        </c:ser>
        <c:ser>
          <c:idx val="1"/>
          <c:order val="1"/>
          <c:tx>
            <c:strRef>
              <c:f>'Z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Forces'!$U$77:$Y$77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Forces'!$U$78:$Y$78</c:f>
              <c:numCache>
                <c:formatCode>0%</c:formatCode>
                <c:ptCount val="5"/>
                <c:pt idx="0">
                  <c:v>3.0930083056212392</c:v>
                </c:pt>
                <c:pt idx="1">
                  <c:v>1.6969737859266381</c:v>
                </c:pt>
                <c:pt idx="2">
                  <c:v>1</c:v>
                </c:pt>
                <c:pt idx="3">
                  <c:v>0.65274996819098563</c:v>
                </c:pt>
                <c:pt idx="4">
                  <c:v>0.48021809156736878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FE-488E-AD00-40117BE0BBFE}"/>
            </c:ext>
          </c:extLst>
        </c:ser>
        <c:ser>
          <c:idx val="2"/>
          <c:order val="2"/>
          <c:tx>
            <c:strRef>
              <c:f>'Z Axis Forces'!$AE$1</c:f>
              <c:strCache>
                <c:ptCount val="1"/>
                <c:pt idx="0">
                  <c:v>Normal Spindle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Forces'!$AE$77:$AI$77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Forces'!$AE$78:$AI$78</c:f>
              <c:numCache>
                <c:formatCode>0%</c:formatCode>
                <c:ptCount val="5"/>
                <c:pt idx="0">
                  <c:v>1.0206970174226957</c:v>
                </c:pt>
                <c:pt idx="1">
                  <c:v>1.0068856775927879</c:v>
                </c:pt>
                <c:pt idx="2">
                  <c:v>1</c:v>
                </c:pt>
                <c:pt idx="3">
                  <c:v>0.99656228024050086</c:v>
                </c:pt>
                <c:pt idx="4">
                  <c:v>0.99484471560361742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FE-488E-AD00-40117BE0BBFE}"/>
            </c:ext>
          </c:extLst>
        </c:ser>
        <c:ser>
          <c:idx val="3"/>
          <c:order val="3"/>
          <c:tx>
            <c:strRef>
              <c:f>'Z Axis Forces'!$Z$1</c:f>
              <c:strCache>
                <c:ptCount val="1"/>
                <c:pt idx="0">
                  <c:v>Axial CG Offset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Forces'!$Z$77:$AD$77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Forces'!$Z$78:$AD$78</c:f>
              <c:numCache>
                <c:formatCode>0%</c:formatCode>
                <c:ptCount val="5"/>
                <c:pt idx="0">
                  <c:v>1.4129530111459403</c:v>
                </c:pt>
                <c:pt idx="1">
                  <c:v>1.1371033843739968</c:v>
                </c:pt>
                <c:pt idx="2">
                  <c:v>1</c:v>
                </c:pt>
                <c:pt idx="3">
                  <c:v>0.93175958972948059</c:v>
                </c:pt>
                <c:pt idx="4">
                  <c:v>0.89773793291073356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FE-488E-AD00-40117BE0B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51408"/>
        <c:axId val="634851736"/>
      </c:scatterChart>
      <c:valAx>
        <c:axId val="634851408"/>
        <c:scaling>
          <c:logBase val="2"/>
          <c:orientation val="minMax"/>
          <c:max val="4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736"/>
        <c:crosses val="autoZero"/>
        <c:crossBetween val="midCat"/>
      </c:valAx>
      <c:valAx>
        <c:axId val="63485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408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 Axis Force'!$T$1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Force'!$T$80:$X$80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Force'!$T$81:$X$81</c:f>
              <c:numCache>
                <c:formatCode>0%</c:formatCode>
                <c:ptCount val="5"/>
                <c:pt idx="0">
                  <c:v>2.6962581896304836</c:v>
                </c:pt>
                <c:pt idx="1">
                  <c:v>1.5479931703711005</c:v>
                </c:pt>
                <c:pt idx="2">
                  <c:v>1</c:v>
                </c:pt>
                <c:pt idx="3">
                  <c:v>0.74965227243539823</c:v>
                </c:pt>
                <c:pt idx="4">
                  <c:v>0.63874704201481081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62-428D-8056-E08CC13829FB}"/>
            </c:ext>
          </c:extLst>
        </c:ser>
        <c:ser>
          <c:idx val="1"/>
          <c:order val="1"/>
          <c:tx>
            <c:strRef>
              <c:f>'X Axis Force'!$Y$1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Force'!$Y$80:$AC$80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Force'!$Y$81:$AC$81</c:f>
              <c:numCache>
                <c:formatCode>0%</c:formatCode>
                <c:ptCount val="5"/>
                <c:pt idx="0">
                  <c:v>2.2771436791518536</c:v>
                </c:pt>
                <c:pt idx="1">
                  <c:v>1.3995823514355341</c:v>
                </c:pt>
                <c:pt idx="2">
                  <c:v>1</c:v>
                </c:pt>
                <c:pt idx="3">
                  <c:v>0.82716141308336144</c:v>
                </c:pt>
                <c:pt idx="4">
                  <c:v>0.75312472444531908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62-428D-8056-E08CC13829FB}"/>
            </c:ext>
          </c:extLst>
        </c:ser>
        <c:ser>
          <c:idx val="2"/>
          <c:order val="2"/>
          <c:tx>
            <c:strRef>
              <c:f>'X Axis Force'!$AD$1</c:f>
              <c:strCache>
                <c:ptCount val="1"/>
                <c:pt idx="0">
                  <c:v>Normal Z Axis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Force'!$AD$80:$AH$80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Force'!$AD$81:$AH$81</c:f>
              <c:numCache>
                <c:formatCode>0%</c:formatCode>
                <c:ptCount val="5"/>
                <c:pt idx="0">
                  <c:v>1.0535743911441615</c:v>
                </c:pt>
                <c:pt idx="1">
                  <c:v>1.017781907124282</c:v>
                </c:pt>
                <c:pt idx="2">
                  <c:v>1</c:v>
                </c:pt>
                <c:pt idx="3">
                  <c:v>0.99113942790532783</c:v>
                </c:pt>
                <c:pt idx="4">
                  <c:v>0.98671697614795739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62-428D-8056-E08CC1382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24384"/>
        <c:axId val="664025040"/>
      </c:scatterChart>
      <c:valAx>
        <c:axId val="664024384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5040"/>
        <c:crosses val="autoZero"/>
        <c:crossBetween val="midCat"/>
      </c:valAx>
      <c:valAx>
        <c:axId val="664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4384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Forces'!$P$82:$T$82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Forces'!$P$83:$T$83</c:f>
              <c:numCache>
                <c:formatCode>0%</c:formatCode>
                <c:ptCount val="5"/>
                <c:pt idx="0">
                  <c:v>1.0197637057005269</c:v>
                </c:pt>
                <c:pt idx="1">
                  <c:v>1.0060860359460664</c:v>
                </c:pt>
                <c:pt idx="2">
                  <c:v>1</c:v>
                </c:pt>
                <c:pt idx="3">
                  <c:v>0.99714932641658427</c:v>
                </c:pt>
                <c:pt idx="4">
                  <c:v>0.99577256565871619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F8-4393-B524-668C700EF041}"/>
            </c:ext>
          </c:extLst>
        </c:ser>
        <c:ser>
          <c:idx val="1"/>
          <c:order val="1"/>
          <c:tx>
            <c:strRef>
              <c:f>'Y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Forces'!$U$82:$Y$82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Forces'!$U$83:$Y$83</c:f>
              <c:numCache>
                <c:formatCode>0%</c:formatCode>
                <c:ptCount val="5"/>
                <c:pt idx="0">
                  <c:v>3.5474633016606352</c:v>
                </c:pt>
                <c:pt idx="1">
                  <c:v>1.8490972417076372</c:v>
                </c:pt>
                <c:pt idx="2">
                  <c:v>1</c:v>
                </c:pt>
                <c:pt idx="3">
                  <c:v>0.57558357468675159</c:v>
                </c:pt>
                <c:pt idx="4">
                  <c:v>0.36354348597851815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F8-4393-B524-668C700EF041}"/>
            </c:ext>
          </c:extLst>
        </c:ser>
        <c:ser>
          <c:idx val="2"/>
          <c:order val="2"/>
          <c:tx>
            <c:strRef>
              <c:f>'Y Axis Forces'!$Z$1</c:f>
              <c:strCache>
                <c:ptCount val="1"/>
                <c:pt idx="0">
                  <c:v>Axial Offset to X Axis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Forces'!$Z$82:$AD$82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Forces'!$Z$83:$AD$83</c:f>
              <c:numCache>
                <c:formatCode>0%</c:formatCode>
                <c:ptCount val="5"/>
                <c:pt idx="0">
                  <c:v>1.079610797128042</c:v>
                </c:pt>
                <c:pt idx="1">
                  <c:v>1.05305902595405</c:v>
                </c:pt>
                <c:pt idx="2">
                  <c:v>1</c:v>
                </c:pt>
                <c:pt idx="3">
                  <c:v>0.89409698366422852</c:v>
                </c:pt>
                <c:pt idx="4">
                  <c:v>0.68361715201466622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F8-4393-B524-668C700EF041}"/>
            </c:ext>
          </c:extLst>
        </c:ser>
        <c:ser>
          <c:idx val="3"/>
          <c:order val="3"/>
          <c:tx>
            <c:strRef>
              <c:f>'Y Axis Forces'!$AE$1</c:f>
              <c:strCache>
                <c:ptCount val="1"/>
                <c:pt idx="0">
                  <c:v>Normal Offset to X Axis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Forces'!$AE$82:$AI$82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Forces'!$AE$83:$AI$83</c:f>
              <c:numCache>
                <c:formatCode>0%</c:formatCode>
                <c:ptCount val="5"/>
                <c:pt idx="0">
                  <c:v>1.0100328845896438</c:v>
                </c:pt>
                <c:pt idx="1">
                  <c:v>1.0031984193275125</c:v>
                </c:pt>
                <c:pt idx="2">
                  <c:v>1</c:v>
                </c:pt>
                <c:pt idx="3">
                  <c:v>0.99845611747361829</c:v>
                </c:pt>
                <c:pt idx="4">
                  <c:v>0.99769808357965362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F8-4393-B524-668C700E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19896"/>
        <c:axId val="646316944"/>
      </c:scatterChart>
      <c:valAx>
        <c:axId val="646319896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6944"/>
        <c:crosses val="autoZero"/>
        <c:crossBetween val="midCat"/>
      </c:valAx>
      <c:valAx>
        <c:axId val="6463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Output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9896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547687</xdr:colOff>
      <xdr:row>9</xdr:row>
      <xdr:rowOff>14287</xdr:rowOff>
    </xdr:from>
    <xdr:to>
      <xdr:col>18</xdr:col>
      <xdr:colOff>242887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EF23F-CD15-43B3-8DB8-9942F45B7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1</xdr:row>
      <xdr:rowOff>23811</xdr:rowOff>
    </xdr:from>
    <xdr:to>
      <xdr:col>21</xdr:col>
      <xdr:colOff>476250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ED76B-12E7-4E99-B4E4-0739682A0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569347</xdr:colOff>
      <xdr:row>22</xdr:row>
      <xdr:rowOff>95250</xdr:rowOff>
    </xdr:from>
    <xdr:to>
      <xdr:col>18</xdr:col>
      <xdr:colOff>323850</xdr:colOff>
      <xdr:row>47</xdr:row>
      <xdr:rowOff>143717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195CFC-BE22-4A56-85DA-DAB2683A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4472" y="4286250"/>
          <a:ext cx="8727053" cy="48109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285750</xdr:colOff>
      <xdr:row>5</xdr:row>
      <xdr:rowOff>28575</xdr:rowOff>
    </xdr:from>
    <xdr:to>
      <xdr:col>27</xdr:col>
      <xdr:colOff>353200</xdr:colOff>
      <xdr:row>32</xdr:row>
      <xdr:rowOff>19767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627E2-AD01-4184-A1CB-9BAE6988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8550" y="981075"/>
          <a:ext cx="5553850" cy="5134692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14</xdr:row>
      <xdr:rowOff>61912</xdr:rowOff>
    </xdr:from>
    <xdr:to>
      <xdr:col>17</xdr:col>
      <xdr:colOff>419100</xdr:colOff>
      <xdr:row>34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8FFD5-1939-4791-B028-42F65812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95250</xdr:colOff>
      <xdr:row>35</xdr:row>
      <xdr:rowOff>19050</xdr:rowOff>
    </xdr:from>
    <xdr:to>
      <xdr:col>19</xdr:col>
      <xdr:colOff>306020</xdr:colOff>
      <xdr:row>61</xdr:row>
      <xdr:rowOff>86426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8A3E12-F9DA-459E-BAC1-9B28C2524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0" y="6686550"/>
          <a:ext cx="8745170" cy="5020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509002</xdr:colOff>
      <xdr:row>79</xdr:row>
      <xdr:rowOff>85725</xdr:rowOff>
    </xdr:from>
    <xdr:to>
      <xdr:col>12</xdr:col>
      <xdr:colOff>3166</xdr:colOff>
      <xdr:row>98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5B6DC-694F-43D5-AC3B-4D458E57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1727" y="7524750"/>
          <a:ext cx="6542664" cy="3705225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80</xdr:row>
      <xdr:rowOff>147635</xdr:rowOff>
    </xdr:from>
    <xdr:to>
      <xdr:col>27</xdr:col>
      <xdr:colOff>323850</xdr:colOff>
      <xdr:row>99</xdr:row>
      <xdr:rowOff>185735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93CDC-BE9F-47FC-A9F9-D9628496D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81</xdr:row>
      <xdr:rowOff>185553</xdr:rowOff>
    </xdr:from>
    <xdr:to>
      <xdr:col>13</xdr:col>
      <xdr:colOff>651306</xdr:colOff>
      <xdr:row>102</xdr:row>
      <xdr:rowOff>128116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824E6-58FE-492B-A944-2F038A1F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8415153"/>
          <a:ext cx="7699806" cy="3943063"/>
        </a:xfrm>
        <a:prstGeom prst="rect">
          <a:avLst/>
        </a:prstGeom>
      </xdr:spPr>
    </xdr:pic>
    <xdr:clientData/>
  </xdr:twoCellAnchor>
  <xdr:twoCellAnchor>
    <xdr:from>
      <xdr:col>19</xdr:col>
      <xdr:colOff>461962</xdr:colOff>
      <xdr:row>81</xdr:row>
      <xdr:rowOff>128587</xdr:rowOff>
    </xdr:from>
    <xdr:to>
      <xdr:col>31</xdr:col>
      <xdr:colOff>271462</xdr:colOff>
      <xdr:row>100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B2C34-6EC2-4976-8D59-72D70773E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553155</xdr:colOff>
      <xdr:row>82</xdr:row>
      <xdr:rowOff>9525</xdr:rowOff>
    </xdr:from>
    <xdr:to>
      <xdr:col>11</xdr:col>
      <xdr:colOff>360997</xdr:colOff>
      <xdr:row>109</xdr:row>
      <xdr:rowOff>148766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B3B09-BFD5-4CB1-9905-2444EA71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5480" y="6486525"/>
          <a:ext cx="5418067" cy="5282741"/>
        </a:xfrm>
        <a:prstGeom prst="rect">
          <a:avLst/>
        </a:prstGeom>
      </xdr:spPr>
    </xdr:pic>
    <xdr:clientData/>
  </xdr:twoCellAnchor>
  <xdr:twoCellAnchor>
    <xdr:from>
      <xdr:col>16</xdr:col>
      <xdr:colOff>52385</xdr:colOff>
      <xdr:row>85</xdr:row>
      <xdr:rowOff>61910</xdr:rowOff>
    </xdr:from>
    <xdr:to>
      <xdr:col>28</xdr:col>
      <xdr:colOff>52385</xdr:colOff>
      <xdr:row>104</xdr:row>
      <xdr:rowOff>100010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4000E-00C7-4AD6-BBAD-31D4C0DE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183308</xdr:colOff>
      <xdr:row>7</xdr:row>
      <xdr:rowOff>125380</xdr:rowOff>
    </xdr:from>
    <xdr:to>
      <xdr:col>27</xdr:col>
      <xdr:colOff>567914</xdr:colOff>
      <xdr:row>28</xdr:row>
      <xdr:rowOff>25955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47BCE-9214-4818-9BE8-61EBB592C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61369" y="1486094"/>
          <a:ext cx="7732463" cy="4021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123825</xdr:rowOff>
    </xdr:from>
    <xdr:to>
      <xdr:col>23</xdr:col>
      <xdr:colOff>514350</xdr:colOff>
      <xdr:row>34</xdr:row>
      <xdr:rowOff>171450</xdr:rowOff>
    </xdr:to>
    <xdr:pic>
      <xdr:nvPicPr>
        <xdr:cNvPr id="3" name="Picture 2" descr="Material chart generated through the mapping process outline by Dr. Michael Ashby (charts commonly referred to as Ashby plots). This plot details stiffness vs strength for a variety of materials (Ashby, 2010). ">
          <a:extLst>
            <a:ext uri="{FF2B5EF4-FFF2-40B4-BE49-F238E27FC236}">
              <a16:creationId xmlns:a16="http://schemas.microsoft.com/office/drawing/2014/main" id="{1AAA33F0-563C-4966-A744-D8996623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314325"/>
          <a:ext cx="8096250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5</xdr:row>
      <xdr:rowOff>114300</xdr:rowOff>
    </xdr:from>
    <xdr:to>
      <xdr:col>20</xdr:col>
      <xdr:colOff>172236</xdr:colOff>
      <xdr:row>47</xdr:row>
      <xdr:rowOff>1101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A9C0C-B782-4E67-BB12-27E2CC2FA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1066800"/>
          <a:ext cx="5630061" cy="7887801"/>
        </a:xfrm>
        <a:prstGeom prst="rect">
          <a:avLst/>
        </a:prstGeom>
      </xdr:spPr>
    </xdr:pic>
    <xdr:clientData/>
  </xdr:twoCellAnchor>
  <xdr:twoCellAnchor editAs="oneCell">
    <xdr:from>
      <xdr:col>20</xdr:col>
      <xdr:colOff>390525</xdr:colOff>
      <xdr:row>4</xdr:row>
      <xdr:rowOff>152400</xdr:rowOff>
    </xdr:from>
    <xdr:to>
      <xdr:col>28</xdr:col>
      <xdr:colOff>276890</xdr:colOff>
      <xdr:row>21</xdr:row>
      <xdr:rowOff>124273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70B3F5-FD2B-42BC-ADB0-0D4A6DE2C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49275" y="914400"/>
          <a:ext cx="4763165" cy="3210373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25</xdr:row>
      <xdr:rowOff>47625</xdr:rowOff>
    </xdr:from>
    <xdr:to>
      <xdr:col>28</xdr:col>
      <xdr:colOff>86367</xdr:colOff>
      <xdr:row>36</xdr:row>
      <xdr:rowOff>95549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CFADFB-653B-4FCB-87C1-04F03010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0700" y="4810125"/>
          <a:ext cx="4601217" cy="21434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w Burks" id="{5A8716D2-6E0C-4C06-815A-7CD8EE4A9041}" userId="57f6038beb1cecb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0-11-23T06:57:11.32" personId="{5A8716D2-6E0C-4C06-815A-7CD8EE4A9041}" id="{AAC8F6E7-4CC5-44DA-AFE1-50B5B2FEBBC7}">
    <text>https://www.amanatool.com/pub/media/productattachments/AlTiN-Spiral-End-Mill-For-Steel-Speed-Chart-v2.pdf</text>
  </threadedComment>
  <threadedComment ref="A8" dT="2020-11-23T06:57:06.36" personId="{5A8716D2-6E0C-4C06-815A-7CD8EE4A9041}" id="{F3D5955F-A7C0-4430-BFA5-E6A52139895A}">
    <text>https://www.amanatool.com/pub/media/productattachments/AlTiN-Spiral-End-Mill-For-Steel-Speed-Chart-v2.pdf</text>
  </threadedComment>
  <threadedComment ref="A18" dT="2020-11-23T06:58:20.06" personId="{5A8716D2-6E0C-4C06-815A-7CD8EE4A9041}" id="{24544703-EB8D-46A3-AACC-5E76CD67C416}">
    <text>https://www.amanatool.com/pub/media/productattachments/HSS-Aluminum-Speed-Chart-v5.pdf</text>
  </threadedComment>
  <threadedComment ref="A22" dT="2020-11-23T07:00:03.60" personId="{5A8716D2-6E0C-4C06-815A-7CD8EE4A9041}" id="{908243D6-F8EA-4C3D-8B1B-6784D84DF3FE}">
    <text>https://www.amanatool.com/pub/media/productattachments/Solid-Carbide-Compression-Spirals-v9.pdf</text>
  </threadedComment>
  <threadedComment ref="A24" dT="2020-11-23T06:38:30.62" personId="{5A8716D2-6E0C-4C06-815A-7CD8EE4A9041}" id="{79314A04-19CA-4936-BE1B-AB6A40AF9825}">
    <text>https://www.amanatool.com/pub/media/productattachments/Spoilboard_2-Wing-Speed-Chart-v8.pdf</text>
  </threadedComment>
  <threadedComment ref="A25" dT="2020-11-23T06:37:40.52" personId="{5A8716D2-6E0C-4C06-815A-7CD8EE4A9041}" id="{6CC72D14-D7AA-4448-9943-248CF29ACEF4}">
    <text>https://www.amanatool.com/pub/media/productattachments/Carbide-Tipped-Spoilboard-3-4-Wing-Speed-Chart-v2.pdf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0-10-17T19:05:55.68" personId="{5A8716D2-6E0C-4C06-815A-7CD8EE4A9041}" id="{EE284767-67E4-4974-B7F2-59056546A3F5}">
    <text>https://www.enerpac.com/en-us/training/e/cutting-technology</text>
  </threadedComment>
  <threadedComment ref="A7" dT="2020-10-17T19:11:41.93" personId="{5A8716D2-6E0C-4C06-815A-7CD8EE4A9041}" id="{E8DC4E60-B30B-4D65-AEBB-1B317E901F8F}" parentId="{EE284767-67E4-4974-B7F2-59056546A3F5}">
    <text>http://www.mitsubishicarbide.com/en/technical_information/tec_rotating_tools/face_mills/tec_milling_formula/tec_milling_power_formula</text>
  </threadedComment>
  <threadedComment ref="A19" dT="2020-11-21T23:55:01.94" personId="{5A8716D2-6E0C-4C06-815A-7CD8EE4A9041}" id="{C247414C-4368-4731-B161-A26716FA6036}">
    <text>https://www.cutter-shop.com/information/chip-load-chart.html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pplied-motion.com/sites/default/files/STR_speed-torque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Material-chart-generated-through-the-mapping-process-outline-by-Dr-Michael-Ashby-charts_fig113_313497501" TargetMode="External"/><Relationship Id="rId2" Type="http://schemas.openxmlformats.org/officeDocument/2006/relationships/hyperlink" Target="http://harknessindustries.com/wp-content/uploads/2013/10/Urethane-Product-Guide-Applications-RevJan2014.pdf" TargetMode="External"/><Relationship Id="rId1" Type="http://schemas.openxmlformats.org/officeDocument/2006/relationships/hyperlink" Target="http://harknessindustries.com/wp-content/uploads/2013/10/Urethane-Product-Guide-Applications-RevJan2014.pdf" TargetMode="External"/><Relationship Id="rId4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59E4-21BA-4321-8CE0-3E43D0B0C41D}">
  <dimension ref="A1:H41"/>
  <sheetViews>
    <sheetView workbookViewId="0">
      <selection activeCell="C8" sqref="C8"/>
    </sheetView>
  </sheetViews>
  <sheetFormatPr defaultRowHeight="15" x14ac:dyDescent="0.25"/>
  <cols>
    <col min="1" max="1" width="31.140625" bestFit="1" customWidth="1"/>
    <col min="2" max="2" width="8.140625" customWidth="1"/>
    <col min="3" max="5" width="10.5703125" bestFit="1" customWidth="1"/>
  </cols>
  <sheetData>
    <row r="1" spans="1:5" x14ac:dyDescent="0.25"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3</v>
      </c>
      <c r="C2" s="6">
        <v>20</v>
      </c>
      <c r="D2" s="6">
        <v>16</v>
      </c>
      <c r="E2" s="6">
        <v>12</v>
      </c>
    </row>
    <row r="3" spans="1:5" x14ac:dyDescent="0.25">
      <c r="A3" t="s">
        <v>1</v>
      </c>
      <c r="B3" t="s">
        <v>3</v>
      </c>
      <c r="C3" s="6">
        <v>10</v>
      </c>
      <c r="D3" s="6">
        <v>10</v>
      </c>
      <c r="E3" s="6">
        <v>5</v>
      </c>
    </row>
    <row r="4" spans="1:5" x14ac:dyDescent="0.25">
      <c r="A4" t="s">
        <v>2</v>
      </c>
      <c r="B4" t="s">
        <v>3</v>
      </c>
      <c r="C4">
        <f>C2*0.8</f>
        <v>16</v>
      </c>
      <c r="D4">
        <f>D2*0.8</f>
        <v>12.8</v>
      </c>
      <c r="E4">
        <f>E2*0.8</f>
        <v>9.6000000000000014</v>
      </c>
    </row>
    <row r="5" spans="1:5" x14ac:dyDescent="0.25">
      <c r="A5" t="s">
        <v>7</v>
      </c>
      <c r="B5" t="s">
        <v>3</v>
      </c>
      <c r="C5" s="6">
        <v>1600</v>
      </c>
      <c r="D5" s="6">
        <v>1000</v>
      </c>
      <c r="E5" s="6">
        <v>500</v>
      </c>
    </row>
    <row r="6" spans="1:5" x14ac:dyDescent="0.25">
      <c r="A6" t="s">
        <v>73</v>
      </c>
      <c r="B6" t="s">
        <v>3</v>
      </c>
      <c r="C6" s="6">
        <v>300</v>
      </c>
      <c r="D6" s="6">
        <v>300</v>
      </c>
      <c r="E6" s="6">
        <v>300</v>
      </c>
    </row>
    <row r="7" spans="1:5" x14ac:dyDescent="0.25">
      <c r="A7" t="s">
        <v>24</v>
      </c>
      <c r="B7" t="s">
        <v>3</v>
      </c>
      <c r="C7">
        <v>1500</v>
      </c>
      <c r="D7">
        <f>D5-D6</f>
        <v>700</v>
      </c>
      <c r="E7">
        <f>E5-E6</f>
        <v>200</v>
      </c>
    </row>
    <row r="8" spans="1:5" x14ac:dyDescent="0.25">
      <c r="A8" t="s">
        <v>24</v>
      </c>
      <c r="B8" t="s">
        <v>25</v>
      </c>
      <c r="C8" s="2">
        <f>C7/25.4</f>
        <v>59.055118110236222</v>
      </c>
      <c r="D8" s="2">
        <f>D7/25.4</f>
        <v>27.559055118110237</v>
      </c>
      <c r="E8" s="2">
        <f>E7/25.4</f>
        <v>7.8740157480314963</v>
      </c>
    </row>
    <row r="9" spans="1:5" x14ac:dyDescent="0.25">
      <c r="A9" t="s">
        <v>21</v>
      </c>
      <c r="B9" t="s">
        <v>4</v>
      </c>
      <c r="C9">
        <v>6</v>
      </c>
      <c r="D9">
        <v>6</v>
      </c>
      <c r="E9">
        <v>2.8</v>
      </c>
    </row>
    <row r="10" spans="1:5" x14ac:dyDescent="0.25">
      <c r="A10" t="s">
        <v>172</v>
      </c>
      <c r="B10" t="s">
        <v>4</v>
      </c>
      <c r="C10">
        <v>3</v>
      </c>
      <c r="D10">
        <v>3</v>
      </c>
      <c r="E10">
        <v>1.5</v>
      </c>
    </row>
    <row r="11" spans="1:5" x14ac:dyDescent="0.25">
      <c r="A11" t="s">
        <v>22</v>
      </c>
      <c r="B11" t="s">
        <v>4</v>
      </c>
      <c r="C11">
        <v>1.5</v>
      </c>
      <c r="D11">
        <v>1.5</v>
      </c>
      <c r="E11">
        <f>E9/4</f>
        <v>0.7</v>
      </c>
    </row>
    <row r="12" spans="1:5" x14ac:dyDescent="0.25">
      <c r="A12" t="s">
        <v>173</v>
      </c>
      <c r="B12" t="s">
        <v>5</v>
      </c>
      <c r="C12">
        <v>900</v>
      </c>
      <c r="D12">
        <v>900</v>
      </c>
      <c r="E12">
        <v>1000</v>
      </c>
    </row>
    <row r="13" spans="1:5" x14ac:dyDescent="0.25">
      <c r="A13" t="s">
        <v>6</v>
      </c>
      <c r="B13" t="s">
        <v>5</v>
      </c>
      <c r="C13" s="3">
        <f>2.71*10^8*0.689*C4/(C5^2)</f>
        <v>1166.9937500000001</v>
      </c>
      <c r="D13" s="3">
        <f>2.71*10^8*0.689*D4/(D5^2)</f>
        <v>2390.0032000000001</v>
      </c>
      <c r="E13" s="3">
        <f>2.71*10^8*0.689*E4/(E5^2)</f>
        <v>7170.0096000000012</v>
      </c>
    </row>
    <row r="14" spans="1:5" x14ac:dyDescent="0.25">
      <c r="A14" t="s">
        <v>8</v>
      </c>
      <c r="B14" t="s">
        <v>5</v>
      </c>
      <c r="C14" s="3">
        <f>C13*0.8</f>
        <v>933.59500000000014</v>
      </c>
      <c r="D14" s="3">
        <f>D13*0.8</f>
        <v>1912.0025600000001</v>
      </c>
      <c r="E14" s="3">
        <f>E13*0.8</f>
        <v>5736.0076800000015</v>
      </c>
    </row>
    <row r="15" spans="1:5" x14ac:dyDescent="0.25">
      <c r="A15" t="s">
        <v>9</v>
      </c>
      <c r="B15" t="s">
        <v>5</v>
      </c>
      <c r="C15" s="3">
        <f>MIN(C12,C14)</f>
        <v>900</v>
      </c>
      <c r="D15" s="3">
        <f>MIN(D12,D14)</f>
        <v>900</v>
      </c>
      <c r="E15" s="3">
        <f>MIN(E12,E14)</f>
        <v>1000</v>
      </c>
    </row>
    <row r="16" spans="1:5" x14ac:dyDescent="0.25">
      <c r="A16" t="s">
        <v>9</v>
      </c>
      <c r="B16" t="s">
        <v>10</v>
      </c>
      <c r="C16" s="3">
        <f>C15*C3</f>
        <v>9000</v>
      </c>
      <c r="D16" s="3">
        <f>D15*D3</f>
        <v>9000</v>
      </c>
      <c r="E16" s="3">
        <f>E15*E3</f>
        <v>5000</v>
      </c>
    </row>
    <row r="17" spans="1:8" x14ac:dyDescent="0.25">
      <c r="A17" t="s">
        <v>9</v>
      </c>
      <c r="B17" t="s">
        <v>11</v>
      </c>
      <c r="C17" s="7">
        <f>C16/25.4</f>
        <v>354.33070866141736</v>
      </c>
      <c r="D17" s="7">
        <f>D16/25.4</f>
        <v>354.33070866141736</v>
      </c>
      <c r="E17" s="7">
        <f>E16/25.4</f>
        <v>196.85039370078741</v>
      </c>
    </row>
    <row r="18" spans="1:8" x14ac:dyDescent="0.25">
      <c r="A18" t="s">
        <v>12</v>
      </c>
      <c r="B18" t="s">
        <v>13</v>
      </c>
      <c r="C18" s="2">
        <f>C5/C16*60</f>
        <v>10.666666666666668</v>
      </c>
      <c r="D18" s="2">
        <f>D5/D16*60</f>
        <v>6.6666666666666661</v>
      </c>
      <c r="E18" s="2">
        <f>E5/E16*60</f>
        <v>6</v>
      </c>
      <c r="F18" s="2"/>
      <c r="G18" s="2"/>
      <c r="H18" s="2"/>
    </row>
    <row r="19" spans="1:8" x14ac:dyDescent="0.25">
      <c r="A19" t="s">
        <v>17</v>
      </c>
      <c r="B19" t="s">
        <v>19</v>
      </c>
      <c r="C19" s="13">
        <f>40720*0.5*C4^4/(C7^2)*9.8</f>
        <v>5811.6742257777787</v>
      </c>
      <c r="D19" s="13">
        <f>40720*0.5*D4^4/(D7^2)*9.8</f>
        <v>10930.691768320004</v>
      </c>
      <c r="E19" s="13">
        <f>40720*0.5*E4^4/(E7^2)*9.8</f>
        <v>42367.105105920033</v>
      </c>
      <c r="F19" s="3"/>
      <c r="G19" s="3"/>
      <c r="H19" s="3"/>
    </row>
    <row r="20" spans="1:8" x14ac:dyDescent="0.25">
      <c r="A20" t="s">
        <v>20</v>
      </c>
      <c r="B20" t="s">
        <v>19</v>
      </c>
      <c r="C20" s="13">
        <f>C19/2</f>
        <v>2905.8371128888894</v>
      </c>
      <c r="D20" s="13">
        <f>D19/2</f>
        <v>5465.3458841600022</v>
      </c>
      <c r="E20" s="13">
        <f>E19/2</f>
        <v>21183.552552960016</v>
      </c>
      <c r="F20" s="3"/>
      <c r="G20" s="3"/>
      <c r="H20" s="3"/>
    </row>
    <row r="21" spans="1:8" x14ac:dyDescent="0.25">
      <c r="A21" t="s">
        <v>18</v>
      </c>
      <c r="B21" t="s">
        <v>19</v>
      </c>
      <c r="C21" s="13">
        <f>C9/(C3/1000/2/PI())</f>
        <v>3769.9111843077512</v>
      </c>
      <c r="D21" s="13">
        <f>D9/(D3/1000/2/PI())</f>
        <v>3769.9111843077512</v>
      </c>
      <c r="E21" s="13">
        <f>E9/(E3/1000/2/PI())</f>
        <v>3518.5837720205677</v>
      </c>
      <c r="F21" s="3"/>
      <c r="G21" s="3"/>
      <c r="H21" s="3"/>
    </row>
    <row r="22" spans="1:8" x14ac:dyDescent="0.25">
      <c r="A22" t="s">
        <v>66</v>
      </c>
      <c r="B22" t="s">
        <v>19</v>
      </c>
      <c r="C22" s="13">
        <f>C11/(C3/1000/2/PI())</f>
        <v>942.47779607693781</v>
      </c>
      <c r="D22" s="13">
        <f>D11/(D3/1000/2/PI())</f>
        <v>942.47779607693781</v>
      </c>
      <c r="E22" s="13">
        <f>E11/(E3/1000/2/PI())</f>
        <v>879.64594300514193</v>
      </c>
      <c r="F22" s="3"/>
      <c r="G22" s="3"/>
      <c r="H22" s="3"/>
    </row>
    <row r="23" spans="1:8" x14ac:dyDescent="0.25">
      <c r="A23" t="s">
        <v>23</v>
      </c>
      <c r="B23" t="s">
        <v>26</v>
      </c>
      <c r="C23">
        <f>_xlfn.CEILING.MATH(C8/(1.5*0.8))</f>
        <v>50</v>
      </c>
      <c r="D23">
        <f>_xlfn.CEILING.MATH(D8/(1.5*0.8))</f>
        <v>23</v>
      </c>
    </row>
    <row r="24" spans="1:8" x14ac:dyDescent="0.25">
      <c r="A24" t="s">
        <v>27</v>
      </c>
      <c r="B24" t="s">
        <v>28</v>
      </c>
      <c r="C24" s="2">
        <f>D23*C8/C17+D8/D17</f>
        <v>3.9111111111111105</v>
      </c>
      <c r="D24" s="2">
        <f>C23*D8/D17+C8/C17</f>
        <v>4.0555555555555554</v>
      </c>
      <c r="E24" s="2"/>
      <c r="F24" s="2"/>
      <c r="G24" s="2"/>
    </row>
    <row r="25" spans="1:8" x14ac:dyDescent="0.25">
      <c r="A25" t="s">
        <v>63</v>
      </c>
      <c r="B25" t="s">
        <v>61</v>
      </c>
      <c r="C25">
        <v>15</v>
      </c>
      <c r="D25">
        <v>50</v>
      </c>
      <c r="E25">
        <v>20</v>
      </c>
    </row>
    <row r="26" spans="1:8" x14ac:dyDescent="0.25">
      <c r="A26" t="s">
        <v>62</v>
      </c>
      <c r="B26" t="s">
        <v>61</v>
      </c>
      <c r="C26">
        <f>E25+C25</f>
        <v>35</v>
      </c>
      <c r="D26">
        <f>E25+D25+C25</f>
        <v>85</v>
      </c>
      <c r="E26">
        <f>E25</f>
        <v>20</v>
      </c>
    </row>
    <row r="27" spans="1:8" x14ac:dyDescent="0.25">
      <c r="A27" t="s">
        <v>69</v>
      </c>
      <c r="B27" t="s">
        <v>19</v>
      </c>
      <c r="C27" s="3">
        <f>9.81*C26</f>
        <v>343.35</v>
      </c>
      <c r="D27" s="3">
        <f>9.81*D26</f>
        <v>833.85</v>
      </c>
      <c r="E27" s="3">
        <f>9.81*E26</f>
        <v>196.20000000000002</v>
      </c>
      <c r="F27" s="3"/>
      <c r="G27" s="3"/>
      <c r="H27" s="3"/>
    </row>
    <row r="28" spans="1:8" x14ac:dyDescent="0.25">
      <c r="A28" t="s">
        <v>69</v>
      </c>
      <c r="B28" t="s">
        <v>70</v>
      </c>
      <c r="C28" s="3">
        <f>C27/4.448</f>
        <v>77.191996402877692</v>
      </c>
      <c r="D28" s="3">
        <f>D27/4.448</f>
        <v>187.46627697841726</v>
      </c>
      <c r="E28" s="3">
        <f>E27/4.448</f>
        <v>44.109712230215827</v>
      </c>
      <c r="F28" s="3"/>
      <c r="G28" s="3"/>
      <c r="H28" s="3"/>
    </row>
    <row r="29" spans="1:8" x14ac:dyDescent="0.25">
      <c r="A29" t="s">
        <v>71</v>
      </c>
      <c r="B29" t="s">
        <v>59</v>
      </c>
      <c r="C29">
        <v>2</v>
      </c>
      <c r="D29">
        <f>C29</f>
        <v>2</v>
      </c>
      <c r="E29">
        <f>D29</f>
        <v>2</v>
      </c>
    </row>
    <row r="30" spans="1:8" x14ac:dyDescent="0.25">
      <c r="A30" t="s">
        <v>65</v>
      </c>
      <c r="B30" t="s">
        <v>59</v>
      </c>
      <c r="C30">
        <v>1</v>
      </c>
      <c r="D30">
        <v>2</v>
      </c>
      <c r="E30">
        <v>1</v>
      </c>
    </row>
    <row r="31" spans="1:8" x14ac:dyDescent="0.25">
      <c r="A31" t="s">
        <v>169</v>
      </c>
      <c r="B31" t="s">
        <v>64</v>
      </c>
      <c r="C31" s="2">
        <f>MIN(C20:C22)*C30/C26/9.81/C29</f>
        <v>1.372473854779289</v>
      </c>
      <c r="D31" s="2">
        <f>MIN(D20:D22)*D30/D26/9.81/D29</f>
        <v>1.1302725862888263</v>
      </c>
      <c r="E31" s="2">
        <f>MIN(E20:E22)*E30/E26/9.81/E29</f>
        <v>2.2417072961395053</v>
      </c>
      <c r="F31" s="2"/>
      <c r="G31" s="2"/>
      <c r="H31" s="2"/>
    </row>
    <row r="32" spans="1:8" x14ac:dyDescent="0.25">
      <c r="A32" t="s">
        <v>170</v>
      </c>
      <c r="B32" t="s">
        <v>19</v>
      </c>
      <c r="C32" s="2">
        <v>500</v>
      </c>
      <c r="D32" s="2">
        <v>500</v>
      </c>
      <c r="E32" s="2">
        <v>500</v>
      </c>
      <c r="F32" s="2"/>
      <c r="G32" s="2"/>
      <c r="H32" s="2"/>
    </row>
    <row r="33" spans="1:8" x14ac:dyDescent="0.25">
      <c r="A33" t="s">
        <v>174</v>
      </c>
      <c r="B33" t="s">
        <v>5</v>
      </c>
      <c r="C33" s="2">
        <v>900</v>
      </c>
      <c r="D33" s="2">
        <v>900</v>
      </c>
      <c r="E33" s="2">
        <v>700</v>
      </c>
      <c r="F33" s="2"/>
      <c r="G33" s="2"/>
      <c r="H33" s="2"/>
    </row>
    <row r="34" spans="1:8" x14ac:dyDescent="0.25">
      <c r="A34" t="s">
        <v>175</v>
      </c>
      <c r="B34" t="s">
        <v>11</v>
      </c>
      <c r="C34" s="2">
        <f>C33*C3/25.4</f>
        <v>354.33070866141736</v>
      </c>
      <c r="D34" s="2">
        <f>D33*D3/25.4</f>
        <v>354.33070866141736</v>
      </c>
      <c r="E34" s="2">
        <f>E33*E3/25.4</f>
        <v>137.7952755905512</v>
      </c>
      <c r="F34" s="2"/>
      <c r="G34" s="2"/>
      <c r="H34" s="2"/>
    </row>
    <row r="35" spans="1:8" x14ac:dyDescent="0.25">
      <c r="A35" t="s">
        <v>176</v>
      </c>
      <c r="B35" t="s">
        <v>19</v>
      </c>
      <c r="C35" s="2">
        <f>C10/(C3/1000/2/PI())</f>
        <v>1884.9555921538756</v>
      </c>
      <c r="D35" s="2">
        <f>D10/(D3/1000/2/PI())</f>
        <v>1884.9555921538756</v>
      </c>
      <c r="E35" s="2">
        <f>E10/(E3/1000/2/PI())</f>
        <v>1884.9555921538756</v>
      </c>
      <c r="F35" s="2"/>
      <c r="G35" s="2"/>
      <c r="H35" s="2"/>
    </row>
    <row r="36" spans="1:8" x14ac:dyDescent="0.25">
      <c r="A36" t="s">
        <v>171</v>
      </c>
      <c r="B36" t="s">
        <v>64</v>
      </c>
      <c r="C36" s="2">
        <f>(C35*C30-C32)/C29/C26/9.81</f>
        <v>2.0168277153835379</v>
      </c>
      <c r="D36" s="2">
        <f>(D35*D30-D32)/D29/D26/9.81</f>
        <v>1.9607310573291066</v>
      </c>
      <c r="E36" s="2">
        <f>(E35*E30-E32)/E29/E26/9.81</f>
        <v>3.5294485019211916</v>
      </c>
      <c r="F36" s="2"/>
      <c r="G36" s="2"/>
      <c r="H36" s="2"/>
    </row>
    <row r="37" spans="1:8" x14ac:dyDescent="0.25">
      <c r="A37" t="s">
        <v>143</v>
      </c>
      <c r="B37" t="s">
        <v>19</v>
      </c>
      <c r="C37" s="13">
        <f>MAX('X Axis Force'!C71:I71)</f>
        <v>853.03293040811377</v>
      </c>
      <c r="D37" s="13">
        <f>MAX('Y Axis Forces'!C73:I73)</f>
        <v>2860.6974226988709</v>
      </c>
      <c r="E37" s="13">
        <f>MAX('Z Axis Forces'!C68:I68)</f>
        <v>375.94073394705265</v>
      </c>
    </row>
    <row r="38" spans="1:8" x14ac:dyDescent="0.25">
      <c r="A38" t="s">
        <v>142</v>
      </c>
      <c r="B38" t="s">
        <v>19</v>
      </c>
      <c r="C38" s="13">
        <f>MAX('X Axis Force'!C72:I72)</f>
        <v>1009.188844148368</v>
      </c>
      <c r="D38" s="13">
        <f>MAX('Y Axis Forces'!C74:I74)</f>
        <v>2986.92035255576</v>
      </c>
      <c r="E38" s="13">
        <f>MAX('Z Axis Forces'!C69:I69)</f>
        <v>298.27521559805018</v>
      </c>
    </row>
    <row r="39" spans="1:8" x14ac:dyDescent="0.25">
      <c r="A39" t="s">
        <v>138</v>
      </c>
      <c r="B39" t="s">
        <v>19</v>
      </c>
      <c r="C39" s="13">
        <f>MAX('X Axis Force'!C77:I77)</f>
        <v>1106.8449864099853</v>
      </c>
      <c r="D39" s="13">
        <f>MAX('Y Axis Forces'!C79:I79)</f>
        <v>2986.92035255576</v>
      </c>
      <c r="E39" s="13">
        <f>MAX('Z Axis Forces'!C74:I74)</f>
        <v>628.95996477708002</v>
      </c>
    </row>
    <row r="40" spans="1:8" x14ac:dyDescent="0.25">
      <c r="A40" t="s">
        <v>139</v>
      </c>
      <c r="B40" t="s">
        <v>19</v>
      </c>
      <c r="C40" s="13">
        <f>MAX('X Axis Force'!J77:N77)</f>
        <v>18964.457302869334</v>
      </c>
      <c r="D40" s="13">
        <f>MAX('Y Axis Forces'!J79:N79)</f>
        <v>10943.231032328262</v>
      </c>
      <c r="E40" s="13">
        <f>MAX('Z Axis Forces'!J74:N74)</f>
        <v>15240.44230975965</v>
      </c>
    </row>
    <row r="41" spans="1:8" x14ac:dyDescent="0.25">
      <c r="A41" t="s">
        <v>163</v>
      </c>
      <c r="B41" t="s">
        <v>19</v>
      </c>
      <c r="C41" s="13">
        <f>'X Axis Force'!O77</f>
        <v>18589.11628282773</v>
      </c>
      <c r="D41" s="13">
        <f>'Y Axis Forces'!O79</f>
        <v>22130.392734841225</v>
      </c>
      <c r="E41" s="13">
        <f>'Z Axis Forces'!O74</f>
        <v>17626.461981953311</v>
      </c>
    </row>
  </sheetData>
  <conditionalFormatting sqref="C20">
    <cfRule type="cellIs" dxfId="15" priority="2" operator="lessThan">
      <formula>C21</formula>
    </cfRule>
  </conditionalFormatting>
  <conditionalFormatting sqref="D20:H20">
    <cfRule type="cellIs" dxfId="14" priority="1" operator="lessThan">
      <formula>D21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6E1D-5EFA-452B-A9AA-65F9BA5F1131}">
  <dimension ref="A1:T26"/>
  <sheetViews>
    <sheetView workbookViewId="0">
      <selection activeCell="I17" sqref="I17"/>
    </sheetView>
  </sheetViews>
  <sheetFormatPr defaultRowHeight="15" x14ac:dyDescent="0.25"/>
  <cols>
    <col min="1" max="1" width="12.28515625" bestFit="1" customWidth="1"/>
    <col min="2" max="2" width="40.7109375" bestFit="1" customWidth="1"/>
    <col min="3" max="3" width="19.140625" bestFit="1" customWidth="1"/>
    <col min="4" max="4" width="13.7109375" bestFit="1" customWidth="1"/>
    <col min="9" max="9" width="15.5703125" bestFit="1" customWidth="1"/>
    <col min="10" max="10" width="15.85546875" bestFit="1" customWidth="1"/>
    <col min="11" max="11" width="12.5703125" bestFit="1" customWidth="1"/>
    <col min="14" max="15" width="8.28515625" customWidth="1"/>
  </cols>
  <sheetData>
    <row r="1" spans="1:20" x14ac:dyDescent="0.25">
      <c r="A1" t="s">
        <v>292</v>
      </c>
      <c r="B1" t="s">
        <v>269</v>
      </c>
      <c r="C1" t="s">
        <v>234</v>
      </c>
      <c r="D1" t="s">
        <v>233</v>
      </c>
      <c r="E1" t="s">
        <v>230</v>
      </c>
      <c r="F1" t="s">
        <v>231</v>
      </c>
      <c r="G1" t="s">
        <v>232</v>
      </c>
      <c r="H1" t="s">
        <v>237</v>
      </c>
      <c r="I1" t="s">
        <v>246</v>
      </c>
      <c r="J1" t="s">
        <v>247</v>
      </c>
      <c r="K1" t="s">
        <v>239</v>
      </c>
      <c r="L1" t="s">
        <v>242</v>
      </c>
      <c r="M1" t="s">
        <v>291</v>
      </c>
      <c r="N1" t="s">
        <v>288</v>
      </c>
      <c r="O1" t="s">
        <v>290</v>
      </c>
      <c r="P1" t="s">
        <v>289</v>
      </c>
      <c r="Q1" t="str">
        <f>P1</f>
        <v>Max Power</v>
      </c>
    </row>
    <row r="2" spans="1:20" x14ac:dyDescent="0.25">
      <c r="E2" t="s">
        <v>25</v>
      </c>
      <c r="F2" t="s">
        <v>240</v>
      </c>
      <c r="H2" t="s">
        <v>25</v>
      </c>
      <c r="I2" t="s">
        <v>25</v>
      </c>
      <c r="J2" t="s">
        <v>41</v>
      </c>
      <c r="K2" t="s">
        <v>241</v>
      </c>
      <c r="L2" t="s">
        <v>243</v>
      </c>
      <c r="M2" t="s">
        <v>25</v>
      </c>
      <c r="N2" t="s">
        <v>244</v>
      </c>
      <c r="O2" t="s">
        <v>25</v>
      </c>
      <c r="P2" t="s">
        <v>245</v>
      </c>
      <c r="Q2" t="s">
        <v>31</v>
      </c>
    </row>
    <row r="3" spans="1:20" x14ac:dyDescent="0.25">
      <c r="B3" t="str">
        <f>E3&amp;""" "&amp;G3&amp;"F "&amp;C3&amp;" on "&amp;D3</f>
        <v>0.125" 3F Carbide End Mill on Mild Steel</v>
      </c>
      <c r="C3" t="s">
        <v>248</v>
      </c>
      <c r="D3" t="s">
        <v>249</v>
      </c>
      <c r="E3">
        <v>0.125</v>
      </c>
      <c r="F3">
        <v>12200</v>
      </c>
      <c r="G3">
        <v>3</v>
      </c>
      <c r="H3">
        <f>E3/2</f>
        <v>6.25E-2</v>
      </c>
      <c r="I3">
        <v>1.1999999999999999E-3</v>
      </c>
      <c r="J3">
        <f t="shared" ref="J3:J8" si="0">I3*$G3*$F3</f>
        <v>43.92</v>
      </c>
      <c r="K3">
        <f t="shared" ref="K3:K26" si="1">IF(D3="Aluminum",0.4,IF(RIGHT(D3,5)="Steel",2,IF(RIGHT(D3,4)="Wood",0.1,NA())))</f>
        <v>2</v>
      </c>
      <c r="L3">
        <f t="shared" ref="L3:L14" si="2">1/AVERAGE(J3:J3)/K3</f>
        <v>1.1384335154826957E-2</v>
      </c>
      <c r="M3">
        <f>IF(C3="Flycutter",0.8*E3,0.3*E3)</f>
        <v>3.7499999999999999E-2</v>
      </c>
      <c r="N3">
        <f>L3/M3</f>
        <v>0.30358227079538552</v>
      </c>
      <c r="O3">
        <f>IF(C3="Flycutter",0.05,E3)</f>
        <v>0.125</v>
      </c>
      <c r="P3">
        <f>O3/N3</f>
        <v>0.41175000000000006</v>
      </c>
      <c r="Q3" s="3">
        <f>P3*745</f>
        <v>306.75375000000003</v>
      </c>
      <c r="R3">
        <f t="shared" ref="R3:R24" si="3">M3*O3</f>
        <v>4.6874999999999998E-3</v>
      </c>
      <c r="S3">
        <f t="shared" ref="S3:S24" si="4">R3*J3</f>
        <v>0.205875</v>
      </c>
      <c r="T3" s="5">
        <f>Q3/1500</f>
        <v>0.2045025</v>
      </c>
    </row>
    <row r="4" spans="1:20" x14ac:dyDescent="0.25">
      <c r="B4" t="str">
        <f t="shared" ref="B4:B26" si="5">E4&amp;""" "&amp;G4&amp;"F "&amp;C4&amp;" on "&amp;D4</f>
        <v>0.125" 3F Carbide End Mill on Stainless Steel</v>
      </c>
      <c r="C4" t="s">
        <v>248</v>
      </c>
      <c r="D4" t="s">
        <v>250</v>
      </c>
      <c r="E4">
        <v>0.125</v>
      </c>
      <c r="F4">
        <v>10700</v>
      </c>
      <c r="G4">
        <v>3</v>
      </c>
      <c r="H4">
        <f t="shared" ref="H4:H14" si="6">E4/2</f>
        <v>6.25E-2</v>
      </c>
      <c r="I4">
        <v>8.0000000000000004E-4</v>
      </c>
      <c r="J4">
        <f t="shared" si="0"/>
        <v>25.680000000000003</v>
      </c>
      <c r="K4">
        <f t="shared" si="1"/>
        <v>2</v>
      </c>
      <c r="L4">
        <f t="shared" si="2"/>
        <v>1.9470404984423675E-2</v>
      </c>
      <c r="M4">
        <f t="shared" ref="M4:M26" si="7">IF(C4="Flycutter",0.8*E4,0.3*E4)</f>
        <v>3.7499999999999999E-2</v>
      </c>
      <c r="N4">
        <f t="shared" ref="N4:N26" si="8">L4/M4</f>
        <v>0.51921079958463134</v>
      </c>
      <c r="O4">
        <f t="shared" ref="O4:O26" si="9">IF(C4="Flycutter",0.05,E4)</f>
        <v>0.125</v>
      </c>
      <c r="P4">
        <f t="shared" ref="P4:P26" si="10">O4/N4</f>
        <v>0.24075000000000002</v>
      </c>
      <c r="Q4" s="3">
        <f t="shared" ref="Q4:Q26" si="11">P4*745</f>
        <v>179.35875000000001</v>
      </c>
      <c r="R4">
        <f t="shared" si="3"/>
        <v>4.6874999999999998E-3</v>
      </c>
      <c r="S4">
        <f t="shared" si="4"/>
        <v>0.12037500000000001</v>
      </c>
      <c r="T4" s="5">
        <f t="shared" ref="T4:T26" si="12">Q4/1500</f>
        <v>0.11957250000000001</v>
      </c>
    </row>
    <row r="5" spans="1:20" x14ac:dyDescent="0.25">
      <c r="B5" t="str">
        <f t="shared" si="5"/>
        <v>0.125" 2F Carbide End Mill on Aluminum</v>
      </c>
      <c r="C5" t="s">
        <v>248</v>
      </c>
      <c r="D5" t="s">
        <v>44</v>
      </c>
      <c r="E5">
        <v>0.125</v>
      </c>
      <c r="F5">
        <v>20000</v>
      </c>
      <c r="G5">
        <v>2</v>
      </c>
      <c r="H5">
        <f t="shared" si="6"/>
        <v>6.25E-2</v>
      </c>
      <c r="I5">
        <v>2E-3</v>
      </c>
      <c r="J5">
        <f t="shared" si="0"/>
        <v>80</v>
      </c>
      <c r="K5">
        <f t="shared" si="1"/>
        <v>0.4</v>
      </c>
      <c r="L5">
        <f t="shared" si="2"/>
        <v>3.125E-2</v>
      </c>
      <c r="M5">
        <f t="shared" si="7"/>
        <v>3.7499999999999999E-2</v>
      </c>
      <c r="N5">
        <f t="shared" si="8"/>
        <v>0.83333333333333337</v>
      </c>
      <c r="O5">
        <f t="shared" si="9"/>
        <v>0.125</v>
      </c>
      <c r="P5">
        <f t="shared" si="10"/>
        <v>0.15</v>
      </c>
      <c r="Q5" s="3">
        <f t="shared" si="11"/>
        <v>111.75</v>
      </c>
      <c r="R5">
        <f t="shared" si="3"/>
        <v>4.6874999999999998E-3</v>
      </c>
      <c r="S5">
        <f t="shared" si="4"/>
        <v>0.375</v>
      </c>
      <c r="T5" s="5">
        <f t="shared" si="12"/>
        <v>7.4499999999999997E-2</v>
      </c>
    </row>
    <row r="6" spans="1:20" x14ac:dyDescent="0.25">
      <c r="B6" t="str">
        <f t="shared" si="5"/>
        <v>0.1875" 1F HSS End Mill on Aluminum</v>
      </c>
      <c r="C6" t="s">
        <v>235</v>
      </c>
      <c r="D6" t="s">
        <v>44</v>
      </c>
      <c r="E6">
        <v>0.1875</v>
      </c>
      <c r="F6">
        <v>18000</v>
      </c>
      <c r="G6">
        <v>1</v>
      </c>
      <c r="H6">
        <f t="shared" si="6"/>
        <v>9.375E-2</v>
      </c>
      <c r="I6">
        <v>5.0000000000000001E-3</v>
      </c>
      <c r="J6">
        <f>I6*$G6*$F6</f>
        <v>90</v>
      </c>
      <c r="K6">
        <f t="shared" si="1"/>
        <v>0.4</v>
      </c>
      <c r="L6">
        <f t="shared" si="2"/>
        <v>2.7777777777777776E-2</v>
      </c>
      <c r="M6">
        <f t="shared" si="7"/>
        <v>5.6249999999999994E-2</v>
      </c>
      <c r="N6">
        <f t="shared" si="8"/>
        <v>0.49382716049382719</v>
      </c>
      <c r="O6">
        <f t="shared" si="9"/>
        <v>0.1875</v>
      </c>
      <c r="P6">
        <f t="shared" si="10"/>
        <v>0.37968749999999996</v>
      </c>
      <c r="Q6" s="3">
        <f t="shared" si="11"/>
        <v>282.86718749999994</v>
      </c>
      <c r="R6">
        <f t="shared" si="3"/>
        <v>1.0546874999999999E-2</v>
      </c>
      <c r="S6">
        <f t="shared" si="4"/>
        <v>0.94921874999999989</v>
      </c>
      <c r="T6" s="5">
        <f t="shared" si="12"/>
        <v>0.18857812499999996</v>
      </c>
    </row>
    <row r="7" spans="1:20" x14ac:dyDescent="0.25">
      <c r="A7">
        <v>51462</v>
      </c>
      <c r="B7" t="str">
        <f>E7&amp;""" "&amp;G7&amp;"F "&amp;C7&amp;" on "&amp;D7</f>
        <v>0.1875" 3F Carbide End Mill on Mild Steel</v>
      </c>
      <c r="C7" t="s">
        <v>248</v>
      </c>
      <c r="D7" t="s">
        <v>249</v>
      </c>
      <c r="E7">
        <v>0.1875</v>
      </c>
      <c r="F7">
        <v>8200</v>
      </c>
      <c r="G7">
        <v>3</v>
      </c>
      <c r="H7">
        <f>E7/2</f>
        <v>9.375E-2</v>
      </c>
      <c r="I7">
        <v>2E-3</v>
      </c>
      <c r="J7">
        <f t="shared" si="0"/>
        <v>49.2</v>
      </c>
      <c r="K7">
        <f t="shared" si="1"/>
        <v>2</v>
      </c>
      <c r="L7">
        <f t="shared" si="2"/>
        <v>1.016260162601626E-2</v>
      </c>
      <c r="M7">
        <f t="shared" si="7"/>
        <v>5.6249999999999994E-2</v>
      </c>
      <c r="N7">
        <f t="shared" si="8"/>
        <v>0.18066847335140018</v>
      </c>
      <c r="O7">
        <f t="shared" si="9"/>
        <v>0.1875</v>
      </c>
      <c r="P7">
        <f t="shared" si="10"/>
        <v>1.0378125</v>
      </c>
      <c r="Q7" s="3">
        <f t="shared" si="11"/>
        <v>773.17031250000002</v>
      </c>
      <c r="R7">
        <f t="shared" si="3"/>
        <v>1.0546874999999999E-2</v>
      </c>
      <c r="S7">
        <f t="shared" si="4"/>
        <v>0.51890625000000001</v>
      </c>
      <c r="T7" s="5">
        <f t="shared" si="12"/>
        <v>0.51544687499999997</v>
      </c>
    </row>
    <row r="8" spans="1:20" x14ac:dyDescent="0.25">
      <c r="A8">
        <v>51462</v>
      </c>
      <c r="B8" t="str">
        <f>E8&amp;""" "&amp;G8&amp;"F "&amp;C8&amp;" on "&amp;D8</f>
        <v>0.1875" 3F Carbide End Mill on Stainless Steel</v>
      </c>
      <c r="C8" t="s">
        <v>248</v>
      </c>
      <c r="D8" t="s">
        <v>250</v>
      </c>
      <c r="E8">
        <v>0.1875</v>
      </c>
      <c r="F8">
        <v>7100</v>
      </c>
      <c r="G8">
        <v>3</v>
      </c>
      <c r="H8">
        <f>E8/2</f>
        <v>9.375E-2</v>
      </c>
      <c r="I8">
        <v>1.5E-3</v>
      </c>
      <c r="J8">
        <f t="shared" si="0"/>
        <v>31.950000000000003</v>
      </c>
      <c r="K8">
        <f t="shared" si="1"/>
        <v>2</v>
      </c>
      <c r="L8">
        <f t="shared" si="2"/>
        <v>1.5649452269170576E-2</v>
      </c>
      <c r="M8">
        <f t="shared" si="7"/>
        <v>5.6249999999999994E-2</v>
      </c>
      <c r="N8">
        <f t="shared" si="8"/>
        <v>0.27821248478525473</v>
      </c>
      <c r="O8">
        <f t="shared" si="9"/>
        <v>0.1875</v>
      </c>
      <c r="P8">
        <f t="shared" si="10"/>
        <v>0.6739453125</v>
      </c>
      <c r="Q8" s="3">
        <f t="shared" si="11"/>
        <v>502.08925781250002</v>
      </c>
      <c r="R8">
        <f t="shared" si="3"/>
        <v>1.0546874999999999E-2</v>
      </c>
      <c r="S8">
        <f t="shared" si="4"/>
        <v>0.33697265625</v>
      </c>
      <c r="T8" s="5">
        <f t="shared" si="12"/>
        <v>0.33472617187500003</v>
      </c>
    </row>
    <row r="9" spans="1:20" x14ac:dyDescent="0.25">
      <c r="B9" t="str">
        <f t="shared" si="5"/>
        <v>0.25" 2F HSS End Mill on Soft Wood</v>
      </c>
      <c r="C9" t="s">
        <v>235</v>
      </c>
      <c r="D9" t="s">
        <v>236</v>
      </c>
      <c r="E9">
        <v>0.25</v>
      </c>
      <c r="F9">
        <v>18000</v>
      </c>
      <c r="G9">
        <v>2</v>
      </c>
      <c r="H9">
        <f t="shared" si="6"/>
        <v>0.125</v>
      </c>
      <c r="I9">
        <v>7.0000000000000001E-3</v>
      </c>
      <c r="J9">
        <f t="shared" ref="J9:J26" si="13">I9*$G9*$F9</f>
        <v>252</v>
      </c>
      <c r="K9">
        <f t="shared" si="1"/>
        <v>0.1</v>
      </c>
      <c r="L9">
        <f t="shared" si="2"/>
        <v>3.968253968253968E-2</v>
      </c>
      <c r="M9">
        <f t="shared" si="7"/>
        <v>7.4999999999999997E-2</v>
      </c>
      <c r="N9">
        <f t="shared" si="8"/>
        <v>0.52910052910052907</v>
      </c>
      <c r="O9">
        <f t="shared" si="9"/>
        <v>0.25</v>
      </c>
      <c r="P9">
        <f t="shared" si="10"/>
        <v>0.47250000000000003</v>
      </c>
      <c r="Q9" s="3">
        <f t="shared" si="11"/>
        <v>352.01250000000005</v>
      </c>
      <c r="R9">
        <f t="shared" si="3"/>
        <v>1.8749999999999999E-2</v>
      </c>
      <c r="S9">
        <f t="shared" si="4"/>
        <v>4.7249999999999996</v>
      </c>
      <c r="T9" s="5">
        <f t="shared" si="12"/>
        <v>0.23467500000000002</v>
      </c>
    </row>
    <row r="10" spans="1:20" x14ac:dyDescent="0.25">
      <c r="B10" t="str">
        <f t="shared" si="5"/>
        <v>0.25" 2F HSS End Mill on Hard Wood</v>
      </c>
      <c r="C10" t="s">
        <v>235</v>
      </c>
      <c r="D10" t="s">
        <v>238</v>
      </c>
      <c r="E10">
        <v>0.25</v>
      </c>
      <c r="F10">
        <v>18000</v>
      </c>
      <c r="G10">
        <v>2</v>
      </c>
      <c r="H10">
        <f t="shared" si="6"/>
        <v>0.125</v>
      </c>
      <c r="I10">
        <v>6.0000000000000001E-3</v>
      </c>
      <c r="J10">
        <f t="shared" si="13"/>
        <v>216</v>
      </c>
      <c r="K10">
        <f t="shared" si="1"/>
        <v>0.1</v>
      </c>
      <c r="L10">
        <f t="shared" si="2"/>
        <v>4.6296296296296294E-2</v>
      </c>
      <c r="M10">
        <f t="shared" si="7"/>
        <v>7.4999999999999997E-2</v>
      </c>
      <c r="N10">
        <f t="shared" si="8"/>
        <v>0.61728395061728392</v>
      </c>
      <c r="O10">
        <f t="shared" si="9"/>
        <v>0.25</v>
      </c>
      <c r="P10">
        <f t="shared" si="10"/>
        <v>0.40500000000000003</v>
      </c>
      <c r="Q10" s="3">
        <f t="shared" si="11"/>
        <v>301.72500000000002</v>
      </c>
      <c r="R10">
        <f t="shared" si="3"/>
        <v>1.8749999999999999E-2</v>
      </c>
      <c r="S10">
        <f t="shared" si="4"/>
        <v>4.05</v>
      </c>
      <c r="T10" s="5">
        <f t="shared" si="12"/>
        <v>0.20115000000000002</v>
      </c>
    </row>
    <row r="11" spans="1:20" x14ac:dyDescent="0.25">
      <c r="B11" t="str">
        <f t="shared" si="5"/>
        <v>0.25" 2F HSS End Mill on Aluminum</v>
      </c>
      <c r="C11" t="s">
        <v>235</v>
      </c>
      <c r="D11" t="s">
        <v>44</v>
      </c>
      <c r="E11">
        <v>0.25</v>
      </c>
      <c r="F11">
        <v>18000</v>
      </c>
      <c r="G11">
        <v>2</v>
      </c>
      <c r="H11">
        <f t="shared" si="6"/>
        <v>0.125</v>
      </c>
      <c r="I11">
        <v>3.0000000000000001E-3</v>
      </c>
      <c r="J11">
        <f t="shared" si="13"/>
        <v>108</v>
      </c>
      <c r="K11">
        <f t="shared" si="1"/>
        <v>0.4</v>
      </c>
      <c r="L11">
        <f t="shared" si="2"/>
        <v>2.3148148148148147E-2</v>
      </c>
      <c r="M11">
        <f t="shared" si="7"/>
        <v>7.4999999999999997E-2</v>
      </c>
      <c r="N11">
        <f t="shared" si="8"/>
        <v>0.30864197530864196</v>
      </c>
      <c r="O11">
        <f t="shared" si="9"/>
        <v>0.25</v>
      </c>
      <c r="P11">
        <f t="shared" si="10"/>
        <v>0.81</v>
      </c>
      <c r="Q11" s="3">
        <f t="shared" si="11"/>
        <v>603.45000000000005</v>
      </c>
      <c r="R11">
        <f t="shared" si="3"/>
        <v>1.8749999999999999E-2</v>
      </c>
      <c r="S11">
        <f t="shared" si="4"/>
        <v>2.0249999999999999</v>
      </c>
      <c r="T11" s="5">
        <f t="shared" si="12"/>
        <v>0.40230000000000005</v>
      </c>
    </row>
    <row r="12" spans="1:20" x14ac:dyDescent="0.25">
      <c r="B12" t="str">
        <f t="shared" si="5"/>
        <v>0.25" 2F Carbide End Mill on Aluminum</v>
      </c>
      <c r="C12" t="s">
        <v>248</v>
      </c>
      <c r="D12" t="s">
        <v>44</v>
      </c>
      <c r="E12">
        <v>0.25</v>
      </c>
      <c r="F12">
        <v>10000</v>
      </c>
      <c r="G12">
        <v>2</v>
      </c>
      <c r="H12">
        <f t="shared" si="6"/>
        <v>0.125</v>
      </c>
      <c r="I12">
        <v>4.0000000000000001E-3</v>
      </c>
      <c r="J12">
        <f t="shared" si="13"/>
        <v>80</v>
      </c>
      <c r="K12">
        <f t="shared" si="1"/>
        <v>0.4</v>
      </c>
      <c r="L12">
        <f t="shared" si="2"/>
        <v>3.125E-2</v>
      </c>
      <c r="M12">
        <f t="shared" si="7"/>
        <v>7.4999999999999997E-2</v>
      </c>
      <c r="N12">
        <f t="shared" si="8"/>
        <v>0.41666666666666669</v>
      </c>
      <c r="O12">
        <f t="shared" si="9"/>
        <v>0.25</v>
      </c>
      <c r="P12">
        <f t="shared" si="10"/>
        <v>0.6</v>
      </c>
      <c r="Q12" s="3">
        <f t="shared" si="11"/>
        <v>447</v>
      </c>
      <c r="R12">
        <f t="shared" si="3"/>
        <v>1.8749999999999999E-2</v>
      </c>
      <c r="S12">
        <f t="shared" si="4"/>
        <v>1.5</v>
      </c>
      <c r="T12" s="5">
        <f t="shared" si="12"/>
        <v>0.29799999999999999</v>
      </c>
    </row>
    <row r="13" spans="1:20" x14ac:dyDescent="0.25">
      <c r="B13" t="str">
        <f t="shared" si="5"/>
        <v>0.25" 3F Carbide End Mill on Mild Steel</v>
      </c>
      <c r="C13" t="s">
        <v>248</v>
      </c>
      <c r="D13" t="s">
        <v>249</v>
      </c>
      <c r="E13">
        <v>0.25</v>
      </c>
      <c r="F13">
        <v>6100</v>
      </c>
      <c r="G13">
        <v>3</v>
      </c>
      <c r="H13">
        <f t="shared" si="6"/>
        <v>0.125</v>
      </c>
      <c r="I13">
        <v>2.3999999999999998E-3</v>
      </c>
      <c r="J13">
        <f t="shared" si="13"/>
        <v>43.92</v>
      </c>
      <c r="K13">
        <f t="shared" si="1"/>
        <v>2</v>
      </c>
      <c r="L13">
        <f t="shared" si="2"/>
        <v>1.1384335154826957E-2</v>
      </c>
      <c r="M13">
        <f t="shared" si="7"/>
        <v>7.4999999999999997E-2</v>
      </c>
      <c r="N13">
        <f t="shared" si="8"/>
        <v>0.15179113539769276</v>
      </c>
      <c r="O13">
        <f t="shared" si="9"/>
        <v>0.25</v>
      </c>
      <c r="P13">
        <f t="shared" si="10"/>
        <v>1.6470000000000002</v>
      </c>
      <c r="Q13" s="3">
        <f t="shared" si="11"/>
        <v>1227.0150000000001</v>
      </c>
      <c r="R13">
        <f t="shared" si="3"/>
        <v>1.8749999999999999E-2</v>
      </c>
      <c r="S13">
        <f t="shared" si="4"/>
        <v>0.82350000000000001</v>
      </c>
      <c r="T13" s="5">
        <f t="shared" si="12"/>
        <v>0.81801000000000001</v>
      </c>
    </row>
    <row r="14" spans="1:20" x14ac:dyDescent="0.25">
      <c r="B14" t="str">
        <f t="shared" si="5"/>
        <v>0.25" 3F Carbide End Mill on Stainless Steel</v>
      </c>
      <c r="C14" t="s">
        <v>248</v>
      </c>
      <c r="D14" t="s">
        <v>250</v>
      </c>
      <c r="E14">
        <v>0.25</v>
      </c>
      <c r="F14">
        <v>5300</v>
      </c>
      <c r="G14">
        <v>3</v>
      </c>
      <c r="H14">
        <f t="shared" si="6"/>
        <v>0.125</v>
      </c>
      <c r="I14">
        <v>1.6000000000000001E-3</v>
      </c>
      <c r="J14">
        <f t="shared" si="13"/>
        <v>25.44</v>
      </c>
      <c r="K14">
        <f t="shared" si="1"/>
        <v>2</v>
      </c>
      <c r="L14">
        <f t="shared" si="2"/>
        <v>1.9654088050314465E-2</v>
      </c>
      <c r="M14">
        <f t="shared" si="7"/>
        <v>7.4999999999999997E-2</v>
      </c>
      <c r="N14">
        <f t="shared" si="8"/>
        <v>0.26205450733752622</v>
      </c>
      <c r="O14">
        <f t="shared" si="9"/>
        <v>0.25</v>
      </c>
      <c r="P14">
        <f t="shared" si="10"/>
        <v>0.95399999999999996</v>
      </c>
      <c r="Q14" s="3">
        <f t="shared" si="11"/>
        <v>710.73</v>
      </c>
      <c r="R14">
        <f t="shared" si="3"/>
        <v>1.8749999999999999E-2</v>
      </c>
      <c r="S14">
        <f t="shared" si="4"/>
        <v>0.47699999999999998</v>
      </c>
      <c r="T14" s="5">
        <f t="shared" si="12"/>
        <v>0.47382000000000002</v>
      </c>
    </row>
    <row r="15" spans="1:20" x14ac:dyDescent="0.25">
      <c r="B15" t="str">
        <f t="shared" ref="B15:B22" si="14">E15&amp;""" "&amp;G15&amp;"F "&amp;C15&amp;" on "&amp;D15</f>
        <v>0.3125" 2F HSS End Mill on Soft Wood</v>
      </c>
      <c r="C15" t="s">
        <v>235</v>
      </c>
      <c r="D15" t="s">
        <v>236</v>
      </c>
      <c r="E15">
        <f>5/16</f>
        <v>0.3125</v>
      </c>
      <c r="F15">
        <v>18000</v>
      </c>
      <c r="G15">
        <v>2</v>
      </c>
      <c r="H15">
        <f t="shared" ref="H15:H22" si="15">E15/2</f>
        <v>0.15625</v>
      </c>
      <c r="I15">
        <v>7.0000000000000001E-3</v>
      </c>
      <c r="J15">
        <f t="shared" si="13"/>
        <v>252</v>
      </c>
      <c r="K15">
        <f t="shared" si="1"/>
        <v>0.1</v>
      </c>
      <c r="L15">
        <f t="shared" ref="L15:L26" si="16">1/AVERAGE(J15:J15)/K15</f>
        <v>3.968253968253968E-2</v>
      </c>
      <c r="M15">
        <f t="shared" si="7"/>
        <v>9.375E-2</v>
      </c>
      <c r="N15">
        <f t="shared" si="8"/>
        <v>0.42328042328042326</v>
      </c>
      <c r="O15">
        <f t="shared" si="9"/>
        <v>0.3125</v>
      </c>
      <c r="P15">
        <f t="shared" si="10"/>
        <v>0.73828125</v>
      </c>
      <c r="Q15" s="3">
        <f t="shared" si="11"/>
        <v>550.01953125</v>
      </c>
      <c r="R15">
        <f t="shared" si="3"/>
        <v>2.9296875E-2</v>
      </c>
      <c r="S15">
        <f t="shared" si="4"/>
        <v>7.3828125</v>
      </c>
      <c r="T15" s="5">
        <f t="shared" si="12"/>
        <v>0.36667968750000002</v>
      </c>
    </row>
    <row r="16" spans="1:20" x14ac:dyDescent="0.25">
      <c r="B16" t="str">
        <f t="shared" si="14"/>
        <v>0.3125" 2F HSS End Mill on Hard Wood</v>
      </c>
      <c r="C16" t="s">
        <v>235</v>
      </c>
      <c r="D16" t="s">
        <v>238</v>
      </c>
      <c r="E16">
        <f>5/16</f>
        <v>0.3125</v>
      </c>
      <c r="F16">
        <v>18000</v>
      </c>
      <c r="G16">
        <v>2</v>
      </c>
      <c r="H16">
        <f t="shared" si="15"/>
        <v>0.15625</v>
      </c>
      <c r="I16">
        <v>7.0000000000000001E-3</v>
      </c>
      <c r="J16">
        <f t="shared" si="13"/>
        <v>252</v>
      </c>
      <c r="K16">
        <f t="shared" si="1"/>
        <v>0.1</v>
      </c>
      <c r="L16">
        <f t="shared" si="16"/>
        <v>3.968253968253968E-2</v>
      </c>
      <c r="M16">
        <f t="shared" si="7"/>
        <v>9.375E-2</v>
      </c>
      <c r="N16">
        <f t="shared" si="8"/>
        <v>0.42328042328042326</v>
      </c>
      <c r="O16">
        <f t="shared" si="9"/>
        <v>0.3125</v>
      </c>
      <c r="P16">
        <f t="shared" si="10"/>
        <v>0.73828125</v>
      </c>
      <c r="Q16" s="3">
        <f t="shared" si="11"/>
        <v>550.01953125</v>
      </c>
      <c r="R16">
        <f t="shared" si="3"/>
        <v>2.9296875E-2</v>
      </c>
      <c r="S16">
        <f t="shared" si="4"/>
        <v>7.3828125</v>
      </c>
      <c r="T16" s="5">
        <f t="shared" si="12"/>
        <v>0.36667968750000002</v>
      </c>
    </row>
    <row r="17" spans="1:20" x14ac:dyDescent="0.25">
      <c r="B17" t="str">
        <f t="shared" si="14"/>
        <v>0.3125" 2F HSS End Mill on Aluminum</v>
      </c>
      <c r="C17" t="s">
        <v>235</v>
      </c>
      <c r="D17" t="s">
        <v>44</v>
      </c>
      <c r="E17">
        <f>5/16</f>
        <v>0.3125</v>
      </c>
      <c r="F17">
        <v>18000</v>
      </c>
      <c r="G17">
        <v>2</v>
      </c>
      <c r="H17">
        <f t="shared" si="15"/>
        <v>0.15625</v>
      </c>
      <c r="I17">
        <v>3.0000000000000001E-3</v>
      </c>
      <c r="J17">
        <f t="shared" si="13"/>
        <v>108</v>
      </c>
      <c r="K17">
        <f t="shared" si="1"/>
        <v>0.4</v>
      </c>
      <c r="L17">
        <f t="shared" si="16"/>
        <v>2.3148148148148147E-2</v>
      </c>
      <c r="M17">
        <f t="shared" si="7"/>
        <v>9.375E-2</v>
      </c>
      <c r="N17">
        <f t="shared" si="8"/>
        <v>0.24691358024691357</v>
      </c>
      <c r="O17">
        <f t="shared" si="9"/>
        <v>0.3125</v>
      </c>
      <c r="P17">
        <f t="shared" si="10"/>
        <v>1.265625</v>
      </c>
      <c r="Q17" s="3">
        <f t="shared" si="11"/>
        <v>942.890625</v>
      </c>
      <c r="R17">
        <f t="shared" si="3"/>
        <v>2.9296875E-2</v>
      </c>
      <c r="S17">
        <f t="shared" si="4"/>
        <v>3.1640625</v>
      </c>
      <c r="T17" s="5">
        <f t="shared" si="12"/>
        <v>0.62859374999999995</v>
      </c>
    </row>
    <row r="18" spans="1:20" x14ac:dyDescent="0.25">
      <c r="A18" t="s">
        <v>295</v>
      </c>
      <c r="B18" t="str">
        <f t="shared" si="14"/>
        <v>0.375" 2F HSS End Mill on Soft Wood</v>
      </c>
      <c r="C18" t="s">
        <v>235</v>
      </c>
      <c r="D18" t="s">
        <v>236</v>
      </c>
      <c r="E18">
        <f>3/8</f>
        <v>0.375</v>
      </c>
      <c r="F18">
        <v>18000</v>
      </c>
      <c r="G18">
        <v>2</v>
      </c>
      <c r="H18">
        <f t="shared" si="15"/>
        <v>0.1875</v>
      </c>
      <c r="I18">
        <v>8.0000000000000002E-3</v>
      </c>
      <c r="J18">
        <f t="shared" si="13"/>
        <v>288</v>
      </c>
      <c r="K18">
        <f t="shared" si="1"/>
        <v>0.1</v>
      </c>
      <c r="L18">
        <f t="shared" si="16"/>
        <v>3.4722222222222217E-2</v>
      </c>
      <c r="M18">
        <f t="shared" si="7"/>
        <v>0.11249999999999999</v>
      </c>
      <c r="N18">
        <f t="shared" si="8"/>
        <v>0.30864197530864196</v>
      </c>
      <c r="O18">
        <f t="shared" si="9"/>
        <v>0.375</v>
      </c>
      <c r="P18">
        <f t="shared" si="10"/>
        <v>1.2150000000000001</v>
      </c>
      <c r="Q18" s="3">
        <f t="shared" si="11"/>
        <v>905.17500000000007</v>
      </c>
      <c r="R18">
        <f t="shared" si="3"/>
        <v>4.2187499999999996E-2</v>
      </c>
      <c r="S18">
        <f t="shared" si="4"/>
        <v>12.149999999999999</v>
      </c>
      <c r="T18" s="5">
        <f t="shared" si="12"/>
        <v>0.60345000000000004</v>
      </c>
    </row>
    <row r="19" spans="1:20" x14ac:dyDescent="0.25">
      <c r="A19" t="s">
        <v>295</v>
      </c>
      <c r="B19" t="str">
        <f t="shared" si="14"/>
        <v>0.375" 2F HSS End Mill on Hard Wood</v>
      </c>
      <c r="C19" t="s">
        <v>235</v>
      </c>
      <c r="D19" t="s">
        <v>238</v>
      </c>
      <c r="E19">
        <f>3/8</f>
        <v>0.375</v>
      </c>
      <c r="F19">
        <v>18000</v>
      </c>
      <c r="G19">
        <v>2</v>
      </c>
      <c r="H19">
        <f t="shared" si="15"/>
        <v>0.1875</v>
      </c>
      <c r="I19">
        <v>7.0000000000000001E-3</v>
      </c>
      <c r="J19">
        <f t="shared" si="13"/>
        <v>252</v>
      </c>
      <c r="K19">
        <f t="shared" si="1"/>
        <v>0.1</v>
      </c>
      <c r="L19">
        <f t="shared" si="16"/>
        <v>3.968253968253968E-2</v>
      </c>
      <c r="M19">
        <f t="shared" si="7"/>
        <v>0.11249999999999999</v>
      </c>
      <c r="N19">
        <f t="shared" si="8"/>
        <v>0.35273368606701944</v>
      </c>
      <c r="O19">
        <f t="shared" si="9"/>
        <v>0.375</v>
      </c>
      <c r="P19">
        <f t="shared" si="10"/>
        <v>1.0631249999999999</v>
      </c>
      <c r="Q19" s="3">
        <f t="shared" si="11"/>
        <v>792.02812499999993</v>
      </c>
      <c r="R19">
        <f t="shared" si="3"/>
        <v>4.2187499999999996E-2</v>
      </c>
      <c r="S19">
        <f t="shared" si="4"/>
        <v>10.63125</v>
      </c>
      <c r="T19" s="5">
        <f t="shared" si="12"/>
        <v>0.52801874999999998</v>
      </c>
    </row>
    <row r="20" spans="1:20" x14ac:dyDescent="0.25">
      <c r="A20" t="s">
        <v>295</v>
      </c>
      <c r="B20" t="str">
        <f t="shared" si="14"/>
        <v>0.375" 2F HSS End Mill on Aluminum</v>
      </c>
      <c r="C20" t="s">
        <v>235</v>
      </c>
      <c r="D20" t="s">
        <v>44</v>
      </c>
      <c r="E20">
        <f>3/8</f>
        <v>0.375</v>
      </c>
      <c r="F20">
        <v>18000</v>
      </c>
      <c r="G20">
        <v>2</v>
      </c>
      <c r="H20">
        <f t="shared" si="15"/>
        <v>0.1875</v>
      </c>
      <c r="I20">
        <v>4.0000000000000001E-3</v>
      </c>
      <c r="J20">
        <f t="shared" si="13"/>
        <v>144</v>
      </c>
      <c r="K20">
        <f t="shared" si="1"/>
        <v>0.4</v>
      </c>
      <c r="L20">
        <f t="shared" si="16"/>
        <v>1.7361111111111108E-2</v>
      </c>
      <c r="M20">
        <f t="shared" si="7"/>
        <v>0.11249999999999999</v>
      </c>
      <c r="N20">
        <f t="shared" si="8"/>
        <v>0.15432098765432098</v>
      </c>
      <c r="O20">
        <f t="shared" si="9"/>
        <v>0.375</v>
      </c>
      <c r="P20">
        <f t="shared" si="10"/>
        <v>2.4300000000000002</v>
      </c>
      <c r="Q20" s="3">
        <f t="shared" si="11"/>
        <v>1810.3500000000001</v>
      </c>
      <c r="R20">
        <f t="shared" si="3"/>
        <v>4.2187499999999996E-2</v>
      </c>
      <c r="S20">
        <f t="shared" si="4"/>
        <v>6.0749999999999993</v>
      </c>
      <c r="T20" s="5">
        <f t="shared" si="12"/>
        <v>1.2069000000000001</v>
      </c>
    </row>
    <row r="21" spans="1:20" x14ac:dyDescent="0.25">
      <c r="B21" t="str">
        <f t="shared" si="14"/>
        <v>0.375" 2F Carbide End Mill on Hard Wood</v>
      </c>
      <c r="C21" t="s">
        <v>248</v>
      </c>
      <c r="D21" t="s">
        <v>238</v>
      </c>
      <c r="E21">
        <v>0.375</v>
      </c>
      <c r="F21">
        <v>18000</v>
      </c>
      <c r="G21">
        <v>2</v>
      </c>
      <c r="H21">
        <f t="shared" si="15"/>
        <v>0.1875</v>
      </c>
      <c r="I21">
        <v>5.5999999999999999E-3</v>
      </c>
      <c r="J21">
        <f t="shared" si="13"/>
        <v>201.6</v>
      </c>
      <c r="K21">
        <f t="shared" si="1"/>
        <v>0.1</v>
      </c>
      <c r="L21">
        <f t="shared" si="16"/>
        <v>4.96031746031746E-2</v>
      </c>
      <c r="M21">
        <f t="shared" si="7"/>
        <v>0.11249999999999999</v>
      </c>
      <c r="N21">
        <f t="shared" si="8"/>
        <v>0.44091710758377428</v>
      </c>
      <c r="O21">
        <f t="shared" si="9"/>
        <v>0.375</v>
      </c>
      <c r="P21">
        <f t="shared" si="10"/>
        <v>0.85049999999999992</v>
      </c>
      <c r="Q21" s="3">
        <f t="shared" si="11"/>
        <v>633.62249999999995</v>
      </c>
      <c r="R21">
        <f t="shared" si="3"/>
        <v>4.2187499999999996E-2</v>
      </c>
      <c r="S21">
        <f t="shared" si="4"/>
        <v>8.504999999999999</v>
      </c>
      <c r="T21" s="5">
        <f t="shared" si="12"/>
        <v>0.42241499999999998</v>
      </c>
    </row>
    <row r="22" spans="1:20" x14ac:dyDescent="0.25">
      <c r="A22">
        <v>46011</v>
      </c>
      <c r="B22" t="str">
        <f t="shared" si="14"/>
        <v>0.375" 3F Carbide End Mill on Hard Wood</v>
      </c>
      <c r="C22" t="s">
        <v>248</v>
      </c>
      <c r="D22" t="s">
        <v>238</v>
      </c>
      <c r="E22">
        <v>0.375</v>
      </c>
      <c r="F22">
        <v>18000</v>
      </c>
      <c r="G22">
        <v>3</v>
      </c>
      <c r="H22">
        <f t="shared" si="15"/>
        <v>0.1875</v>
      </c>
      <c r="I22">
        <v>5.5999999999999999E-3</v>
      </c>
      <c r="J22">
        <f t="shared" si="13"/>
        <v>302.39999999999998</v>
      </c>
      <c r="K22">
        <f t="shared" si="1"/>
        <v>0.1</v>
      </c>
      <c r="L22">
        <f t="shared" si="16"/>
        <v>3.3068783068783067E-2</v>
      </c>
      <c r="M22">
        <f t="shared" si="7"/>
        <v>0.11249999999999999</v>
      </c>
      <c r="N22">
        <f t="shared" si="8"/>
        <v>0.29394473838918284</v>
      </c>
      <c r="O22">
        <f t="shared" si="9"/>
        <v>0.375</v>
      </c>
      <c r="P22">
        <f t="shared" si="10"/>
        <v>1.2757499999999999</v>
      </c>
      <c r="Q22" s="3">
        <f t="shared" si="11"/>
        <v>950.43374999999992</v>
      </c>
      <c r="R22">
        <f t="shared" si="3"/>
        <v>4.2187499999999996E-2</v>
      </c>
      <c r="S22">
        <f t="shared" si="4"/>
        <v>12.757499999999999</v>
      </c>
      <c r="T22" s="5">
        <f t="shared" si="12"/>
        <v>0.63362249999999998</v>
      </c>
    </row>
    <row r="23" spans="1:20" x14ac:dyDescent="0.25">
      <c r="B23" t="str">
        <f t="shared" si="5"/>
        <v>1" 2F Flycutter on Soft Wood</v>
      </c>
      <c r="C23" t="s">
        <v>251</v>
      </c>
      <c r="D23" t="s">
        <v>236</v>
      </c>
      <c r="E23">
        <v>1</v>
      </c>
      <c r="F23">
        <v>18000</v>
      </c>
      <c r="G23">
        <v>2</v>
      </c>
      <c r="H23">
        <v>0.05</v>
      </c>
      <c r="I23">
        <v>2E-3</v>
      </c>
      <c r="J23">
        <f t="shared" si="13"/>
        <v>72</v>
      </c>
      <c r="K23">
        <f t="shared" si="1"/>
        <v>0.1</v>
      </c>
      <c r="L23">
        <f t="shared" si="16"/>
        <v>0.13888888888888887</v>
      </c>
      <c r="M23">
        <f t="shared" si="7"/>
        <v>0.8</v>
      </c>
      <c r="N23">
        <f t="shared" si="8"/>
        <v>0.17361111111111108</v>
      </c>
      <c r="O23">
        <f t="shared" si="9"/>
        <v>0.05</v>
      </c>
      <c r="P23">
        <f t="shared" si="10"/>
        <v>0.28800000000000009</v>
      </c>
      <c r="Q23" s="3">
        <f t="shared" si="11"/>
        <v>214.56000000000006</v>
      </c>
      <c r="R23">
        <f t="shared" si="3"/>
        <v>4.0000000000000008E-2</v>
      </c>
      <c r="S23">
        <f t="shared" si="4"/>
        <v>2.8800000000000008</v>
      </c>
      <c r="T23" s="5">
        <f t="shared" si="12"/>
        <v>0.14304000000000003</v>
      </c>
    </row>
    <row r="24" spans="1:20" x14ac:dyDescent="0.25">
      <c r="A24" t="s">
        <v>293</v>
      </c>
      <c r="B24" t="str">
        <f t="shared" si="5"/>
        <v>1.5" 2F Flycutter on Soft Wood</v>
      </c>
      <c r="C24" t="s">
        <v>251</v>
      </c>
      <c r="D24" t="s">
        <v>236</v>
      </c>
      <c r="E24">
        <v>1.5</v>
      </c>
      <c r="F24">
        <v>18000</v>
      </c>
      <c r="G24">
        <v>2</v>
      </c>
      <c r="H24">
        <v>0.05</v>
      </c>
      <c r="I24">
        <v>5.3E-3</v>
      </c>
      <c r="J24">
        <f t="shared" si="13"/>
        <v>190.8</v>
      </c>
      <c r="K24">
        <f t="shared" si="1"/>
        <v>0.1</v>
      </c>
      <c r="L24">
        <f t="shared" si="16"/>
        <v>5.2410901467505232E-2</v>
      </c>
      <c r="M24">
        <f t="shared" si="7"/>
        <v>1.2000000000000002</v>
      </c>
      <c r="N24">
        <f t="shared" si="8"/>
        <v>4.3675751222921021E-2</v>
      </c>
      <c r="O24">
        <f t="shared" si="9"/>
        <v>0.05</v>
      </c>
      <c r="P24">
        <f t="shared" si="10"/>
        <v>1.1448000000000005</v>
      </c>
      <c r="Q24" s="3">
        <f t="shared" si="11"/>
        <v>852.87600000000032</v>
      </c>
      <c r="R24">
        <f t="shared" si="3"/>
        <v>6.0000000000000012E-2</v>
      </c>
      <c r="S24">
        <f t="shared" si="4"/>
        <v>11.448000000000002</v>
      </c>
      <c r="T24" s="5">
        <f t="shared" si="12"/>
        <v>0.5685840000000002</v>
      </c>
    </row>
    <row r="25" spans="1:20" x14ac:dyDescent="0.25">
      <c r="A25">
        <v>45525</v>
      </c>
      <c r="B25" t="str">
        <f t="shared" si="5"/>
        <v>1.125" 3F Flycutter on Soft Wood</v>
      </c>
      <c r="C25" t="s">
        <v>251</v>
      </c>
      <c r="D25" t="s">
        <v>236</v>
      </c>
      <c r="E25">
        <v>1.125</v>
      </c>
      <c r="F25">
        <v>18000</v>
      </c>
      <c r="G25">
        <v>3</v>
      </c>
      <c r="H25">
        <v>0.05</v>
      </c>
      <c r="I25">
        <v>4.0000000000000001E-3</v>
      </c>
      <c r="J25">
        <f t="shared" si="13"/>
        <v>216</v>
      </c>
      <c r="K25">
        <f t="shared" si="1"/>
        <v>0.1</v>
      </c>
      <c r="L25">
        <f t="shared" si="16"/>
        <v>4.6296296296296294E-2</v>
      </c>
      <c r="M25">
        <f t="shared" si="7"/>
        <v>0.9</v>
      </c>
      <c r="N25">
        <f t="shared" si="8"/>
        <v>5.1440329218106991E-2</v>
      </c>
      <c r="O25">
        <f t="shared" si="9"/>
        <v>0.05</v>
      </c>
      <c r="P25">
        <f t="shared" si="10"/>
        <v>0.9720000000000002</v>
      </c>
      <c r="Q25" s="3">
        <f t="shared" si="11"/>
        <v>724.1400000000001</v>
      </c>
      <c r="R25">
        <f>M25*O25</f>
        <v>4.5000000000000005E-2</v>
      </c>
      <c r="S25">
        <f>R25*J25</f>
        <v>9.7200000000000006</v>
      </c>
      <c r="T25" s="5">
        <f t="shared" si="12"/>
        <v>0.48276000000000008</v>
      </c>
    </row>
    <row r="26" spans="1:20" x14ac:dyDescent="0.25">
      <c r="A26" t="s">
        <v>294</v>
      </c>
      <c r="B26" t="str">
        <f t="shared" si="5"/>
        <v>1.5" 3F Flycutter on Soft Wood</v>
      </c>
      <c r="C26" t="s">
        <v>251</v>
      </c>
      <c r="D26" t="s">
        <v>236</v>
      </c>
      <c r="E26">
        <v>1.5</v>
      </c>
      <c r="F26">
        <v>14000</v>
      </c>
      <c r="G26">
        <v>3</v>
      </c>
      <c r="H26">
        <v>0.05</v>
      </c>
      <c r="I26">
        <v>1.2E-2</v>
      </c>
      <c r="J26">
        <f t="shared" si="13"/>
        <v>504.00000000000006</v>
      </c>
      <c r="K26">
        <f t="shared" si="1"/>
        <v>0.1</v>
      </c>
      <c r="L26">
        <f t="shared" si="16"/>
        <v>1.984126984126984E-2</v>
      </c>
      <c r="M26">
        <f t="shared" si="7"/>
        <v>1.2000000000000002</v>
      </c>
      <c r="N26">
        <f t="shared" si="8"/>
        <v>1.653439153439153E-2</v>
      </c>
      <c r="O26">
        <f t="shared" si="9"/>
        <v>0.05</v>
      </c>
      <c r="P26">
        <f t="shared" si="10"/>
        <v>3.0240000000000009</v>
      </c>
      <c r="Q26" s="3">
        <f t="shared" si="11"/>
        <v>2252.8800000000006</v>
      </c>
      <c r="R26">
        <f>M26*O26</f>
        <v>6.0000000000000012E-2</v>
      </c>
      <c r="S26">
        <f>R26*J26</f>
        <v>30.240000000000009</v>
      </c>
      <c r="T26" s="5">
        <f t="shared" si="12"/>
        <v>1.5019200000000004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CE77-471D-4CAD-859E-730BE5047E25}">
  <dimension ref="A1:Y31"/>
  <sheetViews>
    <sheetView workbookViewId="0">
      <selection activeCell="O17" sqref="O17"/>
    </sheetView>
  </sheetViews>
  <sheetFormatPr defaultRowHeight="15" x14ac:dyDescent="0.25"/>
  <cols>
    <col min="1" max="1" width="25.28515625" bestFit="1" customWidth="1"/>
    <col min="2" max="2" width="13.42578125" customWidth="1"/>
    <col min="3" max="4" width="10.28515625" bestFit="1" customWidth="1"/>
    <col min="5" max="5" width="9" bestFit="1" customWidth="1"/>
    <col min="6" max="6" width="6.28515625" bestFit="1" customWidth="1"/>
    <col min="7" max="7" width="6" bestFit="1" customWidth="1"/>
    <col min="8" max="8" width="8.7109375" customWidth="1"/>
    <col min="9" max="10" width="10.28515625" bestFit="1" customWidth="1"/>
    <col min="11" max="12" width="6.28515625" bestFit="1" customWidth="1"/>
    <col min="13" max="13" width="6" bestFit="1" customWidth="1"/>
    <col min="14" max="14" width="8.7109375" customWidth="1"/>
    <col min="15" max="16" width="10.28515625" bestFit="1" customWidth="1"/>
    <col min="17" max="17" width="6.85546875" customWidth="1"/>
    <col min="18" max="18" width="9" bestFit="1" customWidth="1"/>
    <col min="19" max="19" width="6" bestFit="1" customWidth="1"/>
    <col min="20" max="20" width="8.7109375" customWidth="1"/>
    <col min="21" max="22" width="10.28515625" bestFit="1" customWidth="1"/>
    <col min="23" max="24" width="6.28515625" bestFit="1" customWidth="1"/>
    <col min="25" max="25" width="6" bestFit="1" customWidth="1"/>
  </cols>
  <sheetData>
    <row r="1" spans="1:25" x14ac:dyDescent="0.25">
      <c r="C1" s="125" t="s">
        <v>164</v>
      </c>
      <c r="D1" s="126"/>
      <c r="E1" s="126"/>
      <c r="F1" s="126"/>
      <c r="G1" s="127"/>
      <c r="H1" s="125" t="s">
        <v>53</v>
      </c>
      <c r="I1" s="126"/>
      <c r="J1" s="126"/>
      <c r="K1" s="126"/>
      <c r="L1" s="126"/>
      <c r="M1" s="127"/>
      <c r="N1" s="125" t="s">
        <v>67</v>
      </c>
      <c r="O1" s="126"/>
      <c r="P1" s="126"/>
      <c r="Q1" s="126"/>
      <c r="R1" s="126"/>
      <c r="S1" s="127"/>
      <c r="T1" s="125" t="s">
        <v>54</v>
      </c>
      <c r="U1" s="126"/>
      <c r="V1" s="126"/>
      <c r="W1" s="126"/>
      <c r="X1" s="126"/>
      <c r="Y1" s="126"/>
    </row>
    <row r="2" spans="1:25" s="14" customFormat="1" ht="89.25" x14ac:dyDescent="0.25">
      <c r="C2" s="17" t="s">
        <v>51</v>
      </c>
      <c r="D2" s="18" t="s">
        <v>52</v>
      </c>
      <c r="E2" s="18" t="s">
        <v>48</v>
      </c>
      <c r="F2" s="18" t="s">
        <v>49</v>
      </c>
      <c r="G2" s="37" t="s">
        <v>50</v>
      </c>
      <c r="H2" s="17" t="s">
        <v>156</v>
      </c>
      <c r="I2" s="18" t="s">
        <v>51</v>
      </c>
      <c r="J2" s="18" t="s">
        <v>52</v>
      </c>
      <c r="K2" s="18" t="s">
        <v>48</v>
      </c>
      <c r="L2" s="18" t="s">
        <v>49</v>
      </c>
      <c r="M2" s="37" t="s">
        <v>50</v>
      </c>
      <c r="N2" s="17" t="s">
        <v>156</v>
      </c>
      <c r="O2" s="18" t="s">
        <v>51</v>
      </c>
      <c r="P2" s="18" t="s">
        <v>52</v>
      </c>
      <c r="Q2" s="18" t="s">
        <v>48</v>
      </c>
      <c r="R2" s="18" t="s">
        <v>49</v>
      </c>
      <c r="S2" s="37" t="s">
        <v>50</v>
      </c>
      <c r="T2" s="17" t="s">
        <v>156</v>
      </c>
      <c r="U2" s="18" t="s">
        <v>51</v>
      </c>
      <c r="V2" s="18" t="s">
        <v>52</v>
      </c>
      <c r="W2" s="18" t="s">
        <v>48</v>
      </c>
      <c r="X2" s="18" t="s">
        <v>49</v>
      </c>
      <c r="Y2" s="18" t="s">
        <v>50</v>
      </c>
    </row>
    <row r="3" spans="1:25" x14ac:dyDescent="0.25">
      <c r="A3" t="s">
        <v>29</v>
      </c>
      <c r="B3" t="s">
        <v>31</v>
      </c>
      <c r="C3" s="19">
        <v>4000</v>
      </c>
      <c r="D3" s="20">
        <v>4000</v>
      </c>
      <c r="E3" s="20">
        <v>4000</v>
      </c>
      <c r="F3" s="20">
        <v>4000</v>
      </c>
      <c r="G3" s="38">
        <v>4000</v>
      </c>
      <c r="H3" s="19">
        <v>2200</v>
      </c>
      <c r="I3" s="20">
        <v>2200</v>
      </c>
      <c r="J3" s="20">
        <v>2200</v>
      </c>
      <c r="K3" s="20">
        <v>2200</v>
      </c>
      <c r="L3" s="20">
        <v>2200</v>
      </c>
      <c r="M3" s="38">
        <v>2200</v>
      </c>
      <c r="N3" s="19">
        <v>1500</v>
      </c>
      <c r="O3" s="20">
        <v>1500</v>
      </c>
      <c r="P3" s="20">
        <v>1500</v>
      </c>
      <c r="Q3" s="20">
        <v>1500</v>
      </c>
      <c r="R3" s="20">
        <v>1500</v>
      </c>
      <c r="S3" s="20">
        <v>1500</v>
      </c>
      <c r="T3" s="19">
        <v>750</v>
      </c>
      <c r="U3" s="19">
        <v>750</v>
      </c>
      <c r="V3" s="19">
        <v>750</v>
      </c>
      <c r="W3" s="19">
        <v>750</v>
      </c>
      <c r="X3" s="19">
        <v>750</v>
      </c>
      <c r="Y3" s="19">
        <v>750</v>
      </c>
    </row>
    <row r="4" spans="1:25" x14ac:dyDescent="0.25">
      <c r="A4" t="s">
        <v>30</v>
      </c>
      <c r="B4" t="s">
        <v>32</v>
      </c>
      <c r="C4" s="21">
        <v>0.9</v>
      </c>
      <c r="D4" s="22">
        <v>0.9</v>
      </c>
      <c r="E4" s="22">
        <v>0.9</v>
      </c>
      <c r="F4" s="22">
        <v>0.9</v>
      </c>
      <c r="G4" s="39">
        <v>0.9</v>
      </c>
      <c r="H4" s="21">
        <v>0.9</v>
      </c>
      <c r="I4" s="22">
        <v>0.9</v>
      </c>
      <c r="J4" s="22">
        <v>0.9</v>
      </c>
      <c r="K4" s="22">
        <v>0.9</v>
      </c>
      <c r="L4" s="22">
        <v>0.9</v>
      </c>
      <c r="M4" s="39">
        <v>0.9</v>
      </c>
      <c r="N4" s="21">
        <v>0.9</v>
      </c>
      <c r="O4" s="22">
        <v>0.9</v>
      </c>
      <c r="P4" s="22">
        <v>0.9</v>
      </c>
      <c r="Q4" s="22">
        <v>0.9</v>
      </c>
      <c r="R4" s="22">
        <v>0.9</v>
      </c>
      <c r="S4" s="39">
        <v>0.9</v>
      </c>
      <c r="T4" s="21">
        <v>0.9</v>
      </c>
      <c r="U4" s="22">
        <v>0.9</v>
      </c>
      <c r="V4" s="22">
        <v>0.9</v>
      </c>
      <c r="W4" s="22">
        <v>0.9</v>
      </c>
      <c r="X4" s="22">
        <v>0.9</v>
      </c>
      <c r="Y4" s="22">
        <v>0.9</v>
      </c>
    </row>
    <row r="5" spans="1:25" x14ac:dyDescent="0.25">
      <c r="A5" t="s">
        <v>43</v>
      </c>
      <c r="B5" t="s">
        <v>31</v>
      </c>
      <c r="C5" s="23">
        <f t="shared" ref="C5:H5" si="0">C3*C4</f>
        <v>3600</v>
      </c>
      <c r="D5" s="24">
        <f t="shared" si="0"/>
        <v>3600</v>
      </c>
      <c r="E5" s="24">
        <f t="shared" si="0"/>
        <v>3600</v>
      </c>
      <c r="F5" s="24">
        <f t="shared" si="0"/>
        <v>3600</v>
      </c>
      <c r="G5" s="40">
        <f t="shared" si="0"/>
        <v>3600</v>
      </c>
      <c r="H5" s="23">
        <f t="shared" si="0"/>
        <v>1980</v>
      </c>
      <c r="I5" s="24">
        <f t="shared" ref="I5:Y5" si="1">I3*I4</f>
        <v>1980</v>
      </c>
      <c r="J5" s="24">
        <f t="shared" si="1"/>
        <v>1980</v>
      </c>
      <c r="K5" s="24">
        <f t="shared" si="1"/>
        <v>1980</v>
      </c>
      <c r="L5" s="24">
        <f t="shared" si="1"/>
        <v>1980</v>
      </c>
      <c r="M5" s="40">
        <f t="shared" si="1"/>
        <v>1980</v>
      </c>
      <c r="N5" s="23">
        <f t="shared" si="1"/>
        <v>1350</v>
      </c>
      <c r="O5" s="24">
        <f t="shared" si="1"/>
        <v>1350</v>
      </c>
      <c r="P5" s="24">
        <f t="shared" si="1"/>
        <v>1350</v>
      </c>
      <c r="Q5" s="24">
        <f t="shared" si="1"/>
        <v>1350</v>
      </c>
      <c r="R5" s="24">
        <f t="shared" si="1"/>
        <v>1350</v>
      </c>
      <c r="S5" s="40">
        <f t="shared" si="1"/>
        <v>1350</v>
      </c>
      <c r="T5" s="23">
        <f>T3*T4</f>
        <v>675</v>
      </c>
      <c r="U5" s="24">
        <f t="shared" si="1"/>
        <v>675</v>
      </c>
      <c r="V5" s="24">
        <f t="shared" si="1"/>
        <v>675</v>
      </c>
      <c r="W5" s="24">
        <f t="shared" si="1"/>
        <v>675</v>
      </c>
      <c r="X5" s="24">
        <f t="shared" si="1"/>
        <v>675</v>
      </c>
      <c r="Y5" s="24">
        <f t="shared" si="1"/>
        <v>675</v>
      </c>
    </row>
    <row r="6" spans="1:25" x14ac:dyDescent="0.25">
      <c r="A6" t="s">
        <v>35</v>
      </c>
      <c r="B6" t="s">
        <v>42</v>
      </c>
      <c r="C6" s="19" t="s">
        <v>44</v>
      </c>
      <c r="D6" s="20" t="s">
        <v>44</v>
      </c>
      <c r="E6" s="20" t="s">
        <v>45</v>
      </c>
      <c r="F6" s="20" t="s">
        <v>45</v>
      </c>
      <c r="G6" s="38" t="s">
        <v>46</v>
      </c>
      <c r="H6" s="19" t="s">
        <v>44</v>
      </c>
      <c r="I6" s="20" t="s">
        <v>44</v>
      </c>
      <c r="J6" s="20" t="s">
        <v>44</v>
      </c>
      <c r="K6" s="20" t="s">
        <v>45</v>
      </c>
      <c r="L6" s="20" t="s">
        <v>45</v>
      </c>
      <c r="M6" s="38" t="s">
        <v>46</v>
      </c>
      <c r="N6" s="19" t="s">
        <v>44</v>
      </c>
      <c r="O6" s="20" t="s">
        <v>44</v>
      </c>
      <c r="P6" s="20" t="s">
        <v>44</v>
      </c>
      <c r="Q6" s="20" t="s">
        <v>45</v>
      </c>
      <c r="R6" s="20" t="s">
        <v>45</v>
      </c>
      <c r="S6" s="38" t="s">
        <v>46</v>
      </c>
      <c r="T6" s="19" t="s">
        <v>44</v>
      </c>
      <c r="U6" s="20" t="s">
        <v>44</v>
      </c>
      <c r="V6" s="20" t="s">
        <v>44</v>
      </c>
      <c r="W6" s="20" t="s">
        <v>45</v>
      </c>
      <c r="X6" s="20" t="s">
        <v>45</v>
      </c>
      <c r="Y6" s="20" t="s">
        <v>46</v>
      </c>
    </row>
    <row r="7" spans="1:25" x14ac:dyDescent="0.25">
      <c r="A7" t="s">
        <v>36</v>
      </c>
      <c r="B7" t="s">
        <v>37</v>
      </c>
      <c r="C7" s="25">
        <f t="shared" ref="C7:H7" si="2">IF(C6="Aluminum",0.4,IF(C6="Steel",2,IF(C6="Wood",0.1,NA())))</f>
        <v>0.4</v>
      </c>
      <c r="D7" s="26">
        <f t="shared" si="2"/>
        <v>0.4</v>
      </c>
      <c r="E7" s="26">
        <f t="shared" si="2"/>
        <v>0.1</v>
      </c>
      <c r="F7" s="26">
        <f t="shared" si="2"/>
        <v>0.1</v>
      </c>
      <c r="G7" s="41">
        <f t="shared" si="2"/>
        <v>2</v>
      </c>
      <c r="H7" s="25">
        <f t="shared" si="2"/>
        <v>0.4</v>
      </c>
      <c r="I7" s="26">
        <f t="shared" ref="I7:Y7" si="3">IF(I6="Aluminum",0.4,IF(I6="Steel",2,IF(I6="Wood",0.1,NA())))</f>
        <v>0.4</v>
      </c>
      <c r="J7" s="26">
        <f t="shared" si="3"/>
        <v>0.4</v>
      </c>
      <c r="K7" s="26">
        <f t="shared" si="3"/>
        <v>0.1</v>
      </c>
      <c r="L7" s="26">
        <f t="shared" si="3"/>
        <v>0.1</v>
      </c>
      <c r="M7" s="41">
        <f t="shared" si="3"/>
        <v>2</v>
      </c>
      <c r="N7" s="25">
        <f t="shared" si="3"/>
        <v>0.4</v>
      </c>
      <c r="O7" s="26">
        <f t="shared" si="3"/>
        <v>0.4</v>
      </c>
      <c r="P7" s="26">
        <f t="shared" si="3"/>
        <v>0.4</v>
      </c>
      <c r="Q7" s="26">
        <f t="shared" si="3"/>
        <v>0.1</v>
      </c>
      <c r="R7" s="26">
        <f t="shared" si="3"/>
        <v>0.1</v>
      </c>
      <c r="S7" s="41">
        <f t="shared" si="3"/>
        <v>2</v>
      </c>
      <c r="T7" s="25">
        <f>IF(T6="Aluminum",0.4,IF(T6="Steel",2,IF(T6="Wood",0.1,NA())))</f>
        <v>0.4</v>
      </c>
      <c r="U7" s="26">
        <f t="shared" si="3"/>
        <v>0.4</v>
      </c>
      <c r="V7" s="26">
        <f t="shared" si="3"/>
        <v>0.4</v>
      </c>
      <c r="W7" s="26">
        <f t="shared" si="3"/>
        <v>0.1</v>
      </c>
      <c r="X7" s="26">
        <f t="shared" si="3"/>
        <v>0.1</v>
      </c>
      <c r="Y7" s="26">
        <f t="shared" si="3"/>
        <v>2</v>
      </c>
    </row>
    <row r="8" spans="1:25" x14ac:dyDescent="0.25">
      <c r="A8" t="s">
        <v>36</v>
      </c>
      <c r="B8" t="s">
        <v>38</v>
      </c>
      <c r="C8" s="27">
        <f t="shared" ref="C8:H8" si="4">C7*745/(25.4^3)</f>
        <v>1.8185075740230223E-2</v>
      </c>
      <c r="D8" s="28">
        <f t="shared" si="4"/>
        <v>1.8185075740230223E-2</v>
      </c>
      <c r="E8" s="28">
        <f t="shared" si="4"/>
        <v>4.5462689350575557E-3</v>
      </c>
      <c r="F8" s="28">
        <f t="shared" si="4"/>
        <v>4.5462689350575557E-3</v>
      </c>
      <c r="G8" s="42">
        <f t="shared" si="4"/>
        <v>9.0925378701151111E-2</v>
      </c>
      <c r="H8" s="27">
        <f t="shared" si="4"/>
        <v>1.8185075740230223E-2</v>
      </c>
      <c r="I8" s="28">
        <f t="shared" ref="I8:Y8" si="5">I7*745/(25.4^3)</f>
        <v>1.8185075740230223E-2</v>
      </c>
      <c r="J8" s="28">
        <f t="shared" si="5"/>
        <v>1.8185075740230223E-2</v>
      </c>
      <c r="K8" s="28">
        <f t="shared" si="5"/>
        <v>4.5462689350575557E-3</v>
      </c>
      <c r="L8" s="28">
        <f t="shared" si="5"/>
        <v>4.5462689350575557E-3</v>
      </c>
      <c r="M8" s="42">
        <f t="shared" si="5"/>
        <v>9.0925378701151111E-2</v>
      </c>
      <c r="N8" s="27">
        <f>N7*745/(25.4^3)</f>
        <v>1.8185075740230223E-2</v>
      </c>
      <c r="O8" s="28">
        <f t="shared" si="5"/>
        <v>1.8185075740230223E-2</v>
      </c>
      <c r="P8" s="28">
        <f t="shared" si="5"/>
        <v>1.8185075740230223E-2</v>
      </c>
      <c r="Q8" s="28">
        <f t="shared" si="5"/>
        <v>4.5462689350575557E-3</v>
      </c>
      <c r="R8" s="28">
        <f t="shared" si="5"/>
        <v>4.5462689350575557E-3</v>
      </c>
      <c r="S8" s="42">
        <f t="shared" si="5"/>
        <v>9.0925378701151111E-2</v>
      </c>
      <c r="T8" s="27">
        <f>T7*745/(25.4^3)</f>
        <v>1.8185075740230223E-2</v>
      </c>
      <c r="U8" s="28">
        <f t="shared" si="5"/>
        <v>1.8185075740230223E-2</v>
      </c>
      <c r="V8" s="28">
        <f t="shared" si="5"/>
        <v>1.8185075740230223E-2</v>
      </c>
      <c r="W8" s="28">
        <f t="shared" si="5"/>
        <v>4.5462689350575557E-3</v>
      </c>
      <c r="X8" s="28">
        <f t="shared" si="5"/>
        <v>4.5462689350575557E-3</v>
      </c>
      <c r="Y8" s="28">
        <f t="shared" si="5"/>
        <v>9.0925378701151111E-2</v>
      </c>
    </row>
    <row r="9" spans="1:25" x14ac:dyDescent="0.25">
      <c r="A9" t="s">
        <v>33</v>
      </c>
      <c r="B9" t="s">
        <v>25</v>
      </c>
      <c r="C9" s="19">
        <v>0.5</v>
      </c>
      <c r="D9" s="20">
        <v>0.05</v>
      </c>
      <c r="E9" s="20">
        <v>1</v>
      </c>
      <c r="F9" s="20">
        <v>0.5</v>
      </c>
      <c r="G9" s="38">
        <f>3/16</f>
        <v>0.1875</v>
      </c>
      <c r="H9" s="19">
        <v>0.02</v>
      </c>
      <c r="I9" s="20">
        <v>0.375</v>
      </c>
      <c r="J9" s="20">
        <v>0.05</v>
      </c>
      <c r="K9" s="20">
        <v>0.625</v>
      </c>
      <c r="L9" s="20">
        <v>0.375</v>
      </c>
      <c r="M9" s="38">
        <v>0.1875</v>
      </c>
      <c r="N9" s="19">
        <v>0.02</v>
      </c>
      <c r="O9" s="20">
        <v>0.375</v>
      </c>
      <c r="P9" s="20">
        <v>0.05</v>
      </c>
      <c r="Q9" s="20">
        <v>0.375</v>
      </c>
      <c r="R9" s="20">
        <v>0.25</v>
      </c>
      <c r="S9" s="38">
        <v>0.125</v>
      </c>
      <c r="T9" s="19">
        <v>0.02</v>
      </c>
      <c r="U9" s="20">
        <v>0.125</v>
      </c>
      <c r="V9" s="20">
        <v>2.5000000000000001E-2</v>
      </c>
      <c r="W9" s="20">
        <v>0.1875</v>
      </c>
      <c r="X9" s="20">
        <v>0.125</v>
      </c>
      <c r="Y9" s="20">
        <v>0.125</v>
      </c>
    </row>
    <row r="10" spans="1:25" x14ac:dyDescent="0.25">
      <c r="A10" t="s">
        <v>33</v>
      </c>
      <c r="B10" t="s">
        <v>3</v>
      </c>
      <c r="C10" s="25">
        <f t="shared" ref="C10:H10" si="6">C9*25.4</f>
        <v>12.7</v>
      </c>
      <c r="D10" s="26">
        <f t="shared" si="6"/>
        <v>1.27</v>
      </c>
      <c r="E10" s="26">
        <f t="shared" si="6"/>
        <v>25.4</v>
      </c>
      <c r="F10" s="26">
        <f t="shared" si="6"/>
        <v>12.7</v>
      </c>
      <c r="G10" s="41">
        <f t="shared" si="6"/>
        <v>4.7624999999999993</v>
      </c>
      <c r="H10" s="25">
        <f t="shared" si="6"/>
        <v>0.50800000000000001</v>
      </c>
      <c r="I10" s="26">
        <f t="shared" ref="I10:Y10" si="7">I9*25.4</f>
        <v>9.5249999999999986</v>
      </c>
      <c r="J10" s="26">
        <f t="shared" si="7"/>
        <v>1.27</v>
      </c>
      <c r="K10" s="26">
        <f t="shared" si="7"/>
        <v>15.875</v>
      </c>
      <c r="L10" s="26">
        <f t="shared" si="7"/>
        <v>9.5249999999999986</v>
      </c>
      <c r="M10" s="41">
        <f t="shared" si="7"/>
        <v>4.7624999999999993</v>
      </c>
      <c r="N10" s="25">
        <f t="shared" si="7"/>
        <v>0.50800000000000001</v>
      </c>
      <c r="O10" s="26">
        <f t="shared" si="7"/>
        <v>9.5249999999999986</v>
      </c>
      <c r="P10" s="26">
        <f t="shared" si="7"/>
        <v>1.27</v>
      </c>
      <c r="Q10" s="26">
        <f t="shared" si="7"/>
        <v>9.5249999999999986</v>
      </c>
      <c r="R10" s="26">
        <f t="shared" si="7"/>
        <v>6.35</v>
      </c>
      <c r="S10" s="41">
        <f t="shared" si="7"/>
        <v>3.1749999999999998</v>
      </c>
      <c r="T10" s="25">
        <f>T9*25.4</f>
        <v>0.50800000000000001</v>
      </c>
      <c r="U10" s="26">
        <f t="shared" si="7"/>
        <v>3.1749999999999998</v>
      </c>
      <c r="V10" s="26">
        <f t="shared" si="7"/>
        <v>0.63500000000000001</v>
      </c>
      <c r="W10" s="26">
        <f t="shared" si="7"/>
        <v>4.7624999999999993</v>
      </c>
      <c r="X10" s="26">
        <f t="shared" si="7"/>
        <v>3.1749999999999998</v>
      </c>
      <c r="Y10" s="26">
        <f t="shared" si="7"/>
        <v>3.1749999999999998</v>
      </c>
    </row>
    <row r="11" spans="1:25" x14ac:dyDescent="0.25">
      <c r="A11" t="s">
        <v>225</v>
      </c>
      <c r="B11" t="s">
        <v>3</v>
      </c>
      <c r="C11" s="26">
        <f>C10/2</f>
        <v>6.35</v>
      </c>
      <c r="D11" s="26">
        <f>C10/2</f>
        <v>6.35</v>
      </c>
      <c r="E11" s="26">
        <f t="shared" ref="E11:Y11" si="8">E10/2</f>
        <v>12.7</v>
      </c>
      <c r="F11" s="26">
        <f t="shared" si="8"/>
        <v>6.35</v>
      </c>
      <c r="G11" s="41">
        <f t="shared" si="8"/>
        <v>2.3812499999999996</v>
      </c>
      <c r="H11" s="25">
        <f t="shared" si="8"/>
        <v>0.254</v>
      </c>
      <c r="I11" s="26">
        <f t="shared" si="8"/>
        <v>4.7624999999999993</v>
      </c>
      <c r="J11" s="26">
        <f>I10/2</f>
        <v>4.7624999999999993</v>
      </c>
      <c r="K11" s="26">
        <f t="shared" si="8"/>
        <v>7.9375</v>
      </c>
      <c r="L11" s="26">
        <f t="shared" si="8"/>
        <v>4.7624999999999993</v>
      </c>
      <c r="M11" s="41">
        <f t="shared" si="8"/>
        <v>2.3812499999999996</v>
      </c>
      <c r="N11" s="25">
        <f t="shared" si="8"/>
        <v>0.254</v>
      </c>
      <c r="O11" s="26">
        <f t="shared" si="8"/>
        <v>4.7624999999999993</v>
      </c>
      <c r="P11" s="26">
        <f>O10/2</f>
        <v>4.7624999999999993</v>
      </c>
      <c r="Q11" s="26">
        <f t="shared" si="8"/>
        <v>4.7624999999999993</v>
      </c>
      <c r="R11" s="26">
        <f t="shared" si="8"/>
        <v>3.1749999999999998</v>
      </c>
      <c r="S11" s="41">
        <f t="shared" si="8"/>
        <v>1.5874999999999999</v>
      </c>
      <c r="T11" s="25">
        <f t="shared" si="8"/>
        <v>0.254</v>
      </c>
      <c r="U11" s="26">
        <f t="shared" si="8"/>
        <v>1.5874999999999999</v>
      </c>
      <c r="V11" s="26">
        <f>U10/2</f>
        <v>1.5874999999999999</v>
      </c>
      <c r="W11" s="26">
        <f t="shared" si="8"/>
        <v>2.3812499999999996</v>
      </c>
      <c r="X11" s="26">
        <f t="shared" si="8"/>
        <v>1.5874999999999999</v>
      </c>
      <c r="Y11" s="26">
        <f t="shared" si="8"/>
        <v>1.5874999999999999</v>
      </c>
    </row>
    <row r="12" spans="1:25" x14ac:dyDescent="0.25">
      <c r="A12" t="s">
        <v>34</v>
      </c>
      <c r="B12" t="s">
        <v>25</v>
      </c>
      <c r="C12" s="20">
        <f>1/16</f>
        <v>6.25E-2</v>
      </c>
      <c r="D12" s="20">
        <v>0.625</v>
      </c>
      <c r="E12" s="20">
        <v>0.05</v>
      </c>
      <c r="F12" s="20">
        <v>0.2</v>
      </c>
      <c r="G12" s="38">
        <f>1/32</f>
        <v>3.125E-2</v>
      </c>
      <c r="H12" s="19">
        <v>0.02</v>
      </c>
      <c r="I12" s="20">
        <v>0.05</v>
      </c>
      <c r="J12" s="20">
        <v>0.375</v>
      </c>
      <c r="K12" s="20">
        <v>0.05</v>
      </c>
      <c r="L12" s="20">
        <v>0.15</v>
      </c>
      <c r="M12" s="38">
        <v>0.02</v>
      </c>
      <c r="N12" s="19">
        <v>0.02</v>
      </c>
      <c r="O12" s="20">
        <v>6.25E-2</v>
      </c>
      <c r="P12" s="20">
        <v>0.25</v>
      </c>
      <c r="Q12" s="20">
        <v>0.05</v>
      </c>
      <c r="R12" s="20">
        <v>0.15</v>
      </c>
      <c r="S12" s="38">
        <v>0.02</v>
      </c>
      <c r="T12" s="19">
        <v>0.02</v>
      </c>
      <c r="U12" s="20">
        <v>0.05</v>
      </c>
      <c r="V12" s="20">
        <v>0.25</v>
      </c>
      <c r="W12" s="20">
        <v>0.05</v>
      </c>
      <c r="X12" s="20">
        <v>0.15</v>
      </c>
      <c r="Y12" s="20">
        <v>0.01</v>
      </c>
    </row>
    <row r="13" spans="1:25" x14ac:dyDescent="0.25">
      <c r="A13" t="s">
        <v>34</v>
      </c>
      <c r="B13" t="s">
        <v>3</v>
      </c>
      <c r="C13" s="25">
        <f t="shared" ref="C13:H13" si="9">C12*25.4</f>
        <v>1.5874999999999999</v>
      </c>
      <c r="D13" s="26">
        <f t="shared" si="9"/>
        <v>15.875</v>
      </c>
      <c r="E13" s="26">
        <f t="shared" si="9"/>
        <v>1.27</v>
      </c>
      <c r="F13" s="26">
        <f t="shared" si="9"/>
        <v>5.08</v>
      </c>
      <c r="G13" s="41">
        <f t="shared" si="9"/>
        <v>0.79374999999999996</v>
      </c>
      <c r="H13" s="25">
        <f t="shared" si="9"/>
        <v>0.50800000000000001</v>
      </c>
      <c r="I13" s="26">
        <f t="shared" ref="I13:Y13" si="10">I12*25.4</f>
        <v>1.27</v>
      </c>
      <c r="J13" s="26">
        <f t="shared" si="10"/>
        <v>9.5249999999999986</v>
      </c>
      <c r="K13" s="26">
        <f t="shared" si="10"/>
        <v>1.27</v>
      </c>
      <c r="L13" s="26">
        <f t="shared" si="10"/>
        <v>3.8099999999999996</v>
      </c>
      <c r="M13" s="41">
        <f t="shared" si="10"/>
        <v>0.50800000000000001</v>
      </c>
      <c r="N13" s="25">
        <f t="shared" si="10"/>
        <v>0.50800000000000001</v>
      </c>
      <c r="O13" s="26">
        <f t="shared" si="10"/>
        <v>1.5874999999999999</v>
      </c>
      <c r="P13" s="26">
        <f t="shared" si="10"/>
        <v>6.35</v>
      </c>
      <c r="Q13" s="26">
        <f t="shared" si="10"/>
        <v>1.27</v>
      </c>
      <c r="R13" s="26">
        <f t="shared" si="10"/>
        <v>3.8099999999999996</v>
      </c>
      <c r="S13" s="41">
        <f t="shared" si="10"/>
        <v>0.50800000000000001</v>
      </c>
      <c r="T13" s="25">
        <f>T12*25.4</f>
        <v>0.50800000000000001</v>
      </c>
      <c r="U13" s="26">
        <f t="shared" si="10"/>
        <v>1.27</v>
      </c>
      <c r="V13" s="26">
        <f t="shared" si="10"/>
        <v>6.35</v>
      </c>
      <c r="W13" s="26">
        <f t="shared" si="10"/>
        <v>1.27</v>
      </c>
      <c r="X13" s="26">
        <f t="shared" si="10"/>
        <v>3.8099999999999996</v>
      </c>
      <c r="Y13" s="26">
        <f t="shared" si="10"/>
        <v>0.254</v>
      </c>
    </row>
    <row r="14" spans="1:25" x14ac:dyDescent="0.25">
      <c r="A14" t="s">
        <v>39</v>
      </c>
      <c r="B14" t="s">
        <v>40</v>
      </c>
      <c r="C14" s="29">
        <f t="shared" ref="C14:H14" si="11">C5/C8/C10/C13</f>
        <v>9819.0604026845649</v>
      </c>
      <c r="D14" s="30">
        <f t="shared" si="11"/>
        <v>9819.0604026845631</v>
      </c>
      <c r="E14" s="30">
        <f t="shared" si="11"/>
        <v>24547.65100671141</v>
      </c>
      <c r="F14" s="30">
        <f t="shared" si="11"/>
        <v>12273.825503355705</v>
      </c>
      <c r="G14" s="43">
        <f t="shared" si="11"/>
        <v>10473.664429530203</v>
      </c>
      <c r="H14" s="29">
        <f t="shared" si="11"/>
        <v>421912.75167785224</v>
      </c>
      <c r="I14" s="30">
        <f t="shared" ref="I14:Y14" si="12">I5/I8/I10/I13</f>
        <v>9000.8053691275163</v>
      </c>
      <c r="J14" s="30">
        <f t="shared" si="12"/>
        <v>9000.8053691275163</v>
      </c>
      <c r="K14" s="30">
        <f t="shared" si="12"/>
        <v>21601.932885906037</v>
      </c>
      <c r="L14" s="30">
        <f t="shared" si="12"/>
        <v>12001.073825503356</v>
      </c>
      <c r="M14" s="43">
        <f t="shared" si="12"/>
        <v>9000.8053691275181</v>
      </c>
      <c r="N14" s="29">
        <f t="shared" si="12"/>
        <v>287667.78523489926</v>
      </c>
      <c r="O14" s="30">
        <f>O5/O8/O10/O13</f>
        <v>4909.5302013422815</v>
      </c>
      <c r="P14" s="30">
        <f t="shared" si="12"/>
        <v>9205.3691275167766</v>
      </c>
      <c r="Q14" s="30">
        <f t="shared" si="12"/>
        <v>24547.651006711407</v>
      </c>
      <c r="R14" s="30">
        <f t="shared" si="12"/>
        <v>12273.825503355703</v>
      </c>
      <c r="S14" s="43">
        <f t="shared" si="12"/>
        <v>9205.3691275167785</v>
      </c>
      <c r="T14" s="29">
        <f>T5/T8/T10/T13</f>
        <v>143833.89261744963</v>
      </c>
      <c r="U14" s="30">
        <f t="shared" si="12"/>
        <v>9205.3691275167766</v>
      </c>
      <c r="V14" s="30">
        <f t="shared" si="12"/>
        <v>9205.3691275167766</v>
      </c>
      <c r="W14" s="30">
        <f t="shared" si="12"/>
        <v>24547.651006711407</v>
      </c>
      <c r="X14" s="30">
        <f t="shared" si="12"/>
        <v>12273.825503355703</v>
      </c>
      <c r="Y14" s="30">
        <f t="shared" si="12"/>
        <v>9205.3691275167785</v>
      </c>
    </row>
    <row r="15" spans="1:25" x14ac:dyDescent="0.25">
      <c r="A15" t="s">
        <v>157</v>
      </c>
      <c r="B15" t="s">
        <v>40</v>
      </c>
      <c r="C15" s="29">
        <f>MIN(C14,30000)</f>
        <v>9819.0604026845649</v>
      </c>
      <c r="D15" s="30">
        <f t="shared" ref="D15:Y15" si="13">MIN(D14,30000)</f>
        <v>9819.0604026845631</v>
      </c>
      <c r="E15" s="30">
        <f t="shared" si="13"/>
        <v>24547.65100671141</v>
      </c>
      <c r="F15" s="30">
        <f t="shared" si="13"/>
        <v>12273.825503355705</v>
      </c>
      <c r="G15" s="43">
        <f t="shared" si="13"/>
        <v>10473.664429530203</v>
      </c>
      <c r="H15" s="29">
        <f t="shared" si="13"/>
        <v>30000</v>
      </c>
      <c r="I15" s="30">
        <f t="shared" si="13"/>
        <v>9000.8053691275163</v>
      </c>
      <c r="J15" s="30">
        <f t="shared" si="13"/>
        <v>9000.8053691275163</v>
      </c>
      <c r="K15" s="30">
        <f t="shared" si="13"/>
        <v>21601.932885906037</v>
      </c>
      <c r="L15" s="30">
        <f t="shared" si="13"/>
        <v>12001.073825503356</v>
      </c>
      <c r="M15" s="43">
        <f t="shared" si="13"/>
        <v>9000.8053691275181</v>
      </c>
      <c r="N15" s="29">
        <f t="shared" si="13"/>
        <v>30000</v>
      </c>
      <c r="O15" s="30">
        <f t="shared" si="13"/>
        <v>4909.5302013422815</v>
      </c>
      <c r="P15" s="30">
        <f t="shared" si="13"/>
        <v>9205.3691275167766</v>
      </c>
      <c r="Q15" s="30">
        <f t="shared" si="13"/>
        <v>24547.651006711407</v>
      </c>
      <c r="R15" s="30">
        <f t="shared" si="13"/>
        <v>12273.825503355703</v>
      </c>
      <c r="S15" s="43">
        <f t="shared" si="13"/>
        <v>9205.3691275167785</v>
      </c>
      <c r="T15" s="29">
        <f t="shared" si="13"/>
        <v>30000</v>
      </c>
      <c r="U15" s="30">
        <f t="shared" si="13"/>
        <v>9205.3691275167766</v>
      </c>
      <c r="V15" s="30">
        <f t="shared" si="13"/>
        <v>9205.3691275167766</v>
      </c>
      <c r="W15" s="30">
        <f t="shared" si="13"/>
        <v>24547.651006711407</v>
      </c>
      <c r="X15" s="30">
        <f t="shared" si="13"/>
        <v>12273.825503355703</v>
      </c>
      <c r="Y15" s="30">
        <f t="shared" si="13"/>
        <v>9205.3691275167785</v>
      </c>
    </row>
    <row r="16" spans="1:25" x14ac:dyDescent="0.25">
      <c r="A16" t="s">
        <v>158</v>
      </c>
      <c r="B16" t="s">
        <v>31</v>
      </c>
      <c r="C16" s="29">
        <f t="shared" ref="C16:H16" si="14">C15/C14*C5</f>
        <v>3600</v>
      </c>
      <c r="D16" s="30">
        <f t="shared" si="14"/>
        <v>3600</v>
      </c>
      <c r="E16" s="30">
        <f t="shared" si="14"/>
        <v>3600</v>
      </c>
      <c r="F16" s="30">
        <f t="shared" si="14"/>
        <v>3600</v>
      </c>
      <c r="G16" s="43">
        <f t="shared" si="14"/>
        <v>3600</v>
      </c>
      <c r="H16" s="29">
        <f t="shared" si="14"/>
        <v>140.78740157480317</v>
      </c>
      <c r="I16" s="30">
        <f t="shared" ref="I16:Y16" si="15">I15/I14*I5</f>
        <v>1980</v>
      </c>
      <c r="J16" s="30">
        <f t="shared" si="15"/>
        <v>1980</v>
      </c>
      <c r="K16" s="30">
        <f t="shared" si="15"/>
        <v>1980</v>
      </c>
      <c r="L16" s="30">
        <f t="shared" si="15"/>
        <v>1980</v>
      </c>
      <c r="M16" s="43">
        <f t="shared" si="15"/>
        <v>1980</v>
      </c>
      <c r="N16" s="29">
        <f>N15/N14*N5</f>
        <v>140.78740157480317</v>
      </c>
      <c r="O16" s="30">
        <f t="shared" si="15"/>
        <v>1350</v>
      </c>
      <c r="P16" s="30">
        <f t="shared" si="15"/>
        <v>1350</v>
      </c>
      <c r="Q16" s="30">
        <f t="shared" si="15"/>
        <v>1350</v>
      </c>
      <c r="R16" s="30">
        <f t="shared" si="15"/>
        <v>1350</v>
      </c>
      <c r="S16" s="43">
        <f t="shared" si="15"/>
        <v>1350</v>
      </c>
      <c r="T16" s="29">
        <f>T15/T14*T5</f>
        <v>140.78740157480317</v>
      </c>
      <c r="U16" s="30">
        <f t="shared" si="15"/>
        <v>675</v>
      </c>
      <c r="V16" s="30">
        <f t="shared" si="15"/>
        <v>675</v>
      </c>
      <c r="W16" s="30">
        <f t="shared" si="15"/>
        <v>675</v>
      </c>
      <c r="X16" s="30">
        <f t="shared" si="15"/>
        <v>675</v>
      </c>
      <c r="Y16" s="30">
        <f t="shared" si="15"/>
        <v>675</v>
      </c>
    </row>
    <row r="17" spans="1:25" x14ac:dyDescent="0.25">
      <c r="A17" t="s">
        <v>39</v>
      </c>
      <c r="B17" t="s">
        <v>41</v>
      </c>
      <c r="C17" s="31">
        <f t="shared" ref="C17:H17" si="16">C15/25.4</f>
        <v>386.57718120805373</v>
      </c>
      <c r="D17" s="32">
        <f t="shared" si="16"/>
        <v>386.57718120805367</v>
      </c>
      <c r="E17" s="32">
        <f t="shared" si="16"/>
        <v>966.44295302013427</v>
      </c>
      <c r="F17" s="32">
        <f t="shared" si="16"/>
        <v>483.22147651006713</v>
      </c>
      <c r="G17" s="44">
        <f t="shared" si="16"/>
        <v>412.34899328859069</v>
      </c>
      <c r="H17" s="31">
        <f t="shared" si="16"/>
        <v>1181.1023622047244</v>
      </c>
      <c r="I17" s="32">
        <f t="shared" ref="I17:Y17" si="17">I15/25.4</f>
        <v>354.36241610738256</v>
      </c>
      <c r="J17" s="32">
        <f t="shared" si="17"/>
        <v>354.36241610738256</v>
      </c>
      <c r="K17" s="32">
        <f t="shared" si="17"/>
        <v>850.469798657718</v>
      </c>
      <c r="L17" s="32">
        <f t="shared" si="17"/>
        <v>472.4832214765101</v>
      </c>
      <c r="M17" s="44">
        <f t="shared" si="17"/>
        <v>354.36241610738261</v>
      </c>
      <c r="N17" s="31">
        <f>N15/25.4</f>
        <v>1181.1023622047244</v>
      </c>
      <c r="O17" s="32">
        <f t="shared" si="17"/>
        <v>193.28859060402684</v>
      </c>
      <c r="P17" s="32">
        <f t="shared" si="17"/>
        <v>362.41610738255031</v>
      </c>
      <c r="Q17" s="32">
        <f t="shared" si="17"/>
        <v>966.44295302013415</v>
      </c>
      <c r="R17" s="32">
        <f t="shared" si="17"/>
        <v>483.22147651006708</v>
      </c>
      <c r="S17" s="44">
        <f t="shared" si="17"/>
        <v>362.41610738255036</v>
      </c>
      <c r="T17" s="31">
        <f>T15/25.4</f>
        <v>1181.1023622047244</v>
      </c>
      <c r="U17" s="32">
        <f t="shared" si="17"/>
        <v>362.41610738255031</v>
      </c>
      <c r="V17" s="32">
        <f t="shared" si="17"/>
        <v>362.41610738255031</v>
      </c>
      <c r="W17" s="32">
        <f t="shared" si="17"/>
        <v>966.44295302013415</v>
      </c>
      <c r="X17" s="32">
        <f t="shared" si="17"/>
        <v>483.22147651006708</v>
      </c>
      <c r="Y17" s="32">
        <f t="shared" si="17"/>
        <v>362.41610738255036</v>
      </c>
    </row>
    <row r="18" spans="1:25" x14ac:dyDescent="0.25">
      <c r="A18" t="s">
        <v>47</v>
      </c>
      <c r="B18" t="s">
        <v>19</v>
      </c>
      <c r="C18" s="33">
        <f t="shared" ref="C18:H18" si="18">C16*1000/60/C15</f>
        <v>6.110564304461942</v>
      </c>
      <c r="D18" s="34">
        <f t="shared" si="18"/>
        <v>6.1105643044619429</v>
      </c>
      <c r="E18" s="34">
        <f t="shared" si="18"/>
        <v>2.4442257217847767</v>
      </c>
      <c r="F18" s="34">
        <f t="shared" si="18"/>
        <v>4.8884514435695534</v>
      </c>
      <c r="G18" s="45">
        <f t="shared" si="18"/>
        <v>5.7286540354330695</v>
      </c>
      <c r="H18" s="33">
        <f t="shared" si="18"/>
        <v>7.8215223097112874E-2</v>
      </c>
      <c r="I18" s="34">
        <f t="shared" ref="I18:Y18" si="19">I16*1000/60/I15</f>
        <v>3.6663385826771657</v>
      </c>
      <c r="J18" s="34">
        <f t="shared" si="19"/>
        <v>3.6663385826771657</v>
      </c>
      <c r="K18" s="34">
        <f t="shared" si="19"/>
        <v>1.5276410761154857</v>
      </c>
      <c r="L18" s="34">
        <f t="shared" si="19"/>
        <v>2.7497539370078741</v>
      </c>
      <c r="M18" s="45">
        <f t="shared" si="19"/>
        <v>3.6663385826771648</v>
      </c>
      <c r="N18" s="33">
        <f>N16*1000/60/N15</f>
        <v>7.8215223097112874E-2</v>
      </c>
      <c r="O18" s="34">
        <f>O16*1000/60/O15</f>
        <v>4.5829232283464574</v>
      </c>
      <c r="P18" s="34">
        <f t="shared" si="19"/>
        <v>2.4442257217847776</v>
      </c>
      <c r="Q18" s="34">
        <f t="shared" si="19"/>
        <v>0.91658464566929143</v>
      </c>
      <c r="R18" s="34">
        <f t="shared" si="19"/>
        <v>1.8331692913385829</v>
      </c>
      <c r="S18" s="45">
        <f t="shared" si="19"/>
        <v>2.4442257217847767</v>
      </c>
      <c r="T18" s="33">
        <f>T16*1000/60/T15</f>
        <v>7.8215223097112874E-2</v>
      </c>
      <c r="U18" s="34">
        <f t="shared" si="19"/>
        <v>1.2221128608923888</v>
      </c>
      <c r="V18" s="34">
        <f t="shared" si="19"/>
        <v>1.2221128608923888</v>
      </c>
      <c r="W18" s="34">
        <f t="shared" si="19"/>
        <v>0.45829232283464572</v>
      </c>
      <c r="X18" s="34">
        <f t="shared" si="19"/>
        <v>0.91658464566929143</v>
      </c>
      <c r="Y18" s="34">
        <f t="shared" si="19"/>
        <v>1.2221128608923884</v>
      </c>
    </row>
    <row r="19" spans="1:25" x14ac:dyDescent="0.25">
      <c r="A19" t="s">
        <v>55</v>
      </c>
      <c r="B19" t="s">
        <v>56</v>
      </c>
      <c r="C19" s="26">
        <v>0.2</v>
      </c>
      <c r="D19" s="26">
        <v>0.2</v>
      </c>
      <c r="E19" s="26">
        <v>0.5</v>
      </c>
      <c r="F19" s="26">
        <v>0.5</v>
      </c>
      <c r="G19" s="41">
        <v>0.2</v>
      </c>
      <c r="H19" s="25">
        <v>0.2</v>
      </c>
      <c r="I19" s="26">
        <v>0.2</v>
      </c>
      <c r="J19" s="26">
        <v>0.2</v>
      </c>
      <c r="K19" s="26">
        <v>0.5</v>
      </c>
      <c r="L19" s="26">
        <v>0.5</v>
      </c>
      <c r="M19" s="41">
        <v>0.2</v>
      </c>
      <c r="N19" s="25">
        <v>0.1</v>
      </c>
      <c r="O19" s="26">
        <v>0.1</v>
      </c>
      <c r="P19" s="26">
        <v>0.1</v>
      </c>
      <c r="Q19" s="26">
        <v>0.1</v>
      </c>
      <c r="R19" s="26">
        <v>0.2</v>
      </c>
      <c r="S19" s="41">
        <v>0.1</v>
      </c>
      <c r="T19" s="25">
        <v>0.2</v>
      </c>
      <c r="U19" s="26">
        <v>0.2</v>
      </c>
      <c r="V19" s="26">
        <v>0.2</v>
      </c>
      <c r="W19" s="26">
        <v>0.5</v>
      </c>
      <c r="X19" s="26">
        <v>0.5</v>
      </c>
      <c r="Y19" s="41">
        <v>0.2</v>
      </c>
    </row>
    <row r="20" spans="1:25" x14ac:dyDescent="0.25">
      <c r="A20" t="s">
        <v>55</v>
      </c>
      <c r="B20" t="s">
        <v>229</v>
      </c>
      <c r="C20" s="28">
        <f>C19/25.4</f>
        <v>7.8740157480314977E-3</v>
      </c>
      <c r="D20" s="28">
        <f t="shared" ref="D20:Y20" si="20">D19/25.4</f>
        <v>7.8740157480314977E-3</v>
      </c>
      <c r="E20" s="28">
        <f t="shared" si="20"/>
        <v>1.968503937007874E-2</v>
      </c>
      <c r="F20" s="28">
        <f t="shared" si="20"/>
        <v>1.968503937007874E-2</v>
      </c>
      <c r="G20" s="42">
        <f t="shared" si="20"/>
        <v>7.8740157480314977E-3</v>
      </c>
      <c r="H20" s="27">
        <f t="shared" si="20"/>
        <v>7.8740157480314977E-3</v>
      </c>
      <c r="I20" s="28">
        <f t="shared" si="20"/>
        <v>7.8740157480314977E-3</v>
      </c>
      <c r="J20" s="28">
        <f t="shared" si="20"/>
        <v>7.8740157480314977E-3</v>
      </c>
      <c r="K20" s="28">
        <f t="shared" si="20"/>
        <v>1.968503937007874E-2</v>
      </c>
      <c r="L20" s="28">
        <f t="shared" si="20"/>
        <v>1.968503937007874E-2</v>
      </c>
      <c r="M20" s="42">
        <f t="shared" si="20"/>
        <v>7.8740157480314977E-3</v>
      </c>
      <c r="N20" s="27">
        <f t="shared" si="20"/>
        <v>3.9370078740157488E-3</v>
      </c>
      <c r="O20" s="28">
        <f t="shared" si="20"/>
        <v>3.9370078740157488E-3</v>
      </c>
      <c r="P20" s="28">
        <f t="shared" si="20"/>
        <v>3.9370078740157488E-3</v>
      </c>
      <c r="Q20" s="28">
        <f t="shared" si="20"/>
        <v>3.9370078740157488E-3</v>
      </c>
      <c r="R20" s="28">
        <f t="shared" si="20"/>
        <v>7.8740157480314977E-3</v>
      </c>
      <c r="S20" s="42">
        <f t="shared" si="20"/>
        <v>3.9370078740157488E-3</v>
      </c>
      <c r="T20" s="27">
        <f t="shared" si="20"/>
        <v>7.8740157480314977E-3</v>
      </c>
      <c r="U20" s="28">
        <f t="shared" si="20"/>
        <v>7.8740157480314977E-3</v>
      </c>
      <c r="V20" s="28">
        <f t="shared" si="20"/>
        <v>7.8740157480314977E-3</v>
      </c>
      <c r="W20" s="28">
        <f t="shared" si="20"/>
        <v>1.968503937007874E-2</v>
      </c>
      <c r="X20" s="28">
        <f t="shared" si="20"/>
        <v>1.968503937007874E-2</v>
      </c>
      <c r="Y20" s="28">
        <f t="shared" si="20"/>
        <v>7.8740157480314977E-3</v>
      </c>
    </row>
    <row r="21" spans="1:25" x14ac:dyDescent="0.25">
      <c r="A21" t="s">
        <v>60</v>
      </c>
      <c r="B21" t="s">
        <v>58</v>
      </c>
      <c r="C21" s="25">
        <v>24000</v>
      </c>
      <c r="D21" s="26">
        <v>24000</v>
      </c>
      <c r="E21" s="26">
        <v>24000</v>
      </c>
      <c r="F21" s="26">
        <v>24000</v>
      </c>
      <c r="G21" s="41">
        <v>24000</v>
      </c>
      <c r="H21" s="25">
        <v>24000</v>
      </c>
      <c r="I21" s="26">
        <v>24000</v>
      </c>
      <c r="J21" s="26">
        <v>24000</v>
      </c>
      <c r="K21" s="26">
        <v>24000</v>
      </c>
      <c r="L21" s="26">
        <v>24000</v>
      </c>
      <c r="M21" s="41">
        <v>24000</v>
      </c>
      <c r="N21" s="25">
        <v>24000</v>
      </c>
      <c r="O21" s="26">
        <v>24000</v>
      </c>
      <c r="P21" s="26">
        <v>24000</v>
      </c>
      <c r="Q21" s="26">
        <v>24000</v>
      </c>
      <c r="R21" s="26">
        <v>24000</v>
      </c>
      <c r="S21" s="41">
        <v>24000</v>
      </c>
      <c r="T21" s="25">
        <v>24000</v>
      </c>
      <c r="U21" s="26">
        <v>24000</v>
      </c>
      <c r="V21" s="26">
        <v>24000</v>
      </c>
      <c r="W21" s="26">
        <v>24000</v>
      </c>
      <c r="X21" s="26">
        <v>24000</v>
      </c>
      <c r="Y21" s="26">
        <v>24000</v>
      </c>
    </row>
    <row r="22" spans="1:25" x14ac:dyDescent="0.25">
      <c r="A22" t="s">
        <v>57</v>
      </c>
      <c r="B22" t="s">
        <v>58</v>
      </c>
      <c r="C22" s="29">
        <f t="shared" ref="C22:M22" si="21">C15/C19</f>
        <v>49095.302013422821</v>
      </c>
      <c r="D22" s="30">
        <f t="shared" si="21"/>
        <v>49095.302013422814</v>
      </c>
      <c r="E22" s="30">
        <f t="shared" si="21"/>
        <v>49095.302013422821</v>
      </c>
      <c r="F22" s="30">
        <f t="shared" si="21"/>
        <v>24547.65100671141</v>
      </c>
      <c r="G22" s="43">
        <f t="shared" si="21"/>
        <v>52368.322147651015</v>
      </c>
      <c r="H22" s="29">
        <f t="shared" si="21"/>
        <v>150000</v>
      </c>
      <c r="I22" s="30">
        <f t="shared" si="21"/>
        <v>45004.026845637578</v>
      </c>
      <c r="J22" s="30">
        <f t="shared" si="21"/>
        <v>45004.026845637578</v>
      </c>
      <c r="K22" s="30">
        <f t="shared" si="21"/>
        <v>43203.865771812074</v>
      </c>
      <c r="L22" s="30">
        <f t="shared" si="21"/>
        <v>24002.147651006711</v>
      </c>
      <c r="M22" s="43">
        <f t="shared" si="21"/>
        <v>45004.026845637585</v>
      </c>
      <c r="N22" s="29">
        <f t="shared" ref="N22:Y22" si="22">N15/N19</f>
        <v>300000</v>
      </c>
      <c r="O22" s="30">
        <f t="shared" si="22"/>
        <v>49095.302013422814</v>
      </c>
      <c r="P22" s="30">
        <f t="shared" si="22"/>
        <v>92053.691275167759</v>
      </c>
      <c r="Q22" s="30">
        <f t="shared" si="22"/>
        <v>245476.51006711405</v>
      </c>
      <c r="R22" s="30">
        <f t="shared" si="22"/>
        <v>61369.127516778513</v>
      </c>
      <c r="S22" s="43">
        <f t="shared" si="22"/>
        <v>92053.691275167774</v>
      </c>
      <c r="T22" s="29">
        <f t="shared" si="22"/>
        <v>150000</v>
      </c>
      <c r="U22" s="30">
        <f t="shared" si="22"/>
        <v>46026.84563758388</v>
      </c>
      <c r="V22" s="30">
        <f t="shared" si="22"/>
        <v>46026.84563758388</v>
      </c>
      <c r="W22" s="30">
        <f t="shared" si="22"/>
        <v>49095.302013422814</v>
      </c>
      <c r="X22" s="30">
        <f t="shared" si="22"/>
        <v>24547.651006711407</v>
      </c>
      <c r="Y22" s="30">
        <f t="shared" si="22"/>
        <v>46026.845637583887</v>
      </c>
    </row>
    <row r="23" spans="1:25" x14ac:dyDescent="0.25">
      <c r="A23" t="s">
        <v>227</v>
      </c>
      <c r="B23" t="s">
        <v>59</v>
      </c>
      <c r="C23" s="35">
        <f t="shared" ref="C23:N23" si="23">C22/C21</f>
        <v>2.0456375838926175</v>
      </c>
      <c r="D23" s="36">
        <f t="shared" si="23"/>
        <v>2.0456375838926171</v>
      </c>
      <c r="E23" s="36">
        <f t="shared" si="23"/>
        <v>2.0456375838926175</v>
      </c>
      <c r="F23" s="36">
        <f t="shared" si="23"/>
        <v>1.0228187919463088</v>
      </c>
      <c r="G23" s="46">
        <f t="shared" si="23"/>
        <v>2.1820134228187924</v>
      </c>
      <c r="H23" s="35">
        <f t="shared" si="23"/>
        <v>6.25</v>
      </c>
      <c r="I23" s="36">
        <f t="shared" si="23"/>
        <v>1.8751677852348991</v>
      </c>
      <c r="J23" s="36">
        <f t="shared" si="23"/>
        <v>1.8751677852348991</v>
      </c>
      <c r="K23" s="36">
        <f t="shared" si="23"/>
        <v>1.8001610738255032</v>
      </c>
      <c r="L23" s="36">
        <f t="shared" si="23"/>
        <v>1.0000894854586129</v>
      </c>
      <c r="M23" s="46">
        <f t="shared" si="23"/>
        <v>1.8751677852348994</v>
      </c>
      <c r="N23" s="35">
        <f t="shared" si="23"/>
        <v>12.5</v>
      </c>
      <c r="O23" s="36">
        <f t="shared" ref="O23:Y23" si="24">O22/O21</f>
        <v>2.0456375838926171</v>
      </c>
      <c r="P23" s="36">
        <f t="shared" si="24"/>
        <v>3.8355704697986566</v>
      </c>
      <c r="Q23" s="36">
        <f t="shared" si="24"/>
        <v>10.228187919463085</v>
      </c>
      <c r="R23" s="36">
        <f t="shared" si="24"/>
        <v>2.5570469798657713</v>
      </c>
      <c r="S23" s="46">
        <f t="shared" si="24"/>
        <v>3.8355704697986575</v>
      </c>
      <c r="T23" s="35">
        <f t="shared" si="24"/>
        <v>6.25</v>
      </c>
      <c r="U23" s="36">
        <f t="shared" si="24"/>
        <v>1.9177852348993283</v>
      </c>
      <c r="V23" s="36">
        <f t="shared" si="24"/>
        <v>1.9177852348993283</v>
      </c>
      <c r="W23" s="36">
        <f t="shared" si="24"/>
        <v>2.0456375838926171</v>
      </c>
      <c r="X23" s="36">
        <f t="shared" si="24"/>
        <v>1.0228187919463085</v>
      </c>
      <c r="Y23" s="36">
        <f t="shared" si="24"/>
        <v>1.9177852348993287</v>
      </c>
    </row>
    <row r="24" spans="1:25" x14ac:dyDescent="0.25">
      <c r="A24" t="s">
        <v>68</v>
      </c>
      <c r="B24" t="s">
        <v>58</v>
      </c>
      <c r="C24" s="25">
        <f>C21/4</f>
        <v>6000</v>
      </c>
      <c r="D24" s="26">
        <f>D21/4</f>
        <v>6000</v>
      </c>
      <c r="E24" s="26">
        <f>E21/4</f>
        <v>6000</v>
      </c>
      <c r="F24" s="26">
        <f>F21/4</f>
        <v>6000</v>
      </c>
      <c r="G24" s="41">
        <f>G21/4</f>
        <v>6000</v>
      </c>
      <c r="H24" s="25">
        <f t="shared" ref="H24:Y24" si="25">H21/4</f>
        <v>6000</v>
      </c>
      <c r="I24" s="26">
        <f t="shared" si="25"/>
        <v>6000</v>
      </c>
      <c r="J24" s="26">
        <f t="shared" si="25"/>
        <v>6000</v>
      </c>
      <c r="K24" s="26">
        <f t="shared" si="25"/>
        <v>6000</v>
      </c>
      <c r="L24" s="26">
        <f t="shared" si="25"/>
        <v>6000</v>
      </c>
      <c r="M24" s="41">
        <f t="shared" si="25"/>
        <v>6000</v>
      </c>
      <c r="N24" s="25">
        <f>N21/4</f>
        <v>6000</v>
      </c>
      <c r="O24" s="26">
        <f t="shared" si="25"/>
        <v>6000</v>
      </c>
      <c r="P24" s="26">
        <f t="shared" si="25"/>
        <v>6000</v>
      </c>
      <c r="Q24" s="26">
        <f t="shared" si="25"/>
        <v>6000</v>
      </c>
      <c r="R24" s="26">
        <f t="shared" si="25"/>
        <v>6000</v>
      </c>
      <c r="S24" s="41">
        <f t="shared" si="25"/>
        <v>6000</v>
      </c>
      <c r="T24" s="25">
        <f t="shared" si="25"/>
        <v>6000</v>
      </c>
      <c r="U24" s="26">
        <f t="shared" si="25"/>
        <v>6000</v>
      </c>
      <c r="V24" s="26">
        <f t="shared" si="25"/>
        <v>6000</v>
      </c>
      <c r="W24" s="26">
        <f t="shared" si="25"/>
        <v>6000</v>
      </c>
      <c r="X24" s="26">
        <f t="shared" si="25"/>
        <v>6000</v>
      </c>
      <c r="Y24" s="26">
        <f t="shared" si="25"/>
        <v>6000</v>
      </c>
    </row>
    <row r="25" spans="1:25" x14ac:dyDescent="0.25">
      <c r="A25" t="s">
        <v>228</v>
      </c>
      <c r="C25" s="8">
        <f>C23*C21/C24</f>
        <v>8.1825503355704701</v>
      </c>
      <c r="D25" s="8">
        <f t="shared" ref="D25:Y25" si="26">D23*D21/D24</f>
        <v>8.1825503355704683</v>
      </c>
      <c r="E25" s="8">
        <f t="shared" si="26"/>
        <v>8.1825503355704701</v>
      </c>
      <c r="F25" s="8">
        <f t="shared" si="26"/>
        <v>4.091275167785235</v>
      </c>
      <c r="G25" s="8">
        <f t="shared" si="26"/>
        <v>8.7280536912751696</v>
      </c>
      <c r="H25" s="8">
        <f t="shared" si="26"/>
        <v>25</v>
      </c>
      <c r="I25" s="8">
        <f t="shared" si="26"/>
        <v>7.5006711409395965</v>
      </c>
      <c r="J25" s="8">
        <f t="shared" si="26"/>
        <v>7.5006711409395965</v>
      </c>
      <c r="K25" s="8">
        <f t="shared" si="26"/>
        <v>7.2006442953020127</v>
      </c>
      <c r="L25" s="8">
        <f t="shared" si="26"/>
        <v>4.0003579418344515</v>
      </c>
      <c r="M25" s="8">
        <f t="shared" si="26"/>
        <v>7.5006711409395974</v>
      </c>
      <c r="N25" s="8">
        <f t="shared" si="26"/>
        <v>50</v>
      </c>
      <c r="O25" s="8">
        <f t="shared" si="26"/>
        <v>8.1825503355704683</v>
      </c>
      <c r="P25" s="8">
        <f t="shared" si="26"/>
        <v>15.342281879194626</v>
      </c>
      <c r="Q25" s="8">
        <f t="shared" si="26"/>
        <v>40.912751677852341</v>
      </c>
      <c r="R25" s="8">
        <f t="shared" si="26"/>
        <v>10.228187919463085</v>
      </c>
      <c r="S25" s="8">
        <f t="shared" si="26"/>
        <v>15.34228187919463</v>
      </c>
      <c r="T25" s="8">
        <f t="shared" si="26"/>
        <v>25</v>
      </c>
      <c r="U25" s="8">
        <f t="shared" si="26"/>
        <v>7.6711409395973131</v>
      </c>
      <c r="V25" s="8">
        <f t="shared" si="26"/>
        <v>7.6711409395973131</v>
      </c>
      <c r="W25" s="8">
        <f t="shared" si="26"/>
        <v>8.1825503355704683</v>
      </c>
      <c r="X25" s="8">
        <f t="shared" si="26"/>
        <v>4.0912751677852341</v>
      </c>
      <c r="Y25" s="8">
        <f t="shared" si="26"/>
        <v>7.6711409395973149</v>
      </c>
    </row>
    <row r="26" spans="1:25" x14ac:dyDescent="0.25">
      <c r="A26" t="s">
        <v>178</v>
      </c>
      <c r="B26" t="s">
        <v>4</v>
      </c>
      <c r="C26" s="33">
        <f>19.1*C16/C21</f>
        <v>2.8650000000000002</v>
      </c>
      <c r="D26" s="34">
        <f t="shared" ref="D26:Y26" si="27">19.1*D16/D24</f>
        <v>11.46</v>
      </c>
      <c r="E26" s="34">
        <f t="shared" si="27"/>
        <v>11.46</v>
      </c>
      <c r="F26" s="34">
        <f t="shared" si="27"/>
        <v>11.46</v>
      </c>
      <c r="G26" s="45">
        <f t="shared" si="27"/>
        <v>11.46</v>
      </c>
      <c r="H26" s="33">
        <f t="shared" si="27"/>
        <v>0.44817322834645679</v>
      </c>
      <c r="I26" s="34">
        <f t="shared" si="27"/>
        <v>6.3029999999999999</v>
      </c>
      <c r="J26" s="34">
        <f t="shared" si="27"/>
        <v>6.3029999999999999</v>
      </c>
      <c r="K26" s="34">
        <f t="shared" si="27"/>
        <v>6.3029999999999999</v>
      </c>
      <c r="L26" s="34">
        <f t="shared" si="27"/>
        <v>6.3029999999999999</v>
      </c>
      <c r="M26" s="45">
        <f t="shared" si="27"/>
        <v>6.3029999999999999</v>
      </c>
      <c r="N26" s="33">
        <f t="shared" si="27"/>
        <v>0.44817322834645679</v>
      </c>
      <c r="O26" s="34">
        <f t="shared" si="27"/>
        <v>4.2975000000000003</v>
      </c>
      <c r="P26" s="34">
        <f t="shared" si="27"/>
        <v>4.2975000000000003</v>
      </c>
      <c r="Q26" s="34">
        <f t="shared" si="27"/>
        <v>4.2975000000000003</v>
      </c>
      <c r="R26" s="34">
        <f t="shared" si="27"/>
        <v>4.2975000000000003</v>
      </c>
      <c r="S26" s="45">
        <f t="shared" si="27"/>
        <v>4.2975000000000003</v>
      </c>
      <c r="T26" s="33">
        <f t="shared" si="27"/>
        <v>0.44817322834645679</v>
      </c>
      <c r="U26" s="34">
        <f t="shared" si="27"/>
        <v>2.1487500000000002</v>
      </c>
      <c r="V26" s="34">
        <f t="shared" si="27"/>
        <v>2.1487500000000002</v>
      </c>
      <c r="W26" s="34">
        <f t="shared" si="27"/>
        <v>2.1487500000000002</v>
      </c>
      <c r="X26" s="34">
        <f t="shared" si="27"/>
        <v>2.1487500000000002</v>
      </c>
      <c r="Y26" s="34">
        <f t="shared" si="27"/>
        <v>2.1487500000000002</v>
      </c>
    </row>
    <row r="27" spans="1:25" x14ac:dyDescent="0.25">
      <c r="A27" t="s">
        <v>72</v>
      </c>
      <c r="B27" t="s">
        <v>19</v>
      </c>
      <c r="C27" s="31">
        <f t="shared" ref="C27:Y27" si="28">C26/(C11/1000)</f>
        <v>451.1811023622048</v>
      </c>
      <c r="D27" s="32">
        <f t="shared" si="28"/>
        <v>1804.7244094488192</v>
      </c>
      <c r="E27" s="32">
        <f t="shared" si="28"/>
        <v>902.36220472440959</v>
      </c>
      <c r="F27" s="32">
        <f t="shared" si="28"/>
        <v>1804.7244094488192</v>
      </c>
      <c r="G27" s="44">
        <f t="shared" si="28"/>
        <v>4812.5984251968512</v>
      </c>
      <c r="H27" s="31">
        <f t="shared" si="28"/>
        <v>1764.4615289230583</v>
      </c>
      <c r="I27" s="32">
        <f t="shared" si="28"/>
        <v>1323.464566929134</v>
      </c>
      <c r="J27" s="32">
        <f t="shared" si="28"/>
        <v>1323.464566929134</v>
      </c>
      <c r="K27" s="32">
        <f t="shared" si="28"/>
        <v>794.0787401574803</v>
      </c>
      <c r="L27" s="32">
        <f t="shared" si="28"/>
        <v>1323.464566929134</v>
      </c>
      <c r="M27" s="44">
        <f t="shared" si="28"/>
        <v>2646.929133858268</v>
      </c>
      <c r="N27" s="31">
        <f t="shared" si="28"/>
        <v>1764.4615289230583</v>
      </c>
      <c r="O27" s="32">
        <f t="shared" si="28"/>
        <v>902.36220472440959</v>
      </c>
      <c r="P27" s="32">
        <f t="shared" si="28"/>
        <v>902.36220472440959</v>
      </c>
      <c r="Q27" s="32">
        <f t="shared" si="28"/>
        <v>902.36220472440959</v>
      </c>
      <c r="R27" s="32">
        <f t="shared" si="28"/>
        <v>1353.5433070866143</v>
      </c>
      <c r="S27" s="44">
        <f t="shared" si="28"/>
        <v>2707.0866141732286</v>
      </c>
      <c r="T27" s="31">
        <f t="shared" si="28"/>
        <v>1764.4615289230583</v>
      </c>
      <c r="U27" s="32">
        <f t="shared" si="28"/>
        <v>1353.5433070866143</v>
      </c>
      <c r="V27" s="32">
        <f t="shared" si="28"/>
        <v>1353.5433070866143</v>
      </c>
      <c r="W27" s="32">
        <f t="shared" si="28"/>
        <v>902.36220472440959</v>
      </c>
      <c r="X27" s="32">
        <f t="shared" si="28"/>
        <v>1353.5433070866143</v>
      </c>
      <c r="Y27" s="32">
        <f t="shared" si="28"/>
        <v>1353.5433070866143</v>
      </c>
    </row>
    <row r="28" spans="1:25" x14ac:dyDescent="0.25">
      <c r="A28" t="s">
        <v>72</v>
      </c>
      <c r="B28" t="s">
        <v>70</v>
      </c>
      <c r="C28" s="29">
        <f t="shared" ref="C28:Y28" si="29">C27/4.448</f>
        <v>101.4346003512151</v>
      </c>
      <c r="D28" s="30">
        <f t="shared" si="29"/>
        <v>405.73840140486038</v>
      </c>
      <c r="E28" s="30">
        <f t="shared" si="29"/>
        <v>202.86920070243019</v>
      </c>
      <c r="F28" s="30">
        <f t="shared" si="29"/>
        <v>405.73840140486038</v>
      </c>
      <c r="G28" s="43">
        <f t="shared" si="29"/>
        <v>1081.9690704129609</v>
      </c>
      <c r="H28" s="29">
        <f t="shared" si="29"/>
        <v>396.6864948118386</v>
      </c>
      <c r="I28" s="30">
        <f t="shared" si="29"/>
        <v>297.54149436356425</v>
      </c>
      <c r="J28" s="30">
        <f t="shared" si="29"/>
        <v>297.54149436356425</v>
      </c>
      <c r="K28" s="30">
        <f t="shared" si="29"/>
        <v>178.52489661813854</v>
      </c>
      <c r="L28" s="30">
        <f t="shared" si="29"/>
        <v>297.54149436356425</v>
      </c>
      <c r="M28" s="43">
        <f t="shared" si="29"/>
        <v>595.08298872712851</v>
      </c>
      <c r="N28" s="29">
        <f t="shared" si="29"/>
        <v>396.6864948118386</v>
      </c>
      <c r="O28" s="30">
        <f t="shared" si="29"/>
        <v>202.86920070243019</v>
      </c>
      <c r="P28" s="30">
        <f t="shared" si="29"/>
        <v>202.86920070243019</v>
      </c>
      <c r="Q28" s="30">
        <f t="shared" si="29"/>
        <v>202.86920070243019</v>
      </c>
      <c r="R28" s="30">
        <f t="shared" si="29"/>
        <v>304.30380105364526</v>
      </c>
      <c r="S28" s="43">
        <f t="shared" si="29"/>
        <v>608.60760210729052</v>
      </c>
      <c r="T28" s="29">
        <f t="shared" si="29"/>
        <v>396.6864948118386</v>
      </c>
      <c r="U28" s="30">
        <f t="shared" si="29"/>
        <v>304.30380105364526</v>
      </c>
      <c r="V28" s="30">
        <f t="shared" si="29"/>
        <v>304.30380105364526</v>
      </c>
      <c r="W28" s="30">
        <f t="shared" si="29"/>
        <v>202.86920070243019</v>
      </c>
      <c r="X28" s="30">
        <f t="shared" si="29"/>
        <v>304.30380105364526</v>
      </c>
      <c r="Y28" s="30">
        <f t="shared" si="29"/>
        <v>304.30380105364526</v>
      </c>
    </row>
    <row r="29" spans="1:25" x14ac:dyDescent="0.25">
      <c r="A29" t="s">
        <v>226</v>
      </c>
      <c r="B29" t="s">
        <v>31</v>
      </c>
      <c r="C29" s="7">
        <f>C27*C15/60/1000</f>
        <v>73.83624161073827</v>
      </c>
      <c r="D29" s="7">
        <f t="shared" ref="D29:Y29" si="30">D27*D15/60/1000</f>
        <v>295.34496644295302</v>
      </c>
      <c r="E29" s="7">
        <f t="shared" si="30"/>
        <v>369.18120805369136</v>
      </c>
      <c r="F29" s="7">
        <f t="shared" si="30"/>
        <v>369.18120805369136</v>
      </c>
      <c r="G29" s="7">
        <f t="shared" si="30"/>
        <v>840.09234899328885</v>
      </c>
      <c r="H29" s="7">
        <f t="shared" si="30"/>
        <v>882.23076446152913</v>
      </c>
      <c r="I29" s="7">
        <f>I27*I15/60/1000</f>
        <v>198.53744966442954</v>
      </c>
      <c r="J29" s="7">
        <f t="shared" si="30"/>
        <v>198.53744966442954</v>
      </c>
      <c r="K29" s="7">
        <f t="shared" si="30"/>
        <v>285.89392751677855</v>
      </c>
      <c r="L29" s="7">
        <f t="shared" si="30"/>
        <v>264.71659955257275</v>
      </c>
      <c r="M29" s="7">
        <f t="shared" si="30"/>
        <v>397.07489932885915</v>
      </c>
      <c r="N29" s="7">
        <f t="shared" si="30"/>
        <v>882.23076446152913</v>
      </c>
      <c r="O29" s="7">
        <f t="shared" si="30"/>
        <v>73.836241610738256</v>
      </c>
      <c r="P29" s="7">
        <f t="shared" si="30"/>
        <v>138.44295302013421</v>
      </c>
      <c r="Q29" s="7">
        <f t="shared" si="30"/>
        <v>369.18120805369131</v>
      </c>
      <c r="R29" s="7">
        <f t="shared" si="30"/>
        <v>276.88590604026842</v>
      </c>
      <c r="S29" s="7">
        <f t="shared" si="30"/>
        <v>415.32885906040275</v>
      </c>
      <c r="T29" s="7">
        <f t="shared" si="30"/>
        <v>882.23076446152913</v>
      </c>
      <c r="U29" s="7">
        <f t="shared" si="30"/>
        <v>207.66442953020135</v>
      </c>
      <c r="V29" s="7">
        <f t="shared" si="30"/>
        <v>207.66442953020135</v>
      </c>
      <c r="W29" s="7">
        <f t="shared" si="30"/>
        <v>369.18120805369131</v>
      </c>
      <c r="X29" s="7">
        <f t="shared" si="30"/>
        <v>276.88590604026842</v>
      </c>
      <c r="Y29" s="7">
        <f t="shared" si="30"/>
        <v>207.66442953020137</v>
      </c>
    </row>
    <row r="30" spans="1:25" x14ac:dyDescent="0.25">
      <c r="A30" t="s">
        <v>165</v>
      </c>
      <c r="B30" t="s">
        <v>166</v>
      </c>
      <c r="C30">
        <f>6*6*1*25.4^3</f>
        <v>589934.304</v>
      </c>
      <c r="E30">
        <f>24*48*0.05*25.4^3</f>
        <v>943894.88639999996</v>
      </c>
      <c r="F30">
        <f>6*6*1*25.4^3</f>
        <v>589934.304</v>
      </c>
      <c r="I30">
        <f>6*6*1*25.4^3</f>
        <v>589934.304</v>
      </c>
      <c r="K30">
        <f>24*48*0.05*25.4^3</f>
        <v>943894.88639999996</v>
      </c>
      <c r="L30">
        <f>6*6*1*25.4^3</f>
        <v>589934.304</v>
      </c>
      <c r="O30">
        <f>6*6*1*25.4^3</f>
        <v>589934.304</v>
      </c>
      <c r="Q30">
        <f>24*48*0.05*25.4^3</f>
        <v>943894.88639999996</v>
      </c>
      <c r="R30">
        <f>6*6*1*25.4^3</f>
        <v>589934.304</v>
      </c>
      <c r="U30">
        <f>6*6*1*25.4^3</f>
        <v>589934.304</v>
      </c>
      <c r="W30">
        <f>24*48*0.05*25.4^3</f>
        <v>943894.88639999996</v>
      </c>
      <c r="X30">
        <f>6*6*1*25.4^3</f>
        <v>589934.304</v>
      </c>
    </row>
    <row r="31" spans="1:25" x14ac:dyDescent="0.25">
      <c r="A31" t="s">
        <v>167</v>
      </c>
      <c r="B31" t="s">
        <v>168</v>
      </c>
      <c r="C31">
        <f>C30/C5*C8</f>
        <v>2.9800000000000004</v>
      </c>
      <c r="E31">
        <f>E30/E5*E8</f>
        <v>1.1919999999999999</v>
      </c>
      <c r="F31">
        <f>F30/F5*F8</f>
        <v>0.74500000000000011</v>
      </c>
      <c r="I31">
        <f>I30/I5*I8</f>
        <v>5.4181818181818189</v>
      </c>
      <c r="K31">
        <f>K30/K5*K8</f>
        <v>2.1672727272727275</v>
      </c>
      <c r="L31">
        <f>L30/L5*L8</f>
        <v>1.3545454545454547</v>
      </c>
      <c r="O31">
        <f>O30/O5*O8</f>
        <v>7.9466666666666681</v>
      </c>
      <c r="Q31">
        <f>Q30/Q5*Q8</f>
        <v>3.178666666666667</v>
      </c>
      <c r="R31">
        <f>R30/R5*R8</f>
        <v>1.986666666666667</v>
      </c>
      <c r="U31">
        <f>U30/U5*U8</f>
        <v>15.893333333333336</v>
      </c>
      <c r="W31">
        <f>W30/W5*W8</f>
        <v>6.3573333333333339</v>
      </c>
      <c r="X31">
        <f>X30/X5*X8</f>
        <v>3.973333333333334</v>
      </c>
    </row>
  </sheetData>
  <mergeCells count="4">
    <mergeCell ref="C1:G1"/>
    <mergeCell ref="H1:M1"/>
    <mergeCell ref="N1:S1"/>
    <mergeCell ref="T1:Y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B39-8079-4080-896A-67B036787BC1}">
  <dimension ref="A1:K35"/>
  <sheetViews>
    <sheetView workbookViewId="0">
      <selection activeCell="F22" sqref="F22"/>
    </sheetView>
  </sheetViews>
  <sheetFormatPr defaultRowHeight="15" outlineLevelCol="1" x14ac:dyDescent="0.25"/>
  <cols>
    <col min="1" max="1" width="33.140625" customWidth="1"/>
    <col min="2" max="2" width="11.7109375" bestFit="1" customWidth="1"/>
    <col min="3" max="3" width="18.7109375" customWidth="1" outlineLevel="1"/>
    <col min="4" max="4" width="18.7109375" customWidth="1"/>
    <col min="5" max="5" width="19.5703125" customWidth="1" outlineLevel="1"/>
    <col min="6" max="6" width="19.7109375" customWidth="1"/>
    <col min="7" max="7" width="18.7109375" customWidth="1" outlineLevel="1"/>
    <col min="8" max="8" width="18.7109375" customWidth="1"/>
    <col min="9" max="9" width="20" customWidth="1" outlineLevel="1"/>
    <col min="10" max="10" width="20" customWidth="1"/>
  </cols>
  <sheetData>
    <row r="1" spans="1:11" x14ac:dyDescent="0.25">
      <c r="C1" t="s">
        <v>48</v>
      </c>
      <c r="D1" t="s">
        <v>48</v>
      </c>
      <c r="E1" t="s">
        <v>252</v>
      </c>
      <c r="F1" t="s">
        <v>254</v>
      </c>
      <c r="G1" t="s">
        <v>253</v>
      </c>
      <c r="H1" t="s">
        <v>255</v>
      </c>
      <c r="I1" t="s">
        <v>259</v>
      </c>
      <c r="J1" t="s">
        <v>260</v>
      </c>
    </row>
    <row r="2" spans="1:11" x14ac:dyDescent="0.25">
      <c r="A2" t="s">
        <v>256</v>
      </c>
      <c r="B2" t="s">
        <v>58</v>
      </c>
      <c r="C2">
        <v>24000</v>
      </c>
      <c r="D2" s="12">
        <f t="shared" ref="D2:J6" si="0">C2</f>
        <v>24000</v>
      </c>
      <c r="E2" s="12">
        <f t="shared" si="0"/>
        <v>24000</v>
      </c>
      <c r="F2" s="12">
        <f t="shared" si="0"/>
        <v>24000</v>
      </c>
      <c r="G2" s="12">
        <f t="shared" si="0"/>
        <v>24000</v>
      </c>
      <c r="H2" s="12">
        <f t="shared" si="0"/>
        <v>24000</v>
      </c>
      <c r="I2" s="12">
        <f t="shared" si="0"/>
        <v>24000</v>
      </c>
      <c r="J2" s="12">
        <f t="shared" si="0"/>
        <v>24000</v>
      </c>
    </row>
    <row r="3" spans="1:11" x14ac:dyDescent="0.25">
      <c r="A3" t="s">
        <v>257</v>
      </c>
      <c r="B3" t="s">
        <v>31</v>
      </c>
      <c r="C3">
        <v>1500</v>
      </c>
      <c r="D3" s="12">
        <f t="shared" si="0"/>
        <v>1500</v>
      </c>
      <c r="E3" s="12">
        <f t="shared" si="0"/>
        <v>1500</v>
      </c>
      <c r="F3" s="12">
        <f t="shared" si="0"/>
        <v>1500</v>
      </c>
      <c r="G3" s="12">
        <f t="shared" si="0"/>
        <v>1500</v>
      </c>
      <c r="H3" s="12">
        <f t="shared" si="0"/>
        <v>1500</v>
      </c>
      <c r="I3" s="12">
        <f t="shared" si="0"/>
        <v>1500</v>
      </c>
      <c r="J3" s="12">
        <f t="shared" si="0"/>
        <v>1500</v>
      </c>
    </row>
    <row r="4" spans="1:11" x14ac:dyDescent="0.25">
      <c r="A4" s="49" t="s">
        <v>279</v>
      </c>
      <c r="B4" s="49" t="s">
        <v>4</v>
      </c>
      <c r="C4" s="1">
        <f>19.1*C3/(C2/2)</f>
        <v>2.3875000000000002</v>
      </c>
      <c r="D4" s="51">
        <f t="shared" si="0"/>
        <v>2.3875000000000002</v>
      </c>
      <c r="E4" s="51">
        <f t="shared" si="0"/>
        <v>2.3875000000000002</v>
      </c>
      <c r="F4" s="51">
        <f t="shared" si="0"/>
        <v>2.3875000000000002</v>
      </c>
      <c r="G4" s="51">
        <f t="shared" si="0"/>
        <v>2.3875000000000002</v>
      </c>
      <c r="H4" s="51">
        <f t="shared" si="0"/>
        <v>2.3875000000000002</v>
      </c>
      <c r="I4" s="51">
        <f t="shared" si="0"/>
        <v>2.3875000000000002</v>
      </c>
      <c r="J4" s="51">
        <f t="shared" si="0"/>
        <v>2.3875000000000002</v>
      </c>
    </row>
    <row r="5" spans="1:11" x14ac:dyDescent="0.25">
      <c r="A5" s="49" t="s">
        <v>281</v>
      </c>
      <c r="B5" s="49" t="s">
        <v>32</v>
      </c>
      <c r="C5" s="5">
        <v>0.75</v>
      </c>
      <c r="D5" s="52">
        <f t="shared" si="0"/>
        <v>0.75</v>
      </c>
      <c r="E5" s="52">
        <f t="shared" si="0"/>
        <v>0.75</v>
      </c>
      <c r="F5" s="52">
        <f t="shared" si="0"/>
        <v>0.75</v>
      </c>
      <c r="G5" s="52">
        <f t="shared" si="0"/>
        <v>0.75</v>
      </c>
      <c r="H5" s="52">
        <f t="shared" si="0"/>
        <v>0.75</v>
      </c>
      <c r="I5" s="52">
        <f t="shared" si="0"/>
        <v>0.75</v>
      </c>
      <c r="J5" s="52">
        <f t="shared" si="0"/>
        <v>0.75</v>
      </c>
    </row>
    <row r="6" spans="1:11" x14ac:dyDescent="0.25">
      <c r="A6" t="s">
        <v>258</v>
      </c>
      <c r="B6" t="s">
        <v>31</v>
      </c>
      <c r="C6">
        <f>C3*C5</f>
        <v>1125</v>
      </c>
      <c r="D6" s="12">
        <f t="shared" si="0"/>
        <v>1125</v>
      </c>
      <c r="E6" s="12">
        <f t="shared" si="0"/>
        <v>1125</v>
      </c>
      <c r="F6" s="12">
        <f t="shared" si="0"/>
        <v>1125</v>
      </c>
      <c r="G6" s="12">
        <f t="shared" si="0"/>
        <v>1125</v>
      </c>
      <c r="H6" s="12">
        <f t="shared" si="0"/>
        <v>1125</v>
      </c>
      <c r="I6" s="12">
        <f t="shared" si="0"/>
        <v>1125</v>
      </c>
      <c r="J6" s="12">
        <f t="shared" si="0"/>
        <v>1125</v>
      </c>
    </row>
    <row r="7" spans="1:11" x14ac:dyDescent="0.25">
      <c r="A7" t="s">
        <v>233</v>
      </c>
      <c r="B7" t="s">
        <v>26</v>
      </c>
      <c r="C7" t="s">
        <v>236</v>
      </c>
      <c r="D7" t="s">
        <v>236</v>
      </c>
      <c r="E7" t="s">
        <v>238</v>
      </c>
      <c r="F7" t="s">
        <v>238</v>
      </c>
      <c r="G7" t="s">
        <v>44</v>
      </c>
      <c r="H7" t="s">
        <v>44</v>
      </c>
      <c r="I7" t="s">
        <v>46</v>
      </c>
      <c r="J7" t="s">
        <v>46</v>
      </c>
    </row>
    <row r="8" spans="1:11" x14ac:dyDescent="0.25">
      <c r="A8" t="s">
        <v>239</v>
      </c>
      <c r="B8" t="s">
        <v>272</v>
      </c>
      <c r="C8">
        <f>IF(C7="Aluminum",0.4,IF(RIGHT(C7,5)="Steel",2,IF(RIGHT(C7,4)="Wood",0.1,NA())))*745</f>
        <v>74.5</v>
      </c>
      <c r="D8">
        <f>IF(D7="Aluminum",0.4,IF(RIGHT(D7,5)="Steel",2,IF(RIGHT(D7,4)="Wood",0.1,NA())))*745</f>
        <v>74.5</v>
      </c>
      <c r="E8">
        <f t="shared" ref="E8:J8" si="1">IF(E7="Aluminum",0.4,IF(RIGHT(E7,5)="Steel",2,IF(RIGHT(E7,4)="Wood",0.1,NA())))*745</f>
        <v>74.5</v>
      </c>
      <c r="F8">
        <f t="shared" si="1"/>
        <v>74.5</v>
      </c>
      <c r="G8">
        <f t="shared" si="1"/>
        <v>298</v>
      </c>
      <c r="H8">
        <f t="shared" si="1"/>
        <v>298</v>
      </c>
      <c r="I8">
        <f t="shared" si="1"/>
        <v>1490</v>
      </c>
      <c r="J8">
        <f t="shared" si="1"/>
        <v>1490</v>
      </c>
    </row>
    <row r="9" spans="1:11" s="50" customFormat="1" ht="32.25" customHeight="1" x14ac:dyDescent="0.25">
      <c r="A9" s="50" t="s">
        <v>270</v>
      </c>
      <c r="C9" s="50" t="s">
        <v>274</v>
      </c>
      <c r="D9" s="50" t="s">
        <v>273</v>
      </c>
      <c r="E9" s="50" t="s">
        <v>287</v>
      </c>
      <c r="F9" s="50" t="s">
        <v>287</v>
      </c>
      <c r="G9" s="50" t="s">
        <v>277</v>
      </c>
      <c r="H9" s="50" t="s">
        <v>277</v>
      </c>
      <c r="I9" s="50" t="s">
        <v>280</v>
      </c>
      <c r="J9" s="50" t="s">
        <v>280</v>
      </c>
    </row>
    <row r="10" spans="1:11" x14ac:dyDescent="0.25">
      <c r="A10" t="s">
        <v>261</v>
      </c>
      <c r="B10" t="s">
        <v>25</v>
      </c>
      <c r="C10">
        <f>VLOOKUP(C$9,'Tool Speeds'!$B$3:$P$250,4,FALSE)</f>
        <v>1.125</v>
      </c>
      <c r="D10">
        <f>VLOOKUP(D$9,'Tool Speeds'!$B$3:$P$250,4,FALSE)</f>
        <v>1.5</v>
      </c>
      <c r="E10">
        <f>VLOOKUP(E$9,'Tool Speeds'!$B$3:$P$250,4,FALSE)</f>
        <v>0.375</v>
      </c>
      <c r="F10">
        <f>VLOOKUP(F$9,'Tool Speeds'!$B$3:$P$250,4,FALSE)</f>
        <v>0.375</v>
      </c>
      <c r="G10">
        <f>VLOOKUP(G$9,'Tool Speeds'!$B$3:$P$250,4,FALSE)</f>
        <v>0.3125</v>
      </c>
      <c r="H10">
        <f>VLOOKUP(H$9,'Tool Speeds'!$B$3:$P$250,4,FALSE)</f>
        <v>0.3125</v>
      </c>
      <c r="I10">
        <f>VLOOKUP(I$9,'Tool Speeds'!$B$3:$P$250,4,FALSE)</f>
        <v>0.1875</v>
      </c>
      <c r="J10">
        <f>VLOOKUP(J$9,'Tool Speeds'!$B$3:$P$250,4,FALSE)</f>
        <v>0.1875</v>
      </c>
    </row>
    <row r="11" spans="1:11" x14ac:dyDescent="0.25">
      <c r="A11" t="s">
        <v>262</v>
      </c>
      <c r="B11" t="s">
        <v>26</v>
      </c>
      <c r="C11">
        <f>VLOOKUP(C$9,'Tool Speeds'!$B$3:$P$250,6,FALSE)</f>
        <v>3</v>
      </c>
      <c r="D11">
        <f>VLOOKUP(D$9,'Tool Speeds'!$B$3:$P$250,6,FALSE)</f>
        <v>2</v>
      </c>
      <c r="E11">
        <f>VLOOKUP(E$9,'Tool Speeds'!$B$3:$P$250,6,FALSE)</f>
        <v>3</v>
      </c>
      <c r="F11">
        <f>VLOOKUP(F$9,'Tool Speeds'!$B$3:$P$250,6,FALSE)</f>
        <v>3</v>
      </c>
      <c r="G11">
        <f>VLOOKUP(G$9,'Tool Speeds'!$B$3:$P$250,6,FALSE)</f>
        <v>2</v>
      </c>
      <c r="H11">
        <f>VLOOKUP(H$9,'Tool Speeds'!$B$3:$P$250,6,FALSE)</f>
        <v>2</v>
      </c>
      <c r="I11">
        <f>VLOOKUP(I$9,'Tool Speeds'!$B$3:$P$250,6,FALSE)</f>
        <v>3</v>
      </c>
      <c r="J11">
        <f>VLOOKUP(J$9,'Tool Speeds'!$B$3:$P$250,6,FALSE)</f>
        <v>3</v>
      </c>
    </row>
    <row r="12" spans="1:11" x14ac:dyDescent="0.25">
      <c r="A12" t="s">
        <v>264</v>
      </c>
      <c r="B12" t="s">
        <v>58</v>
      </c>
      <c r="C12">
        <f>VLOOKUP(C$9,'Tool Speeds'!$B$3:$P$250,5,FALSE)</f>
        <v>18000</v>
      </c>
      <c r="D12">
        <f>VLOOKUP(D$9,'Tool Speeds'!$B$3:$P$250,5,FALSE)</f>
        <v>18000</v>
      </c>
      <c r="E12">
        <f>VLOOKUP(E$9,'Tool Speeds'!$B$3:$P$250,5,FALSE)</f>
        <v>18000</v>
      </c>
      <c r="F12">
        <f>VLOOKUP(F$9,'Tool Speeds'!$B$3:$P$250,5,FALSE)</f>
        <v>18000</v>
      </c>
      <c r="G12">
        <f>VLOOKUP(G$9,'Tool Speeds'!$B$3:$P$250,5,FALSE)</f>
        <v>18000</v>
      </c>
      <c r="H12">
        <f>VLOOKUP(H$9,'Tool Speeds'!$B$3:$P$250,5,FALSE)</f>
        <v>18000</v>
      </c>
      <c r="I12">
        <f>VLOOKUP(I$9,'Tool Speeds'!$B$3:$P$250,5,FALSE)</f>
        <v>8200</v>
      </c>
      <c r="J12">
        <f>VLOOKUP(J$9,'Tool Speeds'!$B$3:$P$250,5,FALSE)</f>
        <v>8200</v>
      </c>
    </row>
    <row r="13" spans="1:11" x14ac:dyDescent="0.25">
      <c r="A13" t="s">
        <v>265</v>
      </c>
      <c r="B13" t="s">
        <v>25</v>
      </c>
      <c r="C13">
        <f>VLOOKUP(C$9,'Tool Speeds'!$B$3:$P$250,8,FALSE)</f>
        <v>4.0000000000000001E-3</v>
      </c>
      <c r="D13">
        <f>VLOOKUP(D$9,'Tool Speeds'!$B$3:$P$250,8,FALSE)</f>
        <v>5.3E-3</v>
      </c>
      <c r="E13">
        <f>VLOOKUP(E$9,'Tool Speeds'!$B$3:$P$250,8,FALSE)</f>
        <v>5.5999999999999999E-3</v>
      </c>
      <c r="F13">
        <f>VLOOKUP(F$9,'Tool Speeds'!$B$3:$P$250,8,FALSE)</f>
        <v>5.5999999999999999E-3</v>
      </c>
      <c r="G13">
        <f>VLOOKUP(G$9,'Tool Speeds'!$B$3:$P$250,8,FALSE)</f>
        <v>3.0000000000000001E-3</v>
      </c>
      <c r="H13">
        <f>VLOOKUP(H$9,'Tool Speeds'!$B$3:$P$250,8,FALSE)</f>
        <v>3.0000000000000001E-3</v>
      </c>
      <c r="I13">
        <f>VLOOKUP(I$9,'Tool Speeds'!$B$3:$P$250,8,FALSE)</f>
        <v>2E-3</v>
      </c>
      <c r="J13">
        <f>VLOOKUP(J$9,'Tool Speeds'!$B$3:$P$250,8,FALSE)</f>
        <v>2E-3</v>
      </c>
    </row>
    <row r="14" spans="1:11" x14ac:dyDescent="0.25">
      <c r="A14" t="s">
        <v>247</v>
      </c>
      <c r="B14" t="s">
        <v>41</v>
      </c>
      <c r="C14" s="16">
        <f>C13*C12*C11</f>
        <v>216</v>
      </c>
      <c r="D14" s="16">
        <f>D13*D12*D11</f>
        <v>190.8</v>
      </c>
      <c r="E14" s="16">
        <f t="shared" ref="E14:J14" si="2">E13*E12*E11</f>
        <v>302.39999999999998</v>
      </c>
      <c r="F14" s="16">
        <f t="shared" si="2"/>
        <v>302.39999999999998</v>
      </c>
      <c r="G14" s="16">
        <f t="shared" si="2"/>
        <v>108</v>
      </c>
      <c r="H14" s="16">
        <f t="shared" si="2"/>
        <v>108</v>
      </c>
      <c r="I14" s="16">
        <f t="shared" si="2"/>
        <v>49.199999999999996</v>
      </c>
      <c r="J14" s="16">
        <f t="shared" si="2"/>
        <v>49.199999999999996</v>
      </c>
      <c r="K14">
        <v>60</v>
      </c>
    </row>
    <row r="15" spans="1:11" x14ac:dyDescent="0.25">
      <c r="A15" t="s">
        <v>271</v>
      </c>
      <c r="B15" t="s">
        <v>31</v>
      </c>
      <c r="C15">
        <f>MIN(C6,C4*C12/19.1)</f>
        <v>1125</v>
      </c>
      <c r="D15">
        <f>MIN(D6,D4*D12/19.1)</f>
        <v>1125</v>
      </c>
      <c r="E15">
        <f t="shared" ref="E15:J15" si="3">MIN(E6,E4*E12/19.1)</f>
        <v>1125</v>
      </c>
      <c r="F15">
        <f t="shared" si="3"/>
        <v>1125</v>
      </c>
      <c r="G15">
        <f t="shared" si="3"/>
        <v>1125</v>
      </c>
      <c r="H15">
        <f t="shared" si="3"/>
        <v>1125</v>
      </c>
      <c r="I15">
        <f>MIN(I6,I4*I12/19.1)</f>
        <v>1025</v>
      </c>
      <c r="J15">
        <f t="shared" si="3"/>
        <v>1025</v>
      </c>
    </row>
    <row r="16" spans="1:11" x14ac:dyDescent="0.25">
      <c r="A16" t="s">
        <v>266</v>
      </c>
      <c r="B16" t="s">
        <v>267</v>
      </c>
      <c r="C16">
        <f>C15/C8/C14</f>
        <v>6.9910514541387025E-2</v>
      </c>
      <c r="D16">
        <f>D15/D8/D14</f>
        <v>7.9143978726098518E-2</v>
      </c>
      <c r="E16">
        <f t="shared" ref="E16:J16" si="4">E15/E8/E14</f>
        <v>4.9936081815276451E-2</v>
      </c>
      <c r="F16">
        <f t="shared" si="4"/>
        <v>4.9936081815276451E-2</v>
      </c>
      <c r="G16">
        <f t="shared" si="4"/>
        <v>3.4955257270693513E-2</v>
      </c>
      <c r="H16">
        <f t="shared" si="4"/>
        <v>3.4955257270693513E-2</v>
      </c>
      <c r="I16">
        <f>I15/I8/I14</f>
        <v>1.3982102908277404E-2</v>
      </c>
      <c r="J16">
        <f t="shared" si="4"/>
        <v>1.3982102908277404E-2</v>
      </c>
    </row>
    <row r="17" spans="1:11" x14ac:dyDescent="0.25">
      <c r="A17" t="s">
        <v>268</v>
      </c>
      <c r="B17" t="s">
        <v>32</v>
      </c>
      <c r="C17" s="10">
        <v>0.8</v>
      </c>
      <c r="D17" s="10">
        <v>0.8</v>
      </c>
      <c r="E17" s="10">
        <v>1</v>
      </c>
      <c r="F17" s="10">
        <v>0.3</v>
      </c>
      <c r="G17" s="10">
        <v>1</v>
      </c>
      <c r="H17" s="10">
        <v>0.3</v>
      </c>
      <c r="I17" s="10">
        <v>1</v>
      </c>
      <c r="J17" s="10">
        <v>0.3</v>
      </c>
    </row>
    <row r="18" spans="1:11" x14ac:dyDescent="0.25">
      <c r="A18" t="s">
        <v>263</v>
      </c>
      <c r="B18" t="s">
        <v>25</v>
      </c>
      <c r="C18">
        <f>C10*C17</f>
        <v>0.9</v>
      </c>
      <c r="D18">
        <f>D10*D17</f>
        <v>1.2000000000000002</v>
      </c>
      <c r="E18">
        <f t="shared" ref="E18:J18" si="5">E10*E17</f>
        <v>0.375</v>
      </c>
      <c r="F18">
        <f t="shared" si="5"/>
        <v>0.11249999999999999</v>
      </c>
      <c r="G18">
        <f t="shared" si="5"/>
        <v>0.3125</v>
      </c>
      <c r="H18">
        <f t="shared" si="5"/>
        <v>9.375E-2</v>
      </c>
      <c r="I18">
        <f t="shared" si="5"/>
        <v>0.1875</v>
      </c>
      <c r="J18">
        <f t="shared" si="5"/>
        <v>5.6249999999999994E-2</v>
      </c>
    </row>
    <row r="19" spans="1:11" x14ac:dyDescent="0.25">
      <c r="A19" t="s">
        <v>285</v>
      </c>
      <c r="B19" t="s">
        <v>32</v>
      </c>
      <c r="C19" s="4"/>
      <c r="D19" s="4"/>
      <c r="E19" s="5">
        <v>0.25</v>
      </c>
      <c r="F19" s="5">
        <v>1</v>
      </c>
      <c r="G19" s="5">
        <v>0.25</v>
      </c>
      <c r="H19" s="5">
        <v>1</v>
      </c>
      <c r="I19" s="5">
        <v>0.25</v>
      </c>
      <c r="J19" s="5">
        <v>1</v>
      </c>
    </row>
    <row r="20" spans="1:11" x14ac:dyDescent="0.25">
      <c r="A20" t="s">
        <v>285</v>
      </c>
      <c r="B20" t="s">
        <v>25</v>
      </c>
      <c r="C20" s="4">
        <v>0.05</v>
      </c>
      <c r="D20" s="4">
        <v>0.05</v>
      </c>
      <c r="E20" s="4">
        <f t="shared" ref="E20:J20" si="6">E10*E19</f>
        <v>9.375E-2</v>
      </c>
      <c r="F20" s="4">
        <f t="shared" si="6"/>
        <v>0.375</v>
      </c>
      <c r="G20" s="4">
        <f t="shared" si="6"/>
        <v>7.8125E-2</v>
      </c>
      <c r="H20" s="4">
        <f t="shared" si="6"/>
        <v>0.3125</v>
      </c>
      <c r="I20" s="4">
        <f t="shared" si="6"/>
        <v>4.6875E-2</v>
      </c>
      <c r="J20" s="4">
        <f t="shared" si="6"/>
        <v>0.1875</v>
      </c>
    </row>
    <row r="21" spans="1:11" x14ac:dyDescent="0.25">
      <c r="A21" t="s">
        <v>284</v>
      </c>
      <c r="B21" t="s">
        <v>25</v>
      </c>
      <c r="C21" s="4">
        <f t="shared" ref="C21:J21" si="7">C16/C18</f>
        <v>7.7678349490430024E-2</v>
      </c>
      <c r="D21" s="4">
        <f t="shared" si="7"/>
        <v>6.5953315605082094E-2</v>
      </c>
      <c r="E21" s="4">
        <f t="shared" si="7"/>
        <v>0.13316288484073721</v>
      </c>
      <c r="F21" s="4">
        <f t="shared" si="7"/>
        <v>0.44387628280245739</v>
      </c>
      <c r="G21" s="4">
        <f t="shared" si="7"/>
        <v>0.11185682326621924</v>
      </c>
      <c r="H21" s="4">
        <f t="shared" si="7"/>
        <v>0.37285607755406414</v>
      </c>
      <c r="I21" s="4">
        <f t="shared" si="7"/>
        <v>7.4571215510812819E-2</v>
      </c>
      <c r="J21" s="4">
        <f t="shared" si="7"/>
        <v>0.24857071836937611</v>
      </c>
    </row>
    <row r="22" spans="1:11" x14ac:dyDescent="0.25">
      <c r="A22" t="s">
        <v>286</v>
      </c>
      <c r="B22" t="s">
        <v>25</v>
      </c>
      <c r="C22" s="4">
        <f t="shared" ref="C22:J22" si="8">MIN(C21,C20)</f>
        <v>0.05</v>
      </c>
      <c r="D22" s="4">
        <f t="shared" si="8"/>
        <v>0.05</v>
      </c>
      <c r="E22" s="4">
        <f t="shared" si="8"/>
        <v>9.375E-2</v>
      </c>
      <c r="F22" s="4">
        <f t="shared" si="8"/>
        <v>0.375</v>
      </c>
      <c r="G22" s="4">
        <f t="shared" si="8"/>
        <v>7.8125E-2</v>
      </c>
      <c r="H22" s="4">
        <f t="shared" si="8"/>
        <v>0.3125</v>
      </c>
      <c r="I22" s="4">
        <f t="shared" si="8"/>
        <v>4.6875E-2</v>
      </c>
      <c r="J22" s="4">
        <f t="shared" si="8"/>
        <v>0.1875</v>
      </c>
    </row>
    <row r="23" spans="1:11" x14ac:dyDescent="0.25">
      <c r="A23" t="s">
        <v>621</v>
      </c>
      <c r="B23" t="s">
        <v>622</v>
      </c>
      <c r="C23" s="4">
        <f>C22*C18*C14</f>
        <v>9.7200000000000006</v>
      </c>
      <c r="D23" s="4">
        <f t="shared" ref="D23:J23" si="9">D22*D18*D14</f>
        <v>11.448000000000002</v>
      </c>
      <c r="E23" s="4">
        <f t="shared" si="9"/>
        <v>10.63125</v>
      </c>
      <c r="F23" s="4">
        <f t="shared" si="9"/>
        <v>12.757499999999999</v>
      </c>
      <c r="G23" s="4">
        <f t="shared" si="9"/>
        <v>2.63671875</v>
      </c>
      <c r="H23" s="4">
        <f t="shared" si="9"/>
        <v>3.1640625</v>
      </c>
      <c r="I23" s="4">
        <f t="shared" si="9"/>
        <v>0.43242187499999996</v>
      </c>
      <c r="J23" s="4">
        <f t="shared" si="9"/>
        <v>0.5189062499999999</v>
      </c>
    </row>
    <row r="24" spans="1:11" x14ac:dyDescent="0.25">
      <c r="A24" t="s">
        <v>43</v>
      </c>
      <c r="B24" t="s">
        <v>31</v>
      </c>
      <c r="C24" s="3">
        <f t="shared" ref="C24:J24" si="10">C8*C14*C18*C22</f>
        <v>724.1400000000001</v>
      </c>
      <c r="D24" s="3">
        <f t="shared" si="10"/>
        <v>852.8760000000002</v>
      </c>
      <c r="E24" s="3">
        <f t="shared" si="10"/>
        <v>792.02812499999993</v>
      </c>
      <c r="F24" s="3">
        <f t="shared" si="10"/>
        <v>950.43374999999992</v>
      </c>
      <c r="G24" s="3">
        <f t="shared" si="10"/>
        <v>785.7421875</v>
      </c>
      <c r="H24" s="3">
        <f t="shared" si="10"/>
        <v>942.890625</v>
      </c>
      <c r="I24" s="3">
        <f t="shared" si="10"/>
        <v>644.30859375</v>
      </c>
      <c r="J24" s="3">
        <f t="shared" si="10"/>
        <v>773.17031249999991</v>
      </c>
    </row>
    <row r="25" spans="1:11" x14ac:dyDescent="0.25">
      <c r="A25" t="s">
        <v>281</v>
      </c>
      <c r="B25" t="s">
        <v>32</v>
      </c>
      <c r="C25" s="53">
        <f t="shared" ref="C25:J25" si="11">C24/C6</f>
        <v>0.64368000000000014</v>
      </c>
      <c r="D25" s="53">
        <f t="shared" si="11"/>
        <v>0.75811200000000023</v>
      </c>
      <c r="E25" s="53">
        <f t="shared" si="11"/>
        <v>0.7040249999999999</v>
      </c>
      <c r="F25" s="53">
        <f t="shared" si="11"/>
        <v>0.84482999999999997</v>
      </c>
      <c r="G25" s="53">
        <f t="shared" si="11"/>
        <v>0.69843750000000004</v>
      </c>
      <c r="H25" s="53">
        <f t="shared" si="11"/>
        <v>0.83812500000000001</v>
      </c>
      <c r="I25" s="53">
        <f t="shared" si="11"/>
        <v>0.57271875000000005</v>
      </c>
      <c r="J25" s="53">
        <f t="shared" si="11"/>
        <v>0.68726249999999989</v>
      </c>
    </row>
    <row r="26" spans="1:11" x14ac:dyDescent="0.25">
      <c r="A26" t="s">
        <v>275</v>
      </c>
      <c r="B26" t="s">
        <v>4</v>
      </c>
      <c r="C26" s="1">
        <f>19.1*C24/C12</f>
        <v>0.7683930000000001</v>
      </c>
      <c r="D26" s="1">
        <f>19.1*D24/D12</f>
        <v>0.90499620000000025</v>
      </c>
      <c r="E26" s="1">
        <f t="shared" ref="E26:J26" si="12">19.1*E24/E12</f>
        <v>0.84042984374999996</v>
      </c>
      <c r="F26" s="1">
        <f>19.1*F24/F12</f>
        <v>1.0085158125</v>
      </c>
      <c r="G26" s="1">
        <f t="shared" si="12"/>
        <v>0.83375976562500009</v>
      </c>
      <c r="H26" s="1">
        <f>19.1*H24/H12</f>
        <v>1.0005117187499999</v>
      </c>
      <c r="I26" s="1">
        <f t="shared" si="12"/>
        <v>1.5007675781250001</v>
      </c>
      <c r="J26" s="1">
        <f t="shared" si="12"/>
        <v>1.80092109375</v>
      </c>
    </row>
    <row r="27" spans="1:11" x14ac:dyDescent="0.25">
      <c r="A27" t="s">
        <v>276</v>
      </c>
      <c r="B27" t="s">
        <v>19</v>
      </c>
      <c r="C27" s="3">
        <f t="shared" ref="C27:J27" si="13">C26/(C10/2*0.0254)</f>
        <v>53.780787401574813</v>
      </c>
      <c r="D27" s="3">
        <f t="shared" si="13"/>
        <v>47.506362204724432</v>
      </c>
      <c r="E27" s="3">
        <f t="shared" si="13"/>
        <v>176.46820866141735</v>
      </c>
      <c r="F27" s="3">
        <f t="shared" si="13"/>
        <v>211.76185039370083</v>
      </c>
      <c r="G27" s="3">
        <f t="shared" si="13"/>
        <v>210.0812007874016</v>
      </c>
      <c r="H27" s="3">
        <f>H26/(H10/2*0.0254)</f>
        <v>252.09744094488187</v>
      </c>
      <c r="I27" s="3">
        <f t="shared" si="13"/>
        <v>630.2436023622048</v>
      </c>
      <c r="J27" s="3">
        <f t="shared" si="13"/>
        <v>756.2923228346458</v>
      </c>
    </row>
    <row r="28" spans="1:11" x14ac:dyDescent="0.25">
      <c r="A28" t="s">
        <v>278</v>
      </c>
      <c r="B28" t="s">
        <v>31</v>
      </c>
      <c r="C28" s="7">
        <f t="shared" ref="C28:J28" si="14">C27*C14*0.0254/60</f>
        <v>4.9177152000000008</v>
      </c>
      <c r="D28" s="2">
        <f t="shared" si="14"/>
        <v>3.8371838880000024</v>
      </c>
      <c r="E28" s="2">
        <f t="shared" si="14"/>
        <v>22.590754199999999</v>
      </c>
      <c r="F28" s="2">
        <f t="shared" si="14"/>
        <v>27.108905040000003</v>
      </c>
      <c r="G28" s="2">
        <f t="shared" si="14"/>
        <v>9.6049125000000011</v>
      </c>
      <c r="H28" s="2">
        <f t="shared" si="14"/>
        <v>11.525894999999998</v>
      </c>
      <c r="I28" s="2">
        <f t="shared" si="14"/>
        <v>13.126713749999999</v>
      </c>
      <c r="J28" s="2">
        <f t="shared" si="14"/>
        <v>15.752056500000002</v>
      </c>
    </row>
    <row r="29" spans="1:11" x14ac:dyDescent="0.25">
      <c r="A29" t="s">
        <v>282</v>
      </c>
      <c r="B29" t="s">
        <v>19</v>
      </c>
      <c r="C29" s="3">
        <f t="shared" ref="C29:J29" si="15">C4/(C10/2*0.025)</f>
        <v>169.7777777777778</v>
      </c>
      <c r="D29" s="2">
        <f t="shared" si="15"/>
        <v>127.33333333333333</v>
      </c>
      <c r="E29" s="2">
        <f t="shared" si="15"/>
        <v>509.33333333333331</v>
      </c>
      <c r="F29" s="2">
        <f t="shared" si="15"/>
        <v>509.33333333333331</v>
      </c>
      <c r="G29" s="2">
        <f t="shared" si="15"/>
        <v>611.20000000000005</v>
      </c>
      <c r="H29" s="2">
        <f t="shared" si="15"/>
        <v>611.20000000000005</v>
      </c>
      <c r="I29" s="2">
        <f t="shared" si="15"/>
        <v>1018.6666666666666</v>
      </c>
      <c r="J29" s="2">
        <f t="shared" si="15"/>
        <v>1018.6666666666666</v>
      </c>
    </row>
    <row r="30" spans="1:11" x14ac:dyDescent="0.25">
      <c r="A30" t="s">
        <v>283</v>
      </c>
      <c r="B30" t="s">
        <v>31</v>
      </c>
      <c r="C30" s="2">
        <f t="shared" ref="C30:J30" si="16">C29*C14*0.0254/60</f>
        <v>15.524480000000002</v>
      </c>
      <c r="D30" s="2">
        <f t="shared" si="16"/>
        <v>10.284967999999999</v>
      </c>
      <c r="E30" s="2">
        <f t="shared" si="16"/>
        <v>65.202815999999999</v>
      </c>
      <c r="F30" s="2">
        <f t="shared" si="16"/>
        <v>65.202815999999999</v>
      </c>
      <c r="G30" s="2">
        <f t="shared" si="16"/>
        <v>27.944064000000004</v>
      </c>
      <c r="H30" s="2">
        <f>H29*H14*0.0254/60</f>
        <v>27.944064000000004</v>
      </c>
      <c r="I30" s="2">
        <f t="shared" si="16"/>
        <v>21.216789333333331</v>
      </c>
      <c r="J30" s="2">
        <f t="shared" si="16"/>
        <v>21.216789333333331</v>
      </c>
    </row>
    <row r="31" spans="1:11" x14ac:dyDescent="0.25">
      <c r="A31" t="s">
        <v>296</v>
      </c>
      <c r="B31" t="s">
        <v>4</v>
      </c>
      <c r="C31" s="2">
        <f>19.1*C15/C12</f>
        <v>1.1937500000000001</v>
      </c>
      <c r="D31" s="2">
        <f>19.1*D15/D12</f>
        <v>1.1937500000000001</v>
      </c>
      <c r="E31" s="2">
        <f t="shared" ref="E31:J31" si="17">19.1*E15/E12</f>
        <v>1.1937500000000001</v>
      </c>
      <c r="F31" s="2">
        <f t="shared" si="17"/>
        <v>1.1937500000000001</v>
      </c>
      <c r="G31" s="2">
        <f t="shared" si="17"/>
        <v>1.1937500000000001</v>
      </c>
      <c r="H31" s="2">
        <f t="shared" si="17"/>
        <v>1.1937500000000001</v>
      </c>
      <c r="I31" s="2">
        <f t="shared" si="17"/>
        <v>2.3875000000000002</v>
      </c>
      <c r="J31" s="2">
        <f t="shared" si="17"/>
        <v>2.3875000000000002</v>
      </c>
    </row>
    <row r="32" spans="1:11" x14ac:dyDescent="0.25">
      <c r="A32" t="s">
        <v>297</v>
      </c>
      <c r="B32" t="s">
        <v>19</v>
      </c>
      <c r="C32" s="8">
        <f>C31/(C10/2*0.0254)</f>
        <v>83.552055993000877</v>
      </c>
      <c r="D32" s="8">
        <f>D31/(D10/2*0.0254)</f>
        <v>62.664041994750669</v>
      </c>
      <c r="E32" s="8">
        <f t="shared" ref="E32:J32" si="18">E31/(E10/2*0.0254)</f>
        <v>250.65616797900267</v>
      </c>
      <c r="F32" s="8">
        <f t="shared" si="18"/>
        <v>250.65616797900267</v>
      </c>
      <c r="G32" s="8">
        <f t="shared" si="18"/>
        <v>300.78740157480314</v>
      </c>
      <c r="H32" s="8">
        <f>H31/(H10/2*0.0254)</f>
        <v>300.78740157480314</v>
      </c>
      <c r="I32" s="8">
        <f t="shared" si="18"/>
        <v>1002.6246719160107</v>
      </c>
      <c r="J32" s="8">
        <f t="shared" si="18"/>
        <v>1002.6246719160107</v>
      </c>
      <c r="K32" s="2">
        <f>H32</f>
        <v>300.78740157480314</v>
      </c>
    </row>
    <row r="33" spans="1:11" x14ac:dyDescent="0.25">
      <c r="A33" t="s">
        <v>298</v>
      </c>
      <c r="B33" t="s">
        <v>31</v>
      </c>
      <c r="C33" s="8">
        <f>C32*C14*0.0254/60</f>
        <v>7.64</v>
      </c>
      <c r="D33" s="8">
        <f t="shared" ref="D33:J33" si="19">D32*D14*0.0254/60</f>
        <v>5.0615000000000006</v>
      </c>
      <c r="E33" s="8">
        <f t="shared" si="19"/>
        <v>32.088000000000001</v>
      </c>
      <c r="F33" s="8">
        <f t="shared" si="19"/>
        <v>32.088000000000001</v>
      </c>
      <c r="G33" s="8">
        <f t="shared" si="19"/>
        <v>13.751999999999999</v>
      </c>
      <c r="H33" s="8">
        <f t="shared" si="19"/>
        <v>13.751999999999999</v>
      </c>
      <c r="I33" s="8">
        <f t="shared" si="19"/>
        <v>20.882666666666669</v>
      </c>
      <c r="J33" s="8">
        <f t="shared" si="19"/>
        <v>20.882666666666669</v>
      </c>
    </row>
    <row r="34" spans="1:11" x14ac:dyDescent="0.25">
      <c r="A34" t="s">
        <v>187</v>
      </c>
      <c r="B34" t="s">
        <v>19</v>
      </c>
      <c r="C34" s="6">
        <v>350</v>
      </c>
      <c r="D34">
        <f>C34</f>
        <v>350</v>
      </c>
      <c r="E34">
        <f t="shared" ref="E34:J34" si="20">D34</f>
        <v>350</v>
      </c>
      <c r="F34">
        <f t="shared" si="20"/>
        <v>350</v>
      </c>
      <c r="G34">
        <f>F34</f>
        <v>350</v>
      </c>
      <c r="H34">
        <f t="shared" si="20"/>
        <v>350</v>
      </c>
      <c r="I34">
        <f t="shared" si="20"/>
        <v>350</v>
      </c>
      <c r="J34">
        <f t="shared" si="20"/>
        <v>350</v>
      </c>
      <c r="K34">
        <f>J34</f>
        <v>350</v>
      </c>
    </row>
    <row r="35" spans="1:11" x14ac:dyDescent="0.25">
      <c r="A35" t="s">
        <v>313</v>
      </c>
      <c r="B35" t="s">
        <v>31</v>
      </c>
      <c r="C35">
        <f>(C32+C34)*C14*0.0254/60</f>
        <v>39.643999999999998</v>
      </c>
      <c r="D35">
        <f t="shared" ref="D35:K35" si="21">(D32+D34)*D14*0.0254/60</f>
        <v>33.331699999999998</v>
      </c>
      <c r="E35">
        <f t="shared" si="21"/>
        <v>76.893600000000006</v>
      </c>
      <c r="F35">
        <f>(F32+F34)*F14*0.0254/60</f>
        <v>76.893600000000006</v>
      </c>
      <c r="G35">
        <f t="shared" si="21"/>
        <v>29.754000000000001</v>
      </c>
      <c r="H35">
        <f t="shared" si="21"/>
        <v>29.754000000000001</v>
      </c>
      <c r="I35">
        <f t="shared" si="21"/>
        <v>28.172466666666669</v>
      </c>
      <c r="J35">
        <f t="shared" si="21"/>
        <v>28.172466666666669</v>
      </c>
      <c r="K35">
        <f t="shared" si="21"/>
        <v>16.529999999999998</v>
      </c>
    </row>
  </sheetData>
  <conditionalFormatting sqref="C21">
    <cfRule type="cellIs" dxfId="13" priority="3" operator="lessThan">
      <formula>C$20</formula>
    </cfRule>
  </conditionalFormatting>
  <conditionalFormatting sqref="D21:J21">
    <cfRule type="cellIs" dxfId="12" priority="2" operator="lessThan">
      <formula>D$20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6F9891-DD87-4D26-8F4D-57C3DC3401DB}">
          <x14:formula1>
            <xm:f>'Tool Speeds'!$B$3:$B$26</xm:f>
          </x14:formula1>
          <xm:sqref>C9:J9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A2B-2EA7-4BBD-808D-AE86B1848693}">
  <dimension ref="A1:H7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</cols>
  <sheetData>
    <row r="1" spans="1:8" x14ac:dyDescent="0.25">
      <c r="B1" t="s">
        <v>299</v>
      </c>
      <c r="C1" t="s">
        <v>300</v>
      </c>
      <c r="D1" t="s">
        <v>301</v>
      </c>
      <c r="E1" t="s">
        <v>177</v>
      </c>
      <c r="F1" t="s">
        <v>178</v>
      </c>
      <c r="G1" t="s">
        <v>179</v>
      </c>
      <c r="H1" s="54" t="s">
        <v>308</v>
      </c>
    </row>
    <row r="2" spans="1:8" x14ac:dyDescent="0.25">
      <c r="A2" t="s">
        <v>269</v>
      </c>
      <c r="B2" t="s">
        <v>307</v>
      </c>
      <c r="C2" t="s">
        <v>306</v>
      </c>
      <c r="D2" t="s">
        <v>305</v>
      </c>
      <c r="E2" t="s">
        <v>303</v>
      </c>
      <c r="F2" t="s">
        <v>304</v>
      </c>
      <c r="G2" t="s">
        <v>31</v>
      </c>
    </row>
    <row r="3" spans="1:8" x14ac:dyDescent="0.25">
      <c r="A3" t="str">
        <f>$B$2&amp;" "&amp; B3</f>
        <v>NEMA 17</v>
      </c>
      <c r="B3">
        <v>17</v>
      </c>
      <c r="C3" t="s">
        <v>302</v>
      </c>
      <c r="D3">
        <v>48</v>
      </c>
      <c r="E3">
        <v>20</v>
      </c>
      <c r="F3">
        <v>29</v>
      </c>
      <c r="G3">
        <f>E3*2*PI()*F3*0.00706</f>
        <v>25.72838719583897</v>
      </c>
    </row>
    <row r="4" spans="1:8" x14ac:dyDescent="0.25">
      <c r="A4" t="str">
        <f>$B$2&amp;" "&amp; B4</f>
        <v>NEMA 23</v>
      </c>
      <c r="B4">
        <v>23</v>
      </c>
      <c r="C4" t="s">
        <v>309</v>
      </c>
      <c r="D4">
        <v>48</v>
      </c>
      <c r="E4">
        <v>20</v>
      </c>
      <c r="F4">
        <v>105</v>
      </c>
      <c r="G4">
        <f>E4*2*PI()*F4*0.00706</f>
        <v>93.154505364244542</v>
      </c>
    </row>
    <row r="5" spans="1:8" x14ac:dyDescent="0.25">
      <c r="A5" t="str">
        <f>$B$2&amp;" "&amp; B5</f>
        <v>NEMA 24</v>
      </c>
      <c r="B5">
        <v>24</v>
      </c>
      <c r="C5" t="s">
        <v>310</v>
      </c>
      <c r="D5">
        <v>48</v>
      </c>
      <c r="E5">
        <v>20</v>
      </c>
      <c r="F5">
        <v>120</v>
      </c>
      <c r="G5">
        <f>E5*2*PI()*F5*0.00706</f>
        <v>106.46229184485091</v>
      </c>
    </row>
    <row r="6" spans="1:8" x14ac:dyDescent="0.25">
      <c r="A6" t="str">
        <f>$B$2&amp;" "&amp; B6</f>
        <v>NEMA 34</v>
      </c>
      <c r="B6">
        <v>34</v>
      </c>
      <c r="C6" t="s">
        <v>311</v>
      </c>
      <c r="D6">
        <v>48</v>
      </c>
      <c r="E6">
        <v>20</v>
      </c>
      <c r="F6">
        <v>160</v>
      </c>
      <c r="G6">
        <f>E6*2*PI()*F6*0.00706</f>
        <v>141.94972245980122</v>
      </c>
    </row>
    <row r="7" spans="1:8" x14ac:dyDescent="0.25">
      <c r="A7" t="str">
        <f>$B$2&amp;" "&amp; B7</f>
        <v>NEMA 34</v>
      </c>
      <c r="B7">
        <v>34</v>
      </c>
      <c r="C7" t="s">
        <v>312</v>
      </c>
      <c r="D7">
        <v>48</v>
      </c>
      <c r="E7">
        <v>20</v>
      </c>
      <c r="F7">
        <v>200</v>
      </c>
      <c r="G7">
        <f>E7*2*PI()*F7*0.00706</f>
        <v>177.43715307475151</v>
      </c>
    </row>
  </sheetData>
  <hyperlinks>
    <hyperlink ref="H1" r:id="rId1" xr:uid="{B0B85031-D62B-4085-BD1B-02C52FAC5832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1F85-6DB0-43E1-9381-69034BCD22E9}">
  <dimension ref="A1:G17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.28515625" bestFit="1" customWidth="1"/>
    <col min="4" max="4" width="12.7109375" bestFit="1" customWidth="1"/>
    <col min="5" max="5" width="12.140625" bestFit="1" customWidth="1"/>
    <col min="6" max="6" width="12.7109375" bestFit="1" customWidth="1"/>
  </cols>
  <sheetData>
    <row r="1" spans="1:7" x14ac:dyDescent="0.25">
      <c r="A1" t="s">
        <v>180</v>
      </c>
      <c r="B1" t="s">
        <v>328</v>
      </c>
      <c r="C1" t="s">
        <v>329</v>
      </c>
      <c r="D1" t="s">
        <v>326</v>
      </c>
      <c r="E1" t="s">
        <v>327</v>
      </c>
      <c r="F1" t="s">
        <v>330</v>
      </c>
      <c r="G1" t="s">
        <v>331</v>
      </c>
    </row>
    <row r="2" spans="1:7" x14ac:dyDescent="0.25">
      <c r="A2">
        <v>75</v>
      </c>
      <c r="B2">
        <v>850</v>
      </c>
      <c r="C2">
        <f>1.047*A2*B2/1000</f>
        <v>66.746250000000003</v>
      </c>
      <c r="D2">
        <f>MIN(B2,$B$2*0.75)</f>
        <v>637.5</v>
      </c>
      <c r="E2">
        <f>1.047*A2*D2/1000</f>
        <v>50.059687499999995</v>
      </c>
      <c r="F2">
        <f>MIN(B2,$B$2*0.5)</f>
        <v>425</v>
      </c>
      <c r="G2">
        <f>1.047*A2*F2/1000</f>
        <v>33.373125000000002</v>
      </c>
    </row>
    <row r="3" spans="1:7" x14ac:dyDescent="0.25">
      <c r="A3">
        <v>150</v>
      </c>
      <c r="B3">
        <v>725</v>
      </c>
      <c r="C3">
        <f t="shared" ref="C3:C17" si="0">1.047*A3*B3/1000</f>
        <v>113.86124999999998</v>
      </c>
      <c r="D3">
        <f t="shared" ref="D3:D17" si="1">MIN(B3,$B$2*0.75)</f>
        <v>637.5</v>
      </c>
      <c r="E3">
        <f t="shared" ref="E3:E17" si="2">1.047*A3*D3/1000</f>
        <v>100.11937499999999</v>
      </c>
      <c r="F3">
        <f t="shared" ref="F3:F17" si="3">MIN(B3,$B$2*0.5)</f>
        <v>425</v>
      </c>
      <c r="G3">
        <f t="shared" ref="G3:G17" si="4">1.047*A3*F3/1000</f>
        <v>66.746250000000003</v>
      </c>
    </row>
    <row r="4" spans="1:7" x14ac:dyDescent="0.25">
      <c r="A4">
        <v>225</v>
      </c>
      <c r="B4">
        <v>550</v>
      </c>
      <c r="C4">
        <f t="shared" si="0"/>
        <v>129.56625</v>
      </c>
      <c r="D4">
        <f t="shared" si="1"/>
        <v>550</v>
      </c>
      <c r="E4">
        <f t="shared" si="2"/>
        <v>129.56625</v>
      </c>
      <c r="F4">
        <f t="shared" si="3"/>
        <v>425</v>
      </c>
      <c r="G4">
        <f t="shared" si="4"/>
        <v>100.11937500000001</v>
      </c>
    </row>
    <row r="5" spans="1:7" x14ac:dyDescent="0.25">
      <c r="A5">
        <v>300</v>
      </c>
      <c r="B5">
        <v>450</v>
      </c>
      <c r="C5">
        <f t="shared" si="0"/>
        <v>141.34499999999997</v>
      </c>
      <c r="D5">
        <f t="shared" si="1"/>
        <v>450</v>
      </c>
      <c r="E5">
        <f t="shared" si="2"/>
        <v>141.34499999999997</v>
      </c>
      <c r="F5">
        <f t="shared" si="3"/>
        <v>425</v>
      </c>
      <c r="G5">
        <f t="shared" si="4"/>
        <v>133.49250000000001</v>
      </c>
    </row>
    <row r="6" spans="1:7" x14ac:dyDescent="0.25">
      <c r="A6">
        <v>375</v>
      </c>
      <c r="B6">
        <v>350</v>
      </c>
      <c r="C6">
        <f t="shared" si="0"/>
        <v>137.41874999999999</v>
      </c>
      <c r="D6">
        <f t="shared" si="1"/>
        <v>350</v>
      </c>
      <c r="E6">
        <f t="shared" si="2"/>
        <v>137.41874999999999</v>
      </c>
      <c r="F6">
        <f t="shared" si="3"/>
        <v>350</v>
      </c>
      <c r="G6">
        <f t="shared" si="4"/>
        <v>137.41874999999999</v>
      </c>
    </row>
    <row r="7" spans="1:7" x14ac:dyDescent="0.25">
      <c r="A7">
        <v>450</v>
      </c>
      <c r="B7">
        <v>300</v>
      </c>
      <c r="C7">
        <f t="shared" si="0"/>
        <v>141.345</v>
      </c>
      <c r="D7">
        <f t="shared" si="1"/>
        <v>300</v>
      </c>
      <c r="E7">
        <f t="shared" si="2"/>
        <v>141.345</v>
      </c>
      <c r="F7">
        <f t="shared" si="3"/>
        <v>300</v>
      </c>
      <c r="G7">
        <f t="shared" si="4"/>
        <v>141.345</v>
      </c>
    </row>
    <row r="8" spans="1:7" x14ac:dyDescent="0.25">
      <c r="A8">
        <v>525</v>
      </c>
      <c r="B8">
        <v>250</v>
      </c>
      <c r="C8">
        <f t="shared" si="0"/>
        <v>137.41874999999999</v>
      </c>
      <c r="D8">
        <f t="shared" si="1"/>
        <v>250</v>
      </c>
      <c r="E8">
        <f t="shared" si="2"/>
        <v>137.41874999999999</v>
      </c>
      <c r="F8">
        <f t="shared" si="3"/>
        <v>250</v>
      </c>
      <c r="G8">
        <f t="shared" si="4"/>
        <v>137.41874999999999</v>
      </c>
    </row>
    <row r="9" spans="1:7" x14ac:dyDescent="0.25">
      <c r="A9">
        <v>600</v>
      </c>
      <c r="B9">
        <v>210</v>
      </c>
      <c r="C9">
        <f t="shared" si="0"/>
        <v>131.922</v>
      </c>
      <c r="D9">
        <f t="shared" si="1"/>
        <v>210</v>
      </c>
      <c r="E9">
        <f t="shared" si="2"/>
        <v>131.922</v>
      </c>
      <c r="F9">
        <f t="shared" si="3"/>
        <v>210</v>
      </c>
      <c r="G9">
        <f t="shared" si="4"/>
        <v>131.922</v>
      </c>
    </row>
    <row r="10" spans="1:7" x14ac:dyDescent="0.25">
      <c r="A10">
        <v>675</v>
      </c>
      <c r="B10">
        <v>190</v>
      </c>
      <c r="C10">
        <f t="shared" si="0"/>
        <v>134.27774999999997</v>
      </c>
      <c r="D10">
        <f t="shared" si="1"/>
        <v>190</v>
      </c>
      <c r="E10">
        <f t="shared" si="2"/>
        <v>134.27774999999997</v>
      </c>
      <c r="F10">
        <f t="shared" si="3"/>
        <v>190</v>
      </c>
      <c r="G10">
        <f t="shared" si="4"/>
        <v>134.27774999999997</v>
      </c>
    </row>
    <row r="11" spans="1:7" x14ac:dyDescent="0.25">
      <c r="A11">
        <v>750</v>
      </c>
      <c r="B11">
        <v>180</v>
      </c>
      <c r="C11">
        <f t="shared" si="0"/>
        <v>141.345</v>
      </c>
      <c r="D11">
        <f t="shared" si="1"/>
        <v>180</v>
      </c>
      <c r="E11">
        <f t="shared" si="2"/>
        <v>141.345</v>
      </c>
      <c r="F11">
        <f t="shared" si="3"/>
        <v>180</v>
      </c>
      <c r="G11">
        <f t="shared" si="4"/>
        <v>141.345</v>
      </c>
    </row>
    <row r="12" spans="1:7" x14ac:dyDescent="0.25">
      <c r="A12">
        <v>825</v>
      </c>
      <c r="B12">
        <v>170</v>
      </c>
      <c r="C12">
        <f t="shared" si="0"/>
        <v>146.84174999999999</v>
      </c>
      <c r="D12">
        <f t="shared" si="1"/>
        <v>170</v>
      </c>
      <c r="E12">
        <f t="shared" si="2"/>
        <v>146.84174999999999</v>
      </c>
      <c r="F12">
        <f t="shared" si="3"/>
        <v>170</v>
      </c>
      <c r="G12">
        <f t="shared" si="4"/>
        <v>146.84174999999999</v>
      </c>
    </row>
    <row r="13" spans="1:7" x14ac:dyDescent="0.25">
      <c r="A13">
        <v>900</v>
      </c>
      <c r="B13">
        <v>150</v>
      </c>
      <c r="C13">
        <f t="shared" si="0"/>
        <v>141.345</v>
      </c>
      <c r="D13">
        <f t="shared" si="1"/>
        <v>150</v>
      </c>
      <c r="E13">
        <f t="shared" si="2"/>
        <v>141.345</v>
      </c>
      <c r="F13">
        <f t="shared" si="3"/>
        <v>150</v>
      </c>
      <c r="G13">
        <f t="shared" si="4"/>
        <v>141.345</v>
      </c>
    </row>
    <row r="14" spans="1:7" x14ac:dyDescent="0.25">
      <c r="A14">
        <v>975</v>
      </c>
      <c r="B14">
        <v>140</v>
      </c>
      <c r="C14">
        <f t="shared" si="0"/>
        <v>142.91550000000001</v>
      </c>
      <c r="D14">
        <f t="shared" si="1"/>
        <v>140</v>
      </c>
      <c r="E14">
        <f t="shared" si="2"/>
        <v>142.91550000000001</v>
      </c>
      <c r="F14">
        <f t="shared" si="3"/>
        <v>140</v>
      </c>
      <c r="G14">
        <f t="shared" si="4"/>
        <v>142.91550000000001</v>
      </c>
    </row>
    <row r="15" spans="1:7" x14ac:dyDescent="0.25">
      <c r="A15">
        <v>1050</v>
      </c>
      <c r="B15">
        <v>130</v>
      </c>
      <c r="C15">
        <f t="shared" si="0"/>
        <v>142.91550000000001</v>
      </c>
      <c r="D15">
        <f t="shared" si="1"/>
        <v>130</v>
      </c>
      <c r="E15">
        <f t="shared" si="2"/>
        <v>142.91550000000001</v>
      </c>
      <c r="F15">
        <f t="shared" si="3"/>
        <v>130</v>
      </c>
      <c r="G15">
        <f t="shared" si="4"/>
        <v>142.91550000000001</v>
      </c>
    </row>
    <row r="16" spans="1:7" x14ac:dyDescent="0.25">
      <c r="A16">
        <v>1125</v>
      </c>
      <c r="B16">
        <v>120</v>
      </c>
      <c r="C16">
        <f t="shared" si="0"/>
        <v>141.345</v>
      </c>
      <c r="D16">
        <f t="shared" si="1"/>
        <v>120</v>
      </c>
      <c r="E16">
        <f t="shared" si="2"/>
        <v>141.345</v>
      </c>
      <c r="F16">
        <f t="shared" si="3"/>
        <v>120</v>
      </c>
      <c r="G16">
        <f t="shared" si="4"/>
        <v>141.345</v>
      </c>
    </row>
    <row r="17" spans="1:7" x14ac:dyDescent="0.25">
      <c r="A17">
        <v>1200</v>
      </c>
      <c r="B17">
        <v>110</v>
      </c>
      <c r="C17">
        <f t="shared" si="0"/>
        <v>138.20399999999998</v>
      </c>
      <c r="D17">
        <f t="shared" si="1"/>
        <v>110</v>
      </c>
      <c r="E17">
        <f t="shared" si="2"/>
        <v>138.20399999999998</v>
      </c>
      <c r="F17">
        <f t="shared" si="3"/>
        <v>110</v>
      </c>
      <c r="G17">
        <f t="shared" si="4"/>
        <v>138.20399999999998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865-C9EC-4459-9E26-927E12E44C48}">
  <dimension ref="A1:E17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t="s">
        <v>177</v>
      </c>
      <c r="B1" t="s">
        <v>177</v>
      </c>
      <c r="C1" t="s">
        <v>178</v>
      </c>
      <c r="D1" t="s">
        <v>178</v>
      </c>
      <c r="E1" t="s">
        <v>179</v>
      </c>
    </row>
    <row r="2" spans="1:5" x14ac:dyDescent="0.25">
      <c r="A2" t="s">
        <v>315</v>
      </c>
      <c r="B2" t="s">
        <v>5</v>
      </c>
      <c r="C2" t="s">
        <v>304</v>
      </c>
      <c r="D2" t="s">
        <v>316</v>
      </c>
      <c r="E2" t="s">
        <v>317</v>
      </c>
    </row>
    <row r="3" spans="1:5" x14ac:dyDescent="0.25">
      <c r="A3">
        <f>B3/60</f>
        <v>1.6666666666666667</v>
      </c>
      <c r="B3">
        <v>100</v>
      </c>
      <c r="C3">
        <f>D3/0.706</f>
        <v>283.28611898016999</v>
      </c>
      <c r="D3">
        <v>200</v>
      </c>
      <c r="E3">
        <f>1.047*B3*D3/1000</f>
        <v>20.939999999999998</v>
      </c>
    </row>
    <row r="4" spans="1:5" x14ac:dyDescent="0.25">
      <c r="A4">
        <f t="shared" ref="A4:A17" si="0">B4/60</f>
        <v>3.3333333333333335</v>
      </c>
      <c r="B4">
        <v>200</v>
      </c>
      <c r="C4">
        <f t="shared" ref="C4:C17" si="1">D4/0.706</f>
        <v>262.03966005665723</v>
      </c>
      <c r="D4">
        <v>185</v>
      </c>
    </row>
    <row r="5" spans="1:5" x14ac:dyDescent="0.25">
      <c r="A5">
        <f t="shared" si="0"/>
        <v>5</v>
      </c>
      <c r="B5">
        <v>300</v>
      </c>
      <c r="C5">
        <f t="shared" si="1"/>
        <v>247.87535410764875</v>
      </c>
      <c r="D5">
        <v>175</v>
      </c>
    </row>
    <row r="6" spans="1:5" x14ac:dyDescent="0.25">
      <c r="A6">
        <f t="shared" si="0"/>
        <v>6.666666666666667</v>
      </c>
      <c r="B6">
        <v>400</v>
      </c>
      <c r="C6">
        <f t="shared" si="1"/>
        <v>233.71104815864024</v>
      </c>
      <c r="D6">
        <v>165</v>
      </c>
    </row>
    <row r="7" spans="1:5" x14ac:dyDescent="0.25">
      <c r="A7">
        <f t="shared" si="0"/>
        <v>8.3333333333333339</v>
      </c>
      <c r="B7">
        <v>500</v>
      </c>
      <c r="C7">
        <f t="shared" si="1"/>
        <v>219.54674220963173</v>
      </c>
      <c r="D7">
        <v>155</v>
      </c>
    </row>
    <row r="8" spans="1:5" x14ac:dyDescent="0.25">
      <c r="A8">
        <f t="shared" si="0"/>
        <v>10</v>
      </c>
      <c r="B8">
        <v>600</v>
      </c>
      <c r="C8">
        <f t="shared" si="1"/>
        <v>205.38243626062325</v>
      </c>
      <c r="D8">
        <v>145</v>
      </c>
    </row>
    <row r="9" spans="1:5" x14ac:dyDescent="0.25">
      <c r="A9">
        <f t="shared" si="0"/>
        <v>11.666666666666666</v>
      </c>
      <c r="B9">
        <v>700</v>
      </c>
      <c r="C9">
        <f t="shared" si="1"/>
        <v>191.21813031161474</v>
      </c>
      <c r="D9">
        <v>135</v>
      </c>
    </row>
    <row r="10" spans="1:5" x14ac:dyDescent="0.25">
      <c r="A10">
        <f t="shared" si="0"/>
        <v>13.333333333333334</v>
      </c>
      <c r="B10">
        <v>800</v>
      </c>
      <c r="C10">
        <f t="shared" si="1"/>
        <v>177.05382436260624</v>
      </c>
      <c r="D10">
        <v>125</v>
      </c>
    </row>
    <row r="11" spans="1:5" x14ac:dyDescent="0.25">
      <c r="A11">
        <f t="shared" si="0"/>
        <v>15</v>
      </c>
      <c r="B11">
        <v>900</v>
      </c>
      <c r="C11">
        <f t="shared" si="1"/>
        <v>162.88951841359776</v>
      </c>
      <c r="D11">
        <v>115</v>
      </c>
    </row>
    <row r="12" spans="1:5" x14ac:dyDescent="0.25">
      <c r="A12">
        <f t="shared" si="0"/>
        <v>16.666666666666668</v>
      </c>
      <c r="B12">
        <v>1000</v>
      </c>
      <c r="C12">
        <f t="shared" si="1"/>
        <v>148.72521246458925</v>
      </c>
      <c r="D12">
        <v>105</v>
      </c>
    </row>
    <row r="13" spans="1:5" x14ac:dyDescent="0.25">
      <c r="A13">
        <f t="shared" si="0"/>
        <v>18.333333333333332</v>
      </c>
      <c r="B13">
        <v>1100</v>
      </c>
      <c r="C13">
        <f t="shared" si="1"/>
        <v>134.56090651558074</v>
      </c>
      <c r="D13">
        <v>95</v>
      </c>
    </row>
    <row r="14" spans="1:5" x14ac:dyDescent="0.25">
      <c r="A14">
        <f t="shared" si="0"/>
        <v>20</v>
      </c>
      <c r="B14">
        <v>1200</v>
      </c>
      <c r="C14">
        <f t="shared" si="1"/>
        <v>127.4787535410765</v>
      </c>
      <c r="D14">
        <v>90</v>
      </c>
    </row>
    <row r="15" spans="1:5" x14ac:dyDescent="0.25">
      <c r="A15">
        <f t="shared" si="0"/>
        <v>21.666666666666668</v>
      </c>
      <c r="B15">
        <v>1300</v>
      </c>
      <c r="C15">
        <f t="shared" si="1"/>
        <v>120.39660056657225</v>
      </c>
      <c r="D15">
        <v>85</v>
      </c>
    </row>
    <row r="16" spans="1:5" x14ac:dyDescent="0.25">
      <c r="A16">
        <f t="shared" si="0"/>
        <v>23.333333333333332</v>
      </c>
      <c r="B16">
        <v>1400</v>
      </c>
      <c r="C16">
        <f t="shared" si="1"/>
        <v>113.31444759206799</v>
      </c>
      <c r="D16">
        <v>80</v>
      </c>
    </row>
    <row r="17" spans="1:4" x14ac:dyDescent="0.25">
      <c r="A17">
        <f t="shared" si="0"/>
        <v>25</v>
      </c>
      <c r="B17">
        <v>1500</v>
      </c>
      <c r="C17">
        <f t="shared" si="1"/>
        <v>106.23229461756374</v>
      </c>
      <c r="D17">
        <v>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52F-9223-463A-A356-AB6813536434}">
  <dimension ref="A1:L79"/>
  <sheetViews>
    <sheetView zoomScaleNormal="100" workbookViewId="0">
      <selection activeCell="E31" sqref="E31"/>
    </sheetView>
  </sheetViews>
  <sheetFormatPr defaultRowHeight="15" outlineLevelRow="1" x14ac:dyDescent="0.25"/>
  <cols>
    <col min="1" max="1" width="38.5703125" bestFit="1" customWidth="1"/>
    <col min="2" max="2" width="7.85546875" customWidth="1"/>
    <col min="3" max="3" width="12" bestFit="1" customWidth="1"/>
  </cols>
  <sheetData>
    <row r="1" spans="1:5" x14ac:dyDescent="0.25">
      <c r="A1" t="s">
        <v>181</v>
      </c>
      <c r="C1" t="s">
        <v>182</v>
      </c>
      <c r="D1" t="s">
        <v>184</v>
      </c>
      <c r="E1" t="s">
        <v>183</v>
      </c>
    </row>
    <row r="2" spans="1:5" x14ac:dyDescent="0.25">
      <c r="A2" t="s">
        <v>185</v>
      </c>
      <c r="B2" t="s">
        <v>61</v>
      </c>
      <c r="C2" s="6">
        <v>15</v>
      </c>
      <c r="D2" s="6">
        <v>65</v>
      </c>
      <c r="E2" s="6">
        <v>20</v>
      </c>
    </row>
    <row r="3" spans="1:5" x14ac:dyDescent="0.25">
      <c r="A3" t="s">
        <v>188</v>
      </c>
      <c r="B3" t="s">
        <v>61</v>
      </c>
      <c r="C3">
        <f>C2+E3</f>
        <v>35</v>
      </c>
      <c r="D3">
        <f>D2+C3</f>
        <v>100</v>
      </c>
      <c r="E3">
        <f>E2</f>
        <v>20</v>
      </c>
    </row>
    <row r="4" spans="1:5" x14ac:dyDescent="0.25">
      <c r="A4" t="s">
        <v>186</v>
      </c>
      <c r="B4" t="s">
        <v>79</v>
      </c>
      <c r="C4" s="6">
        <v>10</v>
      </c>
      <c r="D4" s="6">
        <v>10</v>
      </c>
      <c r="E4" s="6">
        <v>20</v>
      </c>
    </row>
    <row r="5" spans="1:5" x14ac:dyDescent="0.25">
      <c r="A5" t="s">
        <v>187</v>
      </c>
      <c r="B5" t="s">
        <v>19</v>
      </c>
      <c r="C5">
        <f>C3*C4</f>
        <v>350</v>
      </c>
      <c r="D5">
        <f>D3*D4</f>
        <v>1000</v>
      </c>
      <c r="E5">
        <f>E3*E4</f>
        <v>400</v>
      </c>
    </row>
    <row r="6" spans="1:5" x14ac:dyDescent="0.25">
      <c r="A6" s="47" t="s">
        <v>189</v>
      </c>
      <c r="B6" t="s">
        <v>190</v>
      </c>
      <c r="C6">
        <f>'Cutting Cases'!$F$14</f>
        <v>302.39999999999998</v>
      </c>
      <c r="D6">
        <f>'Cutting Cases'!$F$14</f>
        <v>302.39999999999998</v>
      </c>
      <c r="E6">
        <v>60</v>
      </c>
    </row>
    <row r="7" spans="1:5" outlineLevel="1" x14ac:dyDescent="0.25">
      <c r="A7" t="s">
        <v>192</v>
      </c>
      <c r="B7" t="s">
        <v>19</v>
      </c>
      <c r="C7">
        <f>'Cutting Cases'!$F$32</f>
        <v>250.65616797900267</v>
      </c>
      <c r="D7">
        <f>'Cutting Cases'!$F$32</f>
        <v>250.65616797900267</v>
      </c>
      <c r="E7">
        <f>'Cutting Cases'!$F$32</f>
        <v>250.65616797900267</v>
      </c>
    </row>
    <row r="8" spans="1:5" outlineLevel="1" x14ac:dyDescent="0.25">
      <c r="A8" t="s">
        <v>194</v>
      </c>
      <c r="B8" t="s">
        <v>31</v>
      </c>
      <c r="C8">
        <f>(C$5+C7)*C6*25.4/60/1000</f>
        <v>76.893600000000006</v>
      </c>
      <c r="D8">
        <f>(D$5+D7)*D6*25.4/60/1000</f>
        <v>160.10400000000001</v>
      </c>
      <c r="E8">
        <f>(E$5+E7)*E6*25.4/60/1000</f>
        <v>16.526666666666667</v>
      </c>
    </row>
    <row r="9" spans="1:5" x14ac:dyDescent="0.25">
      <c r="A9" s="47" t="s">
        <v>191</v>
      </c>
      <c r="B9" t="s">
        <v>190</v>
      </c>
      <c r="C9">
        <f>'Cutting Cases'!$H$14</f>
        <v>108</v>
      </c>
      <c r="D9">
        <f>'Cutting Cases'!$H$14</f>
        <v>108</v>
      </c>
      <c r="E9">
        <v>60</v>
      </c>
    </row>
    <row r="10" spans="1:5" outlineLevel="1" x14ac:dyDescent="0.25">
      <c r="A10" t="s">
        <v>193</v>
      </c>
      <c r="B10" t="s">
        <v>19</v>
      </c>
      <c r="C10">
        <f>'Cutting Cases'!$H$32</f>
        <v>300.78740157480314</v>
      </c>
      <c r="D10">
        <f>'Cutting Cases'!$H$32</f>
        <v>300.78740157480314</v>
      </c>
      <c r="E10">
        <f>'Cutting Cases'!$H$32</f>
        <v>300.78740157480314</v>
      </c>
    </row>
    <row r="11" spans="1:5" outlineLevel="1" x14ac:dyDescent="0.25">
      <c r="A11" t="s">
        <v>195</v>
      </c>
      <c r="B11" t="s">
        <v>31</v>
      </c>
      <c r="C11">
        <f>(C$5+C10)*C9*25.4/60/1000</f>
        <v>29.753999999999998</v>
      </c>
      <c r="D11">
        <f>(D$5+D10)*D9*25.4/60/1000</f>
        <v>59.472000000000001</v>
      </c>
      <c r="E11">
        <f>(E$5+E10)*E9*25.4/60/1000</f>
        <v>17.8</v>
      </c>
    </row>
    <row r="12" spans="1:5" outlineLevel="1" x14ac:dyDescent="0.25">
      <c r="A12" t="s">
        <v>196</v>
      </c>
      <c r="B12" t="s">
        <v>31</v>
      </c>
      <c r="C12">
        <f>MAX(C11,C8)</f>
        <v>76.893600000000006</v>
      </c>
      <c r="D12">
        <f>MAX(D11,D8)</f>
        <v>160.10400000000001</v>
      </c>
      <c r="E12">
        <f>MAX(E11,E8)</f>
        <v>17.8</v>
      </c>
    </row>
    <row r="13" spans="1:5" x14ac:dyDescent="0.25">
      <c r="A13" s="47" t="s">
        <v>197</v>
      </c>
      <c r="B13" t="s">
        <v>190</v>
      </c>
      <c r="C13">
        <f>MAX(C6,C9)</f>
        <v>302.39999999999998</v>
      </c>
      <c r="D13">
        <f>MAX(D6,D9)</f>
        <v>302.39999999999998</v>
      </c>
      <c r="E13">
        <f>MAX(E6,E9)</f>
        <v>60</v>
      </c>
    </row>
    <row r="14" spans="1:5" outlineLevel="1" x14ac:dyDescent="0.25">
      <c r="A14" t="s">
        <v>173</v>
      </c>
      <c r="B14" t="s">
        <v>5</v>
      </c>
      <c r="C14">
        <v>1500</v>
      </c>
      <c r="D14">
        <v>1500</v>
      </c>
      <c r="E14">
        <v>2000</v>
      </c>
    </row>
    <row r="15" spans="1:5" outlineLevel="1" x14ac:dyDescent="0.25">
      <c r="A15" t="s">
        <v>318</v>
      </c>
      <c r="B15" t="s">
        <v>5</v>
      </c>
      <c r="C15">
        <v>300</v>
      </c>
      <c r="D15">
        <v>300</v>
      </c>
      <c r="E15">
        <v>250</v>
      </c>
    </row>
    <row r="16" spans="1:5" outlineLevel="1" x14ac:dyDescent="0.25">
      <c r="A16" t="s">
        <v>319</v>
      </c>
      <c r="B16" t="s">
        <v>3</v>
      </c>
      <c r="C16" s="2">
        <f>25.4*C13/C15</f>
        <v>25.603199999999998</v>
      </c>
      <c r="D16" s="2">
        <f>25.4*D13/D15</f>
        <v>25.603199999999998</v>
      </c>
      <c r="E16" s="2">
        <f>25.4*E13/E15</f>
        <v>6.0960000000000001</v>
      </c>
    </row>
    <row r="17" spans="1:5" outlineLevel="1" x14ac:dyDescent="0.25">
      <c r="A17" t="s">
        <v>198</v>
      </c>
      <c r="B17" t="s">
        <v>3</v>
      </c>
      <c r="C17" s="2">
        <f>C13/(C14)*25.4</f>
        <v>5.120639999999999</v>
      </c>
      <c r="D17" s="2">
        <f>D13/(D14)*25.4</f>
        <v>5.120639999999999</v>
      </c>
      <c r="E17" s="2">
        <f>E13/(E14)*25.4</f>
        <v>0.7619999999999999</v>
      </c>
    </row>
    <row r="18" spans="1:5" x14ac:dyDescent="0.25">
      <c r="A18" s="47" t="s">
        <v>199</v>
      </c>
      <c r="B18" t="s">
        <v>3</v>
      </c>
      <c r="C18" s="6">
        <v>10</v>
      </c>
      <c r="D18" s="6">
        <v>10</v>
      </c>
      <c r="E18" s="6">
        <v>4</v>
      </c>
    </row>
    <row r="19" spans="1:5" outlineLevel="1" x14ac:dyDescent="0.25">
      <c r="A19" t="s">
        <v>189</v>
      </c>
      <c r="B19" t="s">
        <v>5</v>
      </c>
      <c r="C19">
        <f>C6*25.4/C18</f>
        <v>768.09599999999989</v>
      </c>
      <c r="D19">
        <f>D6*25.4/D18</f>
        <v>768.09599999999989</v>
      </c>
      <c r="E19">
        <f>E6*25.4/E18</f>
        <v>381</v>
      </c>
    </row>
    <row r="20" spans="1:5" outlineLevel="1" x14ac:dyDescent="0.25">
      <c r="A20" t="s">
        <v>191</v>
      </c>
      <c r="B20" t="s">
        <v>5</v>
      </c>
      <c r="C20">
        <f>C9*25.4/C18</f>
        <v>274.32</v>
      </c>
      <c r="D20">
        <f>D9*25.4/D18</f>
        <v>274.32</v>
      </c>
      <c r="E20">
        <f>E9*25.4/E18</f>
        <v>381</v>
      </c>
    </row>
    <row r="21" spans="1:5" outlineLevel="1" x14ac:dyDescent="0.25">
      <c r="A21" t="s">
        <v>200</v>
      </c>
      <c r="B21" t="s">
        <v>4</v>
      </c>
      <c r="C21" s="1">
        <f>(C7+C5)*C18/2/PI()/1000</f>
        <v>0.95597398232494102</v>
      </c>
      <c r="D21" s="1">
        <f>(D7+D5)*D18/2/PI()/1000</f>
        <v>1.9904811124222608</v>
      </c>
      <c r="E21" s="1">
        <f>(E7+E5)*E18/2/PI()/1000</f>
        <v>0.4142205815483555</v>
      </c>
    </row>
    <row r="22" spans="1:5" outlineLevel="1" x14ac:dyDescent="0.25">
      <c r="A22" t="s">
        <v>201</v>
      </c>
      <c r="B22" t="s">
        <v>4</v>
      </c>
      <c r="C22" s="1">
        <f>(C10+C5)*C18/2/PI()/1000</f>
        <v>1.0357603186256024</v>
      </c>
      <c r="D22" s="1">
        <f>(D10+D5)*D18/2/PI()/1000</f>
        <v>2.0702674487229218</v>
      </c>
      <c r="E22" s="1">
        <f>(E10+E5)*E18/2/PI()/1000</f>
        <v>0.44613511606862005</v>
      </c>
    </row>
    <row r="23" spans="1:5" outlineLevel="1" x14ac:dyDescent="0.25">
      <c r="A23" t="s">
        <v>202</v>
      </c>
      <c r="B23" t="s">
        <v>32</v>
      </c>
      <c r="C23" s="11">
        <v>2</v>
      </c>
      <c r="D23" s="5">
        <f>C23</f>
        <v>2</v>
      </c>
      <c r="E23" s="5">
        <f>D23</f>
        <v>2</v>
      </c>
    </row>
    <row r="24" spans="1:5" outlineLevel="1" x14ac:dyDescent="0.25">
      <c r="A24" t="s">
        <v>203</v>
      </c>
      <c r="B24" t="s">
        <v>4</v>
      </c>
      <c r="C24">
        <f t="shared" ref="C24:E25" si="0">C21*C$23</f>
        <v>1.911947964649882</v>
      </c>
      <c r="D24">
        <f t="shared" si="0"/>
        <v>3.9809622248445216</v>
      </c>
      <c r="E24">
        <f t="shared" si="0"/>
        <v>0.82844116309671101</v>
      </c>
    </row>
    <row r="25" spans="1:5" outlineLevel="1" x14ac:dyDescent="0.25">
      <c r="A25" t="s">
        <v>204</v>
      </c>
      <c r="B25" t="s">
        <v>4</v>
      </c>
      <c r="C25">
        <f>C22*C$23</f>
        <v>2.0715206372512047</v>
      </c>
      <c r="D25">
        <f>D22*D$23</f>
        <v>4.1405348974458436</v>
      </c>
      <c r="E25">
        <f t="shared" si="0"/>
        <v>0.8922702321372401</v>
      </c>
    </row>
    <row r="26" spans="1:5" outlineLevel="1" x14ac:dyDescent="0.25">
      <c r="A26" s="47" t="s">
        <v>207</v>
      </c>
      <c r="B26" t="s">
        <v>26</v>
      </c>
      <c r="C26" s="6">
        <v>1</v>
      </c>
      <c r="D26" s="6">
        <v>2</v>
      </c>
      <c r="E26" s="6">
        <v>1</v>
      </c>
    </row>
    <row r="27" spans="1:5" outlineLevel="1" x14ac:dyDescent="0.25">
      <c r="A27" s="48" t="s">
        <v>219</v>
      </c>
      <c r="B27" t="s">
        <v>26</v>
      </c>
      <c r="C27">
        <f>MAX(C26,1)</f>
        <v>1</v>
      </c>
      <c r="D27">
        <f>MAX(D26,1)</f>
        <v>2</v>
      </c>
      <c r="E27">
        <f>MAX(E26,1)</f>
        <v>1</v>
      </c>
    </row>
    <row r="28" spans="1:5" outlineLevel="1" x14ac:dyDescent="0.25">
      <c r="A28" t="s">
        <v>205</v>
      </c>
      <c r="B28" t="s">
        <v>4</v>
      </c>
      <c r="C28" s="2" cm="1">
        <f t="array" ref="C28">INDEX('NEMA34 Power'!$B$2:$B$23,MATCH('Axis Sizing'!C19,'NEMA34 Power'!$A$2:$A$23,1)+1)/100*C$26</f>
        <v>1.7</v>
      </c>
      <c r="D28" s="2" cm="1">
        <f t="array" ref="D28">INDEX('NEMA34 Power'!$B$2:$B$23,MATCH('Axis Sizing'!D19,'NEMA34 Power'!$A$2:$A$23,1)+1)/100*D$26</f>
        <v>3.4</v>
      </c>
      <c r="E28" s="2" cm="1">
        <f t="array" ref="E28">INDEX('NEMA23 Power'!$D$2:$D$23,MATCH('Axis Sizing'!E19,'NEMA23 Power'!$B$2:$B$23,1)+1)/100*E$26</f>
        <v>1.65</v>
      </c>
    </row>
    <row r="29" spans="1:5" outlineLevel="1" x14ac:dyDescent="0.25">
      <c r="A29" t="s">
        <v>206</v>
      </c>
      <c r="B29" t="s">
        <v>4</v>
      </c>
      <c r="C29" cm="1">
        <f t="array" ref="C29">INDEX('NEMA34 Power'!$B$2:$B$23,MATCH('Axis Sizing'!C20,'NEMA34 Power'!$A$2:$A$23,1)+1)/100*C$26</f>
        <v>4.5</v>
      </c>
      <c r="D29" cm="1">
        <f t="array" ref="D29">INDEX('NEMA34 Power'!$B$2:$B$23,MATCH('Axis Sizing'!D20,'NEMA34 Power'!$A$2:$A$23,1)+1)/100*D$26</f>
        <v>9</v>
      </c>
      <c r="E29" s="2" cm="1">
        <f t="array" ref="E29">INDEX('NEMA23 Power'!$D$2:$D$23,MATCH('Axis Sizing'!E20,'NEMA23 Power'!$B$2:$B$23,1)+1)/100*E$26</f>
        <v>1.65</v>
      </c>
    </row>
    <row r="30" spans="1:5" x14ac:dyDescent="0.25">
      <c r="A30" s="47" t="s">
        <v>208</v>
      </c>
      <c r="B30" t="s">
        <v>32</v>
      </c>
      <c r="C30" s="55">
        <f>(C28-C24)/C24</f>
        <v>-0.11085446286645893</v>
      </c>
      <c r="D30" s="55">
        <f>(D28-D24)/D24</f>
        <v>-0.14593512624129745</v>
      </c>
      <c r="E30" s="55">
        <f t="shared" ref="C30:E31" si="1">(E28-E24)/E24</f>
        <v>0.99169243815976504</v>
      </c>
    </row>
    <row r="31" spans="1:5" x14ac:dyDescent="0.25">
      <c r="A31" s="47" t="s">
        <v>209</v>
      </c>
      <c r="B31" t="s">
        <v>32</v>
      </c>
      <c r="C31" s="55">
        <f t="shared" si="1"/>
        <v>1.172317243226336</v>
      </c>
      <c r="D31" s="55">
        <f t="shared" si="1"/>
        <v>1.1736322052379746</v>
      </c>
      <c r="E31" s="55">
        <f t="shared" si="1"/>
        <v>0.8492155633700591</v>
      </c>
    </row>
    <row r="32" spans="1:5" outlineLevel="1" x14ac:dyDescent="0.25">
      <c r="A32" t="s">
        <v>322</v>
      </c>
      <c r="B32" t="s">
        <v>32</v>
      </c>
      <c r="C32" s="11">
        <v>1.5</v>
      </c>
      <c r="D32" s="5">
        <f>C32</f>
        <v>1.5</v>
      </c>
      <c r="E32" s="5">
        <f>D32</f>
        <v>1.5</v>
      </c>
    </row>
    <row r="33" spans="1:5" outlineLevel="1" x14ac:dyDescent="0.25">
      <c r="A33" t="s">
        <v>323</v>
      </c>
      <c r="B33" t="s">
        <v>4</v>
      </c>
      <c r="C33" s="1">
        <f>C32*C5*C18/2/PI()/1000/C26</f>
        <v>0.83556345123245057</v>
      </c>
      <c r="D33" s="1">
        <f>D32*D5*D18/2/PI()/1000/D26</f>
        <v>1.1936620731892151</v>
      </c>
      <c r="E33" s="1">
        <f>E32*E5*E18/2/PI()/1000/E26</f>
        <v>0.38197186342054879</v>
      </c>
    </row>
    <row r="34" spans="1:5" outlineLevel="1" x14ac:dyDescent="0.25">
      <c r="A34" t="s">
        <v>210</v>
      </c>
      <c r="B34" t="s">
        <v>5</v>
      </c>
      <c r="C34">
        <f>INDEX('NEMA34 Power'!$A$2:$A$23,MATCH('Axis Sizing'!C$33*100,'NEMA34 Power'!$B$2:$B$23,-1))</f>
        <v>1200</v>
      </c>
      <c r="D34">
        <f>INDEX('NEMA34 Power'!$A$2:$A$23,MATCH('Axis Sizing'!D$33*100,'NEMA34 Power'!$B$2:$B$23,-1))</f>
        <v>1125</v>
      </c>
      <c r="E34">
        <f>INDEX('NEMA23 Power'!$B$2:$B$23,MATCH('Axis Sizing'!E$33*100,'NEMA23 Power'!$D$2:$D$23,-1))</f>
        <v>1500</v>
      </c>
    </row>
    <row r="35" spans="1:5" outlineLevel="1" x14ac:dyDescent="0.25">
      <c r="A35" t="s">
        <v>624</v>
      </c>
      <c r="B35" t="s">
        <v>5</v>
      </c>
      <c r="C35">
        <f>MIN(C34:D34)</f>
        <v>1125</v>
      </c>
      <c r="D35">
        <f>C35</f>
        <v>1125</v>
      </c>
      <c r="E35">
        <f>E34</f>
        <v>1500</v>
      </c>
    </row>
    <row r="36" spans="1:5" x14ac:dyDescent="0.25">
      <c r="A36" t="s">
        <v>210</v>
      </c>
      <c r="B36" t="s">
        <v>190</v>
      </c>
      <c r="C36" s="7">
        <f>C35*C18/25.4</f>
        <v>442.91338582677167</v>
      </c>
      <c r="D36" s="7">
        <f t="shared" ref="D36:E36" si="2">D35*D18/25.4</f>
        <v>442.91338582677167</v>
      </c>
      <c r="E36" s="7">
        <f t="shared" si="2"/>
        <v>236.22047244094489</v>
      </c>
    </row>
    <row r="37" spans="1:5" outlineLevel="1" x14ac:dyDescent="0.25">
      <c r="A37" t="s">
        <v>211</v>
      </c>
      <c r="B37" t="s">
        <v>5</v>
      </c>
      <c r="C37">
        <f>C34/0.8</f>
        <v>1500</v>
      </c>
      <c r="D37">
        <f>D34/0.8</f>
        <v>1406.25</v>
      </c>
      <c r="E37">
        <f>E34/0.8</f>
        <v>1875</v>
      </c>
    </row>
    <row r="38" spans="1:5" outlineLevel="1" x14ac:dyDescent="0.25">
      <c r="A38" t="s">
        <v>212</v>
      </c>
      <c r="B38" t="s">
        <v>25</v>
      </c>
      <c r="C38" s="6">
        <v>52</v>
      </c>
      <c r="D38" s="6">
        <v>24</v>
      </c>
      <c r="E38" s="6">
        <v>6</v>
      </c>
    </row>
    <row r="39" spans="1:5" outlineLevel="1" x14ac:dyDescent="0.25">
      <c r="A39" t="s">
        <v>379</v>
      </c>
      <c r="B39" t="s">
        <v>3</v>
      </c>
      <c r="C39">
        <v>200</v>
      </c>
      <c r="D39">
        <v>200</v>
      </c>
      <c r="E39">
        <v>200</v>
      </c>
    </row>
    <row r="40" spans="1:5" outlineLevel="1" x14ac:dyDescent="0.25">
      <c r="A40" t="s">
        <v>213</v>
      </c>
      <c r="B40" t="s">
        <v>3</v>
      </c>
      <c r="C40">
        <f>C38*25.4+C39</f>
        <v>1520.8</v>
      </c>
      <c r="D40">
        <f>D38*25.4+D39</f>
        <v>809.59999999999991</v>
      </c>
      <c r="E40">
        <f>E38*25.4+E39</f>
        <v>352.4</v>
      </c>
    </row>
    <row r="41" spans="1:5" x14ac:dyDescent="0.25">
      <c r="A41" s="47" t="s">
        <v>214</v>
      </c>
      <c r="B41" t="s">
        <v>3</v>
      </c>
      <c r="C41" s="6">
        <v>1500</v>
      </c>
      <c r="D41" s="6">
        <v>800</v>
      </c>
      <c r="E41" s="6">
        <v>300</v>
      </c>
    </row>
    <row r="42" spans="1:5" outlineLevel="1" x14ac:dyDescent="0.25">
      <c r="A42" s="48" t="s">
        <v>345</v>
      </c>
      <c r="B42" t="s">
        <v>3</v>
      </c>
      <c r="C42">
        <f>C41-C39</f>
        <v>1300</v>
      </c>
      <c r="D42">
        <f>D41-D39</f>
        <v>600</v>
      </c>
      <c r="E42">
        <f>E41-E39</f>
        <v>100</v>
      </c>
    </row>
    <row r="43" spans="1:5" outlineLevel="1" x14ac:dyDescent="0.25">
      <c r="A43" t="s">
        <v>216</v>
      </c>
      <c r="B43" t="s">
        <v>3</v>
      </c>
      <c r="C43">
        <f>C37*C41^2/(2.71*10^8*0.689)</f>
        <v>18.075289606306804</v>
      </c>
      <c r="D43">
        <f>D37*D41^2/(2.71*10^8*0.689)</f>
        <v>4.820077228348481</v>
      </c>
      <c r="E43">
        <f>E37*E41^2/(2.71*10^8*0.689)</f>
        <v>0.90376448031534018</v>
      </c>
    </row>
    <row r="44" spans="1:5" outlineLevel="1" x14ac:dyDescent="0.25">
      <c r="A44" t="s">
        <v>217</v>
      </c>
      <c r="B44" t="s">
        <v>4</v>
      </c>
      <c r="C44">
        <f>'NEMA34 Power'!$B$2*C26/C27/100</f>
        <v>8.5</v>
      </c>
      <c r="D44">
        <f>'NEMA34 Power'!$B$2*D26/D27/100</f>
        <v>8.5</v>
      </c>
      <c r="E44">
        <f>'NEMA23 Power'!$D$3*E26/E27/100</f>
        <v>2</v>
      </c>
    </row>
    <row r="45" spans="1:5" outlineLevel="1" x14ac:dyDescent="0.25">
      <c r="A45" t="s">
        <v>218</v>
      </c>
      <c r="B45" t="s">
        <v>32</v>
      </c>
      <c r="C45" s="11">
        <v>1</v>
      </c>
      <c r="D45" s="11">
        <f>IF(D18=10,0.75,1)</f>
        <v>0.75</v>
      </c>
      <c r="E45" s="11">
        <v>1</v>
      </c>
    </row>
    <row r="46" spans="1:5" x14ac:dyDescent="0.25">
      <c r="A46" t="s">
        <v>325</v>
      </c>
      <c r="B46" t="s">
        <v>19</v>
      </c>
      <c r="C46" s="8">
        <f>C44*C45/(C18/1000/2/PI())</f>
        <v>5340.7075111026479</v>
      </c>
      <c r="D46" s="8">
        <f>D44*D45/(D18/1000/2/PI())</f>
        <v>4005.5306333269859</v>
      </c>
      <c r="E46" s="8">
        <f>E44*E45/(E18/1000/2/PI())</f>
        <v>3141.5926535897929</v>
      </c>
    </row>
    <row r="47" spans="1:5" outlineLevel="1" x14ac:dyDescent="0.25">
      <c r="A47" t="s">
        <v>221</v>
      </c>
      <c r="B47" t="s">
        <v>3</v>
      </c>
      <c r="C47">
        <f>C41</f>
        <v>1500</v>
      </c>
      <c r="D47">
        <f>D41</f>
        <v>800</v>
      </c>
      <c r="E47">
        <f>E41</f>
        <v>300</v>
      </c>
    </row>
    <row r="48" spans="1:5" outlineLevel="1" x14ac:dyDescent="0.25">
      <c r="A48" t="s">
        <v>220</v>
      </c>
      <c r="B48" t="s">
        <v>3</v>
      </c>
      <c r="C48" s="2">
        <f>(2*C46*C47^2/40720/1/9.8)^(1/4)</f>
        <v>15.665503779292528</v>
      </c>
      <c r="D48" s="2">
        <f>(2*D46*D47^2/40720/1/9.8)^(1/4)</f>
        <v>10.646553615535129</v>
      </c>
      <c r="E48" s="2">
        <f>(2*E46*E47^2/40720/1/9.8)^(1/4)</f>
        <v>6.1354600581248535</v>
      </c>
    </row>
    <row r="49" spans="1:6" outlineLevel="1" x14ac:dyDescent="0.25">
      <c r="A49" t="s">
        <v>215</v>
      </c>
      <c r="B49" t="s">
        <v>3</v>
      </c>
      <c r="C49" s="2">
        <f>MAX(C43,C48)</f>
        <v>18.075289606306804</v>
      </c>
      <c r="D49" s="2">
        <f>MAX(D43,D48)</f>
        <v>10.646553615535129</v>
      </c>
      <c r="E49" s="2">
        <f>MAX(E43,E48)</f>
        <v>6.1354600581248535</v>
      </c>
    </row>
    <row r="50" spans="1:6" outlineLevel="1" x14ac:dyDescent="0.25">
      <c r="A50" t="s">
        <v>223</v>
      </c>
      <c r="B50" t="s">
        <v>3</v>
      </c>
      <c r="C50" s="2">
        <f>C49*1.2</f>
        <v>21.690347527568164</v>
      </c>
      <c r="D50" s="2">
        <f>D49*1.2</f>
        <v>12.775864338642155</v>
      </c>
      <c r="E50" s="2">
        <f>E49*1.2</f>
        <v>7.3625520697498237</v>
      </c>
    </row>
    <row r="51" spans="1:6" x14ac:dyDescent="0.25">
      <c r="A51" s="47" t="s">
        <v>224</v>
      </c>
      <c r="B51" t="s">
        <v>3</v>
      </c>
      <c r="C51" s="6">
        <v>20</v>
      </c>
      <c r="D51" s="6">
        <v>16</v>
      </c>
      <c r="E51" s="6">
        <v>12</v>
      </c>
    </row>
    <row r="52" spans="1:6" x14ac:dyDescent="0.25">
      <c r="A52" t="s">
        <v>222</v>
      </c>
      <c r="B52" t="s">
        <v>3</v>
      </c>
      <c r="C52" s="6">
        <v>16.739999999999998</v>
      </c>
      <c r="D52" s="6">
        <v>12.32</v>
      </c>
      <c r="E52" s="6">
        <v>9.7899999999999991</v>
      </c>
    </row>
    <row r="53" spans="1:6" ht="15.75" thickBot="1" x14ac:dyDescent="0.3">
      <c r="A53" t="s">
        <v>332</v>
      </c>
      <c r="B53" t="s">
        <v>5</v>
      </c>
      <c r="C53" s="85">
        <f>C35</f>
        <v>1125</v>
      </c>
      <c r="D53" s="85">
        <f t="shared" ref="D53:E53" si="3">D35</f>
        <v>1125</v>
      </c>
      <c r="E53" s="85">
        <f t="shared" si="3"/>
        <v>1500</v>
      </c>
    </row>
    <row r="54" spans="1:6" ht="15.75" thickTop="1" x14ac:dyDescent="0.25">
      <c r="A54" t="s">
        <v>320</v>
      </c>
      <c r="B54" t="s">
        <v>19</v>
      </c>
      <c r="C54" s="3">
        <f>9.8*0.5*40720*1*C52^4/C41^2</f>
        <v>6963.7495896309165</v>
      </c>
      <c r="D54" s="3">
        <f>9.8*0.5*40720*1*D52^4/D41^2</f>
        <v>7182.3523477995514</v>
      </c>
      <c r="E54" s="3">
        <f>9.8*0.5*40720*1*E52^4/E41^2</f>
        <v>20365.360730796991</v>
      </c>
    </row>
    <row r="55" spans="1:6" x14ac:dyDescent="0.25">
      <c r="A55" s="47" t="s">
        <v>314</v>
      </c>
      <c r="B55" t="s">
        <v>32</v>
      </c>
      <c r="C55" s="55">
        <f>C54/C46-1</f>
        <v>0.30390019958108017</v>
      </c>
      <c r="D55" s="55">
        <f>D54/D46-1</f>
        <v>0.793108830086241</v>
      </c>
      <c r="E55" s="55">
        <f>E54/E46-1</f>
        <v>5.4824956563118308</v>
      </c>
    </row>
    <row r="56" spans="1:6" x14ac:dyDescent="0.25">
      <c r="A56" s="48" t="s">
        <v>625</v>
      </c>
      <c r="B56" t="s">
        <v>3</v>
      </c>
      <c r="C56" s="2">
        <f>C41-50</f>
        <v>1450</v>
      </c>
      <c r="D56" s="2">
        <f t="shared" ref="D56:E56" si="4">D41-50</f>
        <v>750</v>
      </c>
      <c r="E56" s="2">
        <f t="shared" si="4"/>
        <v>250</v>
      </c>
    </row>
    <row r="57" spans="1:6" x14ac:dyDescent="0.25">
      <c r="A57" t="s">
        <v>324</v>
      </c>
      <c r="B57" t="s">
        <v>5</v>
      </c>
      <c r="C57">
        <f>0.8*(2.71*10^8*0.689*C52/C56^2)</f>
        <v>1189.3178825208086</v>
      </c>
      <c r="D57">
        <f t="shared" ref="D57:E57" si="5">0.8*(2.71*10^8*0.689*D52/D56^2)</f>
        <v>3271.6488248888891</v>
      </c>
      <c r="E57">
        <f t="shared" si="5"/>
        <v>23398.131327999999</v>
      </c>
    </row>
    <row r="58" spans="1:6" x14ac:dyDescent="0.25">
      <c r="A58" s="47" t="s">
        <v>321</v>
      </c>
      <c r="B58" t="s">
        <v>32</v>
      </c>
      <c r="C58" s="55">
        <f>C57/C53-1</f>
        <v>5.7171451129607531E-2</v>
      </c>
      <c r="D58" s="55">
        <f>D57/D53-1</f>
        <v>1.9081322887901235</v>
      </c>
      <c r="E58" s="55">
        <f>E57/E53-1</f>
        <v>14.598754218666667</v>
      </c>
    </row>
    <row r="59" spans="1:6" x14ac:dyDescent="0.25">
      <c r="A59" t="s">
        <v>370</v>
      </c>
      <c r="B59" t="s">
        <v>3</v>
      </c>
      <c r="C59" s="9">
        <v>140</v>
      </c>
      <c r="D59" s="9">
        <v>290</v>
      </c>
      <c r="E59" s="9">
        <v>120</v>
      </c>
    </row>
    <row r="60" spans="1:6" x14ac:dyDescent="0.25">
      <c r="A60" t="s">
        <v>371</v>
      </c>
      <c r="B60" t="s">
        <v>3</v>
      </c>
      <c r="C60" s="9">
        <v>120</v>
      </c>
      <c r="D60" s="9">
        <v>1550</v>
      </c>
      <c r="E60" s="9">
        <v>140</v>
      </c>
    </row>
    <row r="61" spans="1:6" x14ac:dyDescent="0.25">
      <c r="A61" t="s">
        <v>372</v>
      </c>
      <c r="B61" t="s">
        <v>3</v>
      </c>
      <c r="C61" s="9">
        <v>280</v>
      </c>
      <c r="D61" s="9">
        <v>0</v>
      </c>
      <c r="E61" s="9">
        <f>C61+130</f>
        <v>410</v>
      </c>
    </row>
    <row r="62" spans="1:6" x14ac:dyDescent="0.25">
      <c r="A62" t="s">
        <v>366</v>
      </c>
      <c r="B62" t="s">
        <v>19</v>
      </c>
      <c r="C62">
        <f>MAX('X Axis Force'!C79:S79)</f>
        <v>37928.914605738668</v>
      </c>
      <c r="D62">
        <f>MAX('Y Axis Forces'!C81:O81)</f>
        <v>33195.589102261838</v>
      </c>
      <c r="E62">
        <f>MAX('Z Axis Forces'!C76:O76)</f>
        <v>30073.710826068291</v>
      </c>
    </row>
    <row r="63" spans="1:6" x14ac:dyDescent="0.25">
      <c r="A63" t="s">
        <v>367</v>
      </c>
      <c r="B63" t="s">
        <v>19</v>
      </c>
      <c r="C63">
        <v>36680</v>
      </c>
      <c r="D63">
        <v>36680</v>
      </c>
      <c r="E63">
        <v>36680</v>
      </c>
      <c r="F63" t="s">
        <v>368</v>
      </c>
    </row>
    <row r="64" spans="1:6" x14ac:dyDescent="0.25">
      <c r="A64" t="s">
        <v>369</v>
      </c>
      <c r="B64" t="s">
        <v>32</v>
      </c>
      <c r="C64" s="55">
        <f>(C63-C62)/C63</f>
        <v>-3.404892600159945E-2</v>
      </c>
      <c r="D64" s="55">
        <f>(D63-D62)/D63</f>
        <v>9.4994844540298856E-2</v>
      </c>
      <c r="E64" s="55">
        <f>(E63-E62)/E63</f>
        <v>0.1801060298236562</v>
      </c>
    </row>
    <row r="65" spans="1:12" x14ac:dyDescent="0.25">
      <c r="A65" t="s">
        <v>378</v>
      </c>
      <c r="B65" t="s">
        <v>3</v>
      </c>
      <c r="C65">
        <f>C38*25.4+C59+80+20</f>
        <v>1560.8</v>
      </c>
      <c r="D65">
        <f>D38*25.4+D59+80+20</f>
        <v>999.59999999999991</v>
      </c>
      <c r="E65">
        <f>E38*25.4+E59+80+20</f>
        <v>372.4</v>
      </c>
      <c r="K65">
        <v>0.5</v>
      </c>
      <c r="L65">
        <v>0.5</v>
      </c>
    </row>
    <row r="66" spans="1:12" x14ac:dyDescent="0.25">
      <c r="A66" t="s">
        <v>533</v>
      </c>
      <c r="B66" t="s">
        <v>153</v>
      </c>
      <c r="C66">
        <v>200000</v>
      </c>
      <c r="D66">
        <v>200000</v>
      </c>
      <c r="E66">
        <v>200000</v>
      </c>
      <c r="K66">
        <v>4</v>
      </c>
      <c r="L66">
        <v>5.2</v>
      </c>
    </row>
    <row r="67" spans="1:12" x14ac:dyDescent="0.25">
      <c r="A67" t="s">
        <v>534</v>
      </c>
      <c r="B67" t="s">
        <v>465</v>
      </c>
      <c r="C67">
        <f>PI()*(C51/4+C52/4)^2*C66/C41/9.8/1000*C27</f>
        <v>3.6059595848407664</v>
      </c>
      <c r="D67">
        <f>PI()*(D51/4+D52/4)^2*D66/D41/9.8/1000*D27</f>
        <v>8.0345270403522129</v>
      </c>
      <c r="E67">
        <f>PI()*(E51/4+E52/4)^2*E66/E41/9.8/1000*E27</f>
        <v>6.3420113624758212</v>
      </c>
      <c r="K67">
        <f>1/(1/K65 + 1/K66)</f>
        <v>0.44444444444444442</v>
      </c>
      <c r="L67">
        <f>1/(1/L65 + 1/L66)</f>
        <v>0.45614035087719296</v>
      </c>
    </row>
    <row r="68" spans="1:12" x14ac:dyDescent="0.25">
      <c r="A68" t="s">
        <v>535</v>
      </c>
      <c r="B68" t="s">
        <v>536</v>
      </c>
      <c r="C68">
        <f>C66*0.3</f>
        <v>60000</v>
      </c>
      <c r="D68">
        <f t="shared" ref="D68:E68" si="6">D66*0.3</f>
        <v>60000</v>
      </c>
      <c r="E68">
        <f t="shared" si="6"/>
        <v>60000</v>
      </c>
      <c r="K68">
        <f>(L67-K67)/K67</f>
        <v>2.6315789473684209E-2</v>
      </c>
    </row>
    <row r="69" spans="1:12" x14ac:dyDescent="0.25">
      <c r="A69" t="s">
        <v>538</v>
      </c>
      <c r="B69" t="s">
        <v>537</v>
      </c>
      <c r="C69">
        <f>0.5*PI()*(C51/4+C52/4)^4</f>
        <v>11179.863976548173</v>
      </c>
      <c r="D69">
        <f t="shared" ref="D69:E69" si="7">0.5*PI()*(D51/4+D52/4)^4</f>
        <v>3946.8707791080105</v>
      </c>
      <c r="E69">
        <f t="shared" si="7"/>
        <v>1383.27597056583</v>
      </c>
    </row>
    <row r="70" spans="1:12" x14ac:dyDescent="0.25">
      <c r="A70" t="s">
        <v>539</v>
      </c>
      <c r="B70" t="s">
        <v>540</v>
      </c>
      <c r="C70">
        <f>C68*C69/C47/1000*C27</f>
        <v>447.1945590619269</v>
      </c>
      <c r="D70">
        <f t="shared" ref="D70:E70" si="8">D68*D69/D47/1000*D27</f>
        <v>592.03061686620163</v>
      </c>
      <c r="E70">
        <f t="shared" si="8"/>
        <v>276.65519411316603</v>
      </c>
    </row>
    <row r="71" spans="1:12" x14ac:dyDescent="0.25">
      <c r="A71" t="s">
        <v>539</v>
      </c>
      <c r="B71" t="s">
        <v>465</v>
      </c>
      <c r="C71">
        <f>C70*4*PI()^2*1000/C$18^2/1000/9.8</f>
        <v>18.014830156166564</v>
      </c>
      <c r="D71">
        <f t="shared" ref="D71:E71" si="9">D70*4*PI()^2*1000/D$18^2/1000/9.8</f>
        <v>23.849420333886982</v>
      </c>
      <c r="E71">
        <f t="shared" si="9"/>
        <v>69.655033709273823</v>
      </c>
    </row>
    <row r="72" spans="1:12" x14ac:dyDescent="0.25">
      <c r="A72" t="s">
        <v>542</v>
      </c>
      <c r="B72" t="s">
        <v>540</v>
      </c>
      <c r="C72">
        <f>C28/( 2*PI()/200)</f>
        <v>54.112680651244411</v>
      </c>
      <c r="D72">
        <f t="shared" ref="D72:E72" si="10">D28/( 2*PI()/200)</f>
        <v>108.22536130248882</v>
      </c>
      <c r="E72">
        <f t="shared" si="10"/>
        <v>52.521131220325458</v>
      </c>
    </row>
    <row r="73" spans="1:12" x14ac:dyDescent="0.25">
      <c r="A73" t="s">
        <v>541</v>
      </c>
      <c r="B73" t="s">
        <v>465</v>
      </c>
      <c r="C73">
        <f>C72*4*PI()^2*1000/C$18^2/1000/9.8</f>
        <v>2.179880616776591</v>
      </c>
      <c r="D73">
        <f t="shared" ref="D73:E73" si="11">D72*4*PI()^2*1000/D$18^2/1000/9.8</f>
        <v>4.3597612335531819</v>
      </c>
      <c r="E73">
        <f t="shared" si="11"/>
        <v>13.223540506181525</v>
      </c>
    </row>
    <row r="74" spans="1:12" x14ac:dyDescent="0.25">
      <c r="A74" t="s">
        <v>543</v>
      </c>
      <c r="B74" t="s">
        <v>540</v>
      </c>
      <c r="C74">
        <f>C29/( 2*PI()/200)</f>
        <v>143.23944878270581</v>
      </c>
      <c r="D74">
        <f t="shared" ref="D74:E74" si="12">D29/( 2*PI()/200)</f>
        <v>286.47889756541161</v>
      </c>
      <c r="E74">
        <f t="shared" si="12"/>
        <v>52.521131220325458</v>
      </c>
    </row>
    <row r="75" spans="1:12" x14ac:dyDescent="0.25">
      <c r="A75" t="s">
        <v>541</v>
      </c>
      <c r="B75" t="s">
        <v>465</v>
      </c>
      <c r="C75">
        <f>C74*4*PI()^2*1000/C$18^2/1000/9.8</f>
        <v>5.7702722208792103</v>
      </c>
      <c r="D75">
        <f t="shared" ref="D75" si="13">D74*4*PI()^2*1000/D$18^2/1000/9.8</f>
        <v>11.540544441758421</v>
      </c>
      <c r="E75">
        <f t="shared" ref="E75" si="14">E74*4*PI()^2*1000/E$18^2/1000/9.8</f>
        <v>13.223540506181525</v>
      </c>
    </row>
    <row r="76" spans="1:12" x14ac:dyDescent="0.25">
      <c r="A76" t="s">
        <v>689</v>
      </c>
      <c r="B76" t="s">
        <v>690</v>
      </c>
      <c r="C76" s="6">
        <v>4000</v>
      </c>
      <c r="D76" s="6">
        <v>4000</v>
      </c>
      <c r="E76" s="6">
        <v>4000</v>
      </c>
    </row>
    <row r="77" spans="1:12" x14ac:dyDescent="0.25">
      <c r="A77" t="s">
        <v>691</v>
      </c>
      <c r="B77" t="s">
        <v>692</v>
      </c>
      <c r="C77">
        <f>C18/C76</f>
        <v>2.5000000000000001E-3</v>
      </c>
      <c r="D77">
        <f t="shared" ref="D77:E77" si="15">D18/D76</f>
        <v>2.5000000000000001E-3</v>
      </c>
      <c r="E77">
        <f t="shared" si="15"/>
        <v>1E-3</v>
      </c>
    </row>
    <row r="78" spans="1:12" x14ac:dyDescent="0.25">
      <c r="A78" t="s">
        <v>693</v>
      </c>
      <c r="B78" t="s">
        <v>3</v>
      </c>
      <c r="C78">
        <f>0.001*25.4</f>
        <v>2.5399999999999999E-2</v>
      </c>
      <c r="D78">
        <f t="shared" ref="D78:E78" si="16">0.001*25.4</f>
        <v>2.5399999999999999E-2</v>
      </c>
      <c r="E78">
        <f t="shared" si="16"/>
        <v>2.5399999999999999E-2</v>
      </c>
    </row>
    <row r="79" spans="1:12" x14ac:dyDescent="0.25">
      <c r="A79" t="s">
        <v>694</v>
      </c>
      <c r="B79" t="s">
        <v>32</v>
      </c>
      <c r="C79" s="5">
        <f>C78/(4*C77)-1</f>
        <v>1.54</v>
      </c>
      <c r="D79" s="5">
        <f t="shared" ref="D79:E79" si="17">D78/(4*D77)-1</f>
        <v>1.54</v>
      </c>
      <c r="E79" s="5">
        <f t="shared" si="17"/>
        <v>5.35</v>
      </c>
    </row>
  </sheetData>
  <conditionalFormatting sqref="C58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D58:E58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C64:E64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55:E55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30:E3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31:E3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2896-CE5F-4D8C-983A-B1B7F7A4E755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:O39"/>
    </sheetView>
  </sheetViews>
  <sheetFormatPr defaultRowHeight="15" outlineLevelRow="2" x14ac:dyDescent="0.25"/>
  <cols>
    <col min="1" max="1" width="41.28515625" customWidth="1"/>
    <col min="3" max="6" width="9.28515625" style="26" bestFit="1" customWidth="1"/>
    <col min="7" max="10" width="9.5703125" style="26" bestFit="1" customWidth="1"/>
    <col min="11" max="12" width="10.5703125" style="26" bestFit="1" customWidth="1"/>
    <col min="13" max="13" width="10.5703125" style="26" customWidth="1"/>
    <col min="14" max="14" width="10.5703125" style="26" bestFit="1" customWidth="1"/>
    <col min="15" max="15" width="10.5703125" style="41" customWidth="1"/>
  </cols>
  <sheetData>
    <row r="1" spans="1:35" ht="135.75" customHeight="1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70" t="s">
        <v>74</v>
      </c>
      <c r="Q1" s="71"/>
      <c r="R1" s="71"/>
      <c r="S1" s="71"/>
      <c r="T1" s="72"/>
      <c r="U1" s="70" t="s">
        <v>75</v>
      </c>
      <c r="V1" s="71"/>
      <c r="W1" s="71"/>
      <c r="X1" s="71"/>
      <c r="Y1" s="72"/>
      <c r="Z1" s="70" t="s">
        <v>77</v>
      </c>
      <c r="AA1" s="71"/>
      <c r="AB1" s="71"/>
      <c r="AC1" s="71"/>
      <c r="AD1" s="72"/>
      <c r="AE1" t="s">
        <v>347</v>
      </c>
    </row>
    <row r="2" spans="1:35" x14ac:dyDescent="0.25">
      <c r="A2" t="s">
        <v>89</v>
      </c>
      <c r="B2" t="s">
        <v>32</v>
      </c>
      <c r="C2" s="57">
        <v>0.5</v>
      </c>
      <c r="D2" s="65">
        <f t="shared" ref="D2:D9" si="0">C2</f>
        <v>0.5</v>
      </c>
      <c r="E2" s="65">
        <f t="shared" ref="E2:L4" si="1">D2</f>
        <v>0.5</v>
      </c>
      <c r="F2" s="65">
        <f t="shared" si="1"/>
        <v>0.5</v>
      </c>
      <c r="G2" s="65">
        <f t="shared" si="1"/>
        <v>0.5</v>
      </c>
      <c r="H2" s="65">
        <f t="shared" si="1"/>
        <v>0.5</v>
      </c>
      <c r="I2" s="65">
        <f t="shared" si="1"/>
        <v>0.5</v>
      </c>
      <c r="J2" s="65">
        <f t="shared" si="1"/>
        <v>0.5</v>
      </c>
      <c r="K2" s="65">
        <f t="shared" si="1"/>
        <v>0.5</v>
      </c>
      <c r="L2" s="65">
        <f t="shared" si="1"/>
        <v>0.5</v>
      </c>
      <c r="M2" s="65">
        <f t="shared" ref="M2:N4" si="2">K2</f>
        <v>0.5</v>
      </c>
      <c r="N2" s="65">
        <f t="shared" si="2"/>
        <v>0.5</v>
      </c>
      <c r="O2" s="66">
        <f t="shared" ref="O2:O9" si="3">N2</f>
        <v>0.5</v>
      </c>
      <c r="P2" s="73">
        <f>$N2</f>
        <v>0.5</v>
      </c>
      <c r="Q2" s="65">
        <f t="shared" ref="Q2:Q9" si="4">P2</f>
        <v>0.5</v>
      </c>
      <c r="R2" s="65">
        <f t="shared" ref="R2:R9" si="5">Q2</f>
        <v>0.5</v>
      </c>
      <c r="S2" s="65">
        <f t="shared" ref="S2:S9" si="6">R2</f>
        <v>0.5</v>
      </c>
      <c r="T2" s="66">
        <f t="shared" ref="T2:T9" si="7">S2</f>
        <v>0.5</v>
      </c>
      <c r="U2" s="73">
        <f>$N2</f>
        <v>0.5</v>
      </c>
      <c r="V2" s="65">
        <f t="shared" ref="V2:Y5" si="8">U2</f>
        <v>0.5</v>
      </c>
      <c r="W2" s="65">
        <f t="shared" si="8"/>
        <v>0.5</v>
      </c>
      <c r="X2" s="65">
        <f t="shared" si="8"/>
        <v>0.5</v>
      </c>
      <c r="Y2" s="66">
        <f t="shared" si="8"/>
        <v>0.5</v>
      </c>
      <c r="Z2" s="73">
        <f>$N2</f>
        <v>0.5</v>
      </c>
      <c r="AA2" s="65">
        <f t="shared" ref="AA2:AD6" si="9">Z2</f>
        <v>0.5</v>
      </c>
      <c r="AB2" s="65">
        <f t="shared" si="9"/>
        <v>0.5</v>
      </c>
      <c r="AC2" s="65">
        <f t="shared" si="9"/>
        <v>0.5</v>
      </c>
      <c r="AD2" s="66">
        <f t="shared" si="9"/>
        <v>0.5</v>
      </c>
      <c r="AE2" s="73">
        <f t="shared" ref="AE2:AE9" si="10">$N2</f>
        <v>0.5</v>
      </c>
      <c r="AF2" s="65">
        <f t="shared" ref="AF2:AI9" si="11">AE2</f>
        <v>0.5</v>
      </c>
      <c r="AG2" s="65">
        <f t="shared" si="11"/>
        <v>0.5</v>
      </c>
      <c r="AH2" s="65">
        <f t="shared" si="11"/>
        <v>0.5</v>
      </c>
      <c r="AI2" s="66">
        <f t="shared" si="11"/>
        <v>0.5</v>
      </c>
    </row>
    <row r="3" spans="1:35" x14ac:dyDescent="0.25">
      <c r="A3" t="s">
        <v>90</v>
      </c>
      <c r="B3" t="s">
        <v>32</v>
      </c>
      <c r="C3" s="57">
        <v>0.5</v>
      </c>
      <c r="D3" s="65">
        <f t="shared" si="0"/>
        <v>0.5</v>
      </c>
      <c r="E3" s="65">
        <f t="shared" si="1"/>
        <v>0.5</v>
      </c>
      <c r="F3" s="65">
        <f t="shared" si="1"/>
        <v>0.5</v>
      </c>
      <c r="G3" s="65">
        <f t="shared" si="1"/>
        <v>0.5</v>
      </c>
      <c r="H3" s="65">
        <f t="shared" si="1"/>
        <v>0.5</v>
      </c>
      <c r="I3" s="65">
        <f t="shared" si="1"/>
        <v>0.5</v>
      </c>
      <c r="J3" s="65">
        <f t="shared" si="1"/>
        <v>0.5</v>
      </c>
      <c r="K3" s="65">
        <f t="shared" si="1"/>
        <v>0.5</v>
      </c>
      <c r="L3" s="65">
        <f t="shared" si="1"/>
        <v>0.5</v>
      </c>
      <c r="M3" s="65">
        <f t="shared" si="2"/>
        <v>0.5</v>
      </c>
      <c r="N3" s="65">
        <f t="shared" si="2"/>
        <v>0.5</v>
      </c>
      <c r="O3" s="66">
        <f t="shared" si="3"/>
        <v>0.5</v>
      </c>
      <c r="P3" s="73">
        <f>$N3</f>
        <v>0.5</v>
      </c>
      <c r="Q3" s="65">
        <f t="shared" si="4"/>
        <v>0.5</v>
      </c>
      <c r="R3" s="65">
        <f t="shared" si="5"/>
        <v>0.5</v>
      </c>
      <c r="S3" s="65">
        <f t="shared" si="6"/>
        <v>0.5</v>
      </c>
      <c r="T3" s="66">
        <f t="shared" si="7"/>
        <v>0.5</v>
      </c>
      <c r="U3" s="73">
        <f>$N3</f>
        <v>0.5</v>
      </c>
      <c r="V3" s="65">
        <f t="shared" si="8"/>
        <v>0.5</v>
      </c>
      <c r="W3" s="65">
        <f t="shared" si="8"/>
        <v>0.5</v>
      </c>
      <c r="X3" s="65">
        <f t="shared" si="8"/>
        <v>0.5</v>
      </c>
      <c r="Y3" s="66">
        <f t="shared" si="8"/>
        <v>0.5</v>
      </c>
      <c r="Z3" s="73">
        <f>$N3</f>
        <v>0.5</v>
      </c>
      <c r="AA3" s="65">
        <f t="shared" si="9"/>
        <v>0.5</v>
      </c>
      <c r="AB3" s="65">
        <f t="shared" si="9"/>
        <v>0.5</v>
      </c>
      <c r="AC3" s="65">
        <f t="shared" si="9"/>
        <v>0.5</v>
      </c>
      <c r="AD3" s="66">
        <f t="shared" si="9"/>
        <v>0.5</v>
      </c>
      <c r="AE3" s="73">
        <f t="shared" si="10"/>
        <v>0.5</v>
      </c>
      <c r="AF3" s="65">
        <f t="shared" si="11"/>
        <v>0.5</v>
      </c>
      <c r="AG3" s="65">
        <f t="shared" si="11"/>
        <v>0.5</v>
      </c>
      <c r="AH3" s="65">
        <f t="shared" si="11"/>
        <v>0.5</v>
      </c>
      <c r="AI3" s="66">
        <f t="shared" si="11"/>
        <v>0.5</v>
      </c>
    </row>
    <row r="4" spans="1:35" x14ac:dyDescent="0.25">
      <c r="A4" t="s">
        <v>91</v>
      </c>
      <c r="B4" t="s">
        <v>32</v>
      </c>
      <c r="C4" s="57">
        <v>0</v>
      </c>
      <c r="D4" s="65">
        <f t="shared" si="0"/>
        <v>0</v>
      </c>
      <c r="E4" s="65">
        <f t="shared" si="1"/>
        <v>0</v>
      </c>
      <c r="F4" s="65">
        <f t="shared" si="1"/>
        <v>0</v>
      </c>
      <c r="G4" s="65">
        <f t="shared" si="1"/>
        <v>0</v>
      </c>
      <c r="H4" s="65">
        <f t="shared" si="1"/>
        <v>0</v>
      </c>
      <c r="I4" s="65">
        <f t="shared" si="1"/>
        <v>0</v>
      </c>
      <c r="J4" s="65">
        <f t="shared" si="1"/>
        <v>0</v>
      </c>
      <c r="K4" s="65">
        <f t="shared" si="1"/>
        <v>0</v>
      </c>
      <c r="L4" s="65">
        <f t="shared" si="1"/>
        <v>0</v>
      </c>
      <c r="M4" s="65">
        <f t="shared" si="2"/>
        <v>0</v>
      </c>
      <c r="N4" s="65">
        <f t="shared" si="2"/>
        <v>0</v>
      </c>
      <c r="O4" s="66">
        <f t="shared" si="3"/>
        <v>0</v>
      </c>
      <c r="P4" s="73">
        <f>$N4</f>
        <v>0</v>
      </c>
      <c r="Q4" s="65">
        <f t="shared" si="4"/>
        <v>0</v>
      </c>
      <c r="R4" s="65">
        <f t="shared" si="5"/>
        <v>0</v>
      </c>
      <c r="S4" s="65">
        <f t="shared" si="6"/>
        <v>0</v>
      </c>
      <c r="T4" s="66">
        <f t="shared" si="7"/>
        <v>0</v>
      </c>
      <c r="U4" s="73">
        <f>$N4</f>
        <v>0</v>
      </c>
      <c r="V4" s="65">
        <f t="shared" si="8"/>
        <v>0</v>
      </c>
      <c r="W4" s="65">
        <f t="shared" si="8"/>
        <v>0</v>
      </c>
      <c r="X4" s="65">
        <f t="shared" si="8"/>
        <v>0</v>
      </c>
      <c r="Y4" s="66">
        <f t="shared" si="8"/>
        <v>0</v>
      </c>
      <c r="Z4" s="73">
        <f>$N4</f>
        <v>0</v>
      </c>
      <c r="AA4" s="65">
        <f t="shared" si="9"/>
        <v>0</v>
      </c>
      <c r="AB4" s="65">
        <f t="shared" si="9"/>
        <v>0</v>
      </c>
      <c r="AC4" s="65">
        <f t="shared" si="9"/>
        <v>0</v>
      </c>
      <c r="AD4" s="66">
        <f t="shared" si="9"/>
        <v>0</v>
      </c>
      <c r="AE4" s="73">
        <f t="shared" si="10"/>
        <v>0</v>
      </c>
      <c r="AF4" s="65">
        <f t="shared" si="11"/>
        <v>0</v>
      </c>
      <c r="AG4" s="65">
        <f t="shared" si="11"/>
        <v>0</v>
      </c>
      <c r="AH4" s="65">
        <f t="shared" si="11"/>
        <v>0</v>
      </c>
      <c r="AI4" s="66">
        <f t="shared" si="11"/>
        <v>0</v>
      </c>
    </row>
    <row r="5" spans="1:35" ht="15.75" thickBot="1" x14ac:dyDescent="0.3">
      <c r="A5" t="s">
        <v>74</v>
      </c>
      <c r="B5" t="s">
        <v>3</v>
      </c>
      <c r="C5" s="85">
        <f>'Axis Sizing'!E60</f>
        <v>140</v>
      </c>
      <c r="D5" s="59">
        <f t="shared" si="0"/>
        <v>140</v>
      </c>
      <c r="E5" s="59">
        <f t="shared" ref="E5:L5" si="12">D5</f>
        <v>140</v>
      </c>
      <c r="F5" s="59">
        <f t="shared" si="12"/>
        <v>140</v>
      </c>
      <c r="G5" s="59">
        <f t="shared" si="12"/>
        <v>140</v>
      </c>
      <c r="H5" s="59">
        <f t="shared" si="12"/>
        <v>140</v>
      </c>
      <c r="I5" s="59">
        <f t="shared" si="12"/>
        <v>140</v>
      </c>
      <c r="J5" s="59">
        <f t="shared" si="12"/>
        <v>140</v>
      </c>
      <c r="K5" s="59">
        <f t="shared" si="12"/>
        <v>140</v>
      </c>
      <c r="L5" s="59">
        <f t="shared" si="12"/>
        <v>140</v>
      </c>
      <c r="M5" s="59">
        <f t="shared" ref="M5:N7" si="13">K5</f>
        <v>140</v>
      </c>
      <c r="N5" s="59">
        <f t="shared" si="13"/>
        <v>140</v>
      </c>
      <c r="O5" s="60">
        <f t="shared" si="3"/>
        <v>140</v>
      </c>
      <c r="P5" s="19">
        <f>$N5*P$77</f>
        <v>35</v>
      </c>
      <c r="Q5" s="20">
        <f>$N5*Q$77</f>
        <v>70</v>
      </c>
      <c r="R5" s="20">
        <f>$N5*R$77</f>
        <v>140</v>
      </c>
      <c r="S5" s="20">
        <f>$N5*S$77</f>
        <v>280</v>
      </c>
      <c r="T5" s="38">
        <f>$N5*T$77</f>
        <v>560</v>
      </c>
      <c r="U5" s="74">
        <f>$N5</f>
        <v>140</v>
      </c>
      <c r="V5" s="59">
        <f t="shared" si="8"/>
        <v>140</v>
      </c>
      <c r="W5" s="59">
        <f t="shared" si="8"/>
        <v>140</v>
      </c>
      <c r="X5" s="59">
        <f t="shared" si="8"/>
        <v>140</v>
      </c>
      <c r="Y5" s="60">
        <f t="shared" si="8"/>
        <v>140</v>
      </c>
      <c r="Z5" s="74">
        <f>$N5</f>
        <v>140</v>
      </c>
      <c r="AA5" s="59">
        <f t="shared" si="9"/>
        <v>140</v>
      </c>
      <c r="AB5" s="59">
        <f t="shared" si="9"/>
        <v>140</v>
      </c>
      <c r="AC5" s="59">
        <f t="shared" si="9"/>
        <v>140</v>
      </c>
      <c r="AD5" s="60">
        <f t="shared" si="9"/>
        <v>140</v>
      </c>
      <c r="AE5" s="74">
        <f t="shared" si="10"/>
        <v>140</v>
      </c>
      <c r="AF5" s="59">
        <f t="shared" si="11"/>
        <v>140</v>
      </c>
      <c r="AG5" s="59">
        <f t="shared" si="11"/>
        <v>140</v>
      </c>
      <c r="AH5" s="59">
        <f t="shared" si="11"/>
        <v>140</v>
      </c>
      <c r="AI5" s="60">
        <f t="shared" si="11"/>
        <v>140</v>
      </c>
    </row>
    <row r="6" spans="1:35" ht="16.5" thickTop="1" thickBot="1" x14ac:dyDescent="0.3">
      <c r="A6" t="s">
        <v>75</v>
      </c>
      <c r="B6" t="s">
        <v>3</v>
      </c>
      <c r="C6" s="85">
        <f>'Axis Sizing'!E59</f>
        <v>120</v>
      </c>
      <c r="D6" s="59">
        <f t="shared" si="0"/>
        <v>120</v>
      </c>
      <c r="E6" s="59">
        <f t="shared" ref="E6:L7" si="14">D6</f>
        <v>120</v>
      </c>
      <c r="F6" s="59">
        <f t="shared" si="14"/>
        <v>120</v>
      </c>
      <c r="G6" s="59">
        <f t="shared" si="14"/>
        <v>120</v>
      </c>
      <c r="H6" s="59">
        <f t="shared" si="14"/>
        <v>120</v>
      </c>
      <c r="I6" s="59">
        <f t="shared" si="14"/>
        <v>120</v>
      </c>
      <c r="J6" s="59">
        <f t="shared" si="14"/>
        <v>120</v>
      </c>
      <c r="K6" s="59">
        <f t="shared" si="14"/>
        <v>120</v>
      </c>
      <c r="L6" s="59">
        <f t="shared" si="14"/>
        <v>120</v>
      </c>
      <c r="M6" s="59">
        <f t="shared" si="13"/>
        <v>120</v>
      </c>
      <c r="N6" s="59">
        <f t="shared" si="13"/>
        <v>120</v>
      </c>
      <c r="O6" s="60">
        <f t="shared" si="3"/>
        <v>120</v>
      </c>
      <c r="P6" s="74">
        <f>$N6</f>
        <v>120</v>
      </c>
      <c r="Q6" s="59">
        <f t="shared" si="4"/>
        <v>120</v>
      </c>
      <c r="R6" s="59">
        <f t="shared" si="5"/>
        <v>120</v>
      </c>
      <c r="S6" s="59">
        <f t="shared" si="6"/>
        <v>120</v>
      </c>
      <c r="T6" s="60">
        <f t="shared" si="7"/>
        <v>120</v>
      </c>
      <c r="U6" s="19">
        <f>$N6*U$77</f>
        <v>30</v>
      </c>
      <c r="V6" s="20">
        <f>$N6*V$77</f>
        <v>60</v>
      </c>
      <c r="W6" s="20">
        <f>$N6*W$77</f>
        <v>120</v>
      </c>
      <c r="X6" s="20">
        <f>$N6*X$77</f>
        <v>240</v>
      </c>
      <c r="Y6" s="38">
        <f>$N6*Y$77</f>
        <v>480</v>
      </c>
      <c r="Z6" s="74">
        <f>$N6</f>
        <v>120</v>
      </c>
      <c r="AA6" s="59">
        <f t="shared" si="9"/>
        <v>120</v>
      </c>
      <c r="AB6" s="59">
        <f t="shared" si="9"/>
        <v>120</v>
      </c>
      <c r="AC6" s="59">
        <f t="shared" si="9"/>
        <v>120</v>
      </c>
      <c r="AD6" s="60">
        <f t="shared" si="9"/>
        <v>120</v>
      </c>
      <c r="AE6" s="74">
        <f t="shared" si="10"/>
        <v>120</v>
      </c>
      <c r="AF6" s="59">
        <f t="shared" si="11"/>
        <v>120</v>
      </c>
      <c r="AG6" s="59">
        <f t="shared" si="11"/>
        <v>120</v>
      </c>
      <c r="AH6" s="59">
        <f t="shared" si="11"/>
        <v>120</v>
      </c>
      <c r="AI6" s="60">
        <f t="shared" si="11"/>
        <v>120</v>
      </c>
    </row>
    <row r="7" spans="1:35" ht="15.75" thickTop="1" x14ac:dyDescent="0.25">
      <c r="A7" t="s">
        <v>373</v>
      </c>
      <c r="B7" t="s">
        <v>3</v>
      </c>
      <c r="C7" s="61">
        <v>-60</v>
      </c>
      <c r="D7" s="59">
        <f t="shared" si="0"/>
        <v>-60</v>
      </c>
      <c r="E7" s="59">
        <f t="shared" si="14"/>
        <v>-60</v>
      </c>
      <c r="F7" s="59">
        <f t="shared" si="14"/>
        <v>-60</v>
      </c>
      <c r="G7" s="59">
        <f t="shared" si="14"/>
        <v>-60</v>
      </c>
      <c r="H7" s="59">
        <f t="shared" si="14"/>
        <v>-60</v>
      </c>
      <c r="I7" s="59">
        <f t="shared" si="14"/>
        <v>-60</v>
      </c>
      <c r="J7" s="59">
        <f t="shared" si="14"/>
        <v>-60</v>
      </c>
      <c r="K7" s="59">
        <f t="shared" si="14"/>
        <v>-60</v>
      </c>
      <c r="L7" s="59">
        <f t="shared" si="14"/>
        <v>-60</v>
      </c>
      <c r="M7" s="59">
        <f t="shared" si="13"/>
        <v>-60</v>
      </c>
      <c r="N7" s="59">
        <f t="shared" si="13"/>
        <v>-60</v>
      </c>
      <c r="O7" s="60">
        <f t="shared" si="3"/>
        <v>-60</v>
      </c>
      <c r="P7" s="74">
        <f>$N7</f>
        <v>-60</v>
      </c>
      <c r="Q7" s="59">
        <f t="shared" si="4"/>
        <v>-60</v>
      </c>
      <c r="R7" s="59">
        <f t="shared" si="5"/>
        <v>-60</v>
      </c>
      <c r="S7" s="59">
        <f t="shared" si="6"/>
        <v>-60</v>
      </c>
      <c r="T7" s="60">
        <f t="shared" si="7"/>
        <v>-60</v>
      </c>
      <c r="U7" s="74">
        <f>$N7</f>
        <v>-60</v>
      </c>
      <c r="V7" s="59">
        <f t="shared" ref="V7:Y9" si="15">U7</f>
        <v>-60</v>
      </c>
      <c r="W7" s="59">
        <f t="shared" si="15"/>
        <v>-60</v>
      </c>
      <c r="X7" s="59">
        <f t="shared" si="15"/>
        <v>-60</v>
      </c>
      <c r="Y7" s="60">
        <f t="shared" si="15"/>
        <v>-60</v>
      </c>
      <c r="Z7" s="19">
        <f>$N7/Z$77</f>
        <v>-240</v>
      </c>
      <c r="AA7" s="20">
        <f>$N7/AA$77</f>
        <v>-120</v>
      </c>
      <c r="AB7" s="20">
        <f>$N7/AB$77</f>
        <v>-60</v>
      </c>
      <c r="AC7" s="20">
        <f>$N7/AC$77</f>
        <v>-30</v>
      </c>
      <c r="AD7" s="38">
        <f>$N7/AD$77</f>
        <v>-15</v>
      </c>
      <c r="AE7" s="74">
        <f t="shared" si="10"/>
        <v>-60</v>
      </c>
      <c r="AF7" s="59">
        <f t="shared" si="11"/>
        <v>-60</v>
      </c>
      <c r="AG7" s="59">
        <f t="shared" si="11"/>
        <v>-60</v>
      </c>
      <c r="AH7" s="59">
        <f t="shared" si="11"/>
        <v>-60</v>
      </c>
      <c r="AI7" s="60">
        <f t="shared" si="11"/>
        <v>-60</v>
      </c>
    </row>
    <row r="8" spans="1:35" x14ac:dyDescent="0.25">
      <c r="A8" t="s">
        <v>346</v>
      </c>
      <c r="B8" t="s">
        <v>3</v>
      </c>
      <c r="C8" s="20">
        <v>-200</v>
      </c>
      <c r="D8" s="59">
        <f t="shared" si="0"/>
        <v>-200</v>
      </c>
      <c r="E8" s="59">
        <f t="shared" ref="E8:L9" si="16">D8</f>
        <v>-200</v>
      </c>
      <c r="F8" s="59">
        <f t="shared" si="16"/>
        <v>-200</v>
      </c>
      <c r="G8" s="59">
        <f t="shared" si="16"/>
        <v>-200</v>
      </c>
      <c r="H8" s="59">
        <f t="shared" si="16"/>
        <v>-200</v>
      </c>
      <c r="I8" s="59">
        <f t="shared" si="16"/>
        <v>-200</v>
      </c>
      <c r="J8" s="59">
        <f t="shared" si="16"/>
        <v>-200</v>
      </c>
      <c r="K8" s="59">
        <f t="shared" si="16"/>
        <v>-200</v>
      </c>
      <c r="L8" s="59">
        <f t="shared" si="16"/>
        <v>-200</v>
      </c>
      <c r="M8" s="59">
        <f>K8</f>
        <v>-200</v>
      </c>
      <c r="N8" s="59">
        <f>L8</f>
        <v>-200</v>
      </c>
      <c r="O8" s="60">
        <f t="shared" si="3"/>
        <v>-200</v>
      </c>
      <c r="P8" s="74">
        <f>$N8</f>
        <v>-200</v>
      </c>
      <c r="Q8" s="59">
        <f t="shared" si="4"/>
        <v>-200</v>
      </c>
      <c r="R8" s="59">
        <f t="shared" si="5"/>
        <v>-200</v>
      </c>
      <c r="S8" s="59">
        <f t="shared" si="6"/>
        <v>-200</v>
      </c>
      <c r="T8" s="60">
        <f t="shared" si="7"/>
        <v>-200</v>
      </c>
      <c r="U8" s="74">
        <f>$N8</f>
        <v>-200</v>
      </c>
      <c r="V8" s="59">
        <f t="shared" si="15"/>
        <v>-200</v>
      </c>
      <c r="W8" s="59">
        <f t="shared" si="15"/>
        <v>-200</v>
      </c>
      <c r="X8" s="59">
        <f t="shared" si="15"/>
        <v>-200</v>
      </c>
      <c r="Y8" s="60">
        <f t="shared" si="15"/>
        <v>-200</v>
      </c>
      <c r="Z8" s="74">
        <f>$N8</f>
        <v>-200</v>
      </c>
      <c r="AA8" s="59">
        <f t="shared" ref="AA8:AD9" si="17">Z8</f>
        <v>-200</v>
      </c>
      <c r="AB8" s="59">
        <f t="shared" si="17"/>
        <v>-200</v>
      </c>
      <c r="AC8" s="59">
        <f t="shared" si="17"/>
        <v>-200</v>
      </c>
      <c r="AD8" s="60">
        <f t="shared" si="17"/>
        <v>-200</v>
      </c>
      <c r="AE8" s="74">
        <f t="shared" si="10"/>
        <v>-200</v>
      </c>
      <c r="AF8" s="59">
        <f t="shared" si="11"/>
        <v>-200</v>
      </c>
      <c r="AG8" s="59">
        <f t="shared" si="11"/>
        <v>-200</v>
      </c>
      <c r="AH8" s="59">
        <f t="shared" si="11"/>
        <v>-200</v>
      </c>
      <c r="AI8" s="60">
        <f t="shared" si="11"/>
        <v>-200</v>
      </c>
    </row>
    <row r="9" spans="1:35" x14ac:dyDescent="0.25">
      <c r="A9" t="s">
        <v>85</v>
      </c>
      <c r="B9" t="s">
        <v>3</v>
      </c>
      <c r="C9" s="20">
        <v>0</v>
      </c>
      <c r="D9" s="59">
        <f t="shared" si="0"/>
        <v>0</v>
      </c>
      <c r="E9" s="59">
        <f t="shared" si="16"/>
        <v>0</v>
      </c>
      <c r="F9" s="59">
        <f t="shared" si="16"/>
        <v>0</v>
      </c>
      <c r="G9" s="59">
        <f t="shared" si="16"/>
        <v>0</v>
      </c>
      <c r="H9" s="59">
        <f t="shared" si="16"/>
        <v>0</v>
      </c>
      <c r="I9" s="59">
        <f t="shared" si="16"/>
        <v>0</v>
      </c>
      <c r="J9" s="59">
        <f t="shared" si="16"/>
        <v>0</v>
      </c>
      <c r="K9" s="59">
        <f t="shared" si="16"/>
        <v>0</v>
      </c>
      <c r="L9" s="59">
        <f t="shared" si="16"/>
        <v>0</v>
      </c>
      <c r="M9" s="59">
        <f>K9</f>
        <v>0</v>
      </c>
      <c r="N9" s="59">
        <f>L9</f>
        <v>0</v>
      </c>
      <c r="O9" s="60">
        <f t="shared" si="3"/>
        <v>0</v>
      </c>
      <c r="P9" s="74">
        <f>$N9</f>
        <v>0</v>
      </c>
      <c r="Q9" s="59">
        <f t="shared" si="4"/>
        <v>0</v>
      </c>
      <c r="R9" s="59">
        <f t="shared" si="5"/>
        <v>0</v>
      </c>
      <c r="S9" s="59">
        <f t="shared" si="6"/>
        <v>0</v>
      </c>
      <c r="T9" s="60">
        <f t="shared" si="7"/>
        <v>0</v>
      </c>
      <c r="U9" s="74">
        <f>$N9</f>
        <v>0</v>
      </c>
      <c r="V9" s="59">
        <f t="shared" si="15"/>
        <v>0</v>
      </c>
      <c r="W9" s="59">
        <f t="shared" si="15"/>
        <v>0</v>
      </c>
      <c r="X9" s="59">
        <f t="shared" si="15"/>
        <v>0</v>
      </c>
      <c r="Y9" s="60">
        <f t="shared" si="15"/>
        <v>0</v>
      </c>
      <c r="Z9" s="74">
        <f>$N9</f>
        <v>0</v>
      </c>
      <c r="AA9" s="59">
        <f t="shared" si="17"/>
        <v>0</v>
      </c>
      <c r="AB9" s="59">
        <f t="shared" si="17"/>
        <v>0</v>
      </c>
      <c r="AC9" s="59">
        <f t="shared" si="17"/>
        <v>0</v>
      </c>
      <c r="AD9" s="60">
        <f t="shared" si="17"/>
        <v>0</v>
      </c>
      <c r="AE9" s="74">
        <f t="shared" si="10"/>
        <v>0</v>
      </c>
      <c r="AF9" s="59">
        <f t="shared" si="11"/>
        <v>0</v>
      </c>
      <c r="AG9" s="59">
        <f t="shared" si="11"/>
        <v>0</v>
      </c>
      <c r="AH9" s="59">
        <f t="shared" si="11"/>
        <v>0</v>
      </c>
      <c r="AI9" s="60">
        <f t="shared" si="11"/>
        <v>0</v>
      </c>
    </row>
    <row r="10" spans="1:35" x14ac:dyDescent="0.25">
      <c r="A10" t="s">
        <v>77</v>
      </c>
      <c r="B10" t="s">
        <v>3</v>
      </c>
      <c r="C10" s="26">
        <f>(C4)*'Axis Sizing'!$E$42+C7</f>
        <v>-60</v>
      </c>
      <c r="D10" s="26">
        <f>(D4)*'Axis Sizing'!$E$42+D7</f>
        <v>-60</v>
      </c>
      <c r="E10" s="26">
        <f>(E4)*'Axis Sizing'!$E$42+E7</f>
        <v>-60</v>
      </c>
      <c r="F10" s="26">
        <f>(F4)*'Axis Sizing'!$E$42+F7</f>
        <v>-60</v>
      </c>
      <c r="G10" s="26">
        <f>(G4)*'Axis Sizing'!$E$42+G7</f>
        <v>-60</v>
      </c>
      <c r="H10" s="26">
        <f>(H4)*'Axis Sizing'!$E$42+H7</f>
        <v>-60</v>
      </c>
      <c r="I10" s="26">
        <f>(I4)*'Axis Sizing'!$E$42+I7</f>
        <v>-60</v>
      </c>
      <c r="J10" s="26">
        <f>(J4)*'Axis Sizing'!$E$42+J7</f>
        <v>-60</v>
      </c>
      <c r="K10" s="26">
        <f>(K4)*'Axis Sizing'!$E$42+K7</f>
        <v>-60</v>
      </c>
      <c r="L10" s="26">
        <f>(L4)*'Axis Sizing'!$E$42+L7</f>
        <v>-60</v>
      </c>
      <c r="M10" s="26">
        <f>(M4)*'Axis Sizing'!$E$42+M7</f>
        <v>-60</v>
      </c>
      <c r="N10" s="26">
        <f>(N4)*'Axis Sizing'!$E$42+N7</f>
        <v>-60</v>
      </c>
      <c r="O10" s="41">
        <f>(O4)*'Axis Sizing'!$E$42+O7</f>
        <v>-60</v>
      </c>
      <c r="P10" s="25">
        <f>(P4)*'Axis Sizing'!$E$42+P7</f>
        <v>-60</v>
      </c>
      <c r="Q10" s="26">
        <f>(Q4)*'Axis Sizing'!$E$42+Q7</f>
        <v>-60</v>
      </c>
      <c r="R10" s="26">
        <f>(R4)*'Axis Sizing'!$E$42+R7</f>
        <v>-60</v>
      </c>
      <c r="S10" s="26">
        <f>(S4)*'Axis Sizing'!$E$42+S7</f>
        <v>-60</v>
      </c>
      <c r="T10" s="41">
        <f>(T4)*'Axis Sizing'!$E$42+T7</f>
        <v>-60</v>
      </c>
      <c r="U10" s="25">
        <f>(U4)*'Axis Sizing'!$E$42+U7</f>
        <v>-60</v>
      </c>
      <c r="V10" s="26">
        <f>(V4)*'Axis Sizing'!$E$42+V7</f>
        <v>-60</v>
      </c>
      <c r="W10" s="26">
        <f>(W4)*'Axis Sizing'!$E$42+W7</f>
        <v>-60</v>
      </c>
      <c r="X10" s="26">
        <f>(X4)*'Axis Sizing'!$E$42+X7</f>
        <v>-60</v>
      </c>
      <c r="Y10" s="41">
        <f>(Y4)*'Axis Sizing'!$E$42+Y7</f>
        <v>-60</v>
      </c>
      <c r="Z10" s="25">
        <f>(Z4)*'Axis Sizing'!$E$42+Z7</f>
        <v>-240</v>
      </c>
      <c r="AA10" s="26">
        <f>(AA4)*'Axis Sizing'!$E$42+AA7</f>
        <v>-120</v>
      </c>
      <c r="AB10" s="26">
        <f>(AB4)*'Axis Sizing'!$E$42+AB7</f>
        <v>-60</v>
      </c>
      <c r="AC10" s="26">
        <f>(AC4)*'Axis Sizing'!$E$42+AC7</f>
        <v>-30</v>
      </c>
      <c r="AD10" s="41">
        <f>(AD4)*'Axis Sizing'!$E$42+AD7</f>
        <v>-15</v>
      </c>
      <c r="AE10" s="25">
        <f>(AE4)*'Axis Sizing'!$E$42+AE7</f>
        <v>-60</v>
      </c>
      <c r="AF10" s="26">
        <f>(AF4)*'Axis Sizing'!$E$42+AF7</f>
        <v>-60</v>
      </c>
      <c r="AG10" s="26">
        <f>(AG4)*'Axis Sizing'!$E$42+AG7</f>
        <v>-60</v>
      </c>
      <c r="AH10" s="26">
        <f>(AH4)*'Axis Sizing'!$E$42+AH7</f>
        <v>-60</v>
      </c>
      <c r="AI10" s="41">
        <f>(AI4)*'Axis Sizing'!$E$42+AI7</f>
        <v>-60</v>
      </c>
    </row>
    <row r="11" spans="1:35" x14ac:dyDescent="0.25">
      <c r="A11" t="s">
        <v>76</v>
      </c>
      <c r="B11" t="s">
        <v>3</v>
      </c>
      <c r="C11" s="20">
        <v>50</v>
      </c>
      <c r="D11" s="59">
        <f t="shared" ref="D11:L11" si="18">C11</f>
        <v>50</v>
      </c>
      <c r="E11" s="59">
        <f t="shared" si="18"/>
        <v>50</v>
      </c>
      <c r="F11" s="59">
        <f t="shared" si="18"/>
        <v>50</v>
      </c>
      <c r="G11" s="59">
        <f t="shared" si="18"/>
        <v>50</v>
      </c>
      <c r="H11" s="59">
        <f t="shared" si="18"/>
        <v>50</v>
      </c>
      <c r="I11" s="59">
        <f t="shared" si="18"/>
        <v>50</v>
      </c>
      <c r="J11" s="59">
        <f t="shared" si="18"/>
        <v>50</v>
      </c>
      <c r="K11" s="59">
        <f t="shared" si="18"/>
        <v>50</v>
      </c>
      <c r="L11" s="59">
        <f t="shared" si="18"/>
        <v>50</v>
      </c>
      <c r="M11" s="59">
        <f>K11</f>
        <v>50</v>
      </c>
      <c r="N11" s="59">
        <f>L11</f>
        <v>50</v>
      </c>
      <c r="O11" s="60">
        <f>N11</f>
        <v>50</v>
      </c>
      <c r="P11" s="74">
        <f>$N11</f>
        <v>50</v>
      </c>
      <c r="Q11" s="59">
        <f>P11</f>
        <v>50</v>
      </c>
      <c r="R11" s="59">
        <f>Q11</f>
        <v>50</v>
      </c>
      <c r="S11" s="59">
        <f>R11</f>
        <v>50</v>
      </c>
      <c r="T11" s="60">
        <f>S11</f>
        <v>50</v>
      </c>
      <c r="U11" s="74">
        <f>$N11</f>
        <v>50</v>
      </c>
      <c r="V11" s="59">
        <f>U11</f>
        <v>50</v>
      </c>
      <c r="W11" s="59">
        <f>V11</f>
        <v>50</v>
      </c>
      <c r="X11" s="59">
        <f>W11</f>
        <v>50</v>
      </c>
      <c r="Y11" s="60">
        <f>X11</f>
        <v>50</v>
      </c>
      <c r="Z11" s="74">
        <f>$N11</f>
        <v>50</v>
      </c>
      <c r="AA11" s="59">
        <f>Z11</f>
        <v>50</v>
      </c>
      <c r="AB11" s="59">
        <f>AA11</f>
        <v>50</v>
      </c>
      <c r="AC11" s="59">
        <f>AB11</f>
        <v>50</v>
      </c>
      <c r="AD11" s="60">
        <f>AC11</f>
        <v>50</v>
      </c>
      <c r="AE11" s="19">
        <f>$N11/AE$77</f>
        <v>200</v>
      </c>
      <c r="AF11" s="20">
        <f>$N11/AF$77</f>
        <v>100</v>
      </c>
      <c r="AG11" s="20">
        <f>$N11/AG$77</f>
        <v>50</v>
      </c>
      <c r="AH11" s="20">
        <f>$N11/AH$77</f>
        <v>25</v>
      </c>
      <c r="AI11" s="38">
        <f>$N11/AI$77</f>
        <v>12.5</v>
      </c>
    </row>
    <row r="12" spans="1:35" x14ac:dyDescent="0.25">
      <c r="A12" t="s">
        <v>86</v>
      </c>
      <c r="B12" t="s">
        <v>3</v>
      </c>
      <c r="C12" s="59">
        <f>C9</f>
        <v>0</v>
      </c>
      <c r="D12" s="59">
        <f t="shared" ref="D12:O12" si="19">D9</f>
        <v>0</v>
      </c>
      <c r="E12" s="59">
        <f t="shared" si="19"/>
        <v>0</v>
      </c>
      <c r="F12" s="59">
        <f t="shared" si="19"/>
        <v>0</v>
      </c>
      <c r="G12" s="59">
        <f t="shared" si="19"/>
        <v>0</v>
      </c>
      <c r="H12" s="59">
        <f t="shared" si="19"/>
        <v>0</v>
      </c>
      <c r="I12" s="59">
        <f t="shared" si="19"/>
        <v>0</v>
      </c>
      <c r="J12" s="59">
        <f t="shared" si="19"/>
        <v>0</v>
      </c>
      <c r="K12" s="59">
        <f t="shared" si="19"/>
        <v>0</v>
      </c>
      <c r="L12" s="59">
        <f t="shared" si="19"/>
        <v>0</v>
      </c>
      <c r="M12" s="59">
        <f>M9</f>
        <v>0</v>
      </c>
      <c r="N12" s="59">
        <f t="shared" si="19"/>
        <v>0</v>
      </c>
      <c r="O12" s="60">
        <f t="shared" si="19"/>
        <v>0</v>
      </c>
      <c r="P12" s="74">
        <f>$N12</f>
        <v>0</v>
      </c>
      <c r="Q12" s="59">
        <f>Q9</f>
        <v>0</v>
      </c>
      <c r="R12" s="59">
        <f>R9</f>
        <v>0</v>
      </c>
      <c r="S12" s="59">
        <f>S9</f>
        <v>0</v>
      </c>
      <c r="T12" s="60">
        <f>T9</f>
        <v>0</v>
      </c>
      <c r="U12" s="74">
        <f>$N12</f>
        <v>0</v>
      </c>
      <c r="V12" s="59">
        <f>V9</f>
        <v>0</v>
      </c>
      <c r="W12" s="59">
        <f>W9</f>
        <v>0</v>
      </c>
      <c r="X12" s="59">
        <f>X9</f>
        <v>0</v>
      </c>
      <c r="Y12" s="60">
        <f>Y9</f>
        <v>0</v>
      </c>
      <c r="Z12" s="74">
        <f>$N12</f>
        <v>0</v>
      </c>
      <c r="AA12" s="59">
        <f>AA9</f>
        <v>0</v>
      </c>
      <c r="AB12" s="59">
        <f>AB9</f>
        <v>0</v>
      </c>
      <c r="AC12" s="59">
        <f>AC9</f>
        <v>0</v>
      </c>
      <c r="AD12" s="60">
        <f>AD9</f>
        <v>0</v>
      </c>
      <c r="AE12" s="74">
        <f>$N12</f>
        <v>0</v>
      </c>
      <c r="AF12" s="59">
        <f>AF9</f>
        <v>0</v>
      </c>
      <c r="AG12" s="59">
        <f>AG9</f>
        <v>0</v>
      </c>
      <c r="AH12" s="59">
        <f>AH9</f>
        <v>0</v>
      </c>
      <c r="AI12" s="60">
        <f>AI9</f>
        <v>0</v>
      </c>
    </row>
    <row r="13" spans="1:35" x14ac:dyDescent="0.25">
      <c r="A13" t="s">
        <v>87</v>
      </c>
      <c r="B13" t="s">
        <v>3</v>
      </c>
      <c r="C13" s="26">
        <f>C10+C8</f>
        <v>-260</v>
      </c>
      <c r="D13" s="26">
        <f t="shared" ref="D13:O13" si="20">D10+D8</f>
        <v>-260</v>
      </c>
      <c r="E13" s="26">
        <f t="shared" si="20"/>
        <v>-260</v>
      </c>
      <c r="F13" s="26">
        <f t="shared" si="20"/>
        <v>-260</v>
      </c>
      <c r="G13" s="26">
        <f t="shared" si="20"/>
        <v>-260</v>
      </c>
      <c r="H13" s="26">
        <f t="shared" si="20"/>
        <v>-260</v>
      </c>
      <c r="I13" s="26">
        <f t="shared" si="20"/>
        <v>-260</v>
      </c>
      <c r="J13" s="26">
        <f t="shared" si="20"/>
        <v>-260</v>
      </c>
      <c r="K13" s="26">
        <f t="shared" si="20"/>
        <v>-260</v>
      </c>
      <c r="L13" s="26">
        <f t="shared" si="20"/>
        <v>-260</v>
      </c>
      <c r="M13" s="26">
        <f>M10+M8</f>
        <v>-260</v>
      </c>
      <c r="N13" s="26">
        <f t="shared" si="20"/>
        <v>-260</v>
      </c>
      <c r="O13" s="41">
        <f t="shared" si="20"/>
        <v>-260</v>
      </c>
      <c r="P13" s="25">
        <f t="shared" ref="P13:AI13" si="21">P10+P8</f>
        <v>-260</v>
      </c>
      <c r="Q13" s="26">
        <f t="shared" si="21"/>
        <v>-260</v>
      </c>
      <c r="R13" s="26">
        <f t="shared" si="21"/>
        <v>-260</v>
      </c>
      <c r="S13" s="26">
        <f t="shared" si="21"/>
        <v>-260</v>
      </c>
      <c r="T13" s="41">
        <f t="shared" si="21"/>
        <v>-260</v>
      </c>
      <c r="U13" s="25">
        <f t="shared" si="21"/>
        <v>-260</v>
      </c>
      <c r="V13" s="26">
        <f t="shared" si="21"/>
        <v>-260</v>
      </c>
      <c r="W13" s="26">
        <f t="shared" si="21"/>
        <v>-260</v>
      </c>
      <c r="X13" s="26">
        <f t="shared" si="21"/>
        <v>-260</v>
      </c>
      <c r="Y13" s="41">
        <f t="shared" si="21"/>
        <v>-260</v>
      </c>
      <c r="Z13" s="25">
        <f t="shared" si="21"/>
        <v>-440</v>
      </c>
      <c r="AA13" s="26">
        <f t="shared" si="21"/>
        <v>-320</v>
      </c>
      <c r="AB13" s="26">
        <f t="shared" si="21"/>
        <v>-260</v>
      </c>
      <c r="AC13" s="26">
        <f t="shared" si="21"/>
        <v>-230</v>
      </c>
      <c r="AD13" s="41">
        <f t="shared" si="21"/>
        <v>-215</v>
      </c>
      <c r="AE13" s="25">
        <f t="shared" si="21"/>
        <v>-260</v>
      </c>
      <c r="AF13" s="26">
        <f t="shared" si="21"/>
        <v>-260</v>
      </c>
      <c r="AG13" s="26">
        <f t="shared" si="21"/>
        <v>-260</v>
      </c>
      <c r="AH13" s="26">
        <f t="shared" si="21"/>
        <v>-260</v>
      </c>
      <c r="AI13" s="41">
        <f t="shared" si="21"/>
        <v>-260</v>
      </c>
    </row>
    <row r="14" spans="1:35" x14ac:dyDescent="0.25">
      <c r="A14" t="s">
        <v>88</v>
      </c>
      <c r="B14" t="s">
        <v>3</v>
      </c>
      <c r="C14" s="6">
        <v>150</v>
      </c>
      <c r="D14" s="59">
        <f>C14</f>
        <v>150</v>
      </c>
      <c r="E14" s="59">
        <f t="shared" ref="E14:AI14" si="22">D14</f>
        <v>150</v>
      </c>
      <c r="F14" s="59">
        <f t="shared" si="22"/>
        <v>150</v>
      </c>
      <c r="G14" s="59">
        <f t="shared" si="22"/>
        <v>150</v>
      </c>
      <c r="H14" s="59">
        <f t="shared" si="22"/>
        <v>150</v>
      </c>
      <c r="I14" s="59">
        <f t="shared" si="22"/>
        <v>150</v>
      </c>
      <c r="J14" s="59">
        <f t="shared" si="22"/>
        <v>150</v>
      </c>
      <c r="K14" s="59">
        <f t="shared" si="22"/>
        <v>150</v>
      </c>
      <c r="L14" s="59">
        <f t="shared" si="22"/>
        <v>150</v>
      </c>
      <c r="M14" s="59">
        <f t="shared" si="22"/>
        <v>150</v>
      </c>
      <c r="N14" s="59">
        <f t="shared" si="22"/>
        <v>150</v>
      </c>
      <c r="O14" s="60">
        <f t="shared" si="22"/>
        <v>150</v>
      </c>
      <c r="P14" s="59">
        <f t="shared" si="22"/>
        <v>150</v>
      </c>
      <c r="Q14" s="59">
        <f t="shared" si="22"/>
        <v>150</v>
      </c>
      <c r="R14" s="59">
        <f t="shared" si="22"/>
        <v>150</v>
      </c>
      <c r="S14" s="59">
        <f t="shared" si="22"/>
        <v>150</v>
      </c>
      <c r="T14" s="60">
        <f t="shared" si="22"/>
        <v>150</v>
      </c>
      <c r="U14" s="59">
        <f t="shared" si="22"/>
        <v>150</v>
      </c>
      <c r="V14" s="59">
        <f t="shared" si="22"/>
        <v>150</v>
      </c>
      <c r="W14" s="59">
        <f t="shared" si="22"/>
        <v>150</v>
      </c>
      <c r="X14" s="59">
        <f t="shared" si="22"/>
        <v>150</v>
      </c>
      <c r="Y14" s="60">
        <f t="shared" si="22"/>
        <v>150</v>
      </c>
      <c r="Z14" s="59">
        <f t="shared" si="22"/>
        <v>150</v>
      </c>
      <c r="AA14" s="59">
        <f t="shared" si="22"/>
        <v>150</v>
      </c>
      <c r="AB14" s="59">
        <f t="shared" si="22"/>
        <v>150</v>
      </c>
      <c r="AC14" s="59">
        <f t="shared" si="22"/>
        <v>150</v>
      </c>
      <c r="AD14" s="60">
        <f t="shared" si="22"/>
        <v>150</v>
      </c>
      <c r="AE14" s="59">
        <f t="shared" si="22"/>
        <v>150</v>
      </c>
      <c r="AF14" s="59">
        <f t="shared" si="22"/>
        <v>150</v>
      </c>
      <c r="AG14" s="59">
        <f t="shared" si="22"/>
        <v>150</v>
      </c>
      <c r="AH14" s="59">
        <f t="shared" si="22"/>
        <v>150</v>
      </c>
      <c r="AI14" s="60">
        <f t="shared" si="22"/>
        <v>150</v>
      </c>
    </row>
    <row r="15" spans="1:35" x14ac:dyDescent="0.25">
      <c r="A15" t="s">
        <v>114</v>
      </c>
      <c r="B15" t="s">
        <v>61</v>
      </c>
      <c r="C15" s="26">
        <f>'Axis Forces'!$E$26</f>
        <v>20</v>
      </c>
      <c r="D15" s="59">
        <f>C15</f>
        <v>20</v>
      </c>
      <c r="E15" s="59">
        <f t="shared" ref="E15:L15" si="23">D15</f>
        <v>20</v>
      </c>
      <c r="F15" s="59">
        <f t="shared" si="23"/>
        <v>20</v>
      </c>
      <c r="G15" s="59">
        <f t="shared" si="23"/>
        <v>20</v>
      </c>
      <c r="H15" s="59">
        <f t="shared" si="23"/>
        <v>20</v>
      </c>
      <c r="I15" s="59">
        <f t="shared" si="23"/>
        <v>20</v>
      </c>
      <c r="J15" s="59">
        <f t="shared" si="23"/>
        <v>20</v>
      </c>
      <c r="K15" s="59">
        <f t="shared" si="23"/>
        <v>20</v>
      </c>
      <c r="L15" s="59">
        <f t="shared" si="23"/>
        <v>20</v>
      </c>
      <c r="M15" s="59">
        <f>K15</f>
        <v>20</v>
      </c>
      <c r="N15" s="59">
        <f>L15</f>
        <v>20</v>
      </c>
      <c r="O15" s="60">
        <f>N15</f>
        <v>20</v>
      </c>
      <c r="P15" s="74">
        <f>$N15</f>
        <v>20</v>
      </c>
      <c r="Q15" s="59">
        <f>P15</f>
        <v>20</v>
      </c>
      <c r="R15" s="59">
        <f>Q15</f>
        <v>20</v>
      </c>
      <c r="S15" s="59">
        <f>R15</f>
        <v>20</v>
      </c>
      <c r="T15" s="60">
        <f>S15</f>
        <v>20</v>
      </c>
      <c r="U15" s="74">
        <f>$N15</f>
        <v>20</v>
      </c>
      <c r="V15" s="59">
        <f>U15</f>
        <v>20</v>
      </c>
      <c r="W15" s="59">
        <f>V15</f>
        <v>20</v>
      </c>
      <c r="X15" s="59">
        <f>W15</f>
        <v>20</v>
      </c>
      <c r="Y15" s="60">
        <f>X15</f>
        <v>20</v>
      </c>
      <c r="Z15" s="74">
        <f>$N15</f>
        <v>20</v>
      </c>
      <c r="AA15" s="59">
        <f>Z15</f>
        <v>20</v>
      </c>
      <c r="AB15" s="59">
        <f>AA15</f>
        <v>20</v>
      </c>
      <c r="AC15" s="59">
        <f>AB15</f>
        <v>20</v>
      </c>
      <c r="AD15" s="60">
        <f>AC15</f>
        <v>20</v>
      </c>
      <c r="AE15" s="74">
        <f>$N15</f>
        <v>20</v>
      </c>
      <c r="AF15" s="59">
        <f>AE15</f>
        <v>20</v>
      </c>
      <c r="AG15" s="59">
        <f>AF15</f>
        <v>20</v>
      </c>
      <c r="AH15" s="59">
        <f>AG15</f>
        <v>20</v>
      </c>
      <c r="AI15" s="60">
        <f>AH15</f>
        <v>20</v>
      </c>
    </row>
    <row r="16" spans="1:35" x14ac:dyDescent="0.25">
      <c r="A16" t="s">
        <v>81</v>
      </c>
      <c r="B16" t="s">
        <v>79</v>
      </c>
      <c r="C16" s="20"/>
      <c r="D16" s="20"/>
      <c r="E16" s="20">
        <v>-10</v>
      </c>
      <c r="F16" s="20"/>
      <c r="G16" s="20">
        <v>-10</v>
      </c>
      <c r="H16" s="20">
        <v>-10</v>
      </c>
      <c r="I16" s="20">
        <v>-10</v>
      </c>
      <c r="J16" s="20"/>
      <c r="K16" s="20"/>
      <c r="L16" s="20"/>
      <c r="M16" s="20"/>
      <c r="N16" s="20">
        <v>-10</v>
      </c>
      <c r="O16" s="38">
        <v>-200</v>
      </c>
      <c r="P16" s="75">
        <f>$N16</f>
        <v>-10</v>
      </c>
      <c r="Q16" s="68">
        <f t="shared" ref="Q16:AI16" si="24">$N16</f>
        <v>-10</v>
      </c>
      <c r="R16" s="68">
        <f t="shared" si="24"/>
        <v>-10</v>
      </c>
      <c r="S16" s="68">
        <f t="shared" si="24"/>
        <v>-10</v>
      </c>
      <c r="T16" s="67">
        <f t="shared" si="24"/>
        <v>-10</v>
      </c>
      <c r="U16" s="75">
        <f>$N16</f>
        <v>-10</v>
      </c>
      <c r="V16" s="68">
        <f t="shared" si="24"/>
        <v>-10</v>
      </c>
      <c r="W16" s="68">
        <f t="shared" si="24"/>
        <v>-10</v>
      </c>
      <c r="X16" s="68">
        <f t="shared" si="24"/>
        <v>-10</v>
      </c>
      <c r="Y16" s="67">
        <f t="shared" si="24"/>
        <v>-10</v>
      </c>
      <c r="Z16" s="75">
        <f>$N16</f>
        <v>-10</v>
      </c>
      <c r="AA16" s="68">
        <f t="shared" si="24"/>
        <v>-10</v>
      </c>
      <c r="AB16" s="68">
        <f t="shared" si="24"/>
        <v>-10</v>
      </c>
      <c r="AC16" s="68">
        <f t="shared" si="24"/>
        <v>-10</v>
      </c>
      <c r="AD16" s="67">
        <f t="shared" si="24"/>
        <v>-10</v>
      </c>
      <c r="AE16" s="75">
        <f>$N16</f>
        <v>-10</v>
      </c>
      <c r="AF16" s="68">
        <f t="shared" si="24"/>
        <v>-10</v>
      </c>
      <c r="AG16" s="68">
        <f t="shared" si="24"/>
        <v>-10</v>
      </c>
      <c r="AH16" s="68">
        <f t="shared" si="24"/>
        <v>-10</v>
      </c>
      <c r="AI16" s="67">
        <f t="shared" si="24"/>
        <v>-10</v>
      </c>
    </row>
    <row r="17" spans="1:35" x14ac:dyDescent="0.25">
      <c r="A17" t="s">
        <v>78</v>
      </c>
      <c r="B17" t="s">
        <v>79</v>
      </c>
      <c r="C17" s="20">
        <v>-10</v>
      </c>
      <c r="D17" s="20">
        <v>-20</v>
      </c>
      <c r="E17" s="20">
        <v>-10</v>
      </c>
      <c r="F17" s="20">
        <v>-10</v>
      </c>
      <c r="G17" s="20">
        <v>-20</v>
      </c>
      <c r="H17" s="20">
        <v>-20</v>
      </c>
      <c r="I17" s="20">
        <v>-20</v>
      </c>
      <c r="J17" s="20">
        <v>-10</v>
      </c>
      <c r="K17" s="20">
        <v>-10</v>
      </c>
      <c r="L17" s="20">
        <v>-10</v>
      </c>
      <c r="M17" s="20">
        <v>-10</v>
      </c>
      <c r="N17" s="20">
        <v>-20</v>
      </c>
      <c r="O17" s="38">
        <v>200</v>
      </c>
      <c r="P17" s="75">
        <f t="shared" ref="P17:AI18" si="25">$N17</f>
        <v>-20</v>
      </c>
      <c r="Q17" s="68">
        <f t="shared" si="25"/>
        <v>-20</v>
      </c>
      <c r="R17" s="68">
        <f t="shared" si="25"/>
        <v>-20</v>
      </c>
      <c r="S17" s="68">
        <f t="shared" si="25"/>
        <v>-20</v>
      </c>
      <c r="T17" s="67">
        <f t="shared" si="25"/>
        <v>-20</v>
      </c>
      <c r="U17" s="75">
        <f t="shared" si="25"/>
        <v>-20</v>
      </c>
      <c r="V17" s="68">
        <f t="shared" si="25"/>
        <v>-20</v>
      </c>
      <c r="W17" s="68">
        <f t="shared" si="25"/>
        <v>-20</v>
      </c>
      <c r="X17" s="68">
        <f t="shared" si="25"/>
        <v>-20</v>
      </c>
      <c r="Y17" s="67">
        <f t="shared" si="25"/>
        <v>-20</v>
      </c>
      <c r="Z17" s="75">
        <f t="shared" si="25"/>
        <v>-20</v>
      </c>
      <c r="AA17" s="68">
        <f t="shared" si="25"/>
        <v>-20</v>
      </c>
      <c r="AB17" s="68">
        <f t="shared" si="25"/>
        <v>-20</v>
      </c>
      <c r="AC17" s="68">
        <f t="shared" si="25"/>
        <v>-20</v>
      </c>
      <c r="AD17" s="67">
        <f t="shared" si="25"/>
        <v>-20</v>
      </c>
      <c r="AE17" s="75">
        <f t="shared" si="25"/>
        <v>-20</v>
      </c>
      <c r="AF17" s="68">
        <f t="shared" si="25"/>
        <v>-20</v>
      </c>
      <c r="AG17" s="68">
        <f t="shared" si="25"/>
        <v>-20</v>
      </c>
      <c r="AH17" s="68">
        <f t="shared" si="25"/>
        <v>-20</v>
      </c>
      <c r="AI17" s="67">
        <f t="shared" si="25"/>
        <v>-20</v>
      </c>
    </row>
    <row r="18" spans="1:35" x14ac:dyDescent="0.25">
      <c r="A18" t="s">
        <v>80</v>
      </c>
      <c r="B18" t="s">
        <v>79</v>
      </c>
      <c r="C18" s="20"/>
      <c r="D18" s="20"/>
      <c r="E18" s="20"/>
      <c r="F18" s="20">
        <v>-10</v>
      </c>
      <c r="G18" s="20">
        <v>-10</v>
      </c>
      <c r="H18" s="20">
        <v>-10</v>
      </c>
      <c r="I18" s="20">
        <v>-10</v>
      </c>
      <c r="J18" s="20"/>
      <c r="K18" s="20"/>
      <c r="L18" s="20"/>
      <c r="M18" s="20"/>
      <c r="N18" s="20">
        <v>-10</v>
      </c>
      <c r="O18" s="38">
        <v>-200</v>
      </c>
      <c r="P18" s="75">
        <f t="shared" si="25"/>
        <v>-10</v>
      </c>
      <c r="Q18" s="68">
        <f t="shared" si="25"/>
        <v>-10</v>
      </c>
      <c r="R18" s="68">
        <f t="shared" si="25"/>
        <v>-10</v>
      </c>
      <c r="S18" s="68">
        <f t="shared" si="25"/>
        <v>-10</v>
      </c>
      <c r="T18" s="67">
        <f t="shared" si="25"/>
        <v>-10</v>
      </c>
      <c r="U18" s="75">
        <f t="shared" si="25"/>
        <v>-10</v>
      </c>
      <c r="V18" s="68">
        <f t="shared" si="25"/>
        <v>-10</v>
      </c>
      <c r="W18" s="68">
        <f t="shared" si="25"/>
        <v>-10</v>
      </c>
      <c r="X18" s="68">
        <f t="shared" si="25"/>
        <v>-10</v>
      </c>
      <c r="Y18" s="67">
        <f t="shared" si="25"/>
        <v>-10</v>
      </c>
      <c r="Z18" s="75">
        <f t="shared" si="25"/>
        <v>-10</v>
      </c>
      <c r="AA18" s="68">
        <f t="shared" si="25"/>
        <v>-10</v>
      </c>
      <c r="AB18" s="68">
        <f t="shared" si="25"/>
        <v>-10</v>
      </c>
      <c r="AC18" s="68">
        <f t="shared" si="25"/>
        <v>-10</v>
      </c>
      <c r="AD18" s="67">
        <f t="shared" si="25"/>
        <v>-10</v>
      </c>
      <c r="AE18" s="75">
        <f t="shared" si="25"/>
        <v>-10</v>
      </c>
      <c r="AF18" s="68">
        <f t="shared" si="25"/>
        <v>-10</v>
      </c>
      <c r="AG18" s="68">
        <f t="shared" si="25"/>
        <v>-10</v>
      </c>
      <c r="AH18" s="68">
        <f t="shared" si="25"/>
        <v>-10</v>
      </c>
      <c r="AI18" s="67">
        <f t="shared" si="25"/>
        <v>-10</v>
      </c>
    </row>
    <row r="19" spans="1:35" x14ac:dyDescent="0.25">
      <c r="A19" t="s">
        <v>97</v>
      </c>
      <c r="B19" t="s">
        <v>19</v>
      </c>
      <c r="C19" s="26">
        <f t="shared" ref="C19:J21" si="26">C$15*C16</f>
        <v>0</v>
      </c>
      <c r="D19" s="26">
        <f t="shared" si="26"/>
        <v>0</v>
      </c>
      <c r="E19" s="26">
        <f t="shared" si="26"/>
        <v>-200</v>
      </c>
      <c r="F19" s="26">
        <f t="shared" si="26"/>
        <v>0</v>
      </c>
      <c r="G19" s="26">
        <f t="shared" si="26"/>
        <v>-200</v>
      </c>
      <c r="H19" s="26">
        <f t="shared" si="26"/>
        <v>-200</v>
      </c>
      <c r="I19" s="26">
        <f t="shared" si="26"/>
        <v>-200</v>
      </c>
      <c r="J19" s="26">
        <f t="shared" si="26"/>
        <v>0</v>
      </c>
      <c r="K19" s="26">
        <f t="shared" ref="K19:U19" si="27">K$15*K16</f>
        <v>0</v>
      </c>
      <c r="L19" s="26">
        <f t="shared" si="27"/>
        <v>0</v>
      </c>
      <c r="M19" s="26">
        <f t="shared" si="27"/>
        <v>0</v>
      </c>
      <c r="N19" s="26">
        <f t="shared" si="27"/>
        <v>-200</v>
      </c>
      <c r="O19" s="41">
        <f t="shared" si="27"/>
        <v>-4000</v>
      </c>
      <c r="P19" s="25">
        <f t="shared" si="27"/>
        <v>-200</v>
      </c>
      <c r="Q19" s="26">
        <f t="shared" si="27"/>
        <v>-200</v>
      </c>
      <c r="R19" s="26">
        <f t="shared" si="27"/>
        <v>-200</v>
      </c>
      <c r="S19" s="26">
        <f t="shared" si="27"/>
        <v>-200</v>
      </c>
      <c r="T19" s="41">
        <f t="shared" si="27"/>
        <v>-200</v>
      </c>
      <c r="U19" s="25">
        <f t="shared" si="27"/>
        <v>-200</v>
      </c>
      <c r="V19" s="26">
        <f t="shared" ref="V19:AE19" si="28">V$15*V16</f>
        <v>-200</v>
      </c>
      <c r="W19" s="26">
        <f t="shared" si="28"/>
        <v>-200</v>
      </c>
      <c r="X19" s="26">
        <f t="shared" si="28"/>
        <v>-200</v>
      </c>
      <c r="Y19" s="41">
        <f t="shared" si="28"/>
        <v>-200</v>
      </c>
      <c r="Z19" s="25">
        <f t="shared" si="28"/>
        <v>-200</v>
      </c>
      <c r="AA19" s="26">
        <f t="shared" ref="AA19:AD21" si="29">AA$15*AA16</f>
        <v>-200</v>
      </c>
      <c r="AB19" s="26">
        <f t="shared" si="29"/>
        <v>-200</v>
      </c>
      <c r="AC19" s="26">
        <f t="shared" si="29"/>
        <v>-200</v>
      </c>
      <c r="AD19" s="41">
        <f t="shared" si="29"/>
        <v>-200</v>
      </c>
      <c r="AE19" s="25">
        <f t="shared" si="28"/>
        <v>-200</v>
      </c>
      <c r="AF19" s="26">
        <f t="shared" ref="AF19:AI21" si="30">AF$15*AF16</f>
        <v>-200</v>
      </c>
      <c r="AG19" s="26">
        <f t="shared" si="30"/>
        <v>-200</v>
      </c>
      <c r="AH19" s="26">
        <f t="shared" si="30"/>
        <v>-200</v>
      </c>
      <c r="AI19" s="41">
        <f t="shared" si="30"/>
        <v>-200</v>
      </c>
    </row>
    <row r="20" spans="1:35" x14ac:dyDescent="0.25">
      <c r="A20" t="s">
        <v>95</v>
      </c>
      <c r="B20" t="s">
        <v>19</v>
      </c>
      <c r="C20" s="26">
        <f t="shared" si="26"/>
        <v>-200</v>
      </c>
      <c r="D20" s="26">
        <f t="shared" si="26"/>
        <v>-400</v>
      </c>
      <c r="E20" s="26">
        <f t="shared" si="26"/>
        <v>-200</v>
      </c>
      <c r="F20" s="26">
        <f t="shared" si="26"/>
        <v>-200</v>
      </c>
      <c r="G20" s="26">
        <f t="shared" si="26"/>
        <v>-400</v>
      </c>
      <c r="H20" s="26">
        <f t="shared" si="26"/>
        <v>-400</v>
      </c>
      <c r="I20" s="26">
        <f t="shared" si="26"/>
        <v>-400</v>
      </c>
      <c r="J20" s="26">
        <f t="shared" si="26"/>
        <v>-200</v>
      </c>
      <c r="K20" s="26">
        <f t="shared" ref="K20:U20" si="31">K$15*K17</f>
        <v>-200</v>
      </c>
      <c r="L20" s="26">
        <f t="shared" si="31"/>
        <v>-200</v>
      </c>
      <c r="M20" s="26">
        <f t="shared" si="31"/>
        <v>-200</v>
      </c>
      <c r="N20" s="26">
        <f t="shared" si="31"/>
        <v>-400</v>
      </c>
      <c r="O20" s="41">
        <f t="shared" si="31"/>
        <v>4000</v>
      </c>
      <c r="P20" s="25">
        <f t="shared" si="31"/>
        <v>-400</v>
      </c>
      <c r="Q20" s="26">
        <f t="shared" si="31"/>
        <v>-400</v>
      </c>
      <c r="R20" s="26">
        <f t="shared" si="31"/>
        <v>-400</v>
      </c>
      <c r="S20" s="26">
        <f t="shared" si="31"/>
        <v>-400</v>
      </c>
      <c r="T20" s="41">
        <f t="shared" si="31"/>
        <v>-400</v>
      </c>
      <c r="U20" s="25">
        <f t="shared" si="31"/>
        <v>-400</v>
      </c>
      <c r="V20" s="26">
        <f t="shared" ref="V20:AE20" si="32">V$15*V17</f>
        <v>-400</v>
      </c>
      <c r="W20" s="26">
        <f t="shared" si="32"/>
        <v>-400</v>
      </c>
      <c r="X20" s="26">
        <f t="shared" si="32"/>
        <v>-400</v>
      </c>
      <c r="Y20" s="41">
        <f t="shared" si="32"/>
        <v>-400</v>
      </c>
      <c r="Z20" s="25">
        <f t="shared" si="32"/>
        <v>-400</v>
      </c>
      <c r="AA20" s="26">
        <f t="shared" si="29"/>
        <v>-400</v>
      </c>
      <c r="AB20" s="26">
        <f t="shared" si="29"/>
        <v>-400</v>
      </c>
      <c r="AC20" s="26">
        <f t="shared" si="29"/>
        <v>-400</v>
      </c>
      <c r="AD20" s="41">
        <f t="shared" si="29"/>
        <v>-400</v>
      </c>
      <c r="AE20" s="25">
        <f t="shared" si="32"/>
        <v>-400</v>
      </c>
      <c r="AF20" s="26">
        <f t="shared" si="30"/>
        <v>-400</v>
      </c>
      <c r="AG20" s="26">
        <f t="shared" si="30"/>
        <v>-400</v>
      </c>
      <c r="AH20" s="26">
        <f t="shared" si="30"/>
        <v>-400</v>
      </c>
      <c r="AI20" s="41">
        <f t="shared" si="30"/>
        <v>-400</v>
      </c>
    </row>
    <row r="21" spans="1:35" x14ac:dyDescent="0.25">
      <c r="A21" t="s">
        <v>96</v>
      </c>
      <c r="B21" t="s">
        <v>19</v>
      </c>
      <c r="C21" s="26">
        <f t="shared" si="26"/>
        <v>0</v>
      </c>
      <c r="D21" s="26">
        <f t="shared" si="26"/>
        <v>0</v>
      </c>
      <c r="E21" s="26">
        <f t="shared" si="26"/>
        <v>0</v>
      </c>
      <c r="F21" s="26">
        <f t="shared" si="26"/>
        <v>-200</v>
      </c>
      <c r="G21" s="26">
        <f t="shared" si="26"/>
        <v>-200</v>
      </c>
      <c r="H21" s="26">
        <f t="shared" si="26"/>
        <v>-200</v>
      </c>
      <c r="I21" s="26">
        <f t="shared" si="26"/>
        <v>-200</v>
      </c>
      <c r="J21" s="26">
        <f t="shared" si="26"/>
        <v>0</v>
      </c>
      <c r="K21" s="26">
        <f t="shared" ref="K21:U21" si="33">K$15*K18</f>
        <v>0</v>
      </c>
      <c r="L21" s="26">
        <f t="shared" si="33"/>
        <v>0</v>
      </c>
      <c r="M21" s="26">
        <f t="shared" si="33"/>
        <v>0</v>
      </c>
      <c r="N21" s="26">
        <f t="shared" si="33"/>
        <v>-200</v>
      </c>
      <c r="O21" s="41">
        <f t="shared" si="33"/>
        <v>-4000</v>
      </c>
      <c r="P21" s="25">
        <f t="shared" si="33"/>
        <v>-200</v>
      </c>
      <c r="Q21" s="26">
        <f t="shared" si="33"/>
        <v>-200</v>
      </c>
      <c r="R21" s="26">
        <f t="shared" si="33"/>
        <v>-200</v>
      </c>
      <c r="S21" s="26">
        <f t="shared" si="33"/>
        <v>-200</v>
      </c>
      <c r="T21" s="41">
        <f t="shared" si="33"/>
        <v>-200</v>
      </c>
      <c r="U21" s="25">
        <f t="shared" si="33"/>
        <v>-200</v>
      </c>
      <c r="V21" s="26">
        <f t="shared" ref="V21:AE21" si="34">V$15*V18</f>
        <v>-200</v>
      </c>
      <c r="W21" s="26">
        <f t="shared" si="34"/>
        <v>-200</v>
      </c>
      <c r="X21" s="26">
        <f t="shared" si="34"/>
        <v>-200</v>
      </c>
      <c r="Y21" s="41">
        <f t="shared" si="34"/>
        <v>-200</v>
      </c>
      <c r="Z21" s="25">
        <f t="shared" si="34"/>
        <v>-200</v>
      </c>
      <c r="AA21" s="26">
        <f t="shared" si="29"/>
        <v>-200</v>
      </c>
      <c r="AB21" s="26">
        <f t="shared" si="29"/>
        <v>-200</v>
      </c>
      <c r="AC21" s="26">
        <f t="shared" si="29"/>
        <v>-200</v>
      </c>
      <c r="AD21" s="41">
        <f t="shared" si="29"/>
        <v>-200</v>
      </c>
      <c r="AE21" s="25">
        <f t="shared" si="34"/>
        <v>-200</v>
      </c>
      <c r="AF21" s="26">
        <f t="shared" si="30"/>
        <v>-200</v>
      </c>
      <c r="AG21" s="26">
        <f t="shared" si="30"/>
        <v>-200</v>
      </c>
      <c r="AH21" s="26">
        <f t="shared" si="30"/>
        <v>-200</v>
      </c>
      <c r="AI21" s="41">
        <f t="shared" si="30"/>
        <v>-200</v>
      </c>
    </row>
    <row r="22" spans="1:35" x14ac:dyDescent="0.25">
      <c r="A22" t="s">
        <v>92</v>
      </c>
      <c r="B22" t="s">
        <v>19</v>
      </c>
      <c r="C22" s="20"/>
      <c r="D22" s="20"/>
      <c r="E22" s="20"/>
      <c r="F22" s="20"/>
      <c r="G22" s="20"/>
      <c r="H22" s="20">
        <f>-1*'Axis Sizing'!C10</f>
        <v>-300.78740157480314</v>
      </c>
      <c r="I22" s="20"/>
      <c r="J22" s="20"/>
      <c r="K22" s="61">
        <f>'Axis Sizing'!C46</f>
        <v>5340.7075111026479</v>
      </c>
      <c r="L22" s="20"/>
      <c r="M22" s="61">
        <f>N22</f>
        <v>-5340.7075111026479</v>
      </c>
      <c r="N22" s="61">
        <f>-K22</f>
        <v>-5340.7075111026479</v>
      </c>
      <c r="O22" s="62">
        <f>N22</f>
        <v>-5340.7075111026479</v>
      </c>
      <c r="P22" s="75">
        <f>$N22</f>
        <v>-5340.7075111026479</v>
      </c>
      <c r="Q22" s="68">
        <f t="shared" ref="Q22:AI22" si="35">$N22</f>
        <v>-5340.7075111026479</v>
      </c>
      <c r="R22" s="68">
        <f t="shared" si="35"/>
        <v>-5340.7075111026479</v>
      </c>
      <c r="S22" s="68">
        <f t="shared" si="35"/>
        <v>-5340.7075111026479</v>
      </c>
      <c r="T22" s="67">
        <f t="shared" si="35"/>
        <v>-5340.7075111026479</v>
      </c>
      <c r="U22" s="75">
        <f>$N22</f>
        <v>-5340.7075111026479</v>
      </c>
      <c r="V22" s="68">
        <f t="shared" si="35"/>
        <v>-5340.7075111026479</v>
      </c>
      <c r="W22" s="68">
        <f t="shared" si="35"/>
        <v>-5340.7075111026479</v>
      </c>
      <c r="X22" s="68">
        <f t="shared" si="35"/>
        <v>-5340.7075111026479</v>
      </c>
      <c r="Y22" s="67">
        <f t="shared" si="35"/>
        <v>-5340.7075111026479</v>
      </c>
      <c r="Z22" s="75">
        <f>$N22</f>
        <v>-5340.7075111026479</v>
      </c>
      <c r="AA22" s="68">
        <f t="shared" si="35"/>
        <v>-5340.7075111026479</v>
      </c>
      <c r="AB22" s="68">
        <f t="shared" si="35"/>
        <v>-5340.7075111026479</v>
      </c>
      <c r="AC22" s="68">
        <f t="shared" si="35"/>
        <v>-5340.7075111026479</v>
      </c>
      <c r="AD22" s="67">
        <f t="shared" si="35"/>
        <v>-5340.7075111026479</v>
      </c>
      <c r="AE22" s="75">
        <f>$N22</f>
        <v>-5340.7075111026479</v>
      </c>
      <c r="AF22" s="68">
        <f t="shared" si="35"/>
        <v>-5340.7075111026479</v>
      </c>
      <c r="AG22" s="68">
        <f t="shared" si="35"/>
        <v>-5340.7075111026479</v>
      </c>
      <c r="AH22" s="68">
        <f t="shared" si="35"/>
        <v>-5340.7075111026479</v>
      </c>
      <c r="AI22" s="67">
        <f t="shared" si="35"/>
        <v>-5340.7075111026479</v>
      </c>
    </row>
    <row r="23" spans="1:35" x14ac:dyDescent="0.25">
      <c r="A23" t="s">
        <v>93</v>
      </c>
      <c r="B23" t="s">
        <v>19</v>
      </c>
      <c r="C23" s="20"/>
      <c r="D23" s="20"/>
      <c r="E23" s="20"/>
      <c r="F23" s="20"/>
      <c r="G23" s="20"/>
      <c r="H23" s="20"/>
      <c r="I23" s="20"/>
      <c r="J23" s="61">
        <f>-'Axis Sizing'!E46</f>
        <v>-3141.5926535897929</v>
      </c>
      <c r="K23" s="61"/>
      <c r="L23" s="61"/>
      <c r="M23" s="61">
        <f>N23</f>
        <v>-3141.5926535897929</v>
      </c>
      <c r="N23" s="61">
        <f>J23</f>
        <v>-3141.5926535897929</v>
      </c>
      <c r="O23" s="62">
        <f>N23</f>
        <v>-3141.5926535897929</v>
      </c>
      <c r="P23" s="75">
        <f t="shared" ref="P23:AI24" si="36">$N23</f>
        <v>-3141.5926535897929</v>
      </c>
      <c r="Q23" s="68">
        <f t="shared" si="36"/>
        <v>-3141.5926535897929</v>
      </c>
      <c r="R23" s="68">
        <f t="shared" si="36"/>
        <v>-3141.5926535897929</v>
      </c>
      <c r="S23" s="68">
        <f t="shared" si="36"/>
        <v>-3141.5926535897929</v>
      </c>
      <c r="T23" s="67">
        <f t="shared" si="36"/>
        <v>-3141.5926535897929</v>
      </c>
      <c r="U23" s="75">
        <f t="shared" si="36"/>
        <v>-3141.5926535897929</v>
      </c>
      <c r="V23" s="68">
        <f t="shared" si="36"/>
        <v>-3141.5926535897929</v>
      </c>
      <c r="W23" s="68">
        <f t="shared" si="36"/>
        <v>-3141.5926535897929</v>
      </c>
      <c r="X23" s="68">
        <f t="shared" si="36"/>
        <v>-3141.5926535897929</v>
      </c>
      <c r="Y23" s="67">
        <f t="shared" si="36"/>
        <v>-3141.5926535897929</v>
      </c>
      <c r="Z23" s="75">
        <f t="shared" si="36"/>
        <v>-3141.5926535897929</v>
      </c>
      <c r="AA23" s="68">
        <f t="shared" si="36"/>
        <v>-3141.5926535897929</v>
      </c>
      <c r="AB23" s="68">
        <f t="shared" si="36"/>
        <v>-3141.5926535897929</v>
      </c>
      <c r="AC23" s="68">
        <f t="shared" si="36"/>
        <v>-3141.5926535897929</v>
      </c>
      <c r="AD23" s="67">
        <f t="shared" si="36"/>
        <v>-3141.5926535897929</v>
      </c>
      <c r="AE23" s="75">
        <f t="shared" si="36"/>
        <v>-3141.5926535897929</v>
      </c>
      <c r="AF23" s="68">
        <f t="shared" si="36"/>
        <v>-3141.5926535897929</v>
      </c>
      <c r="AG23" s="68">
        <f t="shared" si="36"/>
        <v>-3141.5926535897929</v>
      </c>
      <c r="AH23" s="68">
        <f t="shared" si="36"/>
        <v>-3141.5926535897929</v>
      </c>
      <c r="AI23" s="67">
        <f t="shared" si="36"/>
        <v>-3141.5926535897929</v>
      </c>
    </row>
    <row r="24" spans="1:35" x14ac:dyDescent="0.25">
      <c r="A24" t="s">
        <v>94</v>
      </c>
      <c r="B24" t="s">
        <v>19</v>
      </c>
      <c r="C24" s="20"/>
      <c r="D24" s="20"/>
      <c r="E24" s="20"/>
      <c r="F24" s="20"/>
      <c r="G24" s="20"/>
      <c r="H24" s="20"/>
      <c r="I24" s="20">
        <f>-1*'Axis Sizing'!D10</f>
        <v>-300.78740157480314</v>
      </c>
      <c r="J24" s="20"/>
      <c r="K24" s="20"/>
      <c r="L24" s="20">
        <f>-2*'Axis Sizing'!E46</f>
        <v>-6283.1853071795858</v>
      </c>
      <c r="M24" s="61">
        <f>N24</f>
        <v>-6283.1853071795858</v>
      </c>
      <c r="N24" s="20">
        <f>L24</f>
        <v>-6283.1853071795858</v>
      </c>
      <c r="O24" s="62">
        <f>N24</f>
        <v>-6283.1853071795858</v>
      </c>
      <c r="P24" s="75">
        <f t="shared" si="36"/>
        <v>-6283.1853071795858</v>
      </c>
      <c r="Q24" s="68">
        <f t="shared" si="36"/>
        <v>-6283.1853071795858</v>
      </c>
      <c r="R24" s="68">
        <f t="shared" si="36"/>
        <v>-6283.1853071795858</v>
      </c>
      <c r="S24" s="68">
        <f t="shared" si="36"/>
        <v>-6283.1853071795858</v>
      </c>
      <c r="T24" s="67">
        <f t="shared" si="36"/>
        <v>-6283.1853071795858</v>
      </c>
      <c r="U24" s="75">
        <f t="shared" si="36"/>
        <v>-6283.1853071795858</v>
      </c>
      <c r="V24" s="68">
        <f t="shared" si="36"/>
        <v>-6283.1853071795858</v>
      </c>
      <c r="W24" s="68">
        <f t="shared" si="36"/>
        <v>-6283.1853071795858</v>
      </c>
      <c r="X24" s="68">
        <f t="shared" si="36"/>
        <v>-6283.1853071795858</v>
      </c>
      <c r="Y24" s="67">
        <f t="shared" si="36"/>
        <v>-6283.1853071795858</v>
      </c>
      <c r="Z24" s="75">
        <f t="shared" si="36"/>
        <v>-6283.1853071795858</v>
      </c>
      <c r="AA24" s="68">
        <f t="shared" si="36"/>
        <v>-6283.1853071795858</v>
      </c>
      <c r="AB24" s="68">
        <f t="shared" si="36"/>
        <v>-6283.1853071795858</v>
      </c>
      <c r="AC24" s="68">
        <f t="shared" si="36"/>
        <v>-6283.1853071795858</v>
      </c>
      <c r="AD24" s="67">
        <f t="shared" si="36"/>
        <v>-6283.1853071795858</v>
      </c>
      <c r="AE24" s="75">
        <f t="shared" si="36"/>
        <v>-6283.1853071795858</v>
      </c>
      <c r="AF24" s="68">
        <f t="shared" si="36"/>
        <v>-6283.1853071795858</v>
      </c>
      <c r="AG24" s="68">
        <f t="shared" si="36"/>
        <v>-6283.1853071795858</v>
      </c>
      <c r="AH24" s="68">
        <f t="shared" si="36"/>
        <v>-6283.1853071795858</v>
      </c>
      <c r="AI24" s="67">
        <f t="shared" si="36"/>
        <v>-6283.1853071795858</v>
      </c>
    </row>
    <row r="25" spans="1:35" hidden="1" outlineLevel="1" x14ac:dyDescent="0.25">
      <c r="A25" t="s">
        <v>110</v>
      </c>
      <c r="B25" t="s">
        <v>4</v>
      </c>
      <c r="C25" s="26">
        <f t="shared" ref="C25:O25" si="37">C20*C11/1000</f>
        <v>-10</v>
      </c>
      <c r="D25" s="26">
        <f t="shared" si="37"/>
        <v>-20</v>
      </c>
      <c r="E25" s="26">
        <f t="shared" si="37"/>
        <v>-10</v>
      </c>
      <c r="F25" s="26">
        <f t="shared" si="37"/>
        <v>-10</v>
      </c>
      <c r="G25" s="26">
        <f t="shared" si="37"/>
        <v>-20</v>
      </c>
      <c r="H25" s="26">
        <f t="shared" si="37"/>
        <v>-20</v>
      </c>
      <c r="I25" s="26">
        <f t="shared" si="37"/>
        <v>-20</v>
      </c>
      <c r="J25" s="26">
        <f t="shared" si="37"/>
        <v>-10</v>
      </c>
      <c r="K25" s="26">
        <f t="shared" si="37"/>
        <v>-10</v>
      </c>
      <c r="L25" s="26">
        <f t="shared" si="37"/>
        <v>-10</v>
      </c>
      <c r="M25" s="26">
        <f>M20*M11/1000</f>
        <v>-10</v>
      </c>
      <c r="N25" s="26">
        <f t="shared" si="37"/>
        <v>-20</v>
      </c>
      <c r="O25" s="41">
        <f t="shared" si="37"/>
        <v>200</v>
      </c>
      <c r="P25" s="25">
        <f t="shared" ref="P25:AI25" si="38">P20*P11/1000</f>
        <v>-20</v>
      </c>
      <c r="Q25" s="26">
        <f t="shared" si="38"/>
        <v>-20</v>
      </c>
      <c r="R25" s="26">
        <f t="shared" si="38"/>
        <v>-20</v>
      </c>
      <c r="S25" s="26">
        <f t="shared" si="38"/>
        <v>-20</v>
      </c>
      <c r="T25" s="41">
        <f t="shared" si="38"/>
        <v>-20</v>
      </c>
      <c r="U25" s="25">
        <f t="shared" si="38"/>
        <v>-20</v>
      </c>
      <c r="V25" s="26">
        <f t="shared" si="38"/>
        <v>-20</v>
      </c>
      <c r="W25" s="26">
        <f t="shared" si="38"/>
        <v>-20</v>
      </c>
      <c r="X25" s="26">
        <f t="shared" si="38"/>
        <v>-20</v>
      </c>
      <c r="Y25" s="41">
        <f t="shared" si="38"/>
        <v>-20</v>
      </c>
      <c r="Z25" s="25">
        <f t="shared" si="38"/>
        <v>-20</v>
      </c>
      <c r="AA25" s="26">
        <f t="shared" si="38"/>
        <v>-20</v>
      </c>
      <c r="AB25" s="26">
        <f t="shared" si="38"/>
        <v>-20</v>
      </c>
      <c r="AC25" s="26">
        <f t="shared" si="38"/>
        <v>-20</v>
      </c>
      <c r="AD25" s="41">
        <f t="shared" si="38"/>
        <v>-20</v>
      </c>
      <c r="AE25" s="25">
        <f t="shared" si="38"/>
        <v>-80</v>
      </c>
      <c r="AF25" s="26">
        <f t="shared" si="38"/>
        <v>-40</v>
      </c>
      <c r="AG25" s="26">
        <f t="shared" si="38"/>
        <v>-20</v>
      </c>
      <c r="AH25" s="26">
        <f t="shared" si="38"/>
        <v>-10</v>
      </c>
      <c r="AI25" s="41">
        <f t="shared" si="38"/>
        <v>-5</v>
      </c>
    </row>
    <row r="26" spans="1:35" hidden="1" outlineLevel="1" x14ac:dyDescent="0.25">
      <c r="A26" t="s">
        <v>111</v>
      </c>
      <c r="B26" t="s">
        <v>4</v>
      </c>
      <c r="C26" s="26">
        <f t="shared" ref="C26:O26" si="39">C23*C14/1000</f>
        <v>0</v>
      </c>
      <c r="D26" s="26">
        <f t="shared" si="39"/>
        <v>0</v>
      </c>
      <c r="E26" s="26">
        <f t="shared" si="39"/>
        <v>0</v>
      </c>
      <c r="F26" s="26">
        <f t="shared" si="39"/>
        <v>0</v>
      </c>
      <c r="G26" s="26">
        <f t="shared" si="39"/>
        <v>0</v>
      </c>
      <c r="H26" s="26">
        <f t="shared" si="39"/>
        <v>0</v>
      </c>
      <c r="I26" s="26">
        <f t="shared" si="39"/>
        <v>0</v>
      </c>
      <c r="J26" s="26">
        <f t="shared" si="39"/>
        <v>-471.23889803846896</v>
      </c>
      <c r="K26" s="26">
        <f t="shared" si="39"/>
        <v>0</v>
      </c>
      <c r="L26" s="26">
        <f t="shared" si="39"/>
        <v>0</v>
      </c>
      <c r="M26" s="26">
        <f>M23*M14/1000</f>
        <v>-471.23889803846896</v>
      </c>
      <c r="N26" s="26">
        <f t="shared" si="39"/>
        <v>-471.23889803846896</v>
      </c>
      <c r="O26" s="41">
        <f t="shared" si="39"/>
        <v>-471.23889803846896</v>
      </c>
      <c r="P26" s="25">
        <f t="shared" ref="P26:AI26" si="40">P23*P14/1000</f>
        <v>-471.23889803846896</v>
      </c>
      <c r="Q26" s="26">
        <f t="shared" si="40"/>
        <v>-471.23889803846896</v>
      </c>
      <c r="R26" s="26">
        <f t="shared" si="40"/>
        <v>-471.23889803846896</v>
      </c>
      <c r="S26" s="26">
        <f t="shared" si="40"/>
        <v>-471.23889803846896</v>
      </c>
      <c r="T26" s="41">
        <f t="shared" si="40"/>
        <v>-471.23889803846896</v>
      </c>
      <c r="U26" s="25">
        <f t="shared" si="40"/>
        <v>-471.23889803846896</v>
      </c>
      <c r="V26" s="26">
        <f t="shared" si="40"/>
        <v>-471.23889803846896</v>
      </c>
      <c r="W26" s="26">
        <f t="shared" si="40"/>
        <v>-471.23889803846896</v>
      </c>
      <c r="X26" s="26">
        <f t="shared" si="40"/>
        <v>-471.23889803846896</v>
      </c>
      <c r="Y26" s="41">
        <f t="shared" si="40"/>
        <v>-471.23889803846896</v>
      </c>
      <c r="Z26" s="25">
        <f t="shared" si="40"/>
        <v>-471.23889803846896</v>
      </c>
      <c r="AA26" s="26">
        <f t="shared" si="40"/>
        <v>-471.23889803846896</v>
      </c>
      <c r="AB26" s="26">
        <f t="shared" si="40"/>
        <v>-471.23889803846896</v>
      </c>
      <c r="AC26" s="26">
        <f t="shared" si="40"/>
        <v>-471.23889803846896</v>
      </c>
      <c r="AD26" s="41">
        <f t="shared" si="40"/>
        <v>-471.23889803846896</v>
      </c>
      <c r="AE26" s="25">
        <f t="shared" si="40"/>
        <v>-471.23889803846896</v>
      </c>
      <c r="AF26" s="26">
        <f t="shared" si="40"/>
        <v>-471.23889803846896</v>
      </c>
      <c r="AG26" s="26">
        <f t="shared" si="40"/>
        <v>-471.23889803846896</v>
      </c>
      <c r="AH26" s="26">
        <f t="shared" si="40"/>
        <v>-471.23889803846896</v>
      </c>
      <c r="AI26" s="41">
        <f t="shared" si="40"/>
        <v>-471.23889803846896</v>
      </c>
    </row>
    <row r="27" spans="1:35" hidden="1" outlineLevel="1" x14ac:dyDescent="0.25">
      <c r="A27" t="s">
        <v>112</v>
      </c>
      <c r="B27" t="s">
        <v>4</v>
      </c>
      <c r="C27" s="26">
        <f t="shared" ref="C27:O27" si="41">-C21*C10/1000</f>
        <v>0</v>
      </c>
      <c r="D27" s="26">
        <f t="shared" si="41"/>
        <v>0</v>
      </c>
      <c r="E27" s="26">
        <f t="shared" si="41"/>
        <v>0</v>
      </c>
      <c r="F27" s="26">
        <f t="shared" si="41"/>
        <v>-12</v>
      </c>
      <c r="G27" s="26">
        <f t="shared" si="41"/>
        <v>-12</v>
      </c>
      <c r="H27" s="26">
        <f t="shared" si="41"/>
        <v>-12</v>
      </c>
      <c r="I27" s="26">
        <f t="shared" si="41"/>
        <v>-12</v>
      </c>
      <c r="J27" s="26">
        <f t="shared" si="41"/>
        <v>0</v>
      </c>
      <c r="K27" s="26">
        <f t="shared" si="41"/>
        <v>0</v>
      </c>
      <c r="L27" s="26">
        <f t="shared" si="41"/>
        <v>0</v>
      </c>
      <c r="M27" s="26">
        <f>-M21*M10/1000</f>
        <v>0</v>
      </c>
      <c r="N27" s="26">
        <f t="shared" si="41"/>
        <v>-12</v>
      </c>
      <c r="O27" s="41">
        <f t="shared" si="41"/>
        <v>-240</v>
      </c>
      <c r="P27" s="25">
        <f t="shared" ref="P27:AI27" si="42">-P21*P10/1000</f>
        <v>-12</v>
      </c>
      <c r="Q27" s="26">
        <f t="shared" si="42"/>
        <v>-12</v>
      </c>
      <c r="R27" s="26">
        <f t="shared" si="42"/>
        <v>-12</v>
      </c>
      <c r="S27" s="26">
        <f t="shared" si="42"/>
        <v>-12</v>
      </c>
      <c r="T27" s="41">
        <f t="shared" si="42"/>
        <v>-12</v>
      </c>
      <c r="U27" s="25">
        <f t="shared" si="42"/>
        <v>-12</v>
      </c>
      <c r="V27" s="26">
        <f t="shared" si="42"/>
        <v>-12</v>
      </c>
      <c r="W27" s="26">
        <f t="shared" si="42"/>
        <v>-12</v>
      </c>
      <c r="X27" s="26">
        <f t="shared" si="42"/>
        <v>-12</v>
      </c>
      <c r="Y27" s="41">
        <f t="shared" si="42"/>
        <v>-12</v>
      </c>
      <c r="Z27" s="25">
        <f t="shared" si="42"/>
        <v>-48</v>
      </c>
      <c r="AA27" s="26">
        <f t="shared" si="42"/>
        <v>-24</v>
      </c>
      <c r="AB27" s="26">
        <f t="shared" si="42"/>
        <v>-12</v>
      </c>
      <c r="AC27" s="26">
        <f t="shared" si="42"/>
        <v>-6</v>
      </c>
      <c r="AD27" s="41">
        <f t="shared" si="42"/>
        <v>-3</v>
      </c>
      <c r="AE27" s="25">
        <f t="shared" si="42"/>
        <v>-12</v>
      </c>
      <c r="AF27" s="26">
        <f t="shared" si="42"/>
        <v>-12</v>
      </c>
      <c r="AG27" s="26">
        <f t="shared" si="42"/>
        <v>-12</v>
      </c>
      <c r="AH27" s="26">
        <f t="shared" si="42"/>
        <v>-12</v>
      </c>
      <c r="AI27" s="41">
        <f t="shared" si="42"/>
        <v>-12</v>
      </c>
    </row>
    <row r="28" spans="1:35" hidden="1" outlineLevel="1" x14ac:dyDescent="0.25">
      <c r="A28" t="s">
        <v>113</v>
      </c>
      <c r="B28" t="s">
        <v>4</v>
      </c>
      <c r="C28" s="26">
        <f t="shared" ref="C28:N28" si="43">-C24*C13/1000</f>
        <v>0</v>
      </c>
      <c r="D28" s="26">
        <f t="shared" si="43"/>
        <v>0</v>
      </c>
      <c r="E28" s="26">
        <f t="shared" si="43"/>
        <v>0</v>
      </c>
      <c r="F28" s="26">
        <f t="shared" si="43"/>
        <v>0</v>
      </c>
      <c r="G28" s="26">
        <f t="shared" si="43"/>
        <v>0</v>
      </c>
      <c r="H28" s="26">
        <f t="shared" si="43"/>
        <v>0</v>
      </c>
      <c r="I28" s="26">
        <f t="shared" si="43"/>
        <v>-78.204724409448815</v>
      </c>
      <c r="J28" s="26">
        <f t="shared" si="43"/>
        <v>0</v>
      </c>
      <c r="K28" s="26">
        <f t="shared" si="43"/>
        <v>0</v>
      </c>
      <c r="L28" s="26">
        <f t="shared" si="43"/>
        <v>-1633.6281798666923</v>
      </c>
      <c r="M28" s="26">
        <f>-M24*M13/1000</f>
        <v>-1633.6281798666923</v>
      </c>
      <c r="N28" s="26">
        <f t="shared" si="43"/>
        <v>-1633.6281798666923</v>
      </c>
      <c r="O28" s="41">
        <f t="shared" ref="O28:AI28" si="44">-O24*O13/1000</f>
        <v>-1633.6281798666923</v>
      </c>
      <c r="P28" s="25">
        <f t="shared" si="44"/>
        <v>-1633.6281798666923</v>
      </c>
      <c r="Q28" s="26">
        <f t="shared" si="44"/>
        <v>-1633.6281798666923</v>
      </c>
      <c r="R28" s="26">
        <f t="shared" si="44"/>
        <v>-1633.6281798666923</v>
      </c>
      <c r="S28" s="26">
        <f t="shared" si="44"/>
        <v>-1633.6281798666923</v>
      </c>
      <c r="T28" s="41">
        <f t="shared" si="44"/>
        <v>-1633.6281798666923</v>
      </c>
      <c r="U28" s="25">
        <f t="shared" si="44"/>
        <v>-1633.6281798666923</v>
      </c>
      <c r="V28" s="26">
        <f t="shared" si="44"/>
        <v>-1633.6281798666923</v>
      </c>
      <c r="W28" s="26">
        <f t="shared" si="44"/>
        <v>-1633.6281798666923</v>
      </c>
      <c r="X28" s="26">
        <f t="shared" si="44"/>
        <v>-1633.6281798666923</v>
      </c>
      <c r="Y28" s="41">
        <f t="shared" si="44"/>
        <v>-1633.6281798666923</v>
      </c>
      <c r="Z28" s="25">
        <f t="shared" si="44"/>
        <v>-2764.6015351590181</v>
      </c>
      <c r="AA28" s="26">
        <f t="shared" si="44"/>
        <v>-2010.6192982974674</v>
      </c>
      <c r="AB28" s="26">
        <f t="shared" si="44"/>
        <v>-1633.6281798666923</v>
      </c>
      <c r="AC28" s="26">
        <f t="shared" si="44"/>
        <v>-1445.1326206513047</v>
      </c>
      <c r="AD28" s="41">
        <f t="shared" si="44"/>
        <v>-1350.884841043611</v>
      </c>
      <c r="AE28" s="25">
        <f t="shared" si="44"/>
        <v>-1633.6281798666923</v>
      </c>
      <c r="AF28" s="26">
        <f t="shared" si="44"/>
        <v>-1633.6281798666923</v>
      </c>
      <c r="AG28" s="26">
        <f t="shared" si="44"/>
        <v>-1633.6281798666923</v>
      </c>
      <c r="AH28" s="26">
        <f t="shared" si="44"/>
        <v>-1633.6281798666923</v>
      </c>
      <c r="AI28" s="41">
        <f t="shared" si="44"/>
        <v>-1633.6281798666923</v>
      </c>
    </row>
    <row r="29" spans="1:35" collapsed="1" x14ac:dyDescent="0.25">
      <c r="A29" t="s">
        <v>82</v>
      </c>
      <c r="B29" t="s">
        <v>4</v>
      </c>
      <c r="C29" s="30">
        <f>SUM(C25:C28)</f>
        <v>-10</v>
      </c>
      <c r="D29" s="30">
        <f t="shared" ref="D29:J29" si="45">SUM(D25:D28)</f>
        <v>-20</v>
      </c>
      <c r="E29" s="30">
        <f t="shared" si="45"/>
        <v>-10</v>
      </c>
      <c r="F29" s="30">
        <f t="shared" si="45"/>
        <v>-22</v>
      </c>
      <c r="G29" s="30">
        <f t="shared" si="45"/>
        <v>-32</v>
      </c>
      <c r="H29" s="30">
        <f t="shared" si="45"/>
        <v>-32</v>
      </c>
      <c r="I29" s="30">
        <f t="shared" si="45"/>
        <v>-110.20472440944881</v>
      </c>
      <c r="J29" s="30">
        <f t="shared" si="45"/>
        <v>-481.23889803846896</v>
      </c>
      <c r="K29" s="30">
        <f t="shared" ref="K29:AI29" si="46">SUM(K25:K28)</f>
        <v>-10</v>
      </c>
      <c r="L29" s="30">
        <f t="shared" si="46"/>
        <v>-1643.6281798666923</v>
      </c>
      <c r="M29" s="30">
        <f t="shared" si="46"/>
        <v>-2114.8670779051613</v>
      </c>
      <c r="N29" s="30">
        <f t="shared" si="46"/>
        <v>-2136.8670779051613</v>
      </c>
      <c r="O29" s="43">
        <f t="shared" si="46"/>
        <v>-2144.8670779051613</v>
      </c>
      <c r="P29" s="29">
        <f t="shared" si="46"/>
        <v>-2136.8670779051613</v>
      </c>
      <c r="Q29" s="30">
        <f t="shared" si="46"/>
        <v>-2136.8670779051613</v>
      </c>
      <c r="R29" s="30">
        <f t="shared" si="46"/>
        <v>-2136.8670779051613</v>
      </c>
      <c r="S29" s="30">
        <f t="shared" si="46"/>
        <v>-2136.8670779051613</v>
      </c>
      <c r="T29" s="43">
        <f t="shared" si="46"/>
        <v>-2136.8670779051613</v>
      </c>
      <c r="U29" s="29">
        <f t="shared" si="46"/>
        <v>-2136.8670779051613</v>
      </c>
      <c r="V29" s="30">
        <f t="shared" si="46"/>
        <v>-2136.8670779051613</v>
      </c>
      <c r="W29" s="30">
        <f t="shared" si="46"/>
        <v>-2136.8670779051613</v>
      </c>
      <c r="X29" s="30">
        <f t="shared" si="46"/>
        <v>-2136.8670779051613</v>
      </c>
      <c r="Y29" s="43">
        <f t="shared" si="46"/>
        <v>-2136.8670779051613</v>
      </c>
      <c r="Z29" s="29">
        <f t="shared" si="46"/>
        <v>-3303.8404331974871</v>
      </c>
      <c r="AA29" s="30">
        <f t="shared" si="46"/>
        <v>-2525.8581963359366</v>
      </c>
      <c r="AB29" s="30">
        <f t="shared" si="46"/>
        <v>-2136.8670779051613</v>
      </c>
      <c r="AC29" s="30">
        <f t="shared" si="46"/>
        <v>-1942.3715186897737</v>
      </c>
      <c r="AD29" s="43">
        <f t="shared" si="46"/>
        <v>-1845.12373908208</v>
      </c>
      <c r="AE29" s="29">
        <f t="shared" si="46"/>
        <v>-2196.8670779051613</v>
      </c>
      <c r="AF29" s="30">
        <f t="shared" si="46"/>
        <v>-2156.8670779051613</v>
      </c>
      <c r="AG29" s="30">
        <f t="shared" si="46"/>
        <v>-2136.8670779051613</v>
      </c>
      <c r="AH29" s="30">
        <f t="shared" si="46"/>
        <v>-2126.8670779051613</v>
      </c>
      <c r="AI29" s="43">
        <f t="shared" si="46"/>
        <v>-2121.8670779051613</v>
      </c>
    </row>
    <row r="30" spans="1:35" hidden="1" outlineLevel="1" x14ac:dyDescent="0.25">
      <c r="A30" t="s">
        <v>115</v>
      </c>
      <c r="B30" t="s">
        <v>4</v>
      </c>
      <c r="C30" s="30">
        <f t="shared" ref="C30:O30" si="47">-C19*C11/1000</f>
        <v>0</v>
      </c>
      <c r="D30" s="30">
        <f t="shared" si="47"/>
        <v>0</v>
      </c>
      <c r="E30" s="30">
        <f t="shared" si="47"/>
        <v>10</v>
      </c>
      <c r="F30" s="30">
        <f t="shared" si="47"/>
        <v>0</v>
      </c>
      <c r="G30" s="30">
        <f t="shared" si="47"/>
        <v>10</v>
      </c>
      <c r="H30" s="30">
        <f t="shared" si="47"/>
        <v>10</v>
      </c>
      <c r="I30" s="30">
        <f t="shared" si="47"/>
        <v>10</v>
      </c>
      <c r="J30" s="30">
        <f t="shared" si="47"/>
        <v>0</v>
      </c>
      <c r="K30" s="30">
        <f t="shared" si="47"/>
        <v>0</v>
      </c>
      <c r="L30" s="30">
        <f t="shared" si="47"/>
        <v>0</v>
      </c>
      <c r="M30" s="30">
        <f>-M19*M11/1000</f>
        <v>0</v>
      </c>
      <c r="N30" s="30">
        <f t="shared" si="47"/>
        <v>10</v>
      </c>
      <c r="O30" s="43">
        <f t="shared" si="47"/>
        <v>200</v>
      </c>
      <c r="P30" s="29">
        <f t="shared" ref="P30:AI30" si="48">-P19*P11/1000</f>
        <v>10</v>
      </c>
      <c r="Q30" s="30">
        <f t="shared" si="48"/>
        <v>10</v>
      </c>
      <c r="R30" s="30">
        <f t="shared" si="48"/>
        <v>10</v>
      </c>
      <c r="S30" s="30">
        <f t="shared" si="48"/>
        <v>10</v>
      </c>
      <c r="T30" s="43">
        <f t="shared" si="48"/>
        <v>10</v>
      </c>
      <c r="U30" s="29">
        <f t="shared" si="48"/>
        <v>10</v>
      </c>
      <c r="V30" s="30">
        <f t="shared" si="48"/>
        <v>10</v>
      </c>
      <c r="W30" s="30">
        <f t="shared" si="48"/>
        <v>10</v>
      </c>
      <c r="X30" s="30">
        <f t="shared" si="48"/>
        <v>10</v>
      </c>
      <c r="Y30" s="43">
        <f t="shared" si="48"/>
        <v>10</v>
      </c>
      <c r="Z30" s="29">
        <f t="shared" si="48"/>
        <v>10</v>
      </c>
      <c r="AA30" s="30">
        <f t="shared" si="48"/>
        <v>10</v>
      </c>
      <c r="AB30" s="30">
        <f t="shared" si="48"/>
        <v>10</v>
      </c>
      <c r="AC30" s="30">
        <f t="shared" si="48"/>
        <v>10</v>
      </c>
      <c r="AD30" s="43">
        <f t="shared" si="48"/>
        <v>10</v>
      </c>
      <c r="AE30" s="29">
        <f t="shared" si="48"/>
        <v>40</v>
      </c>
      <c r="AF30" s="30">
        <f t="shared" si="48"/>
        <v>20</v>
      </c>
      <c r="AG30" s="30">
        <f t="shared" si="48"/>
        <v>10</v>
      </c>
      <c r="AH30" s="30">
        <f t="shared" si="48"/>
        <v>5</v>
      </c>
      <c r="AI30" s="43">
        <f t="shared" si="48"/>
        <v>2.5</v>
      </c>
    </row>
    <row r="31" spans="1:35" hidden="1" outlineLevel="1" x14ac:dyDescent="0.25">
      <c r="A31" t="s">
        <v>116</v>
      </c>
      <c r="B31" t="s">
        <v>4</v>
      </c>
      <c r="C31" s="30">
        <f t="shared" ref="C31:O31" si="49">-C22*C14/1000</f>
        <v>0</v>
      </c>
      <c r="D31" s="30">
        <f t="shared" si="49"/>
        <v>0</v>
      </c>
      <c r="E31" s="30">
        <f t="shared" si="49"/>
        <v>0</v>
      </c>
      <c r="F31" s="30">
        <f t="shared" si="49"/>
        <v>0</v>
      </c>
      <c r="G31" s="30">
        <f t="shared" si="49"/>
        <v>0</v>
      </c>
      <c r="H31" s="30">
        <f t="shared" si="49"/>
        <v>45.118110236220467</v>
      </c>
      <c r="I31" s="30">
        <f t="shared" si="49"/>
        <v>0</v>
      </c>
      <c r="J31" s="30">
        <f t="shared" si="49"/>
        <v>0</v>
      </c>
      <c r="K31" s="30">
        <f t="shared" si="49"/>
        <v>-801.10612666539714</v>
      </c>
      <c r="L31" s="30">
        <f t="shared" si="49"/>
        <v>0</v>
      </c>
      <c r="M31" s="30">
        <f>-M22*M14/1000</f>
        <v>801.10612666539714</v>
      </c>
      <c r="N31" s="30">
        <f t="shared" si="49"/>
        <v>801.10612666539714</v>
      </c>
      <c r="O31" s="43">
        <f t="shared" si="49"/>
        <v>801.10612666539714</v>
      </c>
      <c r="P31" s="29">
        <f t="shared" ref="P31:AI31" si="50">-P22*P14/1000</f>
        <v>801.10612666539714</v>
      </c>
      <c r="Q31" s="30">
        <f t="shared" si="50"/>
        <v>801.10612666539714</v>
      </c>
      <c r="R31" s="30">
        <f t="shared" si="50"/>
        <v>801.10612666539714</v>
      </c>
      <c r="S31" s="30">
        <f t="shared" si="50"/>
        <v>801.10612666539714</v>
      </c>
      <c r="T31" s="43">
        <f t="shared" si="50"/>
        <v>801.10612666539714</v>
      </c>
      <c r="U31" s="29">
        <f t="shared" si="50"/>
        <v>801.10612666539714</v>
      </c>
      <c r="V31" s="30">
        <f t="shared" si="50"/>
        <v>801.10612666539714</v>
      </c>
      <c r="W31" s="30">
        <f t="shared" si="50"/>
        <v>801.10612666539714</v>
      </c>
      <c r="X31" s="30">
        <f t="shared" si="50"/>
        <v>801.10612666539714</v>
      </c>
      <c r="Y31" s="43">
        <f t="shared" si="50"/>
        <v>801.10612666539714</v>
      </c>
      <c r="Z31" s="29">
        <f t="shared" si="50"/>
        <v>801.10612666539714</v>
      </c>
      <c r="AA31" s="30">
        <f t="shared" si="50"/>
        <v>801.10612666539714</v>
      </c>
      <c r="AB31" s="30">
        <f t="shared" si="50"/>
        <v>801.10612666539714</v>
      </c>
      <c r="AC31" s="30">
        <f t="shared" si="50"/>
        <v>801.10612666539714</v>
      </c>
      <c r="AD31" s="43">
        <f t="shared" si="50"/>
        <v>801.10612666539714</v>
      </c>
      <c r="AE31" s="29">
        <f t="shared" si="50"/>
        <v>801.10612666539714</v>
      </c>
      <c r="AF31" s="30">
        <f t="shared" si="50"/>
        <v>801.10612666539714</v>
      </c>
      <c r="AG31" s="30">
        <f t="shared" si="50"/>
        <v>801.10612666539714</v>
      </c>
      <c r="AH31" s="30">
        <f t="shared" si="50"/>
        <v>801.10612666539714</v>
      </c>
      <c r="AI31" s="43">
        <f t="shared" si="50"/>
        <v>801.10612666539714</v>
      </c>
    </row>
    <row r="32" spans="1:35" hidden="1" outlineLevel="1" x14ac:dyDescent="0.25">
      <c r="A32" t="s">
        <v>117</v>
      </c>
      <c r="B32" t="s">
        <v>4</v>
      </c>
      <c r="C32" s="30">
        <f t="shared" ref="C32:O32" si="51">C21*C9/1000</f>
        <v>0</v>
      </c>
      <c r="D32" s="30">
        <f t="shared" si="51"/>
        <v>0</v>
      </c>
      <c r="E32" s="30">
        <f t="shared" si="51"/>
        <v>0</v>
      </c>
      <c r="F32" s="30">
        <f t="shared" si="51"/>
        <v>0</v>
      </c>
      <c r="G32" s="30">
        <f t="shared" si="51"/>
        <v>0</v>
      </c>
      <c r="H32" s="30">
        <f t="shared" si="51"/>
        <v>0</v>
      </c>
      <c r="I32" s="30">
        <f t="shared" si="51"/>
        <v>0</v>
      </c>
      <c r="J32" s="30">
        <f t="shared" si="51"/>
        <v>0</v>
      </c>
      <c r="K32" s="30">
        <f t="shared" si="51"/>
        <v>0</v>
      </c>
      <c r="L32" s="30">
        <f t="shared" si="51"/>
        <v>0</v>
      </c>
      <c r="M32" s="30">
        <f>M21*M9/1000</f>
        <v>0</v>
      </c>
      <c r="N32" s="30">
        <f t="shared" si="51"/>
        <v>0</v>
      </c>
      <c r="O32" s="43">
        <f t="shared" si="51"/>
        <v>0</v>
      </c>
      <c r="P32" s="29">
        <f t="shared" ref="P32:AI32" si="52">P21*P9/1000</f>
        <v>0</v>
      </c>
      <c r="Q32" s="30">
        <f t="shared" si="52"/>
        <v>0</v>
      </c>
      <c r="R32" s="30">
        <f t="shared" si="52"/>
        <v>0</v>
      </c>
      <c r="S32" s="30">
        <f t="shared" si="52"/>
        <v>0</v>
      </c>
      <c r="T32" s="43">
        <f t="shared" si="52"/>
        <v>0</v>
      </c>
      <c r="U32" s="29">
        <f t="shared" si="52"/>
        <v>0</v>
      </c>
      <c r="V32" s="30">
        <f t="shared" si="52"/>
        <v>0</v>
      </c>
      <c r="W32" s="30">
        <f t="shared" si="52"/>
        <v>0</v>
      </c>
      <c r="X32" s="30">
        <f t="shared" si="52"/>
        <v>0</v>
      </c>
      <c r="Y32" s="43">
        <f t="shared" si="52"/>
        <v>0</v>
      </c>
      <c r="Z32" s="29">
        <f t="shared" si="52"/>
        <v>0</v>
      </c>
      <c r="AA32" s="30">
        <f t="shared" si="52"/>
        <v>0</v>
      </c>
      <c r="AB32" s="30">
        <f t="shared" si="52"/>
        <v>0</v>
      </c>
      <c r="AC32" s="30">
        <f t="shared" si="52"/>
        <v>0</v>
      </c>
      <c r="AD32" s="43">
        <f t="shared" si="52"/>
        <v>0</v>
      </c>
      <c r="AE32" s="29">
        <f t="shared" si="52"/>
        <v>0</v>
      </c>
      <c r="AF32" s="30">
        <f t="shared" si="52"/>
        <v>0</v>
      </c>
      <c r="AG32" s="30">
        <f t="shared" si="52"/>
        <v>0</v>
      </c>
      <c r="AH32" s="30">
        <f t="shared" si="52"/>
        <v>0</v>
      </c>
      <c r="AI32" s="43">
        <f t="shared" si="52"/>
        <v>0</v>
      </c>
    </row>
    <row r="33" spans="1:35" hidden="1" outlineLevel="1" x14ac:dyDescent="0.25">
      <c r="A33" t="s">
        <v>118</v>
      </c>
      <c r="B33" t="s">
        <v>4</v>
      </c>
      <c r="C33" s="30">
        <f t="shared" ref="C33:O33" si="53">C24*C12/1000</f>
        <v>0</v>
      </c>
      <c r="D33" s="30">
        <f t="shared" si="53"/>
        <v>0</v>
      </c>
      <c r="E33" s="30">
        <f t="shared" si="53"/>
        <v>0</v>
      </c>
      <c r="F33" s="30">
        <f t="shared" si="53"/>
        <v>0</v>
      </c>
      <c r="G33" s="30">
        <f t="shared" si="53"/>
        <v>0</v>
      </c>
      <c r="H33" s="30">
        <f t="shared" si="53"/>
        <v>0</v>
      </c>
      <c r="I33" s="30">
        <f t="shared" si="53"/>
        <v>0</v>
      </c>
      <c r="J33" s="30">
        <f t="shared" si="53"/>
        <v>0</v>
      </c>
      <c r="K33" s="30">
        <f t="shared" si="53"/>
        <v>0</v>
      </c>
      <c r="L33" s="30">
        <f t="shared" si="53"/>
        <v>0</v>
      </c>
      <c r="M33" s="30">
        <f>M24*M12/1000</f>
        <v>0</v>
      </c>
      <c r="N33" s="30">
        <f t="shared" si="53"/>
        <v>0</v>
      </c>
      <c r="O33" s="43">
        <f t="shared" si="53"/>
        <v>0</v>
      </c>
      <c r="P33" s="29">
        <f t="shared" ref="P33:AI33" si="54">P24*P12/1000</f>
        <v>0</v>
      </c>
      <c r="Q33" s="30">
        <f t="shared" si="54"/>
        <v>0</v>
      </c>
      <c r="R33" s="30">
        <f t="shared" si="54"/>
        <v>0</v>
      </c>
      <c r="S33" s="30">
        <f t="shared" si="54"/>
        <v>0</v>
      </c>
      <c r="T33" s="43">
        <f t="shared" si="54"/>
        <v>0</v>
      </c>
      <c r="U33" s="29">
        <f t="shared" si="54"/>
        <v>0</v>
      </c>
      <c r="V33" s="30">
        <f t="shared" si="54"/>
        <v>0</v>
      </c>
      <c r="W33" s="30">
        <f t="shared" si="54"/>
        <v>0</v>
      </c>
      <c r="X33" s="30">
        <f t="shared" si="54"/>
        <v>0</v>
      </c>
      <c r="Y33" s="43">
        <f t="shared" si="54"/>
        <v>0</v>
      </c>
      <c r="Z33" s="29">
        <f t="shared" si="54"/>
        <v>0</v>
      </c>
      <c r="AA33" s="30">
        <f t="shared" si="54"/>
        <v>0</v>
      </c>
      <c r="AB33" s="30">
        <f t="shared" si="54"/>
        <v>0</v>
      </c>
      <c r="AC33" s="30">
        <f t="shared" si="54"/>
        <v>0</v>
      </c>
      <c r="AD33" s="43">
        <f t="shared" si="54"/>
        <v>0</v>
      </c>
      <c r="AE33" s="29">
        <f t="shared" si="54"/>
        <v>0</v>
      </c>
      <c r="AF33" s="30">
        <f t="shared" si="54"/>
        <v>0</v>
      </c>
      <c r="AG33" s="30">
        <f t="shared" si="54"/>
        <v>0</v>
      </c>
      <c r="AH33" s="30">
        <f t="shared" si="54"/>
        <v>0</v>
      </c>
      <c r="AI33" s="43">
        <f t="shared" si="54"/>
        <v>0</v>
      </c>
    </row>
    <row r="34" spans="1:35" collapsed="1" x14ac:dyDescent="0.25">
      <c r="A34" t="s">
        <v>84</v>
      </c>
      <c r="B34" t="s">
        <v>4</v>
      </c>
      <c r="C34" s="30">
        <f>SUM(C30:C33)</f>
        <v>0</v>
      </c>
      <c r="D34" s="30">
        <f t="shared" ref="D34:J34" si="55">SUM(D30:D33)</f>
        <v>0</v>
      </c>
      <c r="E34" s="30">
        <f t="shared" si="55"/>
        <v>10</v>
      </c>
      <c r="F34" s="30">
        <f t="shared" si="55"/>
        <v>0</v>
      </c>
      <c r="G34" s="30">
        <f t="shared" si="55"/>
        <v>10</v>
      </c>
      <c r="H34" s="30">
        <f t="shared" si="55"/>
        <v>55.118110236220467</v>
      </c>
      <c r="I34" s="30">
        <f t="shared" si="55"/>
        <v>10</v>
      </c>
      <c r="J34" s="30">
        <f t="shared" si="55"/>
        <v>0</v>
      </c>
      <c r="K34" s="30">
        <f t="shared" ref="K34:AI34" si="56">SUM(K30:K33)</f>
        <v>-801.10612666539714</v>
      </c>
      <c r="L34" s="30">
        <f t="shared" si="56"/>
        <v>0</v>
      </c>
      <c r="M34" s="30">
        <f t="shared" si="56"/>
        <v>801.10612666539714</v>
      </c>
      <c r="N34" s="30">
        <f t="shared" si="56"/>
        <v>811.10612666539714</v>
      </c>
      <c r="O34" s="43">
        <f t="shared" si="56"/>
        <v>1001.1061266653971</v>
      </c>
      <c r="P34" s="29">
        <f t="shared" si="56"/>
        <v>811.10612666539714</v>
      </c>
      <c r="Q34" s="30">
        <f t="shared" si="56"/>
        <v>811.10612666539714</v>
      </c>
      <c r="R34" s="30">
        <f t="shared" si="56"/>
        <v>811.10612666539714</v>
      </c>
      <c r="S34" s="30">
        <f t="shared" si="56"/>
        <v>811.10612666539714</v>
      </c>
      <c r="T34" s="43">
        <f t="shared" si="56"/>
        <v>811.10612666539714</v>
      </c>
      <c r="U34" s="29">
        <f t="shared" si="56"/>
        <v>811.10612666539714</v>
      </c>
      <c r="V34" s="30">
        <f t="shared" si="56"/>
        <v>811.10612666539714</v>
      </c>
      <c r="W34" s="30">
        <f t="shared" si="56"/>
        <v>811.10612666539714</v>
      </c>
      <c r="X34" s="30">
        <f t="shared" si="56"/>
        <v>811.10612666539714</v>
      </c>
      <c r="Y34" s="43">
        <f t="shared" si="56"/>
        <v>811.10612666539714</v>
      </c>
      <c r="Z34" s="29">
        <f t="shared" si="56"/>
        <v>811.10612666539714</v>
      </c>
      <c r="AA34" s="30">
        <f t="shared" si="56"/>
        <v>811.10612666539714</v>
      </c>
      <c r="AB34" s="30">
        <f t="shared" si="56"/>
        <v>811.10612666539714</v>
      </c>
      <c r="AC34" s="30">
        <f t="shared" si="56"/>
        <v>811.10612666539714</v>
      </c>
      <c r="AD34" s="43">
        <f t="shared" si="56"/>
        <v>811.10612666539714</v>
      </c>
      <c r="AE34" s="29">
        <f t="shared" si="56"/>
        <v>841.10612666539714</v>
      </c>
      <c r="AF34" s="30">
        <f t="shared" si="56"/>
        <v>821.10612666539714</v>
      </c>
      <c r="AG34" s="30">
        <f t="shared" si="56"/>
        <v>811.10612666539714</v>
      </c>
      <c r="AH34" s="30">
        <f t="shared" si="56"/>
        <v>806.10612666539714</v>
      </c>
      <c r="AI34" s="43">
        <f t="shared" si="56"/>
        <v>803.60612666539714</v>
      </c>
    </row>
    <row r="35" spans="1:35" hidden="1" outlineLevel="1" x14ac:dyDescent="0.25">
      <c r="A35" t="s">
        <v>119</v>
      </c>
      <c r="B35" t="s">
        <v>4</v>
      </c>
      <c r="C35" s="30">
        <f t="shared" ref="C35:O35" si="57">C19*C10/1000</f>
        <v>0</v>
      </c>
      <c r="D35" s="30">
        <f t="shared" si="57"/>
        <v>0</v>
      </c>
      <c r="E35" s="30">
        <f t="shared" si="57"/>
        <v>12</v>
      </c>
      <c r="F35" s="30">
        <f t="shared" si="57"/>
        <v>0</v>
      </c>
      <c r="G35" s="30">
        <f t="shared" si="57"/>
        <v>12</v>
      </c>
      <c r="H35" s="30">
        <f t="shared" si="57"/>
        <v>12</v>
      </c>
      <c r="I35" s="30">
        <f t="shared" si="57"/>
        <v>12</v>
      </c>
      <c r="J35" s="30">
        <f t="shared" si="57"/>
        <v>0</v>
      </c>
      <c r="K35" s="30">
        <f t="shared" si="57"/>
        <v>0</v>
      </c>
      <c r="L35" s="30">
        <f t="shared" si="57"/>
        <v>0</v>
      </c>
      <c r="M35" s="30">
        <f>M19*M10/1000</f>
        <v>0</v>
      </c>
      <c r="N35" s="30">
        <f t="shared" si="57"/>
        <v>12</v>
      </c>
      <c r="O35" s="43">
        <f t="shared" si="57"/>
        <v>240</v>
      </c>
      <c r="P35" s="29">
        <f t="shared" ref="P35:AI35" si="58">P19*P10/1000</f>
        <v>12</v>
      </c>
      <c r="Q35" s="30">
        <f t="shared" si="58"/>
        <v>12</v>
      </c>
      <c r="R35" s="30">
        <f t="shared" si="58"/>
        <v>12</v>
      </c>
      <c r="S35" s="30">
        <f t="shared" si="58"/>
        <v>12</v>
      </c>
      <c r="T35" s="43">
        <f t="shared" si="58"/>
        <v>12</v>
      </c>
      <c r="U35" s="29">
        <f t="shared" si="58"/>
        <v>12</v>
      </c>
      <c r="V35" s="30">
        <f t="shared" si="58"/>
        <v>12</v>
      </c>
      <c r="W35" s="30">
        <f t="shared" si="58"/>
        <v>12</v>
      </c>
      <c r="X35" s="30">
        <f t="shared" si="58"/>
        <v>12</v>
      </c>
      <c r="Y35" s="43">
        <f t="shared" si="58"/>
        <v>12</v>
      </c>
      <c r="Z35" s="29">
        <f t="shared" si="58"/>
        <v>48</v>
      </c>
      <c r="AA35" s="30">
        <f t="shared" si="58"/>
        <v>24</v>
      </c>
      <c r="AB35" s="30">
        <f t="shared" si="58"/>
        <v>12</v>
      </c>
      <c r="AC35" s="30">
        <f t="shared" si="58"/>
        <v>6</v>
      </c>
      <c r="AD35" s="43">
        <f t="shared" si="58"/>
        <v>3</v>
      </c>
      <c r="AE35" s="29">
        <f t="shared" si="58"/>
        <v>12</v>
      </c>
      <c r="AF35" s="30">
        <f t="shared" si="58"/>
        <v>12</v>
      </c>
      <c r="AG35" s="30">
        <f t="shared" si="58"/>
        <v>12</v>
      </c>
      <c r="AH35" s="30">
        <f t="shared" si="58"/>
        <v>12</v>
      </c>
      <c r="AI35" s="43">
        <f t="shared" si="58"/>
        <v>12</v>
      </c>
    </row>
    <row r="36" spans="1:35" hidden="1" outlineLevel="1" x14ac:dyDescent="0.25">
      <c r="A36" t="s">
        <v>120</v>
      </c>
      <c r="B36" t="s">
        <v>4</v>
      </c>
      <c r="C36" s="30">
        <f t="shared" ref="C36:O36" si="59">C22*C13/1000</f>
        <v>0</v>
      </c>
      <c r="D36" s="30">
        <f t="shared" si="59"/>
        <v>0</v>
      </c>
      <c r="E36" s="30">
        <f t="shared" si="59"/>
        <v>0</v>
      </c>
      <c r="F36" s="30">
        <f t="shared" si="59"/>
        <v>0</v>
      </c>
      <c r="G36" s="30">
        <f t="shared" si="59"/>
        <v>0</v>
      </c>
      <c r="H36" s="30">
        <f t="shared" si="59"/>
        <v>78.204724409448815</v>
      </c>
      <c r="I36" s="30">
        <f t="shared" si="59"/>
        <v>0</v>
      </c>
      <c r="J36" s="30">
        <f t="shared" si="59"/>
        <v>0</v>
      </c>
      <c r="K36" s="30">
        <f t="shared" si="59"/>
        <v>-1388.5839528866886</v>
      </c>
      <c r="L36" s="30">
        <f t="shared" si="59"/>
        <v>0</v>
      </c>
      <c r="M36" s="30">
        <f>M22*M13/1000</f>
        <v>1388.5839528866886</v>
      </c>
      <c r="N36" s="30">
        <f t="shared" si="59"/>
        <v>1388.5839528866886</v>
      </c>
      <c r="O36" s="43">
        <f t="shared" si="59"/>
        <v>1388.5839528866886</v>
      </c>
      <c r="P36" s="29">
        <f t="shared" ref="P36:AI36" si="60">P22*P13/1000</f>
        <v>1388.5839528866886</v>
      </c>
      <c r="Q36" s="30">
        <f t="shared" si="60"/>
        <v>1388.5839528866886</v>
      </c>
      <c r="R36" s="30">
        <f t="shared" si="60"/>
        <v>1388.5839528866886</v>
      </c>
      <c r="S36" s="30">
        <f t="shared" si="60"/>
        <v>1388.5839528866886</v>
      </c>
      <c r="T36" s="43">
        <f t="shared" si="60"/>
        <v>1388.5839528866886</v>
      </c>
      <c r="U36" s="29">
        <f t="shared" si="60"/>
        <v>1388.5839528866886</v>
      </c>
      <c r="V36" s="30">
        <f t="shared" si="60"/>
        <v>1388.5839528866886</v>
      </c>
      <c r="W36" s="30">
        <f t="shared" si="60"/>
        <v>1388.5839528866886</v>
      </c>
      <c r="X36" s="30">
        <f t="shared" si="60"/>
        <v>1388.5839528866886</v>
      </c>
      <c r="Y36" s="43">
        <f t="shared" si="60"/>
        <v>1388.5839528866886</v>
      </c>
      <c r="Z36" s="29">
        <f t="shared" si="60"/>
        <v>2349.9113048851655</v>
      </c>
      <c r="AA36" s="30">
        <f t="shared" si="60"/>
        <v>1709.0264035528473</v>
      </c>
      <c r="AB36" s="30">
        <f t="shared" si="60"/>
        <v>1388.5839528866886</v>
      </c>
      <c r="AC36" s="30">
        <f t="shared" si="60"/>
        <v>1228.3627275536091</v>
      </c>
      <c r="AD36" s="43">
        <f t="shared" si="60"/>
        <v>1148.2521148870692</v>
      </c>
      <c r="AE36" s="29">
        <f t="shared" si="60"/>
        <v>1388.5839528866886</v>
      </c>
      <c r="AF36" s="30">
        <f t="shared" si="60"/>
        <v>1388.5839528866886</v>
      </c>
      <c r="AG36" s="30">
        <f t="shared" si="60"/>
        <v>1388.5839528866886</v>
      </c>
      <c r="AH36" s="30">
        <f t="shared" si="60"/>
        <v>1388.5839528866886</v>
      </c>
      <c r="AI36" s="43">
        <f t="shared" si="60"/>
        <v>1388.5839528866886</v>
      </c>
    </row>
    <row r="37" spans="1:35" hidden="1" outlineLevel="1" x14ac:dyDescent="0.25">
      <c r="A37" t="s">
        <v>121</v>
      </c>
      <c r="B37" t="s">
        <v>4</v>
      </c>
      <c r="C37" s="30">
        <f t="shared" ref="C37:O37" si="61">-C20*C9/1000</f>
        <v>0</v>
      </c>
      <c r="D37" s="30">
        <f t="shared" si="61"/>
        <v>0</v>
      </c>
      <c r="E37" s="30">
        <f t="shared" si="61"/>
        <v>0</v>
      </c>
      <c r="F37" s="30">
        <f t="shared" si="61"/>
        <v>0</v>
      </c>
      <c r="G37" s="30">
        <f t="shared" si="61"/>
        <v>0</v>
      </c>
      <c r="H37" s="30">
        <f t="shared" si="61"/>
        <v>0</v>
      </c>
      <c r="I37" s="30">
        <f t="shared" si="61"/>
        <v>0</v>
      </c>
      <c r="J37" s="30">
        <f t="shared" si="61"/>
        <v>0</v>
      </c>
      <c r="K37" s="30">
        <f t="shared" si="61"/>
        <v>0</v>
      </c>
      <c r="L37" s="30">
        <f t="shared" si="61"/>
        <v>0</v>
      </c>
      <c r="M37" s="30">
        <f>-M20*M9/1000</f>
        <v>0</v>
      </c>
      <c r="N37" s="30">
        <f t="shared" si="61"/>
        <v>0</v>
      </c>
      <c r="O37" s="43">
        <f t="shared" si="61"/>
        <v>0</v>
      </c>
      <c r="P37" s="29">
        <f t="shared" ref="P37:AI37" si="62">-P20*P9/1000</f>
        <v>0</v>
      </c>
      <c r="Q37" s="30">
        <f t="shared" si="62"/>
        <v>0</v>
      </c>
      <c r="R37" s="30">
        <f t="shared" si="62"/>
        <v>0</v>
      </c>
      <c r="S37" s="30">
        <f t="shared" si="62"/>
        <v>0</v>
      </c>
      <c r="T37" s="43">
        <f t="shared" si="62"/>
        <v>0</v>
      </c>
      <c r="U37" s="29">
        <f t="shared" si="62"/>
        <v>0</v>
      </c>
      <c r="V37" s="30">
        <f t="shared" si="62"/>
        <v>0</v>
      </c>
      <c r="W37" s="30">
        <f t="shared" si="62"/>
        <v>0</v>
      </c>
      <c r="X37" s="30">
        <f t="shared" si="62"/>
        <v>0</v>
      </c>
      <c r="Y37" s="43">
        <f t="shared" si="62"/>
        <v>0</v>
      </c>
      <c r="Z37" s="29">
        <f t="shared" si="62"/>
        <v>0</v>
      </c>
      <c r="AA37" s="30">
        <f t="shared" si="62"/>
        <v>0</v>
      </c>
      <c r="AB37" s="30">
        <f t="shared" si="62"/>
        <v>0</v>
      </c>
      <c r="AC37" s="30">
        <f t="shared" si="62"/>
        <v>0</v>
      </c>
      <c r="AD37" s="43">
        <f t="shared" si="62"/>
        <v>0</v>
      </c>
      <c r="AE37" s="29">
        <f t="shared" si="62"/>
        <v>0</v>
      </c>
      <c r="AF37" s="30">
        <f t="shared" si="62"/>
        <v>0</v>
      </c>
      <c r="AG37" s="30">
        <f t="shared" si="62"/>
        <v>0</v>
      </c>
      <c r="AH37" s="30">
        <f t="shared" si="62"/>
        <v>0</v>
      </c>
      <c r="AI37" s="43">
        <f t="shared" si="62"/>
        <v>0</v>
      </c>
    </row>
    <row r="38" spans="1:35" hidden="1" outlineLevel="1" x14ac:dyDescent="0.25">
      <c r="A38" t="s">
        <v>122</v>
      </c>
      <c r="B38" t="s">
        <v>4</v>
      </c>
      <c r="C38" s="30">
        <f t="shared" ref="C38:O38" si="63">-C23*C12/1000</f>
        <v>0</v>
      </c>
      <c r="D38" s="30">
        <f t="shared" si="63"/>
        <v>0</v>
      </c>
      <c r="E38" s="30">
        <f t="shared" si="63"/>
        <v>0</v>
      </c>
      <c r="F38" s="30">
        <f t="shared" si="63"/>
        <v>0</v>
      </c>
      <c r="G38" s="30">
        <f t="shared" si="63"/>
        <v>0</v>
      </c>
      <c r="H38" s="30">
        <f t="shared" si="63"/>
        <v>0</v>
      </c>
      <c r="I38" s="30">
        <f t="shared" si="63"/>
        <v>0</v>
      </c>
      <c r="J38" s="30">
        <f t="shared" si="63"/>
        <v>0</v>
      </c>
      <c r="K38" s="30">
        <f t="shared" si="63"/>
        <v>0</v>
      </c>
      <c r="L38" s="30">
        <f t="shared" si="63"/>
        <v>0</v>
      </c>
      <c r="M38" s="30">
        <f>-M23*M12/1000</f>
        <v>0</v>
      </c>
      <c r="N38" s="30">
        <f t="shared" si="63"/>
        <v>0</v>
      </c>
      <c r="O38" s="43">
        <f t="shared" si="63"/>
        <v>0</v>
      </c>
      <c r="P38" s="29">
        <f t="shared" ref="P38:AI38" si="64">-P23*P12/1000</f>
        <v>0</v>
      </c>
      <c r="Q38" s="30">
        <f t="shared" si="64"/>
        <v>0</v>
      </c>
      <c r="R38" s="30">
        <f t="shared" si="64"/>
        <v>0</v>
      </c>
      <c r="S38" s="30">
        <f t="shared" si="64"/>
        <v>0</v>
      </c>
      <c r="T38" s="43">
        <f t="shared" si="64"/>
        <v>0</v>
      </c>
      <c r="U38" s="29">
        <f t="shared" si="64"/>
        <v>0</v>
      </c>
      <c r="V38" s="30">
        <f t="shared" si="64"/>
        <v>0</v>
      </c>
      <c r="W38" s="30">
        <f t="shared" si="64"/>
        <v>0</v>
      </c>
      <c r="X38" s="30">
        <f t="shared" si="64"/>
        <v>0</v>
      </c>
      <c r="Y38" s="43">
        <f t="shared" si="64"/>
        <v>0</v>
      </c>
      <c r="Z38" s="29">
        <f t="shared" si="64"/>
        <v>0</v>
      </c>
      <c r="AA38" s="30">
        <f t="shared" si="64"/>
        <v>0</v>
      </c>
      <c r="AB38" s="30">
        <f t="shared" si="64"/>
        <v>0</v>
      </c>
      <c r="AC38" s="30">
        <f t="shared" si="64"/>
        <v>0</v>
      </c>
      <c r="AD38" s="43">
        <f t="shared" si="64"/>
        <v>0</v>
      </c>
      <c r="AE38" s="29">
        <f t="shared" si="64"/>
        <v>0</v>
      </c>
      <c r="AF38" s="30">
        <f t="shared" si="64"/>
        <v>0</v>
      </c>
      <c r="AG38" s="30">
        <f t="shared" si="64"/>
        <v>0</v>
      </c>
      <c r="AH38" s="30">
        <f t="shared" si="64"/>
        <v>0</v>
      </c>
      <c r="AI38" s="43">
        <f t="shared" si="64"/>
        <v>0</v>
      </c>
    </row>
    <row r="39" spans="1:35" collapsed="1" x14ac:dyDescent="0.25">
      <c r="A39" t="s">
        <v>83</v>
      </c>
      <c r="B39" t="s">
        <v>4</v>
      </c>
      <c r="C39" s="30">
        <f>SUM(C35:C38)</f>
        <v>0</v>
      </c>
      <c r="D39" s="30">
        <f t="shared" ref="D39:J39" si="65">SUM(D35:D38)</f>
        <v>0</v>
      </c>
      <c r="E39" s="30">
        <f t="shared" si="65"/>
        <v>12</v>
      </c>
      <c r="F39" s="30">
        <f t="shared" si="65"/>
        <v>0</v>
      </c>
      <c r="G39" s="30">
        <f t="shared" si="65"/>
        <v>12</v>
      </c>
      <c r="H39" s="30">
        <f t="shared" si="65"/>
        <v>90.204724409448815</v>
      </c>
      <c r="I39" s="30">
        <f t="shared" si="65"/>
        <v>12</v>
      </c>
      <c r="J39" s="30">
        <f t="shared" si="65"/>
        <v>0</v>
      </c>
      <c r="K39" s="30">
        <f t="shared" ref="K39:AI39" si="66">SUM(K35:K38)</f>
        <v>-1388.5839528866886</v>
      </c>
      <c r="L39" s="30">
        <f t="shared" si="66"/>
        <v>0</v>
      </c>
      <c r="M39" s="30">
        <f t="shared" si="66"/>
        <v>1388.5839528866886</v>
      </c>
      <c r="N39" s="30">
        <f t="shared" si="66"/>
        <v>1400.5839528866886</v>
      </c>
      <c r="O39" s="43">
        <f t="shared" si="66"/>
        <v>1628.5839528866886</v>
      </c>
      <c r="P39" s="29">
        <f t="shared" si="66"/>
        <v>1400.5839528866886</v>
      </c>
      <c r="Q39" s="30">
        <f t="shared" si="66"/>
        <v>1400.5839528866886</v>
      </c>
      <c r="R39" s="30">
        <f t="shared" si="66"/>
        <v>1400.5839528866886</v>
      </c>
      <c r="S39" s="30">
        <f t="shared" si="66"/>
        <v>1400.5839528866886</v>
      </c>
      <c r="T39" s="43">
        <f t="shared" si="66"/>
        <v>1400.5839528866886</v>
      </c>
      <c r="U39" s="29">
        <f t="shared" si="66"/>
        <v>1400.5839528866886</v>
      </c>
      <c r="V39" s="30">
        <f t="shared" si="66"/>
        <v>1400.5839528866886</v>
      </c>
      <c r="W39" s="30">
        <f t="shared" si="66"/>
        <v>1400.5839528866886</v>
      </c>
      <c r="X39" s="30">
        <f t="shared" si="66"/>
        <v>1400.5839528866886</v>
      </c>
      <c r="Y39" s="43">
        <f t="shared" si="66"/>
        <v>1400.5839528866886</v>
      </c>
      <c r="Z39" s="29">
        <f t="shared" si="66"/>
        <v>2397.9113048851655</v>
      </c>
      <c r="AA39" s="30">
        <f t="shared" si="66"/>
        <v>1733.0264035528473</v>
      </c>
      <c r="AB39" s="30">
        <f t="shared" si="66"/>
        <v>1400.5839528866886</v>
      </c>
      <c r="AC39" s="30">
        <f t="shared" si="66"/>
        <v>1234.3627275536091</v>
      </c>
      <c r="AD39" s="43">
        <f t="shared" si="66"/>
        <v>1151.2521148870692</v>
      </c>
      <c r="AE39" s="29">
        <f t="shared" si="66"/>
        <v>1400.5839528866886</v>
      </c>
      <c r="AF39" s="30">
        <f t="shared" si="66"/>
        <v>1400.5839528866886</v>
      </c>
      <c r="AG39" s="30">
        <f t="shared" si="66"/>
        <v>1400.5839528866886</v>
      </c>
      <c r="AH39" s="30">
        <f t="shared" si="66"/>
        <v>1400.5839528866886</v>
      </c>
      <c r="AI39" s="43">
        <f t="shared" si="66"/>
        <v>1400.5839528866886</v>
      </c>
    </row>
    <row r="40" spans="1:35" hidden="1" outlineLevel="2" x14ac:dyDescent="0.25">
      <c r="A40" t="s">
        <v>124</v>
      </c>
      <c r="B40" t="s">
        <v>19</v>
      </c>
      <c r="C40" s="30">
        <f>-(C$21+C$24)/4</f>
        <v>0</v>
      </c>
      <c r="D40" s="30">
        <f t="shared" ref="D40:AI40" si="67">-(D$21+D$24)/4</f>
        <v>0</v>
      </c>
      <c r="E40" s="30">
        <f t="shared" si="67"/>
        <v>0</v>
      </c>
      <c r="F40" s="30">
        <f t="shared" si="67"/>
        <v>50</v>
      </c>
      <c r="G40" s="30">
        <f t="shared" si="67"/>
        <v>50</v>
      </c>
      <c r="H40" s="30">
        <f t="shared" si="67"/>
        <v>50</v>
      </c>
      <c r="I40" s="30">
        <f t="shared" si="67"/>
        <v>125.19685039370079</v>
      </c>
      <c r="J40" s="30">
        <f t="shared" si="67"/>
        <v>0</v>
      </c>
      <c r="K40" s="30">
        <f t="shared" si="67"/>
        <v>0</v>
      </c>
      <c r="L40" s="30">
        <f t="shared" si="67"/>
        <v>1570.7963267948965</v>
      </c>
      <c r="M40" s="30">
        <f t="shared" si="67"/>
        <v>1570.7963267948965</v>
      </c>
      <c r="N40" s="30">
        <f t="shared" si="67"/>
        <v>1620.7963267948965</v>
      </c>
      <c r="O40" s="43">
        <f t="shared" si="67"/>
        <v>2570.7963267948962</v>
      </c>
      <c r="P40" s="29">
        <f t="shared" si="67"/>
        <v>1620.7963267948965</v>
      </c>
      <c r="Q40" s="30">
        <f t="shared" si="67"/>
        <v>1620.7963267948965</v>
      </c>
      <c r="R40" s="30">
        <f t="shared" si="67"/>
        <v>1620.7963267948965</v>
      </c>
      <c r="S40" s="30">
        <f t="shared" si="67"/>
        <v>1620.7963267948965</v>
      </c>
      <c r="T40" s="43">
        <f t="shared" si="67"/>
        <v>1620.7963267948965</v>
      </c>
      <c r="U40" s="29">
        <f t="shared" si="67"/>
        <v>1620.7963267948965</v>
      </c>
      <c r="V40" s="30">
        <f t="shared" si="67"/>
        <v>1620.7963267948965</v>
      </c>
      <c r="W40" s="30">
        <f t="shared" si="67"/>
        <v>1620.7963267948965</v>
      </c>
      <c r="X40" s="30">
        <f t="shared" si="67"/>
        <v>1620.7963267948965</v>
      </c>
      <c r="Y40" s="43">
        <f t="shared" si="67"/>
        <v>1620.7963267948965</v>
      </c>
      <c r="Z40" s="29">
        <f t="shared" si="67"/>
        <v>1620.7963267948965</v>
      </c>
      <c r="AA40" s="30">
        <f t="shared" si="67"/>
        <v>1620.7963267948965</v>
      </c>
      <c r="AB40" s="30">
        <f t="shared" si="67"/>
        <v>1620.7963267948965</v>
      </c>
      <c r="AC40" s="30">
        <f t="shared" si="67"/>
        <v>1620.7963267948965</v>
      </c>
      <c r="AD40" s="43">
        <f t="shared" si="67"/>
        <v>1620.7963267948965</v>
      </c>
      <c r="AE40" s="29">
        <f t="shared" si="67"/>
        <v>1620.7963267948965</v>
      </c>
      <c r="AF40" s="30">
        <f t="shared" si="67"/>
        <v>1620.7963267948965</v>
      </c>
      <c r="AG40" s="30">
        <f t="shared" si="67"/>
        <v>1620.7963267948965</v>
      </c>
      <c r="AH40" s="30">
        <f t="shared" si="67"/>
        <v>1620.7963267948965</v>
      </c>
      <c r="AI40" s="43">
        <f t="shared" si="67"/>
        <v>1620.7963267948965</v>
      </c>
    </row>
    <row r="41" spans="1:35" hidden="1" outlineLevel="2" x14ac:dyDescent="0.25">
      <c r="A41" t="s">
        <v>125</v>
      </c>
      <c r="B41" t="s">
        <v>19</v>
      </c>
      <c r="C41" s="30">
        <f t="shared" ref="C41:P41" si="68">C$29*1000/C$6/2</f>
        <v>-41.666666666666664</v>
      </c>
      <c r="D41" s="30">
        <f t="shared" si="68"/>
        <v>-83.333333333333329</v>
      </c>
      <c r="E41" s="30">
        <f t="shared" si="68"/>
        <v>-41.666666666666664</v>
      </c>
      <c r="F41" s="30">
        <f t="shared" si="68"/>
        <v>-91.666666666666671</v>
      </c>
      <c r="G41" s="30">
        <f t="shared" si="68"/>
        <v>-133.33333333333334</v>
      </c>
      <c r="H41" s="30">
        <f t="shared" si="68"/>
        <v>-133.33333333333334</v>
      </c>
      <c r="I41" s="30">
        <f t="shared" si="68"/>
        <v>-459.1863517060367</v>
      </c>
      <c r="J41" s="30">
        <f t="shared" si="68"/>
        <v>-2005.1620751602873</v>
      </c>
      <c r="K41" s="30">
        <f t="shared" si="68"/>
        <v>-41.666666666666664</v>
      </c>
      <c r="L41" s="30">
        <f t="shared" si="68"/>
        <v>-6848.4507494445515</v>
      </c>
      <c r="M41" s="30">
        <f t="shared" si="68"/>
        <v>-8811.9461579381714</v>
      </c>
      <c r="N41" s="30">
        <f t="shared" si="68"/>
        <v>-8903.6128246048393</v>
      </c>
      <c r="O41" s="43">
        <f t="shared" si="68"/>
        <v>-8936.9461579381714</v>
      </c>
      <c r="P41" s="29">
        <f t="shared" si="68"/>
        <v>-8903.6128246048393</v>
      </c>
      <c r="Q41" s="30">
        <f t="shared" ref="Q41:AI41" si="69">Q$29*1000/Q$6/2</f>
        <v>-8903.6128246048393</v>
      </c>
      <c r="R41" s="30">
        <f t="shared" si="69"/>
        <v>-8903.6128246048393</v>
      </c>
      <c r="S41" s="30">
        <f t="shared" si="69"/>
        <v>-8903.6128246048393</v>
      </c>
      <c r="T41" s="43">
        <f t="shared" si="69"/>
        <v>-8903.6128246048393</v>
      </c>
      <c r="U41" s="29">
        <f>U$29*1000/U$6/2</f>
        <v>-35614.451298419357</v>
      </c>
      <c r="V41" s="30">
        <f t="shared" si="69"/>
        <v>-17807.225649209679</v>
      </c>
      <c r="W41" s="30">
        <f t="shared" si="69"/>
        <v>-8903.6128246048393</v>
      </c>
      <c r="X41" s="30">
        <f t="shared" si="69"/>
        <v>-4451.8064123024196</v>
      </c>
      <c r="Y41" s="43">
        <f t="shared" si="69"/>
        <v>-2225.9032061512098</v>
      </c>
      <c r="Z41" s="29">
        <f>Z$29*1000/Z$6/2</f>
        <v>-13766.00180498953</v>
      </c>
      <c r="AA41" s="30">
        <f t="shared" si="69"/>
        <v>-10524.409151399735</v>
      </c>
      <c r="AB41" s="30">
        <f t="shared" si="69"/>
        <v>-8903.6128246048393</v>
      </c>
      <c r="AC41" s="30">
        <f t="shared" si="69"/>
        <v>-8093.2146612073902</v>
      </c>
      <c r="AD41" s="43">
        <f t="shared" si="69"/>
        <v>-7688.0155795086666</v>
      </c>
      <c r="AE41" s="29">
        <f>AE$29*1000/AE$6/2</f>
        <v>-9153.6128246048393</v>
      </c>
      <c r="AF41" s="30">
        <f t="shared" si="69"/>
        <v>-8986.9461579381714</v>
      </c>
      <c r="AG41" s="30">
        <f t="shared" si="69"/>
        <v>-8903.6128246048393</v>
      </c>
      <c r="AH41" s="30">
        <f t="shared" si="69"/>
        <v>-8861.9461579381714</v>
      </c>
      <c r="AI41" s="43">
        <f t="shared" si="69"/>
        <v>-8841.1128246048393</v>
      </c>
    </row>
    <row r="42" spans="1:35" hidden="1" outlineLevel="2" x14ac:dyDescent="0.25">
      <c r="A42" t="s">
        <v>126</v>
      </c>
      <c r="B42" t="s">
        <v>19</v>
      </c>
      <c r="C42" s="30">
        <f t="shared" ref="C42:P42" si="70">-C$34*1000/C$5/2</f>
        <v>0</v>
      </c>
      <c r="D42" s="30">
        <f t="shared" si="70"/>
        <v>0</v>
      </c>
      <c r="E42" s="30">
        <f t="shared" si="70"/>
        <v>-35.714285714285715</v>
      </c>
      <c r="F42" s="30">
        <f t="shared" si="70"/>
        <v>0</v>
      </c>
      <c r="G42" s="30">
        <f t="shared" si="70"/>
        <v>-35.714285714285715</v>
      </c>
      <c r="H42" s="30">
        <f t="shared" si="70"/>
        <v>-196.85039370078738</v>
      </c>
      <c r="I42" s="30">
        <f t="shared" si="70"/>
        <v>-35.714285714285715</v>
      </c>
      <c r="J42" s="30">
        <f t="shared" si="70"/>
        <v>0</v>
      </c>
      <c r="K42" s="30">
        <f t="shared" si="70"/>
        <v>2861.0933095192759</v>
      </c>
      <c r="L42" s="30">
        <f t="shared" si="70"/>
        <v>0</v>
      </c>
      <c r="M42" s="30">
        <f t="shared" si="70"/>
        <v>-2861.0933095192759</v>
      </c>
      <c r="N42" s="30">
        <f t="shared" si="70"/>
        <v>-2896.8075952335616</v>
      </c>
      <c r="O42" s="43">
        <f t="shared" si="70"/>
        <v>-3575.3790238049901</v>
      </c>
      <c r="P42" s="29">
        <f t="shared" si="70"/>
        <v>-11587.230380934247</v>
      </c>
      <c r="Q42" s="30">
        <f t="shared" ref="Q42:AI42" si="71">-Q$34*1000/Q$5/2</f>
        <v>-5793.6151904671233</v>
      </c>
      <c r="R42" s="30">
        <f t="shared" si="71"/>
        <v>-2896.8075952335616</v>
      </c>
      <c r="S42" s="30">
        <f t="shared" si="71"/>
        <v>-1448.4037976167808</v>
      </c>
      <c r="T42" s="43">
        <f t="shared" si="71"/>
        <v>-724.20189880839041</v>
      </c>
      <c r="U42" s="29">
        <f>-U$34*1000/U$5/2</f>
        <v>-2896.8075952335616</v>
      </c>
      <c r="V42" s="30">
        <f t="shared" si="71"/>
        <v>-2896.8075952335616</v>
      </c>
      <c r="W42" s="30">
        <f t="shared" si="71"/>
        <v>-2896.8075952335616</v>
      </c>
      <c r="X42" s="30">
        <f t="shared" si="71"/>
        <v>-2896.8075952335616</v>
      </c>
      <c r="Y42" s="43">
        <f t="shared" si="71"/>
        <v>-2896.8075952335616</v>
      </c>
      <c r="Z42" s="29">
        <f>-Z$34*1000/Z$5/2</f>
        <v>-2896.8075952335616</v>
      </c>
      <c r="AA42" s="30">
        <f t="shared" si="71"/>
        <v>-2896.8075952335616</v>
      </c>
      <c r="AB42" s="30">
        <f t="shared" si="71"/>
        <v>-2896.8075952335616</v>
      </c>
      <c r="AC42" s="30">
        <f t="shared" si="71"/>
        <v>-2896.8075952335616</v>
      </c>
      <c r="AD42" s="43">
        <f t="shared" si="71"/>
        <v>-2896.8075952335616</v>
      </c>
      <c r="AE42" s="29">
        <f>-AE$34*1000/AE$5/2</f>
        <v>-3003.9504523764185</v>
      </c>
      <c r="AF42" s="30">
        <f t="shared" si="71"/>
        <v>-2932.521880947847</v>
      </c>
      <c r="AG42" s="30">
        <f t="shared" si="71"/>
        <v>-2896.8075952335616</v>
      </c>
      <c r="AH42" s="30">
        <f t="shared" si="71"/>
        <v>-2878.9504523764185</v>
      </c>
      <c r="AI42" s="43">
        <f t="shared" si="71"/>
        <v>-2870.021880947847</v>
      </c>
    </row>
    <row r="43" spans="1:35" hidden="1" outlineLevel="1" x14ac:dyDescent="0.25">
      <c r="A43" t="s">
        <v>123</v>
      </c>
      <c r="B43" t="s">
        <v>19</v>
      </c>
      <c r="C43" s="30">
        <f>SUM(C40:C42)</f>
        <v>-41.666666666666664</v>
      </c>
      <c r="D43" s="30">
        <f t="shared" ref="D43:O43" si="72">SUM(D40:D42)</f>
        <v>-83.333333333333329</v>
      </c>
      <c r="E43" s="30">
        <f t="shared" si="72"/>
        <v>-77.38095238095238</v>
      </c>
      <c r="F43" s="30">
        <f t="shared" si="72"/>
        <v>-41.666666666666671</v>
      </c>
      <c r="G43" s="30">
        <f t="shared" si="72"/>
        <v>-119.04761904761907</v>
      </c>
      <c r="H43" s="30">
        <f t="shared" si="72"/>
        <v>-280.18372703412069</v>
      </c>
      <c r="I43" s="30">
        <f t="shared" si="72"/>
        <v>-369.70378702662163</v>
      </c>
      <c r="J43" s="30">
        <f t="shared" si="72"/>
        <v>-2005.1620751602873</v>
      </c>
      <c r="K43" s="30">
        <f t="shared" si="72"/>
        <v>2819.4266428526093</v>
      </c>
      <c r="L43" s="30">
        <f t="shared" si="72"/>
        <v>-5277.6544226496553</v>
      </c>
      <c r="M43" s="30">
        <f>SUM(M40:M42)</f>
        <v>-10102.243140662551</v>
      </c>
      <c r="N43" s="30">
        <f t="shared" si="72"/>
        <v>-10179.624093043505</v>
      </c>
      <c r="O43" s="43">
        <f t="shared" si="72"/>
        <v>-9941.5288549482648</v>
      </c>
      <c r="P43" s="29">
        <f t="shared" ref="P43:AI43" si="73">SUM(P40:P42)</f>
        <v>-18870.04687874419</v>
      </c>
      <c r="Q43" s="30">
        <f t="shared" si="73"/>
        <v>-13076.431688277065</v>
      </c>
      <c r="R43" s="30">
        <f t="shared" si="73"/>
        <v>-10179.624093043505</v>
      </c>
      <c r="S43" s="30">
        <f t="shared" si="73"/>
        <v>-8731.2202954267232</v>
      </c>
      <c r="T43" s="43">
        <f t="shared" si="73"/>
        <v>-8007.0183966183331</v>
      </c>
      <c r="U43" s="29">
        <f t="shared" si="73"/>
        <v>-36890.462566858027</v>
      </c>
      <c r="V43" s="30">
        <f t="shared" si="73"/>
        <v>-19083.236917648344</v>
      </c>
      <c r="W43" s="30">
        <f t="shared" si="73"/>
        <v>-10179.624093043505</v>
      </c>
      <c r="X43" s="30">
        <f t="shared" si="73"/>
        <v>-5727.8176807410855</v>
      </c>
      <c r="Y43" s="43">
        <f t="shared" si="73"/>
        <v>-3501.9144745898748</v>
      </c>
      <c r="Z43" s="29">
        <f t="shared" si="73"/>
        <v>-15042.013073428196</v>
      </c>
      <c r="AA43" s="30">
        <f t="shared" si="73"/>
        <v>-11800.420419838401</v>
      </c>
      <c r="AB43" s="30">
        <f t="shared" si="73"/>
        <v>-10179.624093043505</v>
      </c>
      <c r="AC43" s="30">
        <f t="shared" si="73"/>
        <v>-9369.2259296460561</v>
      </c>
      <c r="AD43" s="43">
        <f t="shared" si="73"/>
        <v>-8964.0268479473325</v>
      </c>
      <c r="AE43" s="29">
        <f t="shared" si="73"/>
        <v>-10536.766950186362</v>
      </c>
      <c r="AF43" s="30">
        <f t="shared" si="73"/>
        <v>-10298.671712091122</v>
      </c>
      <c r="AG43" s="30">
        <f t="shared" si="73"/>
        <v>-10179.624093043505</v>
      </c>
      <c r="AH43" s="30">
        <f t="shared" si="73"/>
        <v>-10120.100283519694</v>
      </c>
      <c r="AI43" s="43">
        <f t="shared" si="73"/>
        <v>-10090.33837875779</v>
      </c>
    </row>
    <row r="44" spans="1:35" hidden="1" outlineLevel="2" x14ac:dyDescent="0.25">
      <c r="A44" t="s">
        <v>127</v>
      </c>
      <c r="B44" t="s">
        <v>19</v>
      </c>
      <c r="C44" s="30">
        <f>-(C$21+C$24)/4</f>
        <v>0</v>
      </c>
      <c r="D44" s="30">
        <f t="shared" ref="D44:AI44" si="74">-(D$21+D$24)/4</f>
        <v>0</v>
      </c>
      <c r="E44" s="30">
        <f t="shared" si="74"/>
        <v>0</v>
      </c>
      <c r="F44" s="30">
        <f t="shared" si="74"/>
        <v>50</v>
      </c>
      <c r="G44" s="30">
        <f t="shared" si="74"/>
        <v>50</v>
      </c>
      <c r="H44" s="30">
        <f t="shared" si="74"/>
        <v>50</v>
      </c>
      <c r="I44" s="30">
        <f t="shared" si="74"/>
        <v>125.19685039370079</v>
      </c>
      <c r="J44" s="30">
        <f t="shared" si="74"/>
        <v>0</v>
      </c>
      <c r="K44" s="30">
        <f t="shared" si="74"/>
        <v>0</v>
      </c>
      <c r="L44" s="30">
        <f t="shared" si="74"/>
        <v>1570.7963267948965</v>
      </c>
      <c r="M44" s="30">
        <f t="shared" si="74"/>
        <v>1570.7963267948965</v>
      </c>
      <c r="N44" s="30">
        <f t="shared" si="74"/>
        <v>1620.7963267948965</v>
      </c>
      <c r="O44" s="43">
        <f t="shared" si="74"/>
        <v>2570.7963267948962</v>
      </c>
      <c r="P44" s="29">
        <f t="shared" si="74"/>
        <v>1620.7963267948965</v>
      </c>
      <c r="Q44" s="30">
        <f t="shared" si="74"/>
        <v>1620.7963267948965</v>
      </c>
      <c r="R44" s="30">
        <f t="shared" si="74"/>
        <v>1620.7963267948965</v>
      </c>
      <c r="S44" s="30">
        <f t="shared" si="74"/>
        <v>1620.7963267948965</v>
      </c>
      <c r="T44" s="43">
        <f t="shared" si="74"/>
        <v>1620.7963267948965</v>
      </c>
      <c r="U44" s="29">
        <f t="shared" si="74"/>
        <v>1620.7963267948965</v>
      </c>
      <c r="V44" s="30">
        <f t="shared" si="74"/>
        <v>1620.7963267948965</v>
      </c>
      <c r="W44" s="30">
        <f t="shared" si="74"/>
        <v>1620.7963267948965</v>
      </c>
      <c r="X44" s="30">
        <f t="shared" si="74"/>
        <v>1620.7963267948965</v>
      </c>
      <c r="Y44" s="43">
        <f t="shared" si="74"/>
        <v>1620.7963267948965</v>
      </c>
      <c r="Z44" s="29">
        <f t="shared" si="74"/>
        <v>1620.7963267948965</v>
      </c>
      <c r="AA44" s="30">
        <f t="shared" si="74"/>
        <v>1620.7963267948965</v>
      </c>
      <c r="AB44" s="30">
        <f t="shared" si="74"/>
        <v>1620.7963267948965</v>
      </c>
      <c r="AC44" s="30">
        <f t="shared" si="74"/>
        <v>1620.7963267948965</v>
      </c>
      <c r="AD44" s="43">
        <f t="shared" si="74"/>
        <v>1620.7963267948965</v>
      </c>
      <c r="AE44" s="29">
        <f t="shared" si="74"/>
        <v>1620.7963267948965</v>
      </c>
      <c r="AF44" s="30">
        <f t="shared" si="74"/>
        <v>1620.7963267948965</v>
      </c>
      <c r="AG44" s="30">
        <f t="shared" si="74"/>
        <v>1620.7963267948965</v>
      </c>
      <c r="AH44" s="30">
        <f t="shared" si="74"/>
        <v>1620.7963267948965</v>
      </c>
      <c r="AI44" s="43">
        <f t="shared" si="74"/>
        <v>1620.7963267948965</v>
      </c>
    </row>
    <row r="45" spans="1:35" hidden="1" outlineLevel="2" x14ac:dyDescent="0.25">
      <c r="A45" t="s">
        <v>128</v>
      </c>
      <c r="B45" t="s">
        <v>19</v>
      </c>
      <c r="C45" s="30">
        <f t="shared" ref="C45:P45" si="75">C$29*1000/C$6/2</f>
        <v>-41.666666666666664</v>
      </c>
      <c r="D45" s="30">
        <f t="shared" si="75"/>
        <v>-83.333333333333329</v>
      </c>
      <c r="E45" s="30">
        <f t="shared" si="75"/>
        <v>-41.666666666666664</v>
      </c>
      <c r="F45" s="30">
        <f t="shared" si="75"/>
        <v>-91.666666666666671</v>
      </c>
      <c r="G45" s="30">
        <f t="shared" si="75"/>
        <v>-133.33333333333334</v>
      </c>
      <c r="H45" s="30">
        <f t="shared" si="75"/>
        <v>-133.33333333333334</v>
      </c>
      <c r="I45" s="30">
        <f t="shared" si="75"/>
        <v>-459.1863517060367</v>
      </c>
      <c r="J45" s="30">
        <f t="shared" si="75"/>
        <v>-2005.1620751602873</v>
      </c>
      <c r="K45" s="30">
        <f t="shared" si="75"/>
        <v>-41.666666666666664</v>
      </c>
      <c r="L45" s="30">
        <f t="shared" si="75"/>
        <v>-6848.4507494445515</v>
      </c>
      <c r="M45" s="30">
        <f t="shared" si="75"/>
        <v>-8811.9461579381714</v>
      </c>
      <c r="N45" s="30">
        <f t="shared" si="75"/>
        <v>-8903.6128246048393</v>
      </c>
      <c r="O45" s="43">
        <f t="shared" si="75"/>
        <v>-8936.9461579381714</v>
      </c>
      <c r="P45" s="29">
        <f t="shared" si="75"/>
        <v>-8903.6128246048393</v>
      </c>
      <c r="Q45" s="30">
        <f t="shared" ref="Q45:AI45" si="76">Q$29*1000/Q$6/2</f>
        <v>-8903.6128246048393</v>
      </c>
      <c r="R45" s="30">
        <f t="shared" si="76"/>
        <v>-8903.6128246048393</v>
      </c>
      <c r="S45" s="30">
        <f t="shared" si="76"/>
        <v>-8903.6128246048393</v>
      </c>
      <c r="T45" s="43">
        <f t="shared" si="76"/>
        <v>-8903.6128246048393</v>
      </c>
      <c r="U45" s="29">
        <f>U$29*1000/U$6/2</f>
        <v>-35614.451298419357</v>
      </c>
      <c r="V45" s="30">
        <f t="shared" si="76"/>
        <v>-17807.225649209679</v>
      </c>
      <c r="W45" s="30">
        <f t="shared" si="76"/>
        <v>-8903.6128246048393</v>
      </c>
      <c r="X45" s="30">
        <f t="shared" si="76"/>
        <v>-4451.8064123024196</v>
      </c>
      <c r="Y45" s="43">
        <f t="shared" si="76"/>
        <v>-2225.9032061512098</v>
      </c>
      <c r="Z45" s="29">
        <f>Z$29*1000/Z$6/2</f>
        <v>-13766.00180498953</v>
      </c>
      <c r="AA45" s="30">
        <f t="shared" si="76"/>
        <v>-10524.409151399735</v>
      </c>
      <c r="AB45" s="30">
        <f t="shared" si="76"/>
        <v>-8903.6128246048393</v>
      </c>
      <c r="AC45" s="30">
        <f t="shared" si="76"/>
        <v>-8093.2146612073902</v>
      </c>
      <c r="AD45" s="43">
        <f t="shared" si="76"/>
        <v>-7688.0155795086666</v>
      </c>
      <c r="AE45" s="29">
        <f>AE$29*1000/AE$6/2</f>
        <v>-9153.6128246048393</v>
      </c>
      <c r="AF45" s="30">
        <f t="shared" si="76"/>
        <v>-8986.9461579381714</v>
      </c>
      <c r="AG45" s="30">
        <f t="shared" si="76"/>
        <v>-8903.6128246048393</v>
      </c>
      <c r="AH45" s="30">
        <f t="shared" si="76"/>
        <v>-8861.9461579381714</v>
      </c>
      <c r="AI45" s="43">
        <f t="shared" si="76"/>
        <v>-8841.1128246048393</v>
      </c>
    </row>
    <row r="46" spans="1:35" hidden="1" outlineLevel="2" x14ac:dyDescent="0.25">
      <c r="A46" t="s">
        <v>129</v>
      </c>
      <c r="B46" t="s">
        <v>19</v>
      </c>
      <c r="C46" s="30">
        <f t="shared" ref="C46:P46" si="77">C$34*1000/C$5/2</f>
        <v>0</v>
      </c>
      <c r="D46" s="30">
        <f t="shared" si="77"/>
        <v>0</v>
      </c>
      <c r="E46" s="30">
        <f t="shared" si="77"/>
        <v>35.714285714285715</v>
      </c>
      <c r="F46" s="30">
        <f t="shared" si="77"/>
        <v>0</v>
      </c>
      <c r="G46" s="30">
        <f t="shared" si="77"/>
        <v>35.714285714285715</v>
      </c>
      <c r="H46" s="30">
        <f t="shared" si="77"/>
        <v>196.85039370078738</v>
      </c>
      <c r="I46" s="30">
        <f t="shared" si="77"/>
        <v>35.714285714285715</v>
      </c>
      <c r="J46" s="30">
        <f t="shared" si="77"/>
        <v>0</v>
      </c>
      <c r="K46" s="30">
        <f t="shared" si="77"/>
        <v>-2861.0933095192759</v>
      </c>
      <c r="L46" s="30">
        <f t="shared" si="77"/>
        <v>0</v>
      </c>
      <c r="M46" s="30">
        <f t="shared" si="77"/>
        <v>2861.0933095192759</v>
      </c>
      <c r="N46" s="30">
        <f t="shared" si="77"/>
        <v>2896.8075952335616</v>
      </c>
      <c r="O46" s="43">
        <f t="shared" si="77"/>
        <v>3575.3790238049901</v>
      </c>
      <c r="P46" s="29">
        <f t="shared" si="77"/>
        <v>11587.230380934247</v>
      </c>
      <c r="Q46" s="30">
        <f t="shared" ref="Q46:AI46" si="78">Q$34*1000/Q$5/2</f>
        <v>5793.6151904671233</v>
      </c>
      <c r="R46" s="30">
        <f t="shared" si="78"/>
        <v>2896.8075952335616</v>
      </c>
      <c r="S46" s="30">
        <f t="shared" si="78"/>
        <v>1448.4037976167808</v>
      </c>
      <c r="T46" s="43">
        <f t="shared" si="78"/>
        <v>724.20189880839041</v>
      </c>
      <c r="U46" s="29">
        <f>U$34*1000/U$5/2</f>
        <v>2896.8075952335616</v>
      </c>
      <c r="V46" s="30">
        <f t="shared" si="78"/>
        <v>2896.8075952335616</v>
      </c>
      <c r="W46" s="30">
        <f t="shared" si="78"/>
        <v>2896.8075952335616</v>
      </c>
      <c r="X46" s="30">
        <f t="shared" si="78"/>
        <v>2896.8075952335616</v>
      </c>
      <c r="Y46" s="43">
        <f t="shared" si="78"/>
        <v>2896.8075952335616</v>
      </c>
      <c r="Z46" s="29">
        <f>Z$34*1000/Z$5/2</f>
        <v>2896.8075952335616</v>
      </c>
      <c r="AA46" s="30">
        <f t="shared" si="78"/>
        <v>2896.8075952335616</v>
      </c>
      <c r="AB46" s="30">
        <f t="shared" si="78"/>
        <v>2896.8075952335616</v>
      </c>
      <c r="AC46" s="30">
        <f t="shared" si="78"/>
        <v>2896.8075952335616</v>
      </c>
      <c r="AD46" s="43">
        <f t="shared" si="78"/>
        <v>2896.8075952335616</v>
      </c>
      <c r="AE46" s="29">
        <f>AE$34*1000/AE$5/2</f>
        <v>3003.9504523764185</v>
      </c>
      <c r="AF46" s="30">
        <f t="shared" si="78"/>
        <v>2932.521880947847</v>
      </c>
      <c r="AG46" s="30">
        <f t="shared" si="78"/>
        <v>2896.8075952335616</v>
      </c>
      <c r="AH46" s="30">
        <f t="shared" si="78"/>
        <v>2878.9504523764185</v>
      </c>
      <c r="AI46" s="43">
        <f t="shared" si="78"/>
        <v>2870.021880947847</v>
      </c>
    </row>
    <row r="47" spans="1:35" hidden="1" outlineLevel="1" collapsed="1" x14ac:dyDescent="0.25">
      <c r="A47" t="s">
        <v>98</v>
      </c>
      <c r="B47" t="s">
        <v>19</v>
      </c>
      <c r="C47" s="30">
        <f>SUM(C44:C46)</f>
        <v>-41.666666666666664</v>
      </c>
      <c r="D47" s="30">
        <f t="shared" ref="D47:O47" si="79">SUM(D44:D46)</f>
        <v>-83.333333333333329</v>
      </c>
      <c r="E47" s="30">
        <f t="shared" si="79"/>
        <v>-5.952380952380949</v>
      </c>
      <c r="F47" s="30">
        <f t="shared" si="79"/>
        <v>-41.666666666666671</v>
      </c>
      <c r="G47" s="30">
        <f t="shared" si="79"/>
        <v>-47.619047619047628</v>
      </c>
      <c r="H47" s="30">
        <f t="shared" si="79"/>
        <v>113.51706036745404</v>
      </c>
      <c r="I47" s="30">
        <f t="shared" si="79"/>
        <v>-298.27521559805018</v>
      </c>
      <c r="J47" s="30">
        <f t="shared" si="79"/>
        <v>-2005.1620751602873</v>
      </c>
      <c r="K47" s="30">
        <f t="shared" si="79"/>
        <v>-2902.7599761859424</v>
      </c>
      <c r="L47" s="30">
        <f t="shared" si="79"/>
        <v>-5277.6544226496553</v>
      </c>
      <c r="M47" s="30">
        <f>SUM(M44:M46)</f>
        <v>-4380.0565216239993</v>
      </c>
      <c r="N47" s="30">
        <f t="shared" si="79"/>
        <v>-4386.0089025763809</v>
      </c>
      <c r="O47" s="43">
        <f t="shared" si="79"/>
        <v>-2790.7708073382851</v>
      </c>
      <c r="P47" s="29">
        <f t="shared" ref="P47:AI47" si="80">SUM(P44:P46)</f>
        <v>4304.4138831243035</v>
      </c>
      <c r="Q47" s="30">
        <f t="shared" si="80"/>
        <v>-1489.2013073428197</v>
      </c>
      <c r="R47" s="30">
        <f t="shared" si="80"/>
        <v>-4386.0089025763809</v>
      </c>
      <c r="S47" s="30">
        <f t="shared" si="80"/>
        <v>-5834.412700193162</v>
      </c>
      <c r="T47" s="43">
        <f t="shared" si="80"/>
        <v>-6558.614599001553</v>
      </c>
      <c r="U47" s="29">
        <f t="shared" si="80"/>
        <v>-31096.847376390902</v>
      </c>
      <c r="V47" s="30">
        <f t="shared" si="80"/>
        <v>-13289.62172718122</v>
      </c>
      <c r="W47" s="30">
        <f t="shared" si="80"/>
        <v>-4386.0089025763809</v>
      </c>
      <c r="X47" s="30">
        <f t="shared" si="80"/>
        <v>65.797509726038243</v>
      </c>
      <c r="Y47" s="43">
        <f t="shared" si="80"/>
        <v>2291.7007158772485</v>
      </c>
      <c r="Z47" s="29">
        <f t="shared" si="80"/>
        <v>-9248.3978829610714</v>
      </c>
      <c r="AA47" s="30">
        <f t="shared" si="80"/>
        <v>-6006.8052293712772</v>
      </c>
      <c r="AB47" s="30">
        <f t="shared" si="80"/>
        <v>-4386.0089025763809</v>
      </c>
      <c r="AC47" s="30">
        <f t="shared" si="80"/>
        <v>-3575.6107391789324</v>
      </c>
      <c r="AD47" s="43">
        <f t="shared" si="80"/>
        <v>-3170.4116574802088</v>
      </c>
      <c r="AE47" s="29">
        <f t="shared" si="80"/>
        <v>-4528.8660454335241</v>
      </c>
      <c r="AF47" s="30">
        <f t="shared" si="80"/>
        <v>-4433.6279501954286</v>
      </c>
      <c r="AG47" s="30">
        <f t="shared" si="80"/>
        <v>-4386.0089025763809</v>
      </c>
      <c r="AH47" s="30">
        <f t="shared" si="80"/>
        <v>-4362.1993787668562</v>
      </c>
      <c r="AI47" s="43">
        <f t="shared" si="80"/>
        <v>-4350.2946168620965</v>
      </c>
    </row>
    <row r="48" spans="1:35" hidden="1" outlineLevel="2" x14ac:dyDescent="0.25">
      <c r="A48" t="s">
        <v>130</v>
      </c>
      <c r="B48" t="s">
        <v>19</v>
      </c>
      <c r="C48" s="30">
        <f>-(C$21+C$24)/4</f>
        <v>0</v>
      </c>
      <c r="D48" s="30">
        <f t="shared" ref="D48:AI48" si="81">-(D$21+D$24)/4</f>
        <v>0</v>
      </c>
      <c r="E48" s="30">
        <f t="shared" si="81"/>
        <v>0</v>
      </c>
      <c r="F48" s="30">
        <f t="shared" si="81"/>
        <v>50</v>
      </c>
      <c r="G48" s="30">
        <f t="shared" si="81"/>
        <v>50</v>
      </c>
      <c r="H48" s="30">
        <f t="shared" si="81"/>
        <v>50</v>
      </c>
      <c r="I48" s="30">
        <f t="shared" si="81"/>
        <v>125.19685039370079</v>
      </c>
      <c r="J48" s="30">
        <f t="shared" si="81"/>
        <v>0</v>
      </c>
      <c r="K48" s="30">
        <f t="shared" si="81"/>
        <v>0</v>
      </c>
      <c r="L48" s="30">
        <f t="shared" si="81"/>
        <v>1570.7963267948965</v>
      </c>
      <c r="M48" s="30">
        <f t="shared" si="81"/>
        <v>1570.7963267948965</v>
      </c>
      <c r="N48" s="30">
        <f t="shared" si="81"/>
        <v>1620.7963267948965</v>
      </c>
      <c r="O48" s="43">
        <f t="shared" si="81"/>
        <v>2570.7963267948962</v>
      </c>
      <c r="P48" s="29">
        <f t="shared" si="81"/>
        <v>1620.7963267948965</v>
      </c>
      <c r="Q48" s="30">
        <f t="shared" si="81"/>
        <v>1620.7963267948965</v>
      </c>
      <c r="R48" s="30">
        <f t="shared" si="81"/>
        <v>1620.7963267948965</v>
      </c>
      <c r="S48" s="30">
        <f t="shared" si="81"/>
        <v>1620.7963267948965</v>
      </c>
      <c r="T48" s="43">
        <f t="shared" si="81"/>
        <v>1620.7963267948965</v>
      </c>
      <c r="U48" s="29">
        <f t="shared" si="81"/>
        <v>1620.7963267948965</v>
      </c>
      <c r="V48" s="30">
        <f t="shared" si="81"/>
        <v>1620.7963267948965</v>
      </c>
      <c r="W48" s="30">
        <f t="shared" si="81"/>
        <v>1620.7963267948965</v>
      </c>
      <c r="X48" s="30">
        <f t="shared" si="81"/>
        <v>1620.7963267948965</v>
      </c>
      <c r="Y48" s="43">
        <f t="shared" si="81"/>
        <v>1620.7963267948965</v>
      </c>
      <c r="Z48" s="29">
        <f t="shared" si="81"/>
        <v>1620.7963267948965</v>
      </c>
      <c r="AA48" s="30">
        <f t="shared" si="81"/>
        <v>1620.7963267948965</v>
      </c>
      <c r="AB48" s="30">
        <f t="shared" si="81"/>
        <v>1620.7963267948965</v>
      </c>
      <c r="AC48" s="30">
        <f t="shared" si="81"/>
        <v>1620.7963267948965</v>
      </c>
      <c r="AD48" s="43">
        <f t="shared" si="81"/>
        <v>1620.7963267948965</v>
      </c>
      <c r="AE48" s="29">
        <f t="shared" si="81"/>
        <v>1620.7963267948965</v>
      </c>
      <c r="AF48" s="30">
        <f t="shared" si="81"/>
        <v>1620.7963267948965</v>
      </c>
      <c r="AG48" s="30">
        <f t="shared" si="81"/>
        <v>1620.7963267948965</v>
      </c>
      <c r="AH48" s="30">
        <f t="shared" si="81"/>
        <v>1620.7963267948965</v>
      </c>
      <c r="AI48" s="43">
        <f t="shared" si="81"/>
        <v>1620.7963267948965</v>
      </c>
    </row>
    <row r="49" spans="1:35" hidden="1" outlineLevel="2" x14ac:dyDescent="0.25">
      <c r="A49" t="s">
        <v>131</v>
      </c>
      <c r="B49" t="s">
        <v>19</v>
      </c>
      <c r="C49" s="30">
        <f t="shared" ref="C49:P49" si="82">-C$29*1000/C$6/2</f>
        <v>41.666666666666664</v>
      </c>
      <c r="D49" s="30">
        <f t="shared" si="82"/>
        <v>83.333333333333329</v>
      </c>
      <c r="E49" s="30">
        <f t="shared" si="82"/>
        <v>41.666666666666664</v>
      </c>
      <c r="F49" s="30">
        <f t="shared" si="82"/>
        <v>91.666666666666671</v>
      </c>
      <c r="G49" s="30">
        <f t="shared" si="82"/>
        <v>133.33333333333334</v>
      </c>
      <c r="H49" s="30">
        <f t="shared" si="82"/>
        <v>133.33333333333334</v>
      </c>
      <c r="I49" s="30">
        <f t="shared" si="82"/>
        <v>459.1863517060367</v>
      </c>
      <c r="J49" s="30">
        <f t="shared" si="82"/>
        <v>2005.1620751602873</v>
      </c>
      <c r="K49" s="30">
        <f t="shared" si="82"/>
        <v>41.666666666666664</v>
      </c>
      <c r="L49" s="30">
        <f t="shared" si="82"/>
        <v>6848.4507494445515</v>
      </c>
      <c r="M49" s="30">
        <f t="shared" si="82"/>
        <v>8811.9461579381714</v>
      </c>
      <c r="N49" s="30">
        <f t="shared" si="82"/>
        <v>8903.6128246048393</v>
      </c>
      <c r="O49" s="43">
        <f t="shared" si="82"/>
        <v>8936.9461579381714</v>
      </c>
      <c r="P49" s="29">
        <f t="shared" si="82"/>
        <v>8903.6128246048393</v>
      </c>
      <c r="Q49" s="30">
        <f t="shared" ref="Q49:AI49" si="83">-Q$29*1000/Q$6/2</f>
        <v>8903.6128246048393</v>
      </c>
      <c r="R49" s="30">
        <f t="shared" si="83"/>
        <v>8903.6128246048393</v>
      </c>
      <c r="S49" s="30">
        <f t="shared" si="83"/>
        <v>8903.6128246048393</v>
      </c>
      <c r="T49" s="43">
        <f t="shared" si="83"/>
        <v>8903.6128246048393</v>
      </c>
      <c r="U49" s="29">
        <f>-U$29*1000/U$6/2</f>
        <v>35614.451298419357</v>
      </c>
      <c r="V49" s="30">
        <f t="shared" si="83"/>
        <v>17807.225649209679</v>
      </c>
      <c r="W49" s="30">
        <f t="shared" si="83"/>
        <v>8903.6128246048393</v>
      </c>
      <c r="X49" s="30">
        <f t="shared" si="83"/>
        <v>4451.8064123024196</v>
      </c>
      <c r="Y49" s="43">
        <f t="shared" si="83"/>
        <v>2225.9032061512098</v>
      </c>
      <c r="Z49" s="29">
        <f>-Z$29*1000/Z$6/2</f>
        <v>13766.00180498953</v>
      </c>
      <c r="AA49" s="30">
        <f t="shared" si="83"/>
        <v>10524.409151399735</v>
      </c>
      <c r="AB49" s="30">
        <f t="shared" si="83"/>
        <v>8903.6128246048393</v>
      </c>
      <c r="AC49" s="30">
        <f t="shared" si="83"/>
        <v>8093.2146612073902</v>
      </c>
      <c r="AD49" s="43">
        <f t="shared" si="83"/>
        <v>7688.0155795086666</v>
      </c>
      <c r="AE49" s="29">
        <f>-AE$29*1000/AE$6/2</f>
        <v>9153.6128246048393</v>
      </c>
      <c r="AF49" s="30">
        <f t="shared" si="83"/>
        <v>8986.9461579381714</v>
      </c>
      <c r="AG49" s="30">
        <f t="shared" si="83"/>
        <v>8903.6128246048393</v>
      </c>
      <c r="AH49" s="30">
        <f t="shared" si="83"/>
        <v>8861.9461579381714</v>
      </c>
      <c r="AI49" s="43">
        <f t="shared" si="83"/>
        <v>8841.1128246048393</v>
      </c>
    </row>
    <row r="50" spans="1:35" hidden="1" outlineLevel="2" x14ac:dyDescent="0.25">
      <c r="A50" t="s">
        <v>132</v>
      </c>
      <c r="B50" t="s">
        <v>19</v>
      </c>
      <c r="C50" s="30">
        <f t="shared" ref="C50:P50" si="84">C$34*1000/C$5/2</f>
        <v>0</v>
      </c>
      <c r="D50" s="30">
        <f t="shared" si="84"/>
        <v>0</v>
      </c>
      <c r="E50" s="30">
        <f t="shared" si="84"/>
        <v>35.714285714285715</v>
      </c>
      <c r="F50" s="30">
        <f t="shared" si="84"/>
        <v>0</v>
      </c>
      <c r="G50" s="30">
        <f t="shared" si="84"/>
        <v>35.714285714285715</v>
      </c>
      <c r="H50" s="30">
        <f t="shared" si="84"/>
        <v>196.85039370078738</v>
      </c>
      <c r="I50" s="30">
        <f t="shared" si="84"/>
        <v>35.714285714285715</v>
      </c>
      <c r="J50" s="30">
        <f t="shared" si="84"/>
        <v>0</v>
      </c>
      <c r="K50" s="30">
        <f t="shared" si="84"/>
        <v>-2861.0933095192759</v>
      </c>
      <c r="L50" s="30">
        <f t="shared" si="84"/>
        <v>0</v>
      </c>
      <c r="M50" s="30">
        <f t="shared" si="84"/>
        <v>2861.0933095192759</v>
      </c>
      <c r="N50" s="30">
        <f t="shared" si="84"/>
        <v>2896.8075952335616</v>
      </c>
      <c r="O50" s="43">
        <f t="shared" si="84"/>
        <v>3575.3790238049901</v>
      </c>
      <c r="P50" s="29">
        <f t="shared" si="84"/>
        <v>11587.230380934247</v>
      </c>
      <c r="Q50" s="30">
        <f t="shared" ref="Q50:AI50" si="85">Q$34*1000/Q$5/2</f>
        <v>5793.6151904671233</v>
      </c>
      <c r="R50" s="30">
        <f t="shared" si="85"/>
        <v>2896.8075952335616</v>
      </c>
      <c r="S50" s="30">
        <f t="shared" si="85"/>
        <v>1448.4037976167808</v>
      </c>
      <c r="T50" s="43">
        <f t="shared" si="85"/>
        <v>724.20189880839041</v>
      </c>
      <c r="U50" s="29">
        <f>U$34*1000/U$5/2</f>
        <v>2896.8075952335616</v>
      </c>
      <c r="V50" s="30">
        <f t="shared" si="85"/>
        <v>2896.8075952335616</v>
      </c>
      <c r="W50" s="30">
        <f t="shared" si="85"/>
        <v>2896.8075952335616</v>
      </c>
      <c r="X50" s="30">
        <f t="shared" si="85"/>
        <v>2896.8075952335616</v>
      </c>
      <c r="Y50" s="43">
        <f t="shared" si="85"/>
        <v>2896.8075952335616</v>
      </c>
      <c r="Z50" s="29">
        <f>Z$34*1000/Z$5/2</f>
        <v>2896.8075952335616</v>
      </c>
      <c r="AA50" s="30">
        <f t="shared" si="85"/>
        <v>2896.8075952335616</v>
      </c>
      <c r="AB50" s="30">
        <f t="shared" si="85"/>
        <v>2896.8075952335616</v>
      </c>
      <c r="AC50" s="30">
        <f t="shared" si="85"/>
        <v>2896.8075952335616</v>
      </c>
      <c r="AD50" s="43">
        <f t="shared" si="85"/>
        <v>2896.8075952335616</v>
      </c>
      <c r="AE50" s="29">
        <f>AE$34*1000/AE$5/2</f>
        <v>3003.9504523764185</v>
      </c>
      <c r="AF50" s="30">
        <f t="shared" si="85"/>
        <v>2932.521880947847</v>
      </c>
      <c r="AG50" s="30">
        <f t="shared" si="85"/>
        <v>2896.8075952335616</v>
      </c>
      <c r="AH50" s="30">
        <f t="shared" si="85"/>
        <v>2878.9504523764185</v>
      </c>
      <c r="AI50" s="43">
        <f t="shared" si="85"/>
        <v>2870.021880947847</v>
      </c>
    </row>
    <row r="51" spans="1:35" hidden="1" outlineLevel="1" collapsed="1" x14ac:dyDescent="0.25">
      <c r="A51" t="s">
        <v>99</v>
      </c>
      <c r="B51" t="s">
        <v>19</v>
      </c>
      <c r="C51" s="30">
        <f>SUM(C48:C50)</f>
        <v>41.666666666666664</v>
      </c>
      <c r="D51" s="30">
        <f t="shared" ref="D51:O51" si="86">SUM(D48:D50)</f>
        <v>83.333333333333329</v>
      </c>
      <c r="E51" s="30">
        <f t="shared" si="86"/>
        <v>77.38095238095238</v>
      </c>
      <c r="F51" s="30">
        <f t="shared" si="86"/>
        <v>141.66666666666669</v>
      </c>
      <c r="G51" s="30">
        <f t="shared" si="86"/>
        <v>219.04761904761907</v>
      </c>
      <c r="H51" s="30">
        <f t="shared" si="86"/>
        <v>380.18372703412069</v>
      </c>
      <c r="I51" s="30">
        <f t="shared" si="86"/>
        <v>620.09748781402311</v>
      </c>
      <c r="J51" s="30">
        <f t="shared" si="86"/>
        <v>2005.1620751602873</v>
      </c>
      <c r="K51" s="30">
        <f t="shared" si="86"/>
        <v>-2819.4266428526093</v>
      </c>
      <c r="L51" s="30">
        <f t="shared" si="86"/>
        <v>8419.2470762394478</v>
      </c>
      <c r="M51" s="30">
        <f>SUM(M48:M50)</f>
        <v>13243.835794252343</v>
      </c>
      <c r="N51" s="30">
        <f t="shared" si="86"/>
        <v>13421.216746633298</v>
      </c>
      <c r="O51" s="43">
        <f t="shared" si="86"/>
        <v>15083.121508538057</v>
      </c>
      <c r="P51" s="29">
        <f t="shared" ref="P51:AI51" si="87">SUM(P48:P50)</f>
        <v>22111.639532333982</v>
      </c>
      <c r="Q51" s="30">
        <f t="shared" si="87"/>
        <v>16318.024341866858</v>
      </c>
      <c r="R51" s="30">
        <f t="shared" si="87"/>
        <v>13421.216746633298</v>
      </c>
      <c r="S51" s="30">
        <f t="shared" si="87"/>
        <v>11972.812949016516</v>
      </c>
      <c r="T51" s="43">
        <f t="shared" si="87"/>
        <v>11248.611050208126</v>
      </c>
      <c r="U51" s="29">
        <f t="shared" si="87"/>
        <v>40132.055220447815</v>
      </c>
      <c r="V51" s="30">
        <f t="shared" si="87"/>
        <v>22324.829571238137</v>
      </c>
      <c r="W51" s="30">
        <f t="shared" si="87"/>
        <v>13421.216746633298</v>
      </c>
      <c r="X51" s="30">
        <f t="shared" si="87"/>
        <v>8969.410334330878</v>
      </c>
      <c r="Y51" s="43">
        <f t="shared" si="87"/>
        <v>6743.5071281796681</v>
      </c>
      <c r="Z51" s="29">
        <f t="shared" si="87"/>
        <v>18283.605727017988</v>
      </c>
      <c r="AA51" s="30">
        <f t="shared" si="87"/>
        <v>15042.013073428194</v>
      </c>
      <c r="AB51" s="30">
        <f t="shared" si="87"/>
        <v>13421.216746633298</v>
      </c>
      <c r="AC51" s="30">
        <f t="shared" si="87"/>
        <v>12610.818583235849</v>
      </c>
      <c r="AD51" s="43">
        <f t="shared" si="87"/>
        <v>12205.619501537125</v>
      </c>
      <c r="AE51" s="29">
        <f t="shared" si="87"/>
        <v>13778.359603776154</v>
      </c>
      <c r="AF51" s="30">
        <f t="shared" si="87"/>
        <v>13540.264365680914</v>
      </c>
      <c r="AG51" s="30">
        <f t="shared" si="87"/>
        <v>13421.216746633298</v>
      </c>
      <c r="AH51" s="30">
        <f t="shared" si="87"/>
        <v>13361.692937109487</v>
      </c>
      <c r="AI51" s="43">
        <f t="shared" si="87"/>
        <v>13331.931032347582</v>
      </c>
    </row>
    <row r="52" spans="1:35" hidden="1" outlineLevel="2" x14ac:dyDescent="0.25">
      <c r="A52" t="s">
        <v>133</v>
      </c>
      <c r="B52" t="s">
        <v>19</v>
      </c>
      <c r="C52" s="30">
        <f>-(C$21+C$24)/4</f>
        <v>0</v>
      </c>
      <c r="D52" s="30">
        <f t="shared" ref="D52:AI52" si="88">-(D$21+D$24)/4</f>
        <v>0</v>
      </c>
      <c r="E52" s="30">
        <f t="shared" si="88"/>
        <v>0</v>
      </c>
      <c r="F52" s="30">
        <f t="shared" si="88"/>
        <v>50</v>
      </c>
      <c r="G52" s="30">
        <f t="shared" si="88"/>
        <v>50</v>
      </c>
      <c r="H52" s="30">
        <f t="shared" si="88"/>
        <v>50</v>
      </c>
      <c r="I52" s="30">
        <f t="shared" si="88"/>
        <v>125.19685039370079</v>
      </c>
      <c r="J52" s="30">
        <f t="shared" si="88"/>
        <v>0</v>
      </c>
      <c r="K52" s="30">
        <f t="shared" si="88"/>
        <v>0</v>
      </c>
      <c r="L52" s="30">
        <f t="shared" si="88"/>
        <v>1570.7963267948965</v>
      </c>
      <c r="M52" s="30">
        <f t="shared" si="88"/>
        <v>1570.7963267948965</v>
      </c>
      <c r="N52" s="30">
        <f t="shared" si="88"/>
        <v>1620.7963267948965</v>
      </c>
      <c r="O52" s="43">
        <f t="shared" si="88"/>
        <v>2570.7963267948962</v>
      </c>
      <c r="P52" s="29">
        <f t="shared" si="88"/>
        <v>1620.7963267948965</v>
      </c>
      <c r="Q52" s="30">
        <f t="shared" si="88"/>
        <v>1620.7963267948965</v>
      </c>
      <c r="R52" s="30">
        <f t="shared" si="88"/>
        <v>1620.7963267948965</v>
      </c>
      <c r="S52" s="30">
        <f t="shared" si="88"/>
        <v>1620.7963267948965</v>
      </c>
      <c r="T52" s="43">
        <f t="shared" si="88"/>
        <v>1620.7963267948965</v>
      </c>
      <c r="U52" s="29">
        <f t="shared" si="88"/>
        <v>1620.7963267948965</v>
      </c>
      <c r="V52" s="30">
        <f t="shared" si="88"/>
        <v>1620.7963267948965</v>
      </c>
      <c r="W52" s="30">
        <f t="shared" si="88"/>
        <v>1620.7963267948965</v>
      </c>
      <c r="X52" s="30">
        <f t="shared" si="88"/>
        <v>1620.7963267948965</v>
      </c>
      <c r="Y52" s="43">
        <f t="shared" si="88"/>
        <v>1620.7963267948965</v>
      </c>
      <c r="Z52" s="29">
        <f t="shared" si="88"/>
        <v>1620.7963267948965</v>
      </c>
      <c r="AA52" s="30">
        <f t="shared" si="88"/>
        <v>1620.7963267948965</v>
      </c>
      <c r="AB52" s="30">
        <f t="shared" si="88"/>
        <v>1620.7963267948965</v>
      </c>
      <c r="AC52" s="30">
        <f t="shared" si="88"/>
        <v>1620.7963267948965</v>
      </c>
      <c r="AD52" s="43">
        <f t="shared" si="88"/>
        <v>1620.7963267948965</v>
      </c>
      <c r="AE52" s="29">
        <f t="shared" si="88"/>
        <v>1620.7963267948965</v>
      </c>
      <c r="AF52" s="30">
        <f t="shared" si="88"/>
        <v>1620.7963267948965</v>
      </c>
      <c r="AG52" s="30">
        <f t="shared" si="88"/>
        <v>1620.7963267948965</v>
      </c>
      <c r="AH52" s="30">
        <f t="shared" si="88"/>
        <v>1620.7963267948965</v>
      </c>
      <c r="AI52" s="43">
        <f t="shared" si="88"/>
        <v>1620.7963267948965</v>
      </c>
    </row>
    <row r="53" spans="1:35" hidden="1" outlineLevel="2" x14ac:dyDescent="0.25">
      <c r="A53" t="s">
        <v>134</v>
      </c>
      <c r="B53" t="s">
        <v>19</v>
      </c>
      <c r="C53" s="30">
        <f t="shared" ref="C53:P53" si="89">-C$29*1000/C$6/2</f>
        <v>41.666666666666664</v>
      </c>
      <c r="D53" s="30">
        <f t="shared" si="89"/>
        <v>83.333333333333329</v>
      </c>
      <c r="E53" s="30">
        <f t="shared" si="89"/>
        <v>41.666666666666664</v>
      </c>
      <c r="F53" s="30">
        <f t="shared" si="89"/>
        <v>91.666666666666671</v>
      </c>
      <c r="G53" s="30">
        <f t="shared" si="89"/>
        <v>133.33333333333334</v>
      </c>
      <c r="H53" s="30">
        <f t="shared" si="89"/>
        <v>133.33333333333334</v>
      </c>
      <c r="I53" s="30">
        <f t="shared" si="89"/>
        <v>459.1863517060367</v>
      </c>
      <c r="J53" s="30">
        <f t="shared" si="89"/>
        <v>2005.1620751602873</v>
      </c>
      <c r="K53" s="30">
        <f t="shared" si="89"/>
        <v>41.666666666666664</v>
      </c>
      <c r="L53" s="30">
        <f t="shared" si="89"/>
        <v>6848.4507494445515</v>
      </c>
      <c r="M53" s="30">
        <f t="shared" si="89"/>
        <v>8811.9461579381714</v>
      </c>
      <c r="N53" s="30">
        <f t="shared" si="89"/>
        <v>8903.6128246048393</v>
      </c>
      <c r="O53" s="43">
        <f t="shared" si="89"/>
        <v>8936.9461579381714</v>
      </c>
      <c r="P53" s="29">
        <f t="shared" si="89"/>
        <v>8903.6128246048393</v>
      </c>
      <c r="Q53" s="30">
        <f t="shared" ref="Q53:AI53" si="90">-Q$29*1000/Q$6/2</f>
        <v>8903.6128246048393</v>
      </c>
      <c r="R53" s="30">
        <f t="shared" si="90"/>
        <v>8903.6128246048393</v>
      </c>
      <c r="S53" s="30">
        <f t="shared" si="90"/>
        <v>8903.6128246048393</v>
      </c>
      <c r="T53" s="43">
        <f t="shared" si="90"/>
        <v>8903.6128246048393</v>
      </c>
      <c r="U53" s="29">
        <f>-U$29*1000/U$6/2</f>
        <v>35614.451298419357</v>
      </c>
      <c r="V53" s="30">
        <f t="shared" si="90"/>
        <v>17807.225649209679</v>
      </c>
      <c r="W53" s="30">
        <f t="shared" si="90"/>
        <v>8903.6128246048393</v>
      </c>
      <c r="X53" s="30">
        <f t="shared" si="90"/>
        <v>4451.8064123024196</v>
      </c>
      <c r="Y53" s="43">
        <f t="shared" si="90"/>
        <v>2225.9032061512098</v>
      </c>
      <c r="Z53" s="29">
        <f>-Z$29*1000/Z$6/2</f>
        <v>13766.00180498953</v>
      </c>
      <c r="AA53" s="30">
        <f t="shared" si="90"/>
        <v>10524.409151399735</v>
      </c>
      <c r="AB53" s="30">
        <f t="shared" si="90"/>
        <v>8903.6128246048393</v>
      </c>
      <c r="AC53" s="30">
        <f t="shared" si="90"/>
        <v>8093.2146612073902</v>
      </c>
      <c r="AD53" s="43">
        <f t="shared" si="90"/>
        <v>7688.0155795086666</v>
      </c>
      <c r="AE53" s="29">
        <f>-AE$29*1000/AE$6/2</f>
        <v>9153.6128246048393</v>
      </c>
      <c r="AF53" s="30">
        <f t="shared" si="90"/>
        <v>8986.9461579381714</v>
      </c>
      <c r="AG53" s="30">
        <f t="shared" si="90"/>
        <v>8903.6128246048393</v>
      </c>
      <c r="AH53" s="30">
        <f t="shared" si="90"/>
        <v>8861.9461579381714</v>
      </c>
      <c r="AI53" s="43">
        <f t="shared" si="90"/>
        <v>8841.1128246048393</v>
      </c>
    </row>
    <row r="54" spans="1:35" hidden="1" outlineLevel="2" x14ac:dyDescent="0.25">
      <c r="A54" t="s">
        <v>135</v>
      </c>
      <c r="B54" t="s">
        <v>19</v>
      </c>
      <c r="C54" s="30">
        <f t="shared" ref="C54:P54" si="91">-C$34*1000/C$5/2</f>
        <v>0</v>
      </c>
      <c r="D54" s="30">
        <f t="shared" si="91"/>
        <v>0</v>
      </c>
      <c r="E54" s="30">
        <f t="shared" si="91"/>
        <v>-35.714285714285715</v>
      </c>
      <c r="F54" s="30">
        <f t="shared" si="91"/>
        <v>0</v>
      </c>
      <c r="G54" s="30">
        <f t="shared" si="91"/>
        <v>-35.714285714285715</v>
      </c>
      <c r="H54" s="30">
        <f t="shared" si="91"/>
        <v>-196.85039370078738</v>
      </c>
      <c r="I54" s="30">
        <f t="shared" si="91"/>
        <v>-35.714285714285715</v>
      </c>
      <c r="J54" s="30">
        <f t="shared" si="91"/>
        <v>0</v>
      </c>
      <c r="K54" s="30">
        <f t="shared" si="91"/>
        <v>2861.0933095192759</v>
      </c>
      <c r="L54" s="30">
        <f t="shared" si="91"/>
        <v>0</v>
      </c>
      <c r="M54" s="30">
        <f t="shared" si="91"/>
        <v>-2861.0933095192759</v>
      </c>
      <c r="N54" s="30">
        <f t="shared" si="91"/>
        <v>-2896.8075952335616</v>
      </c>
      <c r="O54" s="43">
        <f t="shared" si="91"/>
        <v>-3575.3790238049901</v>
      </c>
      <c r="P54" s="29">
        <f t="shared" si="91"/>
        <v>-11587.230380934247</v>
      </c>
      <c r="Q54" s="30">
        <f t="shared" ref="Q54:AI54" si="92">-Q$34*1000/Q$5/2</f>
        <v>-5793.6151904671233</v>
      </c>
      <c r="R54" s="30">
        <f t="shared" si="92"/>
        <v>-2896.8075952335616</v>
      </c>
      <c r="S54" s="30">
        <f t="shared" si="92"/>
        <v>-1448.4037976167808</v>
      </c>
      <c r="T54" s="43">
        <f t="shared" si="92"/>
        <v>-724.20189880839041</v>
      </c>
      <c r="U54" s="29">
        <f>-U$34*1000/U$5/2</f>
        <v>-2896.8075952335616</v>
      </c>
      <c r="V54" s="30">
        <f t="shared" si="92"/>
        <v>-2896.8075952335616</v>
      </c>
      <c r="W54" s="30">
        <f t="shared" si="92"/>
        <v>-2896.8075952335616</v>
      </c>
      <c r="X54" s="30">
        <f t="shared" si="92"/>
        <v>-2896.8075952335616</v>
      </c>
      <c r="Y54" s="43">
        <f t="shared" si="92"/>
        <v>-2896.8075952335616</v>
      </c>
      <c r="Z54" s="29">
        <f>-Z$34*1000/Z$5/2</f>
        <v>-2896.8075952335616</v>
      </c>
      <c r="AA54" s="30">
        <f t="shared" si="92"/>
        <v>-2896.8075952335616</v>
      </c>
      <c r="AB54" s="30">
        <f t="shared" si="92"/>
        <v>-2896.8075952335616</v>
      </c>
      <c r="AC54" s="30">
        <f t="shared" si="92"/>
        <v>-2896.8075952335616</v>
      </c>
      <c r="AD54" s="43">
        <f t="shared" si="92"/>
        <v>-2896.8075952335616</v>
      </c>
      <c r="AE54" s="29">
        <f>-AE$34*1000/AE$5/2</f>
        <v>-3003.9504523764185</v>
      </c>
      <c r="AF54" s="30">
        <f t="shared" si="92"/>
        <v>-2932.521880947847</v>
      </c>
      <c r="AG54" s="30">
        <f t="shared" si="92"/>
        <v>-2896.8075952335616</v>
      </c>
      <c r="AH54" s="30">
        <f t="shared" si="92"/>
        <v>-2878.9504523764185</v>
      </c>
      <c r="AI54" s="43">
        <f t="shared" si="92"/>
        <v>-2870.021880947847</v>
      </c>
    </row>
    <row r="55" spans="1:35" hidden="1" outlineLevel="1" collapsed="1" x14ac:dyDescent="0.25">
      <c r="A55" t="s">
        <v>100</v>
      </c>
      <c r="B55" t="s">
        <v>19</v>
      </c>
      <c r="C55" s="30">
        <f>SUM(C52:C54)</f>
        <v>41.666666666666664</v>
      </c>
      <c r="D55" s="30">
        <f t="shared" ref="D55:O55" si="93">SUM(D52:D54)</f>
        <v>83.333333333333329</v>
      </c>
      <c r="E55" s="30">
        <f t="shared" si="93"/>
        <v>5.952380952380949</v>
      </c>
      <c r="F55" s="30">
        <f t="shared" si="93"/>
        <v>141.66666666666669</v>
      </c>
      <c r="G55" s="30">
        <f t="shared" si="93"/>
        <v>147.61904761904762</v>
      </c>
      <c r="H55" s="30">
        <f t="shared" si="93"/>
        <v>-13.517060367454036</v>
      </c>
      <c r="I55" s="30">
        <f t="shared" si="93"/>
        <v>548.66891638545178</v>
      </c>
      <c r="J55" s="30">
        <f t="shared" si="93"/>
        <v>2005.1620751602873</v>
      </c>
      <c r="K55" s="30">
        <f t="shared" si="93"/>
        <v>2902.7599761859424</v>
      </c>
      <c r="L55" s="30">
        <f t="shared" si="93"/>
        <v>8419.2470762394478</v>
      </c>
      <c r="M55" s="30">
        <f>SUM(M52:M54)</f>
        <v>7521.6491752137918</v>
      </c>
      <c r="N55" s="30">
        <f t="shared" si="93"/>
        <v>7627.6015561661734</v>
      </c>
      <c r="O55" s="43">
        <f t="shared" si="93"/>
        <v>7932.363460928078</v>
      </c>
      <c r="P55" s="29">
        <f t="shared" ref="P55:AI55" si="94">SUM(P52:P54)</f>
        <v>-1062.8212295345111</v>
      </c>
      <c r="Q55" s="30">
        <f t="shared" si="94"/>
        <v>4730.7939609326122</v>
      </c>
      <c r="R55" s="30">
        <f t="shared" si="94"/>
        <v>7627.6015561661734</v>
      </c>
      <c r="S55" s="30">
        <f t="shared" si="94"/>
        <v>9076.0053537829554</v>
      </c>
      <c r="T55" s="43">
        <f t="shared" si="94"/>
        <v>9800.2072525913445</v>
      </c>
      <c r="U55" s="29">
        <f t="shared" si="94"/>
        <v>34338.440029980688</v>
      </c>
      <c r="V55" s="30">
        <f t="shared" si="94"/>
        <v>16531.214380771016</v>
      </c>
      <c r="W55" s="30">
        <f t="shared" si="94"/>
        <v>7627.6015561661734</v>
      </c>
      <c r="X55" s="30">
        <f t="shared" si="94"/>
        <v>3175.7951438637542</v>
      </c>
      <c r="Y55" s="43">
        <f t="shared" si="94"/>
        <v>949.8919377125444</v>
      </c>
      <c r="Z55" s="29">
        <f t="shared" si="94"/>
        <v>12489.990536550864</v>
      </c>
      <c r="AA55" s="30">
        <f t="shared" si="94"/>
        <v>9248.3978829610696</v>
      </c>
      <c r="AB55" s="30">
        <f t="shared" si="94"/>
        <v>7627.6015561661734</v>
      </c>
      <c r="AC55" s="30">
        <f t="shared" si="94"/>
        <v>6817.2033927687244</v>
      </c>
      <c r="AD55" s="43">
        <f t="shared" si="94"/>
        <v>6412.0043110700008</v>
      </c>
      <c r="AE55" s="29">
        <f t="shared" si="94"/>
        <v>7770.4586990233165</v>
      </c>
      <c r="AF55" s="30">
        <f t="shared" si="94"/>
        <v>7675.2206037852211</v>
      </c>
      <c r="AG55" s="30">
        <f t="shared" si="94"/>
        <v>7627.6015561661734</v>
      </c>
      <c r="AH55" s="30">
        <f t="shared" si="94"/>
        <v>7603.7920323566486</v>
      </c>
      <c r="AI55" s="43">
        <f t="shared" si="94"/>
        <v>7591.887270451889</v>
      </c>
    </row>
    <row r="56" spans="1:35" hidden="1" outlineLevel="2" x14ac:dyDescent="0.25">
      <c r="A56" t="s">
        <v>136</v>
      </c>
      <c r="B56" t="s">
        <v>19</v>
      </c>
      <c r="C56" s="30">
        <f>-(C$19+C$22)/4</f>
        <v>0</v>
      </c>
      <c r="D56" s="30">
        <f t="shared" ref="D56:AI56" si="95">-(D$19+D$22)/4</f>
        <v>0</v>
      </c>
      <c r="E56" s="30">
        <f t="shared" si="95"/>
        <v>50</v>
      </c>
      <c r="F56" s="30">
        <f t="shared" si="95"/>
        <v>0</v>
      </c>
      <c r="G56" s="30">
        <f t="shared" si="95"/>
        <v>50</v>
      </c>
      <c r="H56" s="30">
        <f t="shared" si="95"/>
        <v>125.19685039370079</v>
      </c>
      <c r="I56" s="30">
        <f t="shared" si="95"/>
        <v>50</v>
      </c>
      <c r="J56" s="30">
        <f t="shared" si="95"/>
        <v>0</v>
      </c>
      <c r="K56" s="30">
        <f t="shared" si="95"/>
        <v>-1335.176877775662</v>
      </c>
      <c r="L56" s="30">
        <f t="shared" si="95"/>
        <v>0</v>
      </c>
      <c r="M56" s="30">
        <f t="shared" si="95"/>
        <v>1335.176877775662</v>
      </c>
      <c r="N56" s="30">
        <f t="shared" si="95"/>
        <v>1385.176877775662</v>
      </c>
      <c r="O56" s="43">
        <f t="shared" si="95"/>
        <v>2335.176877775662</v>
      </c>
      <c r="P56" s="29">
        <f t="shared" si="95"/>
        <v>1385.176877775662</v>
      </c>
      <c r="Q56" s="30">
        <f t="shared" si="95"/>
        <v>1385.176877775662</v>
      </c>
      <c r="R56" s="30">
        <f t="shared" si="95"/>
        <v>1385.176877775662</v>
      </c>
      <c r="S56" s="30">
        <f t="shared" si="95"/>
        <v>1385.176877775662</v>
      </c>
      <c r="T56" s="43">
        <f t="shared" si="95"/>
        <v>1385.176877775662</v>
      </c>
      <c r="U56" s="29">
        <f t="shared" si="95"/>
        <v>1385.176877775662</v>
      </c>
      <c r="V56" s="30">
        <f t="shared" si="95"/>
        <v>1385.176877775662</v>
      </c>
      <c r="W56" s="30">
        <f t="shared" si="95"/>
        <v>1385.176877775662</v>
      </c>
      <c r="X56" s="30">
        <f t="shared" si="95"/>
        <v>1385.176877775662</v>
      </c>
      <c r="Y56" s="43">
        <f t="shared" si="95"/>
        <v>1385.176877775662</v>
      </c>
      <c r="Z56" s="29">
        <f t="shared" si="95"/>
        <v>1385.176877775662</v>
      </c>
      <c r="AA56" s="30">
        <f t="shared" si="95"/>
        <v>1385.176877775662</v>
      </c>
      <c r="AB56" s="30">
        <f t="shared" si="95"/>
        <v>1385.176877775662</v>
      </c>
      <c r="AC56" s="30">
        <f t="shared" si="95"/>
        <v>1385.176877775662</v>
      </c>
      <c r="AD56" s="43">
        <f t="shared" si="95"/>
        <v>1385.176877775662</v>
      </c>
      <c r="AE56" s="29">
        <f t="shared" si="95"/>
        <v>1385.176877775662</v>
      </c>
      <c r="AF56" s="30">
        <f t="shared" si="95"/>
        <v>1385.176877775662</v>
      </c>
      <c r="AG56" s="30">
        <f t="shared" si="95"/>
        <v>1385.176877775662</v>
      </c>
      <c r="AH56" s="30">
        <f t="shared" si="95"/>
        <v>1385.176877775662</v>
      </c>
      <c r="AI56" s="43">
        <f t="shared" si="95"/>
        <v>1385.176877775662</v>
      </c>
    </row>
    <row r="57" spans="1:35" hidden="1" outlineLevel="2" x14ac:dyDescent="0.25">
      <c r="A57" t="s">
        <v>137</v>
      </c>
      <c r="B57" t="s">
        <v>19</v>
      </c>
      <c r="C57" s="30">
        <f t="shared" ref="C57:P57" si="96">-C$39*1000/C$6/2</f>
        <v>0</v>
      </c>
      <c r="D57" s="30">
        <f t="shared" si="96"/>
        <v>0</v>
      </c>
      <c r="E57" s="30">
        <f t="shared" si="96"/>
        <v>-50</v>
      </c>
      <c r="F57" s="30">
        <f t="shared" si="96"/>
        <v>0</v>
      </c>
      <c r="G57" s="30">
        <f t="shared" si="96"/>
        <v>-50</v>
      </c>
      <c r="H57" s="30">
        <f t="shared" si="96"/>
        <v>-375.85301837270339</v>
      </c>
      <c r="I57" s="30">
        <f t="shared" si="96"/>
        <v>-50</v>
      </c>
      <c r="J57" s="30">
        <f t="shared" si="96"/>
        <v>0</v>
      </c>
      <c r="K57" s="30">
        <f t="shared" si="96"/>
        <v>5785.7664703612018</v>
      </c>
      <c r="L57" s="30">
        <f t="shared" si="96"/>
        <v>0</v>
      </c>
      <c r="M57" s="30">
        <f t="shared" si="96"/>
        <v>-5785.7664703612018</v>
      </c>
      <c r="N57" s="30">
        <f t="shared" si="96"/>
        <v>-5835.7664703612018</v>
      </c>
      <c r="O57" s="43">
        <f t="shared" si="96"/>
        <v>-6785.7664703612018</v>
      </c>
      <c r="P57" s="29">
        <f t="shared" si="96"/>
        <v>-5835.7664703612018</v>
      </c>
      <c r="Q57" s="30">
        <f t="shared" ref="Q57:AI57" si="97">-Q$39*1000/Q$6/2</f>
        <v>-5835.7664703612018</v>
      </c>
      <c r="R57" s="30">
        <f t="shared" si="97"/>
        <v>-5835.7664703612018</v>
      </c>
      <c r="S57" s="30">
        <f t="shared" si="97"/>
        <v>-5835.7664703612018</v>
      </c>
      <c r="T57" s="43">
        <f t="shared" si="97"/>
        <v>-5835.7664703612018</v>
      </c>
      <c r="U57" s="29">
        <f>-U$39*1000/U$6/2</f>
        <v>-23343.065881444807</v>
      </c>
      <c r="V57" s="30">
        <f t="shared" si="97"/>
        <v>-11671.532940722404</v>
      </c>
      <c r="W57" s="30">
        <f t="shared" si="97"/>
        <v>-5835.7664703612018</v>
      </c>
      <c r="X57" s="30">
        <f t="shared" si="97"/>
        <v>-2917.8832351806009</v>
      </c>
      <c r="Y57" s="43">
        <f t="shared" si="97"/>
        <v>-1458.9416175903004</v>
      </c>
      <c r="Z57" s="29">
        <f>-Z$39*1000/Z$6/2</f>
        <v>-9991.2971036881881</v>
      </c>
      <c r="AA57" s="30">
        <f t="shared" si="97"/>
        <v>-7220.9433481368642</v>
      </c>
      <c r="AB57" s="30">
        <f t="shared" si="97"/>
        <v>-5835.7664703612018</v>
      </c>
      <c r="AC57" s="30">
        <f t="shared" si="97"/>
        <v>-5143.1780314733714</v>
      </c>
      <c r="AD57" s="43">
        <f t="shared" si="97"/>
        <v>-4796.8838120294549</v>
      </c>
      <c r="AE57" s="29">
        <f>-AE$39*1000/AE$6/2</f>
        <v>-5835.7664703612018</v>
      </c>
      <c r="AF57" s="30">
        <f t="shared" si="97"/>
        <v>-5835.7664703612018</v>
      </c>
      <c r="AG57" s="30">
        <f t="shared" si="97"/>
        <v>-5835.7664703612018</v>
      </c>
      <c r="AH57" s="30">
        <f t="shared" si="97"/>
        <v>-5835.7664703612018</v>
      </c>
      <c r="AI57" s="43">
        <f t="shared" si="97"/>
        <v>-5835.7664703612018</v>
      </c>
    </row>
    <row r="58" spans="1:35" hidden="1" outlineLevel="1" x14ac:dyDescent="0.25">
      <c r="A58" t="s">
        <v>101</v>
      </c>
      <c r="B58" t="s">
        <v>19</v>
      </c>
      <c r="C58" s="30">
        <f>SUM(C56:C57)</f>
        <v>0</v>
      </c>
      <c r="D58" s="30">
        <f t="shared" ref="D58:O58" si="98">SUM(D56:D57)</f>
        <v>0</v>
      </c>
      <c r="E58" s="30">
        <f t="shared" si="98"/>
        <v>0</v>
      </c>
      <c r="F58" s="30">
        <f t="shared" si="98"/>
        <v>0</v>
      </c>
      <c r="G58" s="30">
        <f t="shared" si="98"/>
        <v>0</v>
      </c>
      <c r="H58" s="30">
        <f t="shared" si="98"/>
        <v>-250.65616797900259</v>
      </c>
      <c r="I58" s="30">
        <f t="shared" si="98"/>
        <v>0</v>
      </c>
      <c r="J58" s="30">
        <f t="shared" si="98"/>
        <v>0</v>
      </c>
      <c r="K58" s="30">
        <f t="shared" si="98"/>
        <v>4450.5895925855402</v>
      </c>
      <c r="L58" s="30">
        <f t="shared" si="98"/>
        <v>0</v>
      </c>
      <c r="M58" s="30">
        <f>SUM(M56:M57)</f>
        <v>-4450.5895925855402</v>
      </c>
      <c r="N58" s="30">
        <f t="shared" si="98"/>
        <v>-4450.5895925855402</v>
      </c>
      <c r="O58" s="43">
        <f t="shared" si="98"/>
        <v>-4450.5895925855402</v>
      </c>
      <c r="P58" s="29">
        <f t="shared" ref="P58:AI58" si="99">SUM(P56:P57)</f>
        <v>-4450.5895925855402</v>
      </c>
      <c r="Q58" s="30">
        <f t="shared" si="99"/>
        <v>-4450.5895925855402</v>
      </c>
      <c r="R58" s="30">
        <f t="shared" si="99"/>
        <v>-4450.5895925855402</v>
      </c>
      <c r="S58" s="30">
        <f t="shared" si="99"/>
        <v>-4450.5895925855402</v>
      </c>
      <c r="T58" s="43">
        <f t="shared" si="99"/>
        <v>-4450.5895925855402</v>
      </c>
      <c r="U58" s="29">
        <f t="shared" si="99"/>
        <v>-21957.889003669145</v>
      </c>
      <c r="V58" s="30">
        <f t="shared" si="99"/>
        <v>-10286.356062946741</v>
      </c>
      <c r="W58" s="30">
        <f t="shared" si="99"/>
        <v>-4450.5895925855402</v>
      </c>
      <c r="X58" s="30">
        <f t="shared" si="99"/>
        <v>-1532.7063574049389</v>
      </c>
      <c r="Y58" s="43">
        <f t="shared" si="99"/>
        <v>-73.76473981463846</v>
      </c>
      <c r="Z58" s="29">
        <f t="shared" si="99"/>
        <v>-8606.1202259125257</v>
      </c>
      <c r="AA58" s="30">
        <f t="shared" si="99"/>
        <v>-5835.7664703612027</v>
      </c>
      <c r="AB58" s="30">
        <f t="shared" si="99"/>
        <v>-4450.5895925855402</v>
      </c>
      <c r="AC58" s="30">
        <f t="shared" si="99"/>
        <v>-3758.0011536977095</v>
      </c>
      <c r="AD58" s="43">
        <f t="shared" si="99"/>
        <v>-3411.706934253793</v>
      </c>
      <c r="AE58" s="29">
        <f t="shared" si="99"/>
        <v>-4450.5895925855402</v>
      </c>
      <c r="AF58" s="30">
        <f t="shared" si="99"/>
        <v>-4450.5895925855402</v>
      </c>
      <c r="AG58" s="30">
        <f t="shared" si="99"/>
        <v>-4450.5895925855402</v>
      </c>
      <c r="AH58" s="30">
        <f t="shared" si="99"/>
        <v>-4450.5895925855402</v>
      </c>
      <c r="AI58" s="43">
        <f t="shared" si="99"/>
        <v>-4450.5895925855402</v>
      </c>
    </row>
    <row r="59" spans="1:35" hidden="1" outlineLevel="2" x14ac:dyDescent="0.25">
      <c r="A59" t="s">
        <v>136</v>
      </c>
      <c r="B59" t="s">
        <v>19</v>
      </c>
      <c r="C59" s="30">
        <f>-(C$19+C$22)/4</f>
        <v>0</v>
      </c>
      <c r="D59" s="30">
        <f t="shared" ref="D59:AI59" si="100">-(D$19+D$22)/4</f>
        <v>0</v>
      </c>
      <c r="E59" s="30">
        <f t="shared" si="100"/>
        <v>50</v>
      </c>
      <c r="F59" s="30">
        <f t="shared" si="100"/>
        <v>0</v>
      </c>
      <c r="G59" s="30">
        <f t="shared" si="100"/>
        <v>50</v>
      </c>
      <c r="H59" s="30">
        <f t="shared" si="100"/>
        <v>125.19685039370079</v>
      </c>
      <c r="I59" s="30">
        <f t="shared" si="100"/>
        <v>50</v>
      </c>
      <c r="J59" s="30">
        <f t="shared" si="100"/>
        <v>0</v>
      </c>
      <c r="K59" s="30">
        <f t="shared" si="100"/>
        <v>-1335.176877775662</v>
      </c>
      <c r="L59" s="30">
        <f t="shared" si="100"/>
        <v>0</v>
      </c>
      <c r="M59" s="30">
        <f t="shared" si="100"/>
        <v>1335.176877775662</v>
      </c>
      <c r="N59" s="30">
        <f t="shared" si="100"/>
        <v>1385.176877775662</v>
      </c>
      <c r="O59" s="43">
        <f t="shared" si="100"/>
        <v>2335.176877775662</v>
      </c>
      <c r="P59" s="29">
        <f t="shared" si="100"/>
        <v>1385.176877775662</v>
      </c>
      <c r="Q59" s="30">
        <f t="shared" si="100"/>
        <v>1385.176877775662</v>
      </c>
      <c r="R59" s="30">
        <f t="shared" si="100"/>
        <v>1385.176877775662</v>
      </c>
      <c r="S59" s="30">
        <f t="shared" si="100"/>
        <v>1385.176877775662</v>
      </c>
      <c r="T59" s="43">
        <f t="shared" si="100"/>
        <v>1385.176877775662</v>
      </c>
      <c r="U59" s="29">
        <f t="shared" si="100"/>
        <v>1385.176877775662</v>
      </c>
      <c r="V59" s="30">
        <f t="shared" si="100"/>
        <v>1385.176877775662</v>
      </c>
      <c r="W59" s="30">
        <f t="shared" si="100"/>
        <v>1385.176877775662</v>
      </c>
      <c r="X59" s="30">
        <f t="shared" si="100"/>
        <v>1385.176877775662</v>
      </c>
      <c r="Y59" s="43">
        <f t="shared" si="100"/>
        <v>1385.176877775662</v>
      </c>
      <c r="Z59" s="29">
        <f t="shared" si="100"/>
        <v>1385.176877775662</v>
      </c>
      <c r="AA59" s="30">
        <f t="shared" si="100"/>
        <v>1385.176877775662</v>
      </c>
      <c r="AB59" s="30">
        <f t="shared" si="100"/>
        <v>1385.176877775662</v>
      </c>
      <c r="AC59" s="30">
        <f t="shared" si="100"/>
        <v>1385.176877775662</v>
      </c>
      <c r="AD59" s="43">
        <f t="shared" si="100"/>
        <v>1385.176877775662</v>
      </c>
      <c r="AE59" s="29">
        <f t="shared" si="100"/>
        <v>1385.176877775662</v>
      </c>
      <c r="AF59" s="30">
        <f t="shared" si="100"/>
        <v>1385.176877775662</v>
      </c>
      <c r="AG59" s="30">
        <f t="shared" si="100"/>
        <v>1385.176877775662</v>
      </c>
      <c r="AH59" s="30">
        <f t="shared" si="100"/>
        <v>1385.176877775662</v>
      </c>
      <c r="AI59" s="43">
        <f t="shared" si="100"/>
        <v>1385.176877775662</v>
      </c>
    </row>
    <row r="60" spans="1:35" hidden="1" outlineLevel="2" x14ac:dyDescent="0.25">
      <c r="A60" t="s">
        <v>137</v>
      </c>
      <c r="B60" t="s">
        <v>19</v>
      </c>
      <c r="C60" s="30">
        <f t="shared" ref="C60:P60" si="101">-C$39*1000/C$6/2</f>
        <v>0</v>
      </c>
      <c r="D60" s="30">
        <f t="shared" si="101"/>
        <v>0</v>
      </c>
      <c r="E60" s="30">
        <f t="shared" si="101"/>
        <v>-50</v>
      </c>
      <c r="F60" s="30">
        <f t="shared" si="101"/>
        <v>0</v>
      </c>
      <c r="G60" s="30">
        <f t="shared" si="101"/>
        <v>-50</v>
      </c>
      <c r="H60" s="30">
        <f t="shared" si="101"/>
        <v>-375.85301837270339</v>
      </c>
      <c r="I60" s="30">
        <f t="shared" si="101"/>
        <v>-50</v>
      </c>
      <c r="J60" s="30">
        <f t="shared" si="101"/>
        <v>0</v>
      </c>
      <c r="K60" s="30">
        <f t="shared" si="101"/>
        <v>5785.7664703612018</v>
      </c>
      <c r="L60" s="30">
        <f t="shared" si="101"/>
        <v>0</v>
      </c>
      <c r="M60" s="30">
        <f t="shared" si="101"/>
        <v>-5785.7664703612018</v>
      </c>
      <c r="N60" s="30">
        <f t="shared" si="101"/>
        <v>-5835.7664703612018</v>
      </c>
      <c r="O60" s="43">
        <f t="shared" si="101"/>
        <v>-6785.7664703612018</v>
      </c>
      <c r="P60" s="29">
        <f t="shared" si="101"/>
        <v>-5835.7664703612018</v>
      </c>
      <c r="Q60" s="30">
        <f t="shared" ref="Q60:AI60" si="102">-Q$39*1000/Q$6/2</f>
        <v>-5835.7664703612018</v>
      </c>
      <c r="R60" s="30">
        <f t="shared" si="102"/>
        <v>-5835.7664703612018</v>
      </c>
      <c r="S60" s="30">
        <f t="shared" si="102"/>
        <v>-5835.7664703612018</v>
      </c>
      <c r="T60" s="43">
        <f t="shared" si="102"/>
        <v>-5835.7664703612018</v>
      </c>
      <c r="U60" s="29">
        <f>-U$39*1000/U$6/2</f>
        <v>-23343.065881444807</v>
      </c>
      <c r="V60" s="30">
        <f t="shared" si="102"/>
        <v>-11671.532940722404</v>
      </c>
      <c r="W60" s="30">
        <f t="shared" si="102"/>
        <v>-5835.7664703612018</v>
      </c>
      <c r="X60" s="30">
        <f t="shared" si="102"/>
        <v>-2917.8832351806009</v>
      </c>
      <c r="Y60" s="43">
        <f t="shared" si="102"/>
        <v>-1458.9416175903004</v>
      </c>
      <c r="Z60" s="29">
        <f>-Z$39*1000/Z$6/2</f>
        <v>-9991.2971036881881</v>
      </c>
      <c r="AA60" s="30">
        <f t="shared" si="102"/>
        <v>-7220.9433481368642</v>
      </c>
      <c r="AB60" s="30">
        <f t="shared" si="102"/>
        <v>-5835.7664703612018</v>
      </c>
      <c r="AC60" s="30">
        <f t="shared" si="102"/>
        <v>-5143.1780314733714</v>
      </c>
      <c r="AD60" s="43">
        <f t="shared" si="102"/>
        <v>-4796.8838120294549</v>
      </c>
      <c r="AE60" s="29">
        <f>-AE$39*1000/AE$6/2</f>
        <v>-5835.7664703612018</v>
      </c>
      <c r="AF60" s="30">
        <f t="shared" si="102"/>
        <v>-5835.7664703612018</v>
      </c>
      <c r="AG60" s="30">
        <f t="shared" si="102"/>
        <v>-5835.7664703612018</v>
      </c>
      <c r="AH60" s="30">
        <f t="shared" si="102"/>
        <v>-5835.7664703612018</v>
      </c>
      <c r="AI60" s="43">
        <f t="shared" si="102"/>
        <v>-5835.7664703612018</v>
      </c>
    </row>
    <row r="61" spans="1:35" hidden="1" outlineLevel="1" collapsed="1" x14ac:dyDescent="0.25">
      <c r="A61" t="s">
        <v>102</v>
      </c>
      <c r="B61" t="s">
        <v>19</v>
      </c>
      <c r="C61" s="30">
        <f>SUM(C59:C60)</f>
        <v>0</v>
      </c>
      <c r="D61" s="30">
        <f t="shared" ref="D61:O61" si="103">SUM(D59:D60)</f>
        <v>0</v>
      </c>
      <c r="E61" s="30">
        <f t="shared" si="103"/>
        <v>0</v>
      </c>
      <c r="F61" s="30">
        <f t="shared" si="103"/>
        <v>0</v>
      </c>
      <c r="G61" s="30">
        <f t="shared" si="103"/>
        <v>0</v>
      </c>
      <c r="H61" s="30">
        <f t="shared" si="103"/>
        <v>-250.65616797900259</v>
      </c>
      <c r="I61" s="30">
        <f t="shared" si="103"/>
        <v>0</v>
      </c>
      <c r="J61" s="30">
        <f t="shared" si="103"/>
        <v>0</v>
      </c>
      <c r="K61" s="30">
        <f t="shared" si="103"/>
        <v>4450.5895925855402</v>
      </c>
      <c r="L61" s="30">
        <f t="shared" si="103"/>
        <v>0</v>
      </c>
      <c r="M61" s="30">
        <f>SUM(M59:M60)</f>
        <v>-4450.5895925855402</v>
      </c>
      <c r="N61" s="30">
        <f t="shared" si="103"/>
        <v>-4450.5895925855402</v>
      </c>
      <c r="O61" s="43">
        <f t="shared" si="103"/>
        <v>-4450.5895925855402</v>
      </c>
      <c r="P61" s="29">
        <f t="shared" ref="P61:AI61" si="104">SUM(P59:P60)</f>
        <v>-4450.5895925855402</v>
      </c>
      <c r="Q61" s="30">
        <f t="shared" si="104"/>
        <v>-4450.5895925855402</v>
      </c>
      <c r="R61" s="30">
        <f t="shared" si="104"/>
        <v>-4450.5895925855402</v>
      </c>
      <c r="S61" s="30">
        <f t="shared" si="104"/>
        <v>-4450.5895925855402</v>
      </c>
      <c r="T61" s="43">
        <f t="shared" si="104"/>
        <v>-4450.5895925855402</v>
      </c>
      <c r="U61" s="29">
        <f t="shared" si="104"/>
        <v>-21957.889003669145</v>
      </c>
      <c r="V61" s="30">
        <f t="shared" si="104"/>
        <v>-10286.356062946741</v>
      </c>
      <c r="W61" s="30">
        <f t="shared" si="104"/>
        <v>-4450.5895925855402</v>
      </c>
      <c r="X61" s="30">
        <f t="shared" si="104"/>
        <v>-1532.7063574049389</v>
      </c>
      <c r="Y61" s="43">
        <f t="shared" si="104"/>
        <v>-73.76473981463846</v>
      </c>
      <c r="Z61" s="29">
        <f t="shared" si="104"/>
        <v>-8606.1202259125257</v>
      </c>
      <c r="AA61" s="30">
        <f t="shared" si="104"/>
        <v>-5835.7664703612027</v>
      </c>
      <c r="AB61" s="30">
        <f t="shared" si="104"/>
        <v>-4450.5895925855402</v>
      </c>
      <c r="AC61" s="30">
        <f t="shared" si="104"/>
        <v>-3758.0011536977095</v>
      </c>
      <c r="AD61" s="43">
        <f t="shared" si="104"/>
        <v>-3411.706934253793</v>
      </c>
      <c r="AE61" s="29">
        <f t="shared" si="104"/>
        <v>-4450.5895925855402</v>
      </c>
      <c r="AF61" s="30">
        <f t="shared" si="104"/>
        <v>-4450.5895925855402</v>
      </c>
      <c r="AG61" s="30">
        <f t="shared" si="104"/>
        <v>-4450.5895925855402</v>
      </c>
      <c r="AH61" s="30">
        <f t="shared" si="104"/>
        <v>-4450.5895925855402</v>
      </c>
      <c r="AI61" s="43">
        <f t="shared" si="104"/>
        <v>-4450.5895925855402</v>
      </c>
    </row>
    <row r="62" spans="1:35" hidden="1" outlineLevel="2" x14ac:dyDescent="0.25">
      <c r="A62" t="s">
        <v>136</v>
      </c>
      <c r="B62" t="s">
        <v>19</v>
      </c>
      <c r="C62" s="30">
        <f>-(C$19+C$22)/4</f>
        <v>0</v>
      </c>
      <c r="D62" s="30">
        <f t="shared" ref="D62:AI62" si="105">-(D$19+D$22)/4</f>
        <v>0</v>
      </c>
      <c r="E62" s="30">
        <f t="shared" si="105"/>
        <v>50</v>
      </c>
      <c r="F62" s="30">
        <f t="shared" si="105"/>
        <v>0</v>
      </c>
      <c r="G62" s="30">
        <f t="shared" si="105"/>
        <v>50</v>
      </c>
      <c r="H62" s="30">
        <f t="shared" si="105"/>
        <v>125.19685039370079</v>
      </c>
      <c r="I62" s="30">
        <f t="shared" si="105"/>
        <v>50</v>
      </c>
      <c r="J62" s="30">
        <f t="shared" si="105"/>
        <v>0</v>
      </c>
      <c r="K62" s="30">
        <f t="shared" si="105"/>
        <v>-1335.176877775662</v>
      </c>
      <c r="L62" s="30">
        <f t="shared" si="105"/>
        <v>0</v>
      </c>
      <c r="M62" s="30">
        <f t="shared" si="105"/>
        <v>1335.176877775662</v>
      </c>
      <c r="N62" s="30">
        <f t="shared" si="105"/>
        <v>1385.176877775662</v>
      </c>
      <c r="O62" s="43">
        <f t="shared" si="105"/>
        <v>2335.176877775662</v>
      </c>
      <c r="P62" s="29">
        <f t="shared" si="105"/>
        <v>1385.176877775662</v>
      </c>
      <c r="Q62" s="30">
        <f t="shared" si="105"/>
        <v>1385.176877775662</v>
      </c>
      <c r="R62" s="30">
        <f t="shared" si="105"/>
        <v>1385.176877775662</v>
      </c>
      <c r="S62" s="30">
        <f t="shared" si="105"/>
        <v>1385.176877775662</v>
      </c>
      <c r="T62" s="43">
        <f t="shared" si="105"/>
        <v>1385.176877775662</v>
      </c>
      <c r="U62" s="29">
        <f t="shared" si="105"/>
        <v>1385.176877775662</v>
      </c>
      <c r="V62" s="30">
        <f t="shared" si="105"/>
        <v>1385.176877775662</v>
      </c>
      <c r="W62" s="30">
        <f t="shared" si="105"/>
        <v>1385.176877775662</v>
      </c>
      <c r="X62" s="30">
        <f t="shared" si="105"/>
        <v>1385.176877775662</v>
      </c>
      <c r="Y62" s="43">
        <f t="shared" si="105"/>
        <v>1385.176877775662</v>
      </c>
      <c r="Z62" s="29">
        <f t="shared" si="105"/>
        <v>1385.176877775662</v>
      </c>
      <c r="AA62" s="30">
        <f t="shared" si="105"/>
        <v>1385.176877775662</v>
      </c>
      <c r="AB62" s="30">
        <f t="shared" si="105"/>
        <v>1385.176877775662</v>
      </c>
      <c r="AC62" s="30">
        <f t="shared" si="105"/>
        <v>1385.176877775662</v>
      </c>
      <c r="AD62" s="43">
        <f t="shared" si="105"/>
        <v>1385.176877775662</v>
      </c>
      <c r="AE62" s="29">
        <f t="shared" si="105"/>
        <v>1385.176877775662</v>
      </c>
      <c r="AF62" s="30">
        <f t="shared" si="105"/>
        <v>1385.176877775662</v>
      </c>
      <c r="AG62" s="30">
        <f t="shared" si="105"/>
        <v>1385.176877775662</v>
      </c>
      <c r="AH62" s="30">
        <f t="shared" si="105"/>
        <v>1385.176877775662</v>
      </c>
      <c r="AI62" s="43">
        <f t="shared" si="105"/>
        <v>1385.176877775662</v>
      </c>
    </row>
    <row r="63" spans="1:35" hidden="1" outlineLevel="2" x14ac:dyDescent="0.25">
      <c r="A63" t="s">
        <v>137</v>
      </c>
      <c r="B63" t="s">
        <v>19</v>
      </c>
      <c r="C63" s="30">
        <f t="shared" ref="C63:P63" si="106">C$39*1000/C$6/2</f>
        <v>0</v>
      </c>
      <c r="D63" s="30">
        <f t="shared" si="106"/>
        <v>0</v>
      </c>
      <c r="E63" s="30">
        <f t="shared" si="106"/>
        <v>50</v>
      </c>
      <c r="F63" s="30">
        <f t="shared" si="106"/>
        <v>0</v>
      </c>
      <c r="G63" s="30">
        <f t="shared" si="106"/>
        <v>50</v>
      </c>
      <c r="H63" s="30">
        <f t="shared" si="106"/>
        <v>375.85301837270339</v>
      </c>
      <c r="I63" s="30">
        <f t="shared" si="106"/>
        <v>50</v>
      </c>
      <c r="J63" s="30">
        <f t="shared" si="106"/>
        <v>0</v>
      </c>
      <c r="K63" s="30">
        <f t="shared" si="106"/>
        <v>-5785.7664703612018</v>
      </c>
      <c r="L63" s="30">
        <f t="shared" si="106"/>
        <v>0</v>
      </c>
      <c r="M63" s="30">
        <f t="shared" si="106"/>
        <v>5785.7664703612018</v>
      </c>
      <c r="N63" s="30">
        <f t="shared" si="106"/>
        <v>5835.7664703612018</v>
      </c>
      <c r="O63" s="43">
        <f t="shared" si="106"/>
        <v>6785.7664703612018</v>
      </c>
      <c r="P63" s="29">
        <f t="shared" si="106"/>
        <v>5835.7664703612018</v>
      </c>
      <c r="Q63" s="30">
        <f t="shared" ref="Q63:AI63" si="107">Q$39*1000/Q$6/2</f>
        <v>5835.7664703612018</v>
      </c>
      <c r="R63" s="30">
        <f t="shared" si="107"/>
        <v>5835.7664703612018</v>
      </c>
      <c r="S63" s="30">
        <f t="shared" si="107"/>
        <v>5835.7664703612018</v>
      </c>
      <c r="T63" s="43">
        <f t="shared" si="107"/>
        <v>5835.7664703612018</v>
      </c>
      <c r="U63" s="29">
        <f>U$39*1000/U$6/2</f>
        <v>23343.065881444807</v>
      </c>
      <c r="V63" s="30">
        <f t="shared" si="107"/>
        <v>11671.532940722404</v>
      </c>
      <c r="W63" s="30">
        <f t="shared" si="107"/>
        <v>5835.7664703612018</v>
      </c>
      <c r="X63" s="30">
        <f t="shared" si="107"/>
        <v>2917.8832351806009</v>
      </c>
      <c r="Y63" s="43">
        <f t="shared" si="107"/>
        <v>1458.9416175903004</v>
      </c>
      <c r="Z63" s="29">
        <f>Z$39*1000/Z$6/2</f>
        <v>9991.2971036881881</v>
      </c>
      <c r="AA63" s="30">
        <f t="shared" si="107"/>
        <v>7220.9433481368642</v>
      </c>
      <c r="AB63" s="30">
        <f t="shared" si="107"/>
        <v>5835.7664703612018</v>
      </c>
      <c r="AC63" s="30">
        <f t="shared" si="107"/>
        <v>5143.1780314733714</v>
      </c>
      <c r="AD63" s="43">
        <f t="shared" si="107"/>
        <v>4796.8838120294549</v>
      </c>
      <c r="AE63" s="29">
        <f>AE$39*1000/AE$6/2</f>
        <v>5835.7664703612018</v>
      </c>
      <c r="AF63" s="30">
        <f t="shared" si="107"/>
        <v>5835.7664703612018</v>
      </c>
      <c r="AG63" s="30">
        <f t="shared" si="107"/>
        <v>5835.7664703612018</v>
      </c>
      <c r="AH63" s="30">
        <f t="shared" si="107"/>
        <v>5835.7664703612018</v>
      </c>
      <c r="AI63" s="43">
        <f t="shared" si="107"/>
        <v>5835.7664703612018</v>
      </c>
    </row>
    <row r="64" spans="1:35" hidden="1" outlineLevel="1" collapsed="1" x14ac:dyDescent="0.25">
      <c r="A64" t="s">
        <v>103</v>
      </c>
      <c r="B64" t="s">
        <v>19</v>
      </c>
      <c r="C64" s="30">
        <f>SUM(C62:C63)</f>
        <v>0</v>
      </c>
      <c r="D64" s="30">
        <f t="shared" ref="D64:O64" si="108">SUM(D62:D63)</f>
        <v>0</v>
      </c>
      <c r="E64" s="30">
        <f t="shared" si="108"/>
        <v>100</v>
      </c>
      <c r="F64" s="30">
        <f t="shared" si="108"/>
        <v>0</v>
      </c>
      <c r="G64" s="30">
        <f t="shared" si="108"/>
        <v>100</v>
      </c>
      <c r="H64" s="30">
        <f t="shared" si="108"/>
        <v>501.04986876640419</v>
      </c>
      <c r="I64" s="30">
        <f t="shared" si="108"/>
        <v>100</v>
      </c>
      <c r="J64" s="30">
        <f t="shared" si="108"/>
        <v>0</v>
      </c>
      <c r="K64" s="30">
        <f t="shared" si="108"/>
        <v>-7120.9433481368633</v>
      </c>
      <c r="L64" s="30">
        <f t="shared" si="108"/>
        <v>0</v>
      </c>
      <c r="M64" s="30">
        <f>SUM(M62:M63)</f>
        <v>7120.9433481368633</v>
      </c>
      <c r="N64" s="30">
        <f t="shared" si="108"/>
        <v>7220.9433481368633</v>
      </c>
      <c r="O64" s="43">
        <f t="shared" si="108"/>
        <v>9120.9433481368633</v>
      </c>
      <c r="P64" s="29">
        <f t="shared" ref="P64:AI64" si="109">SUM(P62:P63)</f>
        <v>7220.9433481368633</v>
      </c>
      <c r="Q64" s="30">
        <f t="shared" si="109"/>
        <v>7220.9433481368633</v>
      </c>
      <c r="R64" s="30">
        <f t="shared" si="109"/>
        <v>7220.9433481368633</v>
      </c>
      <c r="S64" s="30">
        <f t="shared" si="109"/>
        <v>7220.9433481368633</v>
      </c>
      <c r="T64" s="43">
        <f t="shared" si="109"/>
        <v>7220.9433481368633</v>
      </c>
      <c r="U64" s="29">
        <f t="shared" si="109"/>
        <v>24728.242759220469</v>
      </c>
      <c r="V64" s="30">
        <f t="shared" si="109"/>
        <v>13056.709818498066</v>
      </c>
      <c r="W64" s="30">
        <f t="shared" si="109"/>
        <v>7220.9433481368633</v>
      </c>
      <c r="X64" s="30">
        <f t="shared" si="109"/>
        <v>4303.0601129562629</v>
      </c>
      <c r="Y64" s="43">
        <f t="shared" si="109"/>
        <v>2844.1184953659622</v>
      </c>
      <c r="Z64" s="29">
        <f t="shared" si="109"/>
        <v>11376.473981463851</v>
      </c>
      <c r="AA64" s="30">
        <f t="shared" si="109"/>
        <v>8606.1202259125257</v>
      </c>
      <c r="AB64" s="30">
        <f t="shared" si="109"/>
        <v>7220.9433481368633</v>
      </c>
      <c r="AC64" s="30">
        <f t="shared" si="109"/>
        <v>6528.3549092490339</v>
      </c>
      <c r="AD64" s="43">
        <f t="shared" si="109"/>
        <v>6182.0606898051174</v>
      </c>
      <c r="AE64" s="29">
        <f t="shared" si="109"/>
        <v>7220.9433481368633</v>
      </c>
      <c r="AF64" s="30">
        <f t="shared" si="109"/>
        <v>7220.9433481368633</v>
      </c>
      <c r="AG64" s="30">
        <f t="shared" si="109"/>
        <v>7220.9433481368633</v>
      </c>
      <c r="AH64" s="30">
        <f t="shared" si="109"/>
        <v>7220.9433481368633</v>
      </c>
      <c r="AI64" s="43">
        <f t="shared" si="109"/>
        <v>7220.9433481368633</v>
      </c>
    </row>
    <row r="65" spans="1:35" hidden="1" outlineLevel="2" x14ac:dyDescent="0.25">
      <c r="A65" t="s">
        <v>136</v>
      </c>
      <c r="B65" t="s">
        <v>19</v>
      </c>
      <c r="C65" s="30">
        <f>-(C$19+C$22)/4</f>
        <v>0</v>
      </c>
      <c r="D65" s="30">
        <f t="shared" ref="D65:AI65" si="110">-(D$19+D$22)/4</f>
        <v>0</v>
      </c>
      <c r="E65" s="30">
        <f t="shared" si="110"/>
        <v>50</v>
      </c>
      <c r="F65" s="30">
        <f t="shared" si="110"/>
        <v>0</v>
      </c>
      <c r="G65" s="30">
        <f t="shared" si="110"/>
        <v>50</v>
      </c>
      <c r="H65" s="30">
        <f t="shared" si="110"/>
        <v>125.19685039370079</v>
      </c>
      <c r="I65" s="30">
        <f t="shared" si="110"/>
        <v>50</v>
      </c>
      <c r="J65" s="30">
        <f t="shared" si="110"/>
        <v>0</v>
      </c>
      <c r="K65" s="30">
        <f t="shared" si="110"/>
        <v>-1335.176877775662</v>
      </c>
      <c r="L65" s="30">
        <f t="shared" si="110"/>
        <v>0</v>
      </c>
      <c r="M65" s="30">
        <f t="shared" si="110"/>
        <v>1335.176877775662</v>
      </c>
      <c r="N65" s="30">
        <f t="shared" si="110"/>
        <v>1385.176877775662</v>
      </c>
      <c r="O65" s="43">
        <f t="shared" si="110"/>
        <v>2335.176877775662</v>
      </c>
      <c r="P65" s="29">
        <f t="shared" si="110"/>
        <v>1385.176877775662</v>
      </c>
      <c r="Q65" s="30">
        <f t="shared" si="110"/>
        <v>1385.176877775662</v>
      </c>
      <c r="R65" s="30">
        <f t="shared" si="110"/>
        <v>1385.176877775662</v>
      </c>
      <c r="S65" s="30">
        <f t="shared" si="110"/>
        <v>1385.176877775662</v>
      </c>
      <c r="T65" s="43">
        <f t="shared" si="110"/>
        <v>1385.176877775662</v>
      </c>
      <c r="U65" s="29">
        <f t="shared" si="110"/>
        <v>1385.176877775662</v>
      </c>
      <c r="V65" s="30">
        <f t="shared" si="110"/>
        <v>1385.176877775662</v>
      </c>
      <c r="W65" s="30">
        <f t="shared" si="110"/>
        <v>1385.176877775662</v>
      </c>
      <c r="X65" s="30">
        <f t="shared" si="110"/>
        <v>1385.176877775662</v>
      </c>
      <c r="Y65" s="43">
        <f t="shared" si="110"/>
        <v>1385.176877775662</v>
      </c>
      <c r="Z65" s="29">
        <f t="shared" si="110"/>
        <v>1385.176877775662</v>
      </c>
      <c r="AA65" s="30">
        <f t="shared" si="110"/>
        <v>1385.176877775662</v>
      </c>
      <c r="AB65" s="30">
        <f t="shared" si="110"/>
        <v>1385.176877775662</v>
      </c>
      <c r="AC65" s="30">
        <f t="shared" si="110"/>
        <v>1385.176877775662</v>
      </c>
      <c r="AD65" s="43">
        <f t="shared" si="110"/>
        <v>1385.176877775662</v>
      </c>
      <c r="AE65" s="29">
        <f t="shared" si="110"/>
        <v>1385.176877775662</v>
      </c>
      <c r="AF65" s="30">
        <f t="shared" si="110"/>
        <v>1385.176877775662</v>
      </c>
      <c r="AG65" s="30">
        <f t="shared" si="110"/>
        <v>1385.176877775662</v>
      </c>
      <c r="AH65" s="30">
        <f t="shared" si="110"/>
        <v>1385.176877775662</v>
      </c>
      <c r="AI65" s="43">
        <f t="shared" si="110"/>
        <v>1385.176877775662</v>
      </c>
    </row>
    <row r="66" spans="1:35" hidden="1" outlineLevel="2" x14ac:dyDescent="0.25">
      <c r="A66" t="s">
        <v>137</v>
      </c>
      <c r="B66" t="s">
        <v>19</v>
      </c>
      <c r="C66" s="30">
        <f t="shared" ref="C66:P66" si="111">C$39*1000/C$6/2</f>
        <v>0</v>
      </c>
      <c r="D66" s="30">
        <f t="shared" si="111"/>
        <v>0</v>
      </c>
      <c r="E66" s="30">
        <f t="shared" si="111"/>
        <v>50</v>
      </c>
      <c r="F66" s="30">
        <f t="shared" si="111"/>
        <v>0</v>
      </c>
      <c r="G66" s="30">
        <f t="shared" si="111"/>
        <v>50</v>
      </c>
      <c r="H66" s="30">
        <f t="shared" si="111"/>
        <v>375.85301837270339</v>
      </c>
      <c r="I66" s="30">
        <f t="shared" si="111"/>
        <v>50</v>
      </c>
      <c r="J66" s="30">
        <f t="shared" si="111"/>
        <v>0</v>
      </c>
      <c r="K66" s="30">
        <f t="shared" si="111"/>
        <v>-5785.7664703612018</v>
      </c>
      <c r="L66" s="30">
        <f t="shared" si="111"/>
        <v>0</v>
      </c>
      <c r="M66" s="30">
        <f t="shared" si="111"/>
        <v>5785.7664703612018</v>
      </c>
      <c r="N66" s="30">
        <f t="shared" si="111"/>
        <v>5835.7664703612018</v>
      </c>
      <c r="O66" s="43">
        <f t="shared" si="111"/>
        <v>6785.7664703612018</v>
      </c>
      <c r="P66" s="29">
        <f t="shared" si="111"/>
        <v>5835.7664703612018</v>
      </c>
      <c r="Q66" s="30">
        <f t="shared" ref="Q66:AI66" si="112">Q$39*1000/Q$6/2</f>
        <v>5835.7664703612018</v>
      </c>
      <c r="R66" s="30">
        <f t="shared" si="112"/>
        <v>5835.7664703612018</v>
      </c>
      <c r="S66" s="30">
        <f t="shared" si="112"/>
        <v>5835.7664703612018</v>
      </c>
      <c r="T66" s="43">
        <f t="shared" si="112"/>
        <v>5835.7664703612018</v>
      </c>
      <c r="U66" s="29">
        <f>U$39*1000/U$6/2</f>
        <v>23343.065881444807</v>
      </c>
      <c r="V66" s="30">
        <f t="shared" si="112"/>
        <v>11671.532940722404</v>
      </c>
      <c r="W66" s="30">
        <f t="shared" si="112"/>
        <v>5835.7664703612018</v>
      </c>
      <c r="X66" s="30">
        <f t="shared" si="112"/>
        <v>2917.8832351806009</v>
      </c>
      <c r="Y66" s="43">
        <f t="shared" si="112"/>
        <v>1458.9416175903004</v>
      </c>
      <c r="Z66" s="29">
        <f>Z$39*1000/Z$6/2</f>
        <v>9991.2971036881881</v>
      </c>
      <c r="AA66" s="30">
        <f t="shared" si="112"/>
        <v>7220.9433481368642</v>
      </c>
      <c r="AB66" s="30">
        <f t="shared" si="112"/>
        <v>5835.7664703612018</v>
      </c>
      <c r="AC66" s="30">
        <f t="shared" si="112"/>
        <v>5143.1780314733714</v>
      </c>
      <c r="AD66" s="43">
        <f t="shared" si="112"/>
        <v>4796.8838120294549</v>
      </c>
      <c r="AE66" s="29">
        <f>AE$39*1000/AE$6/2</f>
        <v>5835.7664703612018</v>
      </c>
      <c r="AF66" s="30">
        <f t="shared" si="112"/>
        <v>5835.7664703612018</v>
      </c>
      <c r="AG66" s="30">
        <f t="shared" si="112"/>
        <v>5835.7664703612018</v>
      </c>
      <c r="AH66" s="30">
        <f t="shared" si="112"/>
        <v>5835.7664703612018</v>
      </c>
      <c r="AI66" s="43">
        <f t="shared" si="112"/>
        <v>5835.7664703612018</v>
      </c>
    </row>
    <row r="67" spans="1:35" hidden="1" outlineLevel="1" collapsed="1" x14ac:dyDescent="0.25">
      <c r="A67" t="s">
        <v>104</v>
      </c>
      <c r="B67" t="s">
        <v>19</v>
      </c>
      <c r="C67" s="30">
        <f>SUM(C65:C66)</f>
        <v>0</v>
      </c>
      <c r="D67" s="30">
        <f t="shared" ref="D67:J67" si="113">SUM(D65:D66)</f>
        <v>0</v>
      </c>
      <c r="E67" s="30">
        <f t="shared" si="113"/>
        <v>100</v>
      </c>
      <c r="F67" s="30">
        <f t="shared" si="113"/>
        <v>0</v>
      </c>
      <c r="G67" s="30">
        <f t="shared" si="113"/>
        <v>100</v>
      </c>
      <c r="H67" s="30">
        <f t="shared" si="113"/>
        <v>501.04986876640419</v>
      </c>
      <c r="I67" s="30">
        <f t="shared" si="113"/>
        <v>100</v>
      </c>
      <c r="J67" s="30">
        <f t="shared" si="113"/>
        <v>0</v>
      </c>
      <c r="K67" s="30">
        <f t="shared" ref="K67:AI67" si="114">SUM(K65:K66)</f>
        <v>-7120.9433481368633</v>
      </c>
      <c r="L67" s="30">
        <f t="shared" si="114"/>
        <v>0</v>
      </c>
      <c r="M67" s="30">
        <f t="shared" si="114"/>
        <v>7120.9433481368633</v>
      </c>
      <c r="N67" s="30">
        <f t="shared" si="114"/>
        <v>7220.9433481368633</v>
      </c>
      <c r="O67" s="43">
        <f t="shared" si="114"/>
        <v>9120.9433481368633</v>
      </c>
      <c r="P67" s="29">
        <f t="shared" si="114"/>
        <v>7220.9433481368633</v>
      </c>
      <c r="Q67" s="30">
        <f t="shared" si="114"/>
        <v>7220.9433481368633</v>
      </c>
      <c r="R67" s="30">
        <f t="shared" si="114"/>
        <v>7220.9433481368633</v>
      </c>
      <c r="S67" s="30">
        <f t="shared" si="114"/>
        <v>7220.9433481368633</v>
      </c>
      <c r="T67" s="43">
        <f t="shared" si="114"/>
        <v>7220.9433481368633</v>
      </c>
      <c r="U67" s="29">
        <f t="shared" si="114"/>
        <v>24728.242759220469</v>
      </c>
      <c r="V67" s="30">
        <f t="shared" si="114"/>
        <v>13056.709818498066</v>
      </c>
      <c r="W67" s="30">
        <f t="shared" si="114"/>
        <v>7220.9433481368633</v>
      </c>
      <c r="X67" s="30">
        <f t="shared" si="114"/>
        <v>4303.0601129562629</v>
      </c>
      <c r="Y67" s="43">
        <f t="shared" si="114"/>
        <v>2844.1184953659622</v>
      </c>
      <c r="Z67" s="29">
        <f t="shared" si="114"/>
        <v>11376.473981463851</v>
      </c>
      <c r="AA67" s="30">
        <f t="shared" si="114"/>
        <v>8606.1202259125257</v>
      </c>
      <c r="AB67" s="30">
        <f t="shared" si="114"/>
        <v>7220.9433481368633</v>
      </c>
      <c r="AC67" s="30">
        <f t="shared" si="114"/>
        <v>6528.3549092490339</v>
      </c>
      <c r="AD67" s="43">
        <f t="shared" si="114"/>
        <v>6182.0606898051174</v>
      </c>
      <c r="AE67" s="29">
        <f t="shared" si="114"/>
        <v>7220.9433481368633</v>
      </c>
      <c r="AF67" s="30">
        <f t="shared" si="114"/>
        <v>7220.9433481368633</v>
      </c>
      <c r="AG67" s="30">
        <f t="shared" si="114"/>
        <v>7220.9433481368633</v>
      </c>
      <c r="AH67" s="30">
        <f t="shared" si="114"/>
        <v>7220.9433481368633</v>
      </c>
      <c r="AI67" s="43">
        <f t="shared" si="114"/>
        <v>7220.9433481368633</v>
      </c>
    </row>
    <row r="68" spans="1:35" hidden="1" outlineLevel="1" x14ac:dyDescent="0.25">
      <c r="A68" t="s">
        <v>105</v>
      </c>
      <c r="B68" t="s">
        <v>19</v>
      </c>
      <c r="C68" s="30">
        <f>SQRT(C43^2+C58^2)</f>
        <v>41.666666666666664</v>
      </c>
      <c r="D68" s="30">
        <f t="shared" ref="D68:O68" si="115">SQRT(D43^2+D58^2)</f>
        <v>83.333333333333329</v>
      </c>
      <c r="E68" s="30">
        <f t="shared" si="115"/>
        <v>77.38095238095238</v>
      </c>
      <c r="F68" s="30">
        <f t="shared" si="115"/>
        <v>41.666666666666671</v>
      </c>
      <c r="G68" s="30">
        <f t="shared" si="115"/>
        <v>119.04761904761907</v>
      </c>
      <c r="H68" s="30">
        <f t="shared" si="115"/>
        <v>375.94073394705265</v>
      </c>
      <c r="I68" s="30">
        <f t="shared" si="115"/>
        <v>369.70378702662163</v>
      </c>
      <c r="J68" s="30">
        <f t="shared" si="115"/>
        <v>2005.1620751602873</v>
      </c>
      <c r="K68" s="30">
        <f t="shared" si="115"/>
        <v>5268.4831133883181</v>
      </c>
      <c r="L68" s="30">
        <f t="shared" si="115"/>
        <v>5277.6544226496553</v>
      </c>
      <c r="M68" s="30">
        <f>SQRT(M43^2+M58^2)</f>
        <v>11039.160484144357</v>
      </c>
      <c r="N68" s="30">
        <f t="shared" si="115"/>
        <v>11110.017749639401</v>
      </c>
      <c r="O68" s="43">
        <f t="shared" si="115"/>
        <v>10892.279086371211</v>
      </c>
      <c r="P68" s="29">
        <f t="shared" ref="P68:AI68" si="116">SQRT(P43^2+P58^2)</f>
        <v>19387.790408595665</v>
      </c>
      <c r="Q68" s="30">
        <f t="shared" si="116"/>
        <v>13813.066763749726</v>
      </c>
      <c r="R68" s="30">
        <f t="shared" si="116"/>
        <v>11110.017749639401</v>
      </c>
      <c r="S68" s="30">
        <f t="shared" si="116"/>
        <v>9800.0997734156899</v>
      </c>
      <c r="T68" s="43">
        <f t="shared" si="116"/>
        <v>9160.7909770617043</v>
      </c>
      <c r="U68" s="29">
        <f t="shared" si="116"/>
        <v>42930.817810684755</v>
      </c>
      <c r="V68" s="30">
        <f t="shared" si="116"/>
        <v>21679.00026082425</v>
      </c>
      <c r="W68" s="30">
        <f t="shared" si="116"/>
        <v>11110.017749639401</v>
      </c>
      <c r="X68" s="30">
        <f t="shared" si="116"/>
        <v>5929.3409551011409</v>
      </c>
      <c r="Y68" s="43">
        <f t="shared" si="116"/>
        <v>3502.6912830253827</v>
      </c>
      <c r="Z68" s="29">
        <f t="shared" si="116"/>
        <v>17329.958529784351</v>
      </c>
      <c r="AA68" s="30">
        <f t="shared" si="116"/>
        <v>13164.57718202644</v>
      </c>
      <c r="AB68" s="30">
        <f t="shared" si="116"/>
        <v>11110.017749639401</v>
      </c>
      <c r="AC68" s="30">
        <f t="shared" si="116"/>
        <v>10094.799016916846</v>
      </c>
      <c r="AD68" s="43">
        <f t="shared" si="116"/>
        <v>9591.3253273964183</v>
      </c>
      <c r="AE68" s="29">
        <f t="shared" si="116"/>
        <v>11438.146942760017</v>
      </c>
      <c r="AF68" s="30">
        <f t="shared" si="116"/>
        <v>11219.197242006961</v>
      </c>
      <c r="AG68" s="30">
        <f t="shared" si="116"/>
        <v>11110.017749639401</v>
      </c>
      <c r="AH68" s="30">
        <f t="shared" si="116"/>
        <v>11055.504396911347</v>
      </c>
      <c r="AI68" s="43">
        <f t="shared" si="116"/>
        <v>11028.26714944207</v>
      </c>
    </row>
    <row r="69" spans="1:35" hidden="1" outlineLevel="1" x14ac:dyDescent="0.25">
      <c r="A69" t="s">
        <v>106</v>
      </c>
      <c r="B69" t="s">
        <v>19</v>
      </c>
      <c r="C69" s="30">
        <f>SQRT(C47^2+C61^2)</f>
        <v>41.666666666666664</v>
      </c>
      <c r="D69" s="30">
        <f t="shared" ref="D69:O69" si="117">SQRT(D47^2+D61^2)</f>
        <v>83.333333333333329</v>
      </c>
      <c r="E69" s="30">
        <f t="shared" si="117"/>
        <v>5.952380952380949</v>
      </c>
      <c r="F69" s="30">
        <f t="shared" si="117"/>
        <v>41.666666666666671</v>
      </c>
      <c r="G69" s="30">
        <f t="shared" si="117"/>
        <v>47.619047619047628</v>
      </c>
      <c r="H69" s="30">
        <f t="shared" si="117"/>
        <v>275.16292908091049</v>
      </c>
      <c r="I69" s="30">
        <f t="shared" si="117"/>
        <v>298.27521559805018</v>
      </c>
      <c r="J69" s="30">
        <f t="shared" si="117"/>
        <v>2005.1620751602873</v>
      </c>
      <c r="K69" s="30">
        <f t="shared" si="117"/>
        <v>5313.5452572625873</v>
      </c>
      <c r="L69" s="30">
        <f t="shared" si="117"/>
        <v>5277.6544226496553</v>
      </c>
      <c r="M69" s="30">
        <f>SQRT(M47^2+M61^2)</f>
        <v>6244.4089275328251</v>
      </c>
      <c r="N69" s="30">
        <f t="shared" si="117"/>
        <v>6248.5855851632532</v>
      </c>
      <c r="O69" s="43">
        <f t="shared" si="117"/>
        <v>5253.2037292229879</v>
      </c>
      <c r="P69" s="29">
        <f t="shared" ref="P69:AI69" si="118">SQRT(P47^2+P61^2)</f>
        <v>6191.5851442796111</v>
      </c>
      <c r="Q69" s="30">
        <f t="shared" si="118"/>
        <v>4693.1298996961814</v>
      </c>
      <c r="R69" s="30">
        <f t="shared" si="118"/>
        <v>6248.5855851632532</v>
      </c>
      <c r="S69" s="30">
        <f t="shared" si="118"/>
        <v>7338.1277774242926</v>
      </c>
      <c r="T69" s="43">
        <f t="shared" si="118"/>
        <v>7926.1070633613717</v>
      </c>
      <c r="U69" s="29">
        <f t="shared" si="118"/>
        <v>38067.871049587266</v>
      </c>
      <c r="V69" s="30">
        <f t="shared" si="118"/>
        <v>16805.450505871253</v>
      </c>
      <c r="W69" s="30">
        <f t="shared" si="118"/>
        <v>6248.5855851632532</v>
      </c>
      <c r="X69" s="30">
        <f t="shared" si="118"/>
        <v>1534.1180170755001</v>
      </c>
      <c r="Y69" s="43">
        <f t="shared" si="118"/>
        <v>2292.8875698542688</v>
      </c>
      <c r="Z69" s="29">
        <f t="shared" si="118"/>
        <v>12633.216880289023</v>
      </c>
      <c r="AA69" s="30">
        <f t="shared" si="118"/>
        <v>8374.8360796014495</v>
      </c>
      <c r="AB69" s="30">
        <f t="shared" si="118"/>
        <v>6248.5855851632532</v>
      </c>
      <c r="AC69" s="30">
        <f t="shared" si="118"/>
        <v>5187.2502184996847</v>
      </c>
      <c r="AD69" s="43">
        <f t="shared" si="118"/>
        <v>4657.3870660620232</v>
      </c>
      <c r="AE69" s="29">
        <f t="shared" si="118"/>
        <v>6349.6752183959306</v>
      </c>
      <c r="AF69" s="30">
        <f t="shared" si="118"/>
        <v>6282.1019191338219</v>
      </c>
      <c r="AG69" s="30">
        <f t="shared" si="118"/>
        <v>6248.5855851632532</v>
      </c>
      <c r="AH69" s="30">
        <f t="shared" si="118"/>
        <v>6231.8962717414252</v>
      </c>
      <c r="AI69" s="43">
        <f t="shared" si="118"/>
        <v>6223.5689901478609</v>
      </c>
    </row>
    <row r="70" spans="1:35" hidden="1" outlineLevel="1" x14ac:dyDescent="0.25">
      <c r="A70" t="s">
        <v>107</v>
      </c>
      <c r="B70" t="s">
        <v>19</v>
      </c>
      <c r="C70" s="30">
        <f>SQRT(C51^2+C64^2)</f>
        <v>41.666666666666664</v>
      </c>
      <c r="D70" s="30">
        <f t="shared" ref="D70:O70" si="119">SQRT(D51^2+D64^2)</f>
        <v>83.333333333333329</v>
      </c>
      <c r="E70" s="30">
        <f t="shared" si="119"/>
        <v>126.44291910337731</v>
      </c>
      <c r="F70" s="30">
        <f t="shared" si="119"/>
        <v>141.66666666666669</v>
      </c>
      <c r="G70" s="30">
        <f t="shared" si="119"/>
        <v>240.79422628134347</v>
      </c>
      <c r="H70" s="30">
        <f t="shared" si="119"/>
        <v>628.95996477708002</v>
      </c>
      <c r="I70" s="30">
        <f t="shared" si="119"/>
        <v>628.10898289489739</v>
      </c>
      <c r="J70" s="30">
        <f t="shared" si="119"/>
        <v>2005.1620751602873</v>
      </c>
      <c r="K70" s="30">
        <f t="shared" si="119"/>
        <v>7658.7858542853764</v>
      </c>
      <c r="L70" s="30">
        <f t="shared" si="119"/>
        <v>8419.2470762394478</v>
      </c>
      <c r="M70" s="30">
        <f>SQRT(M51^2+M64^2)</f>
        <v>15036.855413034145</v>
      </c>
      <c r="N70" s="30">
        <f t="shared" si="119"/>
        <v>15240.44230975965</v>
      </c>
      <c r="O70" s="43">
        <f t="shared" si="119"/>
        <v>17626.461981953311</v>
      </c>
      <c r="P70" s="29">
        <f t="shared" ref="P70:AI70" si="120">SQRT(P51^2+P64^2)</f>
        <v>23260.838885235349</v>
      </c>
      <c r="Q70" s="30">
        <f t="shared" si="120"/>
        <v>17844.325183619618</v>
      </c>
      <c r="R70" s="30">
        <f t="shared" si="120"/>
        <v>15240.44230975965</v>
      </c>
      <c r="S70" s="30">
        <f t="shared" si="120"/>
        <v>13981.783604002016</v>
      </c>
      <c r="T70" s="43">
        <f t="shared" si="120"/>
        <v>13366.872236834854</v>
      </c>
      <c r="U70" s="29">
        <f t="shared" si="120"/>
        <v>47138.814645427941</v>
      </c>
      <c r="V70" s="30">
        <f t="shared" si="120"/>
        <v>25862.63108558935</v>
      </c>
      <c r="W70" s="30">
        <f t="shared" si="120"/>
        <v>15240.44230975965</v>
      </c>
      <c r="X70" s="30">
        <f t="shared" si="120"/>
        <v>9948.1982329121638</v>
      </c>
      <c r="Y70" s="43">
        <f t="shared" si="120"/>
        <v>7318.7361206353607</v>
      </c>
      <c r="Z70" s="29">
        <f t="shared" si="120"/>
        <v>21534.028852770887</v>
      </c>
      <c r="AA70" s="30">
        <f t="shared" si="120"/>
        <v>17329.958529784351</v>
      </c>
      <c r="AB70" s="30">
        <f t="shared" si="120"/>
        <v>15240.44230975965</v>
      </c>
      <c r="AC70" s="30">
        <f t="shared" si="120"/>
        <v>14200.42827383747</v>
      </c>
      <c r="AD70" s="43">
        <f t="shared" si="120"/>
        <v>13681.923175808914</v>
      </c>
      <c r="AE70" s="29">
        <f t="shared" si="120"/>
        <v>15555.874009774334</v>
      </c>
      <c r="AF70" s="30">
        <f t="shared" si="120"/>
        <v>15345.383081876138</v>
      </c>
      <c r="AG70" s="30">
        <f t="shared" si="120"/>
        <v>15240.44230975965</v>
      </c>
      <c r="AH70" s="30">
        <f t="shared" si="120"/>
        <v>15188.049940087883</v>
      </c>
      <c r="AI70" s="43">
        <f t="shared" si="120"/>
        <v>15161.873495326177</v>
      </c>
    </row>
    <row r="71" spans="1:35" hidden="1" outlineLevel="1" x14ac:dyDescent="0.25">
      <c r="A71" t="s">
        <v>108</v>
      </c>
      <c r="B71" t="s">
        <v>19</v>
      </c>
      <c r="C71" s="30">
        <f>SQRT(C55^2+C67^2)</f>
        <v>41.666666666666664</v>
      </c>
      <c r="D71" s="30">
        <f t="shared" ref="D71:O71" si="121">SQRT(D55^2+D67^2)</f>
        <v>83.333333333333329</v>
      </c>
      <c r="E71" s="30">
        <f t="shared" si="121"/>
        <v>100.17699755434012</v>
      </c>
      <c r="F71" s="30">
        <f t="shared" si="121"/>
        <v>141.66666666666669</v>
      </c>
      <c r="G71" s="30">
        <f t="shared" si="121"/>
        <v>178.30138311284813</v>
      </c>
      <c r="H71" s="30">
        <f t="shared" si="121"/>
        <v>501.23216368446293</v>
      </c>
      <c r="I71" s="30">
        <f t="shared" si="121"/>
        <v>557.70743208925046</v>
      </c>
      <c r="J71" s="30">
        <f t="shared" si="121"/>
        <v>2005.1620751602873</v>
      </c>
      <c r="K71" s="30">
        <f t="shared" si="121"/>
        <v>7689.8536817498452</v>
      </c>
      <c r="L71" s="30">
        <f t="shared" si="121"/>
        <v>8419.2470762394478</v>
      </c>
      <c r="M71" s="30">
        <f>SQRT(M55^2+M67^2)</f>
        <v>10357.752675284777</v>
      </c>
      <c r="N71" s="30">
        <f t="shared" si="121"/>
        <v>10503.443641807702</v>
      </c>
      <c r="O71" s="43">
        <f t="shared" si="121"/>
        <v>12087.762308888647</v>
      </c>
      <c r="P71" s="29">
        <f t="shared" ref="P71:AI71" si="122">SQRT(P55^2+P67^2)</f>
        <v>7298.7404257824701</v>
      </c>
      <c r="Q71" s="30">
        <f t="shared" si="122"/>
        <v>8632.6377392891045</v>
      </c>
      <c r="R71" s="30">
        <f t="shared" si="122"/>
        <v>10503.443641807702</v>
      </c>
      <c r="S71" s="30">
        <f t="shared" si="122"/>
        <v>11598.098810533513</v>
      </c>
      <c r="T71" s="43">
        <f t="shared" si="122"/>
        <v>12173.170705726016</v>
      </c>
      <c r="U71" s="29">
        <f t="shared" si="122"/>
        <v>42315.652584493124</v>
      </c>
      <c r="V71" s="30">
        <f t="shared" si="122"/>
        <v>21065.581411095071</v>
      </c>
      <c r="W71" s="30">
        <f t="shared" si="122"/>
        <v>10503.443641807702</v>
      </c>
      <c r="X71" s="30">
        <f t="shared" si="122"/>
        <v>5348.0838747633497</v>
      </c>
      <c r="Y71" s="43">
        <f t="shared" si="122"/>
        <v>2998.5504346290454</v>
      </c>
      <c r="Z71" s="29">
        <f t="shared" si="122"/>
        <v>16894.496851165888</v>
      </c>
      <c r="AA71" s="30">
        <f t="shared" si="122"/>
        <v>12633.216880289021</v>
      </c>
      <c r="AB71" s="30">
        <f t="shared" si="122"/>
        <v>10503.443641807702</v>
      </c>
      <c r="AC71" s="30">
        <f t="shared" si="122"/>
        <v>9438.9448520209808</v>
      </c>
      <c r="AD71" s="43">
        <f t="shared" si="122"/>
        <v>8906.8329757335177</v>
      </c>
      <c r="AE71" s="29">
        <f t="shared" si="122"/>
        <v>10607.641171826521</v>
      </c>
      <c r="AF71" s="30">
        <f t="shared" si="122"/>
        <v>10538.075448286143</v>
      </c>
      <c r="AG71" s="30">
        <f t="shared" si="122"/>
        <v>10503.443641807702</v>
      </c>
      <c r="AH71" s="30">
        <f t="shared" si="122"/>
        <v>10486.165939385684</v>
      </c>
      <c r="AI71" s="43">
        <f t="shared" si="122"/>
        <v>10477.536693529231</v>
      </c>
    </row>
    <row r="72" spans="1:35" collapsed="1" x14ac:dyDescent="0.25">
      <c r="A72" t="s">
        <v>140</v>
      </c>
      <c r="B72" t="s">
        <v>19</v>
      </c>
      <c r="C72" s="30" cm="1">
        <f t="array" ref="C72">MAX(ABS(C43:C55))</f>
        <v>41.666666666666664</v>
      </c>
      <c r="D72" s="30" cm="1">
        <f t="array" ref="D72">MAX(ABS(D43:D55))</f>
        <v>83.333333333333329</v>
      </c>
      <c r="E72" s="30" cm="1">
        <f t="array" ref="E72">MAX(ABS(E43:E55))</f>
        <v>77.38095238095238</v>
      </c>
      <c r="F72" s="30" cm="1">
        <f t="array" ref="F72">MAX(ABS(F43:F55))</f>
        <v>141.66666666666669</v>
      </c>
      <c r="G72" s="30" cm="1">
        <f t="array" ref="G72">MAX(ABS(G43:G55))</f>
        <v>219.04761904761907</v>
      </c>
      <c r="H72" s="30" cm="1">
        <f t="array" ref="H72">MAX(ABS(H43:H55))</f>
        <v>380.18372703412069</v>
      </c>
      <c r="I72" s="30" cm="1">
        <f t="array" ref="I72">MAX(ABS(I43:I55))</f>
        <v>620.09748781402311</v>
      </c>
      <c r="J72" s="30" cm="1">
        <f t="array" ref="J72">MAX(ABS(J43:J55))</f>
        <v>2005.1620751602873</v>
      </c>
      <c r="K72" s="30" cm="1">
        <f t="array" ref="K72">MAX(ABS(K43:K55))</f>
        <v>2902.7599761859424</v>
      </c>
      <c r="L72" s="30" cm="1">
        <f t="array" ref="L72">MAX(ABS(L43:L55))</f>
        <v>8419.2470762394478</v>
      </c>
      <c r="M72" s="30" cm="1">
        <f t="array" ref="M72">MAX(ABS(M43:M55))</f>
        <v>13243.835794252343</v>
      </c>
      <c r="N72" s="30" cm="1">
        <f t="array" ref="N72">MAX(ABS(N43:N55))</f>
        <v>13421.216746633298</v>
      </c>
      <c r="O72" s="43" cm="1">
        <f t="array" ref="O72">MAX(ABS(O43:O55))</f>
        <v>15083.121508538057</v>
      </c>
      <c r="P72" s="29" cm="1">
        <f t="array" ref="P72">MAX(ABS(P43:P55))</f>
        <v>22111.639532333982</v>
      </c>
      <c r="Q72" s="30" cm="1">
        <f t="array" ref="Q72">MAX(ABS(Q43:Q55))</f>
        <v>16318.024341866858</v>
      </c>
      <c r="R72" s="30" cm="1">
        <f t="array" ref="R72">MAX(ABS(R43:R55))</f>
        <v>13421.216746633298</v>
      </c>
      <c r="S72" s="30" cm="1">
        <f t="array" ref="S72">MAX(ABS(S43:S55))</f>
        <v>11972.812949016516</v>
      </c>
      <c r="T72" s="43" cm="1">
        <f t="array" ref="T72">MAX(ABS(T43:T55))</f>
        <v>11248.611050208126</v>
      </c>
      <c r="U72" s="29" cm="1">
        <f t="array" ref="U72">MAX(ABS(U43:U55))</f>
        <v>40132.055220447815</v>
      </c>
      <c r="V72" s="30" cm="1">
        <f t="array" ref="V72">MAX(ABS(V43:V55))</f>
        <v>22324.829571238137</v>
      </c>
      <c r="W72" s="30" cm="1">
        <f t="array" ref="W72">MAX(ABS(W43:W55))</f>
        <v>13421.216746633298</v>
      </c>
      <c r="X72" s="30" cm="1">
        <f t="array" ref="X72">MAX(ABS(X43:X55))</f>
        <v>8969.410334330878</v>
      </c>
      <c r="Y72" s="43" cm="1">
        <f t="array" ref="Y72">MAX(ABS(Y43:Y55))</f>
        <v>6743.5071281796681</v>
      </c>
      <c r="Z72" s="29" cm="1">
        <f t="array" ref="Z72">MAX(ABS(Z43:Z55))</f>
        <v>18283.605727017988</v>
      </c>
      <c r="AA72" s="30" cm="1">
        <f t="array" ref="AA72">MAX(ABS(AA43:AA55))</f>
        <v>15042.013073428194</v>
      </c>
      <c r="AB72" s="30" cm="1">
        <f t="array" ref="AB72">MAX(ABS(AB43:AB55))</f>
        <v>13421.216746633298</v>
      </c>
      <c r="AC72" s="30" cm="1">
        <f t="array" ref="AC72">MAX(ABS(AC43:AC55))</f>
        <v>12610.818583235849</v>
      </c>
      <c r="AD72" s="43" cm="1">
        <f t="array" ref="AD72">MAX(ABS(AD43:AD55))</f>
        <v>12205.619501537125</v>
      </c>
      <c r="AE72" s="29" cm="1">
        <f t="array" ref="AE72">MAX(ABS(AE43:AE55))</f>
        <v>13778.359603776154</v>
      </c>
      <c r="AF72" s="30" cm="1">
        <f t="array" ref="AF72">MAX(ABS(AF43:AF55))</f>
        <v>13540.264365680914</v>
      </c>
      <c r="AG72" s="30" cm="1">
        <f t="array" ref="AG72">MAX(ABS(AG43:AG55))</f>
        <v>13421.216746633298</v>
      </c>
      <c r="AH72" s="30" cm="1">
        <f t="array" ref="AH72">MAX(ABS(AH43:AH55))</f>
        <v>13361.692937109487</v>
      </c>
      <c r="AI72" s="43" cm="1">
        <f t="array" ref="AI72">MAX(ABS(AI43:AI55))</f>
        <v>13331.931032347582</v>
      </c>
    </row>
    <row r="73" spans="1:35" x14ac:dyDescent="0.25">
      <c r="A73" t="s">
        <v>141</v>
      </c>
      <c r="B73" t="s">
        <v>19</v>
      </c>
      <c r="C73" s="30" cm="1">
        <f t="array" ref="C73">MAX(ABS(C58:C67))</f>
        <v>0</v>
      </c>
      <c r="D73" s="30" cm="1">
        <f t="array" ref="D73">MAX(ABS(D58:D67))</f>
        <v>0</v>
      </c>
      <c r="E73" s="30" cm="1">
        <f t="array" ref="E73">MAX(ABS(E58:E67))</f>
        <v>100</v>
      </c>
      <c r="F73" s="30" cm="1">
        <f t="array" ref="F73">MAX(ABS(F58:F67))</f>
        <v>0</v>
      </c>
      <c r="G73" s="30" cm="1">
        <f t="array" ref="G73">MAX(ABS(G58:G67))</f>
        <v>100</v>
      </c>
      <c r="H73" s="30" cm="1">
        <f t="array" ref="H73">MAX(ABS(H58:H67))</f>
        <v>501.04986876640419</v>
      </c>
      <c r="I73" s="30" cm="1">
        <f t="array" ref="I73">MAX(ABS(I58:I67))</f>
        <v>100</v>
      </c>
      <c r="J73" s="30" cm="1">
        <f t="array" ref="J73">MAX(ABS(J58:J67))</f>
        <v>0</v>
      </c>
      <c r="K73" s="30" cm="1">
        <f t="array" ref="K73">MAX(ABS(K58:K67))</f>
        <v>7120.9433481368633</v>
      </c>
      <c r="L73" s="30" cm="1">
        <f t="array" ref="L73">MAX(ABS(L58:L67))</f>
        <v>0</v>
      </c>
      <c r="M73" s="30" cm="1">
        <f t="array" ref="M73">MAX(ABS(M58:M67))</f>
        <v>7120.9433481368633</v>
      </c>
      <c r="N73" s="30" cm="1">
        <f t="array" ref="N73">MAX(ABS(N58:N67))</f>
        <v>7220.9433481368633</v>
      </c>
      <c r="O73" s="43" cm="1">
        <f t="array" ref="O73">MAX(ABS(O58:O67))</f>
        <v>9120.9433481368633</v>
      </c>
      <c r="P73" s="29" cm="1">
        <f t="array" ref="P73">MAX(ABS(P58:P67))</f>
        <v>7220.9433481368633</v>
      </c>
      <c r="Q73" s="30" cm="1">
        <f t="array" ref="Q73">MAX(ABS(Q58:Q67))</f>
        <v>7220.9433481368633</v>
      </c>
      <c r="R73" s="30" cm="1">
        <f t="array" ref="R73">MAX(ABS(R58:R67))</f>
        <v>7220.9433481368633</v>
      </c>
      <c r="S73" s="30" cm="1">
        <f t="array" ref="S73">MAX(ABS(S58:S67))</f>
        <v>7220.9433481368633</v>
      </c>
      <c r="T73" s="43" cm="1">
        <f t="array" ref="T73">MAX(ABS(T58:T67))</f>
        <v>7220.9433481368633</v>
      </c>
      <c r="U73" s="29" cm="1">
        <f t="array" ref="U73">MAX(ABS(U58:U67))</f>
        <v>24728.242759220469</v>
      </c>
      <c r="V73" s="30" cm="1">
        <f t="array" ref="V73">MAX(ABS(V58:V67))</f>
        <v>13056.709818498066</v>
      </c>
      <c r="W73" s="30" cm="1">
        <f t="array" ref="W73">MAX(ABS(W58:W67))</f>
        <v>7220.9433481368633</v>
      </c>
      <c r="X73" s="30" cm="1">
        <f t="array" ref="X73">MAX(ABS(X58:X67))</f>
        <v>4303.0601129562629</v>
      </c>
      <c r="Y73" s="43" cm="1">
        <f t="array" ref="Y73">MAX(ABS(Y58:Y67))</f>
        <v>2844.1184953659622</v>
      </c>
      <c r="Z73" s="29" cm="1">
        <f t="array" ref="Z73">MAX(ABS(Z58:Z67))</f>
        <v>11376.473981463851</v>
      </c>
      <c r="AA73" s="30" cm="1">
        <f t="array" ref="AA73">MAX(ABS(AA58:AA67))</f>
        <v>8606.1202259125257</v>
      </c>
      <c r="AB73" s="30" cm="1">
        <f t="array" ref="AB73">MAX(ABS(AB58:AB67))</f>
        <v>7220.9433481368633</v>
      </c>
      <c r="AC73" s="30" cm="1">
        <f t="array" ref="AC73">MAX(ABS(AC58:AC67))</f>
        <v>6528.3549092490339</v>
      </c>
      <c r="AD73" s="43" cm="1">
        <f t="array" ref="AD73">MAX(ABS(AD58:AD67))</f>
        <v>6182.0606898051174</v>
      </c>
      <c r="AE73" s="29" cm="1">
        <f t="array" ref="AE73">MAX(ABS(AE58:AE67))</f>
        <v>7220.9433481368633</v>
      </c>
      <c r="AF73" s="30" cm="1">
        <f t="array" ref="AF73">MAX(ABS(AF58:AF67))</f>
        <v>7220.9433481368633</v>
      </c>
      <c r="AG73" s="30" cm="1">
        <f t="array" ref="AG73">MAX(ABS(AG58:AG67))</f>
        <v>7220.9433481368633</v>
      </c>
      <c r="AH73" s="30" cm="1">
        <f t="array" ref="AH73">MAX(ABS(AH58:AH67))</f>
        <v>7220.9433481368633</v>
      </c>
      <c r="AI73" s="43" cm="1">
        <f t="array" ref="AI73">MAX(ABS(AI58:AI67))</f>
        <v>7220.9433481368633</v>
      </c>
    </row>
    <row r="74" spans="1:35" x14ac:dyDescent="0.25">
      <c r="A74" t="s">
        <v>109</v>
      </c>
      <c r="B74" t="s">
        <v>19</v>
      </c>
      <c r="C74" s="63">
        <f>MAX(C68:C71)</f>
        <v>41.666666666666664</v>
      </c>
      <c r="D74" s="63">
        <f t="shared" ref="D74:J74" si="123">MAX(D68:D71)</f>
        <v>83.333333333333329</v>
      </c>
      <c r="E74" s="63">
        <f t="shared" si="123"/>
        <v>126.44291910337731</v>
      </c>
      <c r="F74" s="63">
        <f t="shared" si="123"/>
        <v>141.66666666666669</v>
      </c>
      <c r="G74" s="63">
        <f t="shared" si="123"/>
        <v>240.79422628134347</v>
      </c>
      <c r="H74" s="63">
        <f t="shared" si="123"/>
        <v>628.95996477708002</v>
      </c>
      <c r="I74" s="63">
        <f t="shared" si="123"/>
        <v>628.10898289489739</v>
      </c>
      <c r="J74" s="63">
        <f t="shared" si="123"/>
        <v>2005.1620751602873</v>
      </c>
      <c r="K74" s="63">
        <f t="shared" ref="K74:AI74" si="124">MAX(K68:K71)</f>
        <v>7689.8536817498452</v>
      </c>
      <c r="L74" s="63">
        <f t="shared" si="124"/>
        <v>8419.2470762394478</v>
      </c>
      <c r="M74" s="63">
        <f t="shared" si="124"/>
        <v>15036.855413034145</v>
      </c>
      <c r="N74" s="63">
        <f t="shared" si="124"/>
        <v>15240.44230975965</v>
      </c>
      <c r="O74" s="64">
        <f t="shared" si="124"/>
        <v>17626.461981953311</v>
      </c>
      <c r="P74" s="76">
        <f t="shared" si="124"/>
        <v>23260.838885235349</v>
      </c>
      <c r="Q74" s="63">
        <f t="shared" si="124"/>
        <v>17844.325183619618</v>
      </c>
      <c r="R74" s="63">
        <f t="shared" si="124"/>
        <v>15240.44230975965</v>
      </c>
      <c r="S74" s="63">
        <f t="shared" si="124"/>
        <v>13981.783604002016</v>
      </c>
      <c r="T74" s="64">
        <f t="shared" si="124"/>
        <v>13366.872236834854</v>
      </c>
      <c r="U74" s="76">
        <f t="shared" si="124"/>
        <v>47138.814645427941</v>
      </c>
      <c r="V74" s="63">
        <f t="shared" si="124"/>
        <v>25862.63108558935</v>
      </c>
      <c r="W74" s="63">
        <f t="shared" si="124"/>
        <v>15240.44230975965</v>
      </c>
      <c r="X74" s="63">
        <f t="shared" si="124"/>
        <v>9948.1982329121638</v>
      </c>
      <c r="Y74" s="64">
        <f t="shared" si="124"/>
        <v>7318.7361206353607</v>
      </c>
      <c r="Z74" s="76">
        <f t="shared" si="124"/>
        <v>21534.028852770887</v>
      </c>
      <c r="AA74" s="63">
        <f t="shared" si="124"/>
        <v>17329.958529784351</v>
      </c>
      <c r="AB74" s="63">
        <f t="shared" si="124"/>
        <v>15240.44230975965</v>
      </c>
      <c r="AC74" s="63">
        <f t="shared" si="124"/>
        <v>14200.42827383747</v>
      </c>
      <c r="AD74" s="64">
        <f t="shared" si="124"/>
        <v>13681.923175808914</v>
      </c>
      <c r="AE74" s="76">
        <f t="shared" si="124"/>
        <v>15555.874009774334</v>
      </c>
      <c r="AF74" s="63">
        <f t="shared" si="124"/>
        <v>15345.383081876138</v>
      </c>
      <c r="AG74" s="63">
        <f t="shared" si="124"/>
        <v>15240.44230975965</v>
      </c>
      <c r="AH74" s="63">
        <f t="shared" si="124"/>
        <v>15188.049940087883</v>
      </c>
      <c r="AI74" s="64">
        <f t="shared" si="124"/>
        <v>15161.873495326177</v>
      </c>
    </row>
    <row r="75" spans="1:35" x14ac:dyDescent="0.25">
      <c r="A75" t="s">
        <v>350</v>
      </c>
      <c r="B75" t="s">
        <v>26</v>
      </c>
      <c r="C75" s="82">
        <v>2</v>
      </c>
      <c r="D75" s="82">
        <v>2</v>
      </c>
      <c r="E75" s="82">
        <v>2</v>
      </c>
      <c r="F75" s="82">
        <v>2</v>
      </c>
      <c r="G75" s="82">
        <v>2</v>
      </c>
      <c r="H75" s="82">
        <v>2</v>
      </c>
      <c r="I75" s="82">
        <v>2</v>
      </c>
      <c r="J75" s="82">
        <v>2</v>
      </c>
      <c r="K75" s="82">
        <v>2</v>
      </c>
      <c r="L75" s="82">
        <v>2</v>
      </c>
      <c r="M75" s="82">
        <v>2</v>
      </c>
      <c r="N75" s="82">
        <v>0</v>
      </c>
      <c r="O75" s="84">
        <v>1.5</v>
      </c>
      <c r="P75" s="76"/>
      <c r="Q75" s="63"/>
      <c r="R75" s="63"/>
      <c r="S75" s="63"/>
      <c r="T75" s="64"/>
      <c r="U75" s="76"/>
      <c r="V75" s="63"/>
      <c r="W75" s="63"/>
      <c r="X75" s="63"/>
      <c r="Y75" s="64"/>
      <c r="Z75" s="76"/>
      <c r="AA75" s="63"/>
      <c r="AB75" s="63"/>
      <c r="AC75" s="63"/>
      <c r="AD75" s="64"/>
      <c r="AE75" s="76"/>
      <c r="AF75" s="63"/>
      <c r="AG75" s="63"/>
      <c r="AH75" s="63"/>
      <c r="AI75" s="64"/>
    </row>
    <row r="76" spans="1:35" x14ac:dyDescent="0.25">
      <c r="A76" t="s">
        <v>351</v>
      </c>
      <c r="B76" t="s">
        <v>19</v>
      </c>
      <c r="C76" s="83">
        <f>C74*C75</f>
        <v>83.333333333333329</v>
      </c>
      <c r="D76" s="82">
        <f t="shared" ref="D76:O76" si="125">D74*D75</f>
        <v>166.66666666666666</v>
      </c>
      <c r="E76" s="82">
        <f t="shared" si="125"/>
        <v>252.88583820675461</v>
      </c>
      <c r="F76" s="82">
        <f t="shared" si="125"/>
        <v>283.33333333333337</v>
      </c>
      <c r="G76" s="82">
        <f t="shared" si="125"/>
        <v>481.58845256268694</v>
      </c>
      <c r="H76" s="82">
        <f t="shared" si="125"/>
        <v>1257.91992955416</v>
      </c>
      <c r="I76" s="82">
        <f t="shared" si="125"/>
        <v>1256.2179657897948</v>
      </c>
      <c r="J76" s="82">
        <f t="shared" si="125"/>
        <v>4010.3241503205745</v>
      </c>
      <c r="K76" s="82">
        <f t="shared" si="125"/>
        <v>15379.70736349969</v>
      </c>
      <c r="L76" s="82">
        <f t="shared" si="125"/>
        <v>16838.494152478896</v>
      </c>
      <c r="M76" s="82">
        <f t="shared" si="125"/>
        <v>30073.710826068291</v>
      </c>
      <c r="N76" s="82">
        <f t="shared" si="125"/>
        <v>0</v>
      </c>
      <c r="O76" s="82">
        <f t="shared" si="125"/>
        <v>26439.692972929966</v>
      </c>
      <c r="P76" s="76"/>
      <c r="Q76" s="63"/>
      <c r="R76" s="63"/>
      <c r="S76" s="63"/>
      <c r="T76" s="64"/>
      <c r="U76" s="76"/>
      <c r="V76" s="63"/>
      <c r="W76" s="63"/>
      <c r="X76" s="63"/>
      <c r="Y76" s="64"/>
      <c r="Z76" s="76"/>
      <c r="AA76" s="63"/>
      <c r="AB76" s="63"/>
      <c r="AC76" s="63"/>
      <c r="AD76" s="64"/>
      <c r="AE76" s="76"/>
      <c r="AF76" s="63"/>
      <c r="AG76" s="63"/>
      <c r="AH76" s="63"/>
      <c r="AI76" s="64"/>
    </row>
    <row r="77" spans="1:35" x14ac:dyDescent="0.25">
      <c r="A77" t="s">
        <v>349</v>
      </c>
      <c r="P77" s="77">
        <v>0.25</v>
      </c>
      <c r="Q77" s="57">
        <v>0.5</v>
      </c>
      <c r="R77" s="57">
        <v>1</v>
      </c>
      <c r="S77" s="57">
        <v>2</v>
      </c>
      <c r="T77" s="58">
        <v>4</v>
      </c>
      <c r="U77" s="77">
        <v>0.25</v>
      </c>
      <c r="V77" s="57">
        <v>0.5</v>
      </c>
      <c r="W77" s="57">
        <v>1</v>
      </c>
      <c r="X77" s="57">
        <v>2</v>
      </c>
      <c r="Y77" s="58">
        <v>4</v>
      </c>
      <c r="Z77" s="77">
        <v>0.25</v>
      </c>
      <c r="AA77" s="57">
        <v>0.5</v>
      </c>
      <c r="AB77" s="57">
        <v>1</v>
      </c>
      <c r="AC77" s="57">
        <v>2</v>
      </c>
      <c r="AD77" s="58">
        <v>4</v>
      </c>
      <c r="AE77" s="77">
        <v>0.25</v>
      </c>
      <c r="AF77" s="57">
        <v>0.5</v>
      </c>
      <c r="AG77" s="57">
        <v>1</v>
      </c>
      <c r="AH77" s="57">
        <v>2</v>
      </c>
      <c r="AI77" s="58">
        <v>4</v>
      </c>
    </row>
    <row r="78" spans="1:35" x14ac:dyDescent="0.25">
      <c r="A78" t="s">
        <v>348</v>
      </c>
      <c r="P78" s="78">
        <f t="shared" ref="P78:AI78" si="126">P74/$N$74</f>
        <v>1.5262574676287191</v>
      </c>
      <c r="Q78" s="79">
        <f t="shared" si="126"/>
        <v>1.1708534976174869</v>
      </c>
      <c r="R78" s="79">
        <f t="shared" si="126"/>
        <v>1</v>
      </c>
      <c r="S78" s="79">
        <f t="shared" si="126"/>
        <v>0.91741324299022364</v>
      </c>
      <c r="T78" s="80">
        <f t="shared" si="126"/>
        <v>0.8770658990831911</v>
      </c>
      <c r="U78" s="78">
        <f t="shared" si="126"/>
        <v>3.0930083056212392</v>
      </c>
      <c r="V78" s="79">
        <f t="shared" si="126"/>
        <v>1.6969737859266381</v>
      </c>
      <c r="W78" s="79">
        <f t="shared" si="126"/>
        <v>1</v>
      </c>
      <c r="X78" s="79">
        <f t="shared" si="126"/>
        <v>0.65274996819098563</v>
      </c>
      <c r="Y78" s="80">
        <f t="shared" si="126"/>
        <v>0.48021809156736878</v>
      </c>
      <c r="Z78" s="78">
        <f t="shared" si="126"/>
        <v>1.4129530111459403</v>
      </c>
      <c r="AA78" s="79">
        <f t="shared" si="126"/>
        <v>1.1371033843739968</v>
      </c>
      <c r="AB78" s="79">
        <f t="shared" si="126"/>
        <v>1</v>
      </c>
      <c r="AC78" s="79">
        <f t="shared" si="126"/>
        <v>0.93175958972948059</v>
      </c>
      <c r="AD78" s="80">
        <f t="shared" si="126"/>
        <v>0.89773793291073356</v>
      </c>
      <c r="AE78" s="78">
        <f t="shared" si="126"/>
        <v>1.0206970174226957</v>
      </c>
      <c r="AF78" s="79">
        <f t="shared" si="126"/>
        <v>1.0068856775927879</v>
      </c>
      <c r="AG78" s="79">
        <f t="shared" si="126"/>
        <v>1</v>
      </c>
      <c r="AH78" s="79">
        <f t="shared" si="126"/>
        <v>0.99656228024050086</v>
      </c>
      <c r="AI78" s="80">
        <f t="shared" si="126"/>
        <v>0.99484471560361742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DDC4-6D1A-4EFF-85EE-C2A4ED982B06}">
  <dimension ref="A1:AH81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9" width="10.5703125" customWidth="1"/>
    <col min="20" max="24" width="9.7109375" customWidth="1"/>
  </cols>
  <sheetData>
    <row r="1" spans="1:34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37" t="s">
        <v>516</v>
      </c>
      <c r="Q1" s="37" t="s">
        <v>517</v>
      </c>
      <c r="R1" s="37" t="s">
        <v>518</v>
      </c>
      <c r="S1" s="86" t="s">
        <v>353</v>
      </c>
      <c r="T1" s="70" t="s">
        <v>74</v>
      </c>
      <c r="U1" s="71"/>
      <c r="V1" s="71"/>
      <c r="W1" s="71"/>
      <c r="X1" s="72"/>
      <c r="Y1" s="70" t="s">
        <v>75</v>
      </c>
      <c r="Z1" s="71"/>
      <c r="AA1" s="71"/>
      <c r="AB1" s="71"/>
      <c r="AC1" s="72"/>
      <c r="AD1" s="70" t="s">
        <v>354</v>
      </c>
      <c r="AE1" s="71"/>
      <c r="AF1" s="71"/>
      <c r="AG1" s="71"/>
      <c r="AH1" s="72"/>
    </row>
    <row r="2" spans="1:34" x14ac:dyDescent="0.25">
      <c r="A2" t="s">
        <v>89</v>
      </c>
      <c r="B2" t="s">
        <v>32</v>
      </c>
      <c r="C2" s="11">
        <v>0.5</v>
      </c>
      <c r="D2" s="11">
        <v>0.5</v>
      </c>
      <c r="E2" s="11">
        <v>0.5</v>
      </c>
      <c r="F2" s="11">
        <v>0.5</v>
      </c>
      <c r="G2" s="11">
        <v>0.5</v>
      </c>
      <c r="H2" s="11">
        <v>0.5</v>
      </c>
      <c r="I2" s="11">
        <v>0.5</v>
      </c>
      <c r="J2" s="11">
        <v>0.5</v>
      </c>
      <c r="K2" s="11">
        <v>0.5</v>
      </c>
      <c r="L2" s="11">
        <v>0.5</v>
      </c>
      <c r="M2" s="11">
        <v>0.5</v>
      </c>
      <c r="N2" s="11">
        <v>0.5</v>
      </c>
      <c r="O2" s="11">
        <v>0.5</v>
      </c>
      <c r="P2" s="11">
        <v>0.5</v>
      </c>
      <c r="Q2" s="11">
        <v>0.5</v>
      </c>
      <c r="R2" s="11">
        <v>0.5</v>
      </c>
      <c r="S2" s="58">
        <v>0.5</v>
      </c>
      <c r="T2" s="73">
        <f>$N2</f>
        <v>0.5</v>
      </c>
      <c r="U2" s="65">
        <f t="shared" ref="U2:X9" si="0">T2</f>
        <v>0.5</v>
      </c>
      <c r="V2" s="65">
        <f t="shared" si="0"/>
        <v>0.5</v>
      </c>
      <c r="W2" s="65">
        <f t="shared" si="0"/>
        <v>0.5</v>
      </c>
      <c r="X2" s="66">
        <f t="shared" si="0"/>
        <v>0.5</v>
      </c>
      <c r="Y2" s="73">
        <f>$N2</f>
        <v>0.5</v>
      </c>
      <c r="Z2" s="65">
        <f t="shared" ref="Z2:AC5" si="1">Y2</f>
        <v>0.5</v>
      </c>
      <c r="AA2" s="65">
        <f t="shared" si="1"/>
        <v>0.5</v>
      </c>
      <c r="AB2" s="65">
        <f t="shared" si="1"/>
        <v>0.5</v>
      </c>
      <c r="AC2" s="66">
        <f t="shared" si="1"/>
        <v>0.5</v>
      </c>
      <c r="AD2" s="73">
        <f t="shared" ref="AD2:AD8" si="2">$N2</f>
        <v>0.5</v>
      </c>
      <c r="AE2" s="65">
        <f t="shared" ref="AE2:AE7" si="3">AD2</f>
        <v>0.5</v>
      </c>
      <c r="AF2" s="65">
        <f t="shared" ref="AF2:AF7" si="4">AE2</f>
        <v>0.5</v>
      </c>
      <c r="AG2" s="65">
        <f t="shared" ref="AG2:AG7" si="5">AF2</f>
        <v>0.5</v>
      </c>
      <c r="AH2" s="66">
        <f t="shared" ref="AH2:AH7" si="6">AG2</f>
        <v>0.5</v>
      </c>
    </row>
    <row r="3" spans="1:34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11">
        <v>0.5</v>
      </c>
      <c r="Q3" s="11">
        <v>0.5</v>
      </c>
      <c r="R3" s="11">
        <v>0.5</v>
      </c>
      <c r="S3" s="58">
        <v>0.5</v>
      </c>
      <c r="T3" s="73">
        <f>$N3</f>
        <v>0.5</v>
      </c>
      <c r="U3" s="65">
        <f t="shared" si="0"/>
        <v>0.5</v>
      </c>
      <c r="V3" s="65">
        <f t="shared" si="0"/>
        <v>0.5</v>
      </c>
      <c r="W3" s="65">
        <f t="shared" si="0"/>
        <v>0.5</v>
      </c>
      <c r="X3" s="66">
        <f t="shared" si="0"/>
        <v>0.5</v>
      </c>
      <c r="Y3" s="73">
        <f>$N3</f>
        <v>0.5</v>
      </c>
      <c r="Z3" s="65">
        <f t="shared" si="1"/>
        <v>0.5</v>
      </c>
      <c r="AA3" s="65">
        <f t="shared" si="1"/>
        <v>0.5</v>
      </c>
      <c r="AB3" s="65">
        <f t="shared" si="1"/>
        <v>0.5</v>
      </c>
      <c r="AC3" s="66">
        <f t="shared" si="1"/>
        <v>0.5</v>
      </c>
      <c r="AD3" s="73">
        <f t="shared" si="2"/>
        <v>0.5</v>
      </c>
      <c r="AE3" s="65">
        <f t="shared" si="3"/>
        <v>0.5</v>
      </c>
      <c r="AF3" s="65">
        <f t="shared" si="4"/>
        <v>0.5</v>
      </c>
      <c r="AG3" s="65">
        <f t="shared" si="5"/>
        <v>0.5</v>
      </c>
      <c r="AH3" s="66">
        <f t="shared" si="6"/>
        <v>0.5</v>
      </c>
    </row>
    <row r="4" spans="1:34" x14ac:dyDescent="0.25">
      <c r="A4" t="s">
        <v>91</v>
      </c>
      <c r="B4" t="s">
        <v>32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58">
        <v>0</v>
      </c>
      <c r="T4" s="73">
        <f>$N4</f>
        <v>0</v>
      </c>
      <c r="U4" s="65">
        <f t="shared" si="0"/>
        <v>0</v>
      </c>
      <c r="V4" s="65">
        <f t="shared" si="0"/>
        <v>0</v>
      </c>
      <c r="W4" s="65">
        <f t="shared" si="0"/>
        <v>0</v>
      </c>
      <c r="X4" s="66">
        <f t="shared" si="0"/>
        <v>0</v>
      </c>
      <c r="Y4" s="73">
        <f>$N4</f>
        <v>0</v>
      </c>
      <c r="Z4" s="65">
        <f t="shared" si="1"/>
        <v>0</v>
      </c>
      <c r="AA4" s="65">
        <f t="shared" si="1"/>
        <v>0</v>
      </c>
      <c r="AB4" s="65">
        <f t="shared" si="1"/>
        <v>0</v>
      </c>
      <c r="AC4" s="66">
        <f t="shared" si="1"/>
        <v>0</v>
      </c>
      <c r="AD4" s="73">
        <f t="shared" si="2"/>
        <v>0</v>
      </c>
      <c r="AE4" s="65">
        <f t="shared" si="3"/>
        <v>0</v>
      </c>
      <c r="AF4" s="65">
        <f t="shared" si="4"/>
        <v>0</v>
      </c>
      <c r="AG4" s="65">
        <f t="shared" si="5"/>
        <v>0</v>
      </c>
      <c r="AH4" s="66">
        <f t="shared" si="6"/>
        <v>0</v>
      </c>
    </row>
    <row r="5" spans="1:34" ht="15.75" thickBot="1" x14ac:dyDescent="0.3">
      <c r="A5" t="s">
        <v>74</v>
      </c>
      <c r="B5" t="s">
        <v>3</v>
      </c>
      <c r="C5" s="85">
        <f>'Axis Sizing'!C60</f>
        <v>120</v>
      </c>
      <c r="D5" s="12">
        <f t="shared" ref="D5:D10" si="7">C5</f>
        <v>120</v>
      </c>
      <c r="E5" s="12">
        <f t="shared" ref="E5:L5" si="8">D5</f>
        <v>120</v>
      </c>
      <c r="F5" s="12">
        <f t="shared" si="8"/>
        <v>120</v>
      </c>
      <c r="G5" s="12">
        <f t="shared" ref="G5:I6" si="9">D5</f>
        <v>120</v>
      </c>
      <c r="H5" s="12">
        <f t="shared" si="9"/>
        <v>120</v>
      </c>
      <c r="I5" s="12">
        <f t="shared" si="9"/>
        <v>120</v>
      </c>
      <c r="J5" s="12">
        <f t="shared" si="8"/>
        <v>120</v>
      </c>
      <c r="K5" s="12">
        <f t="shared" si="8"/>
        <v>120</v>
      </c>
      <c r="L5" s="12">
        <f t="shared" si="8"/>
        <v>120</v>
      </c>
      <c r="M5" s="12">
        <f t="shared" ref="M5:N8" si="10">K5</f>
        <v>120</v>
      </c>
      <c r="N5" s="12">
        <f t="shared" si="10"/>
        <v>120</v>
      </c>
      <c r="O5" s="12">
        <f t="shared" ref="O5:P10" si="11">N5</f>
        <v>120</v>
      </c>
      <c r="P5" s="12">
        <f t="shared" si="11"/>
        <v>120</v>
      </c>
      <c r="Q5" s="12">
        <f t="shared" ref="Q5:R5" si="12">P5</f>
        <v>120</v>
      </c>
      <c r="R5" s="12">
        <f t="shared" si="12"/>
        <v>120</v>
      </c>
      <c r="S5" s="60">
        <f>N5</f>
        <v>120</v>
      </c>
      <c r="T5" s="20">
        <f>$N5*T$80</f>
        <v>30</v>
      </c>
      <c r="U5" s="20">
        <f>$N5*U$80</f>
        <v>60</v>
      </c>
      <c r="V5" s="20">
        <f>$N5*V$80</f>
        <v>120</v>
      </c>
      <c r="W5" s="20">
        <f>$N5*W$80</f>
        <v>240</v>
      </c>
      <c r="X5" s="20">
        <f>$N5*X$80</f>
        <v>480</v>
      </c>
      <c r="Y5" s="74">
        <f>$N5</f>
        <v>120</v>
      </c>
      <c r="Z5" s="59">
        <f t="shared" si="1"/>
        <v>120</v>
      </c>
      <c r="AA5" s="59">
        <f t="shared" si="1"/>
        <v>120</v>
      </c>
      <c r="AB5" s="59">
        <f t="shared" si="1"/>
        <v>120</v>
      </c>
      <c r="AC5" s="60">
        <f t="shared" si="1"/>
        <v>120</v>
      </c>
      <c r="AD5" s="74">
        <f t="shared" si="2"/>
        <v>120</v>
      </c>
      <c r="AE5" s="59">
        <f t="shared" si="3"/>
        <v>120</v>
      </c>
      <c r="AF5" s="59">
        <f t="shared" si="4"/>
        <v>120</v>
      </c>
      <c r="AG5" s="59">
        <f t="shared" si="5"/>
        <v>120</v>
      </c>
      <c r="AH5" s="60">
        <f t="shared" si="6"/>
        <v>120</v>
      </c>
    </row>
    <row r="6" spans="1:34" ht="16.5" thickTop="1" thickBot="1" x14ac:dyDescent="0.3">
      <c r="A6" t="s">
        <v>75</v>
      </c>
      <c r="B6" t="s">
        <v>3</v>
      </c>
      <c r="C6" s="85">
        <f>'Axis Sizing'!C59</f>
        <v>140</v>
      </c>
      <c r="D6" s="12">
        <f t="shared" si="7"/>
        <v>140</v>
      </c>
      <c r="E6" s="12">
        <f t="shared" ref="E6:L8" si="13">D6</f>
        <v>140</v>
      </c>
      <c r="F6" s="12">
        <f t="shared" si="13"/>
        <v>140</v>
      </c>
      <c r="G6" s="12">
        <f t="shared" si="9"/>
        <v>140</v>
      </c>
      <c r="H6" s="12">
        <f t="shared" si="9"/>
        <v>140</v>
      </c>
      <c r="I6" s="12">
        <f t="shared" si="9"/>
        <v>140</v>
      </c>
      <c r="J6" s="12">
        <f t="shared" si="13"/>
        <v>140</v>
      </c>
      <c r="K6" s="12">
        <f t="shared" si="13"/>
        <v>140</v>
      </c>
      <c r="L6" s="12">
        <f t="shared" si="13"/>
        <v>140</v>
      </c>
      <c r="M6" s="12">
        <f t="shared" si="10"/>
        <v>140</v>
      </c>
      <c r="N6" s="12">
        <f t="shared" si="10"/>
        <v>140</v>
      </c>
      <c r="O6" s="12">
        <f t="shared" si="11"/>
        <v>140</v>
      </c>
      <c r="P6" s="12">
        <f t="shared" si="11"/>
        <v>140</v>
      </c>
      <c r="Q6" s="12">
        <f t="shared" ref="Q6:R6" si="14">P6</f>
        <v>140</v>
      </c>
      <c r="R6" s="12">
        <f t="shared" si="14"/>
        <v>140</v>
      </c>
      <c r="S6" s="60">
        <f>N6</f>
        <v>140</v>
      </c>
      <c r="T6" s="74">
        <f>$N6</f>
        <v>140</v>
      </c>
      <c r="U6" s="59">
        <f t="shared" si="0"/>
        <v>140</v>
      </c>
      <c r="V6" s="59">
        <f t="shared" si="0"/>
        <v>140</v>
      </c>
      <c r="W6" s="59">
        <f t="shared" si="0"/>
        <v>140</v>
      </c>
      <c r="X6" s="60">
        <f t="shared" si="0"/>
        <v>140</v>
      </c>
      <c r="Y6" s="20">
        <f>$N6*Y$80</f>
        <v>35</v>
      </c>
      <c r="Z6" s="20">
        <f>$N6*Z$80</f>
        <v>70</v>
      </c>
      <c r="AA6" s="20">
        <f>$N6*AA$80</f>
        <v>140</v>
      </c>
      <c r="AB6" s="20">
        <f>$N6*AB$80</f>
        <v>280</v>
      </c>
      <c r="AC6" s="20">
        <f>$N6*AC$80</f>
        <v>560</v>
      </c>
      <c r="AD6" s="74">
        <f t="shared" si="2"/>
        <v>140</v>
      </c>
      <c r="AE6" s="59">
        <f t="shared" si="3"/>
        <v>140</v>
      </c>
      <c r="AF6" s="59">
        <f t="shared" si="4"/>
        <v>140</v>
      </c>
      <c r="AG6" s="59">
        <f t="shared" si="5"/>
        <v>140</v>
      </c>
      <c r="AH6" s="60">
        <f t="shared" si="6"/>
        <v>140</v>
      </c>
    </row>
    <row r="7" spans="1:34" ht="15.75" thickTop="1" x14ac:dyDescent="0.25">
      <c r="A7" t="s">
        <v>374</v>
      </c>
      <c r="B7" t="s">
        <v>3</v>
      </c>
      <c r="C7" s="16">
        <f>'Axis Sizing'!$C$61-'Axis Sizing'!$E$61</f>
        <v>-130</v>
      </c>
      <c r="D7" s="59">
        <f t="shared" si="7"/>
        <v>-130</v>
      </c>
      <c r="E7" s="59">
        <f t="shared" ref="E7:L7" si="15">D7</f>
        <v>-130</v>
      </c>
      <c r="F7" s="59">
        <f t="shared" si="15"/>
        <v>-130</v>
      </c>
      <c r="G7" s="59">
        <f t="shared" si="15"/>
        <v>-130</v>
      </c>
      <c r="H7" s="59">
        <f t="shared" si="15"/>
        <v>-130</v>
      </c>
      <c r="I7" s="59">
        <f t="shared" si="15"/>
        <v>-130</v>
      </c>
      <c r="J7" s="59">
        <f t="shared" si="15"/>
        <v>-130</v>
      </c>
      <c r="K7" s="59">
        <f t="shared" si="15"/>
        <v>-130</v>
      </c>
      <c r="L7" s="59">
        <f t="shared" si="15"/>
        <v>-130</v>
      </c>
      <c r="M7" s="59">
        <f>K7</f>
        <v>-130</v>
      </c>
      <c r="N7" s="59">
        <f>L7</f>
        <v>-130</v>
      </c>
      <c r="O7" s="59">
        <f t="shared" si="11"/>
        <v>-130</v>
      </c>
      <c r="P7" s="59">
        <f t="shared" si="11"/>
        <v>-130</v>
      </c>
      <c r="Q7" s="59">
        <f t="shared" ref="Q7:R7" si="16">P7</f>
        <v>-130</v>
      </c>
      <c r="R7" s="59">
        <f t="shared" si="16"/>
        <v>-130</v>
      </c>
      <c r="S7" s="60">
        <f>O7</f>
        <v>-130</v>
      </c>
      <c r="T7" s="74">
        <f>$N7</f>
        <v>-130</v>
      </c>
      <c r="U7" s="59">
        <f>T7</f>
        <v>-130</v>
      </c>
      <c r="V7" s="59">
        <f>U7</f>
        <v>-130</v>
      </c>
      <c r="W7" s="59">
        <f>V7</f>
        <v>-130</v>
      </c>
      <c r="X7" s="60">
        <f>W7</f>
        <v>-130</v>
      </c>
      <c r="Y7" s="74">
        <f>$N7</f>
        <v>-130</v>
      </c>
      <c r="Z7" s="59">
        <f t="shared" ref="Z7:AC10" si="17">Y7</f>
        <v>-130</v>
      </c>
      <c r="AA7" s="59">
        <f t="shared" si="17"/>
        <v>-130</v>
      </c>
      <c r="AB7" s="59">
        <f t="shared" si="17"/>
        <v>-130</v>
      </c>
      <c r="AC7" s="60">
        <f t="shared" si="17"/>
        <v>-130</v>
      </c>
      <c r="AD7" s="74">
        <f t="shared" si="2"/>
        <v>-130</v>
      </c>
      <c r="AE7" s="59">
        <f t="shared" si="3"/>
        <v>-130</v>
      </c>
      <c r="AF7" s="59">
        <f t="shared" si="4"/>
        <v>-130</v>
      </c>
      <c r="AG7" s="59">
        <f t="shared" si="5"/>
        <v>-130</v>
      </c>
      <c r="AH7" s="60">
        <f t="shared" si="6"/>
        <v>-130</v>
      </c>
    </row>
    <row r="8" spans="1:34" x14ac:dyDescent="0.25">
      <c r="A8" t="s">
        <v>376</v>
      </c>
      <c r="B8" t="s">
        <v>3</v>
      </c>
      <c r="C8" s="16">
        <f>-1*(C4)*'Axis Sizing'!$E$42-'Z Axis Forces'!C7-'Axis Sizing'!$E$61+'Axis Sizing'!C61</f>
        <v>-70</v>
      </c>
      <c r="D8" s="59">
        <f t="shared" si="7"/>
        <v>-70</v>
      </c>
      <c r="E8" s="59">
        <f t="shared" si="13"/>
        <v>-70</v>
      </c>
      <c r="F8" s="59">
        <f t="shared" si="13"/>
        <v>-70</v>
      </c>
      <c r="G8" s="59">
        <f t="shared" si="13"/>
        <v>-70</v>
      </c>
      <c r="H8" s="59">
        <f t="shared" si="13"/>
        <v>-70</v>
      </c>
      <c r="I8" s="59">
        <f t="shared" si="13"/>
        <v>-70</v>
      </c>
      <c r="J8" s="59">
        <f t="shared" si="13"/>
        <v>-70</v>
      </c>
      <c r="K8" s="59">
        <f t="shared" si="13"/>
        <v>-70</v>
      </c>
      <c r="L8" s="59">
        <f t="shared" si="13"/>
        <v>-70</v>
      </c>
      <c r="M8" s="59">
        <f t="shared" si="10"/>
        <v>-70</v>
      </c>
      <c r="N8" s="59">
        <f t="shared" si="10"/>
        <v>-70</v>
      </c>
      <c r="O8" s="59">
        <f t="shared" si="11"/>
        <v>-70</v>
      </c>
      <c r="P8" s="59">
        <f t="shared" si="11"/>
        <v>-70</v>
      </c>
      <c r="Q8" s="59">
        <f t="shared" ref="Q8:R8" si="18">P8</f>
        <v>-70</v>
      </c>
      <c r="R8" s="59">
        <f t="shared" si="18"/>
        <v>-70</v>
      </c>
      <c r="S8" s="60">
        <f>O8</f>
        <v>-70</v>
      </c>
      <c r="T8" s="74">
        <f>$N8</f>
        <v>-70</v>
      </c>
      <c r="U8" s="59">
        <f t="shared" si="0"/>
        <v>-70</v>
      </c>
      <c r="V8" s="59">
        <f t="shared" si="0"/>
        <v>-70</v>
      </c>
      <c r="W8" s="59">
        <f t="shared" si="0"/>
        <v>-70</v>
      </c>
      <c r="X8" s="60">
        <f t="shared" si="0"/>
        <v>-70</v>
      </c>
      <c r="Y8" s="74">
        <f>$N8</f>
        <v>-70</v>
      </c>
      <c r="Z8" s="59">
        <f t="shared" si="17"/>
        <v>-70</v>
      </c>
      <c r="AA8" s="59">
        <f t="shared" si="17"/>
        <v>-70</v>
      </c>
      <c r="AB8" s="59">
        <f t="shared" si="17"/>
        <v>-70</v>
      </c>
      <c r="AC8" s="60">
        <f t="shared" si="17"/>
        <v>-70</v>
      </c>
      <c r="AD8" s="74">
        <f t="shared" si="2"/>
        <v>-70</v>
      </c>
      <c r="AE8" s="59">
        <f>AD8</f>
        <v>-70</v>
      </c>
      <c r="AF8" s="59">
        <f>AE8</f>
        <v>-70</v>
      </c>
      <c r="AG8" s="59">
        <f>AF8</f>
        <v>-70</v>
      </c>
      <c r="AH8" s="60">
        <f>AG8</f>
        <v>-70</v>
      </c>
    </row>
    <row r="9" spans="1:34" x14ac:dyDescent="0.25">
      <c r="A9" t="s">
        <v>352</v>
      </c>
      <c r="B9" t="s">
        <v>3</v>
      </c>
      <c r="C9" s="6">
        <v>45</v>
      </c>
      <c r="D9" s="59">
        <f t="shared" si="7"/>
        <v>45</v>
      </c>
      <c r="E9" s="59">
        <f t="shared" ref="E9:L10" si="19">D9</f>
        <v>45</v>
      </c>
      <c r="F9" s="59">
        <f t="shared" si="19"/>
        <v>45</v>
      </c>
      <c r="G9" s="59">
        <f t="shared" si="19"/>
        <v>45</v>
      </c>
      <c r="H9" s="59">
        <f t="shared" si="19"/>
        <v>45</v>
      </c>
      <c r="I9" s="59">
        <f t="shared" si="19"/>
        <v>45</v>
      </c>
      <c r="J9" s="59">
        <f t="shared" si="19"/>
        <v>45</v>
      </c>
      <c r="K9" s="59">
        <f t="shared" si="19"/>
        <v>45</v>
      </c>
      <c r="L9" s="59">
        <f t="shared" si="19"/>
        <v>45</v>
      </c>
      <c r="M9" s="59">
        <f>K9</f>
        <v>45</v>
      </c>
      <c r="N9" s="59">
        <f>L9</f>
        <v>45</v>
      </c>
      <c r="O9" s="59">
        <f t="shared" si="11"/>
        <v>45</v>
      </c>
      <c r="P9" s="59">
        <f t="shared" si="11"/>
        <v>45</v>
      </c>
      <c r="Q9" s="59">
        <f t="shared" ref="Q9:R9" si="20">P9</f>
        <v>45</v>
      </c>
      <c r="R9" s="59">
        <f t="shared" si="20"/>
        <v>45</v>
      </c>
      <c r="S9" s="60">
        <f>O9</f>
        <v>45</v>
      </c>
      <c r="T9" s="90">
        <f>N9</f>
        <v>45</v>
      </c>
      <c r="U9" s="91">
        <f t="shared" si="0"/>
        <v>45</v>
      </c>
      <c r="V9" s="91">
        <f t="shared" si="0"/>
        <v>45</v>
      </c>
      <c r="W9" s="91">
        <f t="shared" si="0"/>
        <v>45</v>
      </c>
      <c r="X9" s="92">
        <f t="shared" si="0"/>
        <v>45</v>
      </c>
      <c r="Y9" s="90">
        <f>V9</f>
        <v>45</v>
      </c>
      <c r="Z9" s="91">
        <f t="shared" si="17"/>
        <v>45</v>
      </c>
      <c r="AA9" s="91">
        <f t="shared" si="17"/>
        <v>45</v>
      </c>
      <c r="AB9" s="91">
        <f t="shared" si="17"/>
        <v>45</v>
      </c>
      <c r="AC9" s="92">
        <f t="shared" si="17"/>
        <v>45</v>
      </c>
      <c r="AD9" s="20">
        <f>$N9/AD$80</f>
        <v>180</v>
      </c>
      <c r="AE9" s="20">
        <f>$N9/AE$80</f>
        <v>90</v>
      </c>
      <c r="AF9" s="20">
        <f>$N9/AF$80</f>
        <v>45</v>
      </c>
      <c r="AG9" s="20">
        <f>$N9/AG$80</f>
        <v>22.5</v>
      </c>
      <c r="AH9" s="20">
        <f>$N9/AH$80</f>
        <v>11.25</v>
      </c>
    </row>
    <row r="10" spans="1:34" x14ac:dyDescent="0.25">
      <c r="A10" t="s">
        <v>375</v>
      </c>
      <c r="B10" t="s">
        <v>3</v>
      </c>
      <c r="C10" s="6">
        <v>-190</v>
      </c>
      <c r="D10" s="59">
        <f t="shared" si="7"/>
        <v>-190</v>
      </c>
      <c r="E10" s="59">
        <f t="shared" si="19"/>
        <v>-190</v>
      </c>
      <c r="F10" s="59">
        <f t="shared" si="19"/>
        <v>-190</v>
      </c>
      <c r="G10" s="59">
        <f t="shared" si="19"/>
        <v>-190</v>
      </c>
      <c r="H10" s="59">
        <f t="shared" si="19"/>
        <v>-190</v>
      </c>
      <c r="I10" s="59">
        <f t="shared" si="19"/>
        <v>-190</v>
      </c>
      <c r="J10" s="59">
        <f t="shared" si="19"/>
        <v>-190</v>
      </c>
      <c r="K10" s="59">
        <f t="shared" si="19"/>
        <v>-190</v>
      </c>
      <c r="L10" s="59">
        <f t="shared" si="19"/>
        <v>-190</v>
      </c>
      <c r="M10" s="59">
        <f>K10</f>
        <v>-190</v>
      </c>
      <c r="N10" s="59">
        <f>L10</f>
        <v>-190</v>
      </c>
      <c r="O10" s="59">
        <f t="shared" si="11"/>
        <v>-190</v>
      </c>
      <c r="P10" s="59">
        <f t="shared" si="11"/>
        <v>-190</v>
      </c>
      <c r="Q10" s="59">
        <f t="shared" ref="Q10:R10" si="21">P10</f>
        <v>-190</v>
      </c>
      <c r="R10" s="59">
        <f t="shared" si="21"/>
        <v>-190</v>
      </c>
      <c r="S10" s="60">
        <f>O10</f>
        <v>-190</v>
      </c>
      <c r="T10" s="90">
        <f>N10</f>
        <v>-190</v>
      </c>
      <c r="U10" s="91">
        <f>T10</f>
        <v>-190</v>
      </c>
      <c r="V10" s="91">
        <f>U10</f>
        <v>-190</v>
      </c>
      <c r="W10" s="91">
        <f>V10</f>
        <v>-190</v>
      </c>
      <c r="X10" s="92">
        <f>W10</f>
        <v>-190</v>
      </c>
      <c r="Y10" s="90">
        <f>V10</f>
        <v>-190</v>
      </c>
      <c r="Z10" s="91">
        <f t="shared" si="17"/>
        <v>-190</v>
      </c>
      <c r="AA10" s="91">
        <f t="shared" si="17"/>
        <v>-190</v>
      </c>
      <c r="AB10" s="91">
        <f t="shared" si="17"/>
        <v>-190</v>
      </c>
      <c r="AC10" s="92">
        <f t="shared" si="17"/>
        <v>-190</v>
      </c>
      <c r="AD10" s="91">
        <f>$N10</f>
        <v>-190</v>
      </c>
      <c r="AE10" s="91">
        <f>AD10</f>
        <v>-190</v>
      </c>
      <c r="AF10" s="91">
        <f>AE10</f>
        <v>-190</v>
      </c>
      <c r="AG10" s="91">
        <f>AF10</f>
        <v>-190</v>
      </c>
      <c r="AH10" s="92">
        <f>AG10</f>
        <v>-190</v>
      </c>
    </row>
    <row r="11" spans="1:34" x14ac:dyDescent="0.25">
      <c r="A11" t="s">
        <v>85</v>
      </c>
      <c r="B11" t="s">
        <v>3</v>
      </c>
      <c r="C11" s="3">
        <f>(C8*'Axis Sizing'!$E$2+C10*'Axis Sizing'!$C$2)/'X Axis Force'!C18</f>
        <v>-121.42857142857143</v>
      </c>
      <c r="D11" s="3">
        <f>(D8*'Axis Sizing'!$E$2+D10*'Axis Sizing'!$C$2)/'X Axis Force'!D18</f>
        <v>-121.42857142857143</v>
      </c>
      <c r="E11" s="3">
        <f>(E8*'Axis Sizing'!$E$2+E10*'Axis Sizing'!$C$2)/'X Axis Force'!E18</f>
        <v>-121.42857142857143</v>
      </c>
      <c r="F11" s="3">
        <f>(F8*'Axis Sizing'!$E$2+F10*'Axis Sizing'!$C$2)/'X Axis Force'!F18</f>
        <v>-121.42857142857143</v>
      </c>
      <c r="G11" s="3">
        <f>(G8*'Axis Sizing'!$E$2+G10*'Axis Sizing'!$C$2)/'X Axis Force'!G18</f>
        <v>-121.42857142857143</v>
      </c>
      <c r="H11" s="3">
        <f>(H8*'Axis Sizing'!$E$2+H10*'Axis Sizing'!$C$2)/'X Axis Force'!H18</f>
        <v>-121.42857142857143</v>
      </c>
      <c r="I11" s="3">
        <f>(I8*'Axis Sizing'!$E$2+I10*'Axis Sizing'!$C$2)/'X Axis Force'!I18</f>
        <v>-121.42857142857143</v>
      </c>
      <c r="J11" s="3">
        <f>(J8*'Axis Sizing'!$E$2+J10*'Axis Sizing'!$C$2)/'X Axis Force'!J18</f>
        <v>-121.42857142857143</v>
      </c>
      <c r="K11" s="3">
        <f>(K8*'Axis Sizing'!$E$2+K10*'Axis Sizing'!$C$2)/'X Axis Force'!K18</f>
        <v>-121.42857142857143</v>
      </c>
      <c r="L11" s="3">
        <f>(L8*'Axis Sizing'!$E$2+L10*'Axis Sizing'!$C$2)/'X Axis Force'!L18</f>
        <v>-121.42857142857143</v>
      </c>
      <c r="M11" s="3">
        <f>(M8*'Axis Sizing'!$E$2+M10*'Axis Sizing'!$C$2)/'X Axis Force'!M18</f>
        <v>-121.42857142857143</v>
      </c>
      <c r="N11" s="3">
        <f>(N8*'Axis Sizing'!$E$2+N10*'Axis Sizing'!$C$2)/'X Axis Force'!N18</f>
        <v>-121.42857142857143</v>
      </c>
      <c r="O11" s="3">
        <f>(O8*'Axis Sizing'!$E$2+O10*'Axis Sizing'!$C$2)/'X Axis Force'!O18</f>
        <v>-121.42857142857143</v>
      </c>
      <c r="P11" s="3">
        <f>(P8*'Axis Sizing'!$E$2+P10*'Axis Sizing'!$C$2)/'X Axis Force'!P18</f>
        <v>-121.42857142857143</v>
      </c>
      <c r="Q11" s="3">
        <f>(Q8*'Axis Sizing'!$E$2+Q10*'Axis Sizing'!$C$2)/'X Axis Force'!Q18</f>
        <v>-121.42857142857143</v>
      </c>
      <c r="R11" s="3">
        <f>(R8*'Axis Sizing'!$E$2+R10*'Axis Sizing'!$C$2)/'X Axis Force'!R18</f>
        <v>-121.42857142857143</v>
      </c>
      <c r="S11" s="43">
        <f>(S8*'Axis Sizing'!$E$2+S10*'Axis Sizing'!$C$2)/'X Axis Force'!S18</f>
        <v>-121.42857142857143</v>
      </c>
      <c r="T11" s="3">
        <f>(T8*'Axis Sizing'!$E$2+T10*'Axis Sizing'!$C$2)/'X Axis Force'!T18</f>
        <v>-121.42857142857143</v>
      </c>
      <c r="U11" s="3">
        <f>(U8*'Axis Sizing'!$E$2+U10*'Axis Sizing'!$C$2)/'X Axis Force'!U18</f>
        <v>-121.42857142857143</v>
      </c>
      <c r="V11" s="3">
        <f>(V8*'Axis Sizing'!$E$2+V10*'Axis Sizing'!$C$2)/'X Axis Force'!V18</f>
        <v>-121.42857142857143</v>
      </c>
      <c r="W11" s="3">
        <f>(W8*'Axis Sizing'!$E$2+W10*'Axis Sizing'!$C$2)/'X Axis Force'!W18</f>
        <v>-121.42857142857143</v>
      </c>
      <c r="X11" s="43">
        <f>(X8*'Axis Sizing'!$E$2+X10*'Axis Sizing'!$C$2)/'X Axis Force'!X18</f>
        <v>-121.42857142857143</v>
      </c>
      <c r="Y11" s="3">
        <f>(Y8*'Axis Sizing'!$E$2+Y10*'Axis Sizing'!$C$2)/'X Axis Force'!Y18</f>
        <v>-121.42857142857143</v>
      </c>
      <c r="Z11" s="3">
        <f>(Z8*'Axis Sizing'!$E$2+Z10*'Axis Sizing'!$C$2)/'X Axis Force'!Z18</f>
        <v>-121.42857142857143</v>
      </c>
      <c r="AA11" s="3">
        <f>(AA8*'Axis Sizing'!$E$2+AA10*'Axis Sizing'!$C$2)/'X Axis Force'!AA18</f>
        <v>-121.42857142857143</v>
      </c>
      <c r="AB11" s="3">
        <f>(AB8*'Axis Sizing'!$E$2+AB10*'Axis Sizing'!$C$2)/'X Axis Force'!AB18</f>
        <v>-121.42857142857143</v>
      </c>
      <c r="AC11" s="43">
        <f>(AC8*'Axis Sizing'!$E$2+AC10*'Axis Sizing'!$C$2)/'X Axis Force'!AC18</f>
        <v>-121.42857142857143</v>
      </c>
      <c r="AD11" s="3">
        <f>(AD8*'Axis Sizing'!$E$2+AD10*'Axis Sizing'!$C$2)/'X Axis Force'!AD18</f>
        <v>-121.42857142857143</v>
      </c>
      <c r="AE11" s="3">
        <f>(AE8*'Axis Sizing'!$E$2+AE10*'Axis Sizing'!$C$2)/'X Axis Force'!AE18</f>
        <v>-121.42857142857143</v>
      </c>
      <c r="AF11" s="3">
        <f>(AF8*'Axis Sizing'!$E$2+AF10*'Axis Sizing'!$C$2)/'X Axis Force'!AF18</f>
        <v>-121.42857142857143</v>
      </c>
      <c r="AG11" s="3">
        <f>(AG8*'Axis Sizing'!$E$2+AG10*'Axis Sizing'!$C$2)/'X Axis Force'!AG18</f>
        <v>-121.42857142857143</v>
      </c>
      <c r="AH11" s="43">
        <f>(AH8*'Axis Sizing'!$E$2+AH10*'Axis Sizing'!$C$2)/'X Axis Force'!AH18</f>
        <v>-121.42857142857143</v>
      </c>
    </row>
    <row r="12" spans="1:34" x14ac:dyDescent="0.25">
      <c r="A12" t="s">
        <v>77</v>
      </c>
      <c r="B12" t="s">
        <v>3</v>
      </c>
      <c r="C12" s="6">
        <v>0</v>
      </c>
      <c r="D12" s="59">
        <f t="shared" ref="D12:L12" si="22">C12</f>
        <v>0</v>
      </c>
      <c r="E12" s="59">
        <f t="shared" si="22"/>
        <v>0</v>
      </c>
      <c r="F12" s="59">
        <f t="shared" si="22"/>
        <v>0</v>
      </c>
      <c r="G12" s="59">
        <f t="shared" si="22"/>
        <v>0</v>
      </c>
      <c r="H12" s="59">
        <f t="shared" si="22"/>
        <v>0</v>
      </c>
      <c r="I12" s="59">
        <f t="shared" si="22"/>
        <v>0</v>
      </c>
      <c r="J12" s="59">
        <f t="shared" si="22"/>
        <v>0</v>
      </c>
      <c r="K12" s="59">
        <f t="shared" si="22"/>
        <v>0</v>
      </c>
      <c r="L12" s="59">
        <f t="shared" si="22"/>
        <v>0</v>
      </c>
      <c r="M12" s="59">
        <f>K12</f>
        <v>0</v>
      </c>
      <c r="N12" s="59">
        <f>L12</f>
        <v>0</v>
      </c>
      <c r="O12" s="59">
        <f t="shared" ref="O12:R13" si="23">N12</f>
        <v>0</v>
      </c>
      <c r="P12" s="59">
        <f t="shared" si="23"/>
        <v>0</v>
      </c>
      <c r="Q12" s="59">
        <f t="shared" si="23"/>
        <v>0</v>
      </c>
      <c r="R12" s="59">
        <f t="shared" si="23"/>
        <v>0</v>
      </c>
      <c r="S12" s="60">
        <f>O12</f>
        <v>0</v>
      </c>
      <c r="T12" s="91">
        <f>$N12</f>
        <v>0</v>
      </c>
      <c r="U12" s="91">
        <f t="shared" ref="U12:X13" si="24">T12</f>
        <v>0</v>
      </c>
      <c r="V12" s="91">
        <f t="shared" si="24"/>
        <v>0</v>
      </c>
      <c r="W12" s="91">
        <f t="shared" si="24"/>
        <v>0</v>
      </c>
      <c r="X12" s="92">
        <f t="shared" si="24"/>
        <v>0</v>
      </c>
      <c r="Y12" s="91">
        <f>$N12</f>
        <v>0</v>
      </c>
      <c r="Z12" s="91">
        <f t="shared" ref="Z12:AC13" si="25">Y12</f>
        <v>0</v>
      </c>
      <c r="AA12" s="91">
        <f t="shared" si="25"/>
        <v>0</v>
      </c>
      <c r="AB12" s="91">
        <f t="shared" si="25"/>
        <v>0</v>
      </c>
      <c r="AC12" s="92">
        <f t="shared" si="25"/>
        <v>0</v>
      </c>
      <c r="AD12" s="91">
        <f>$N12</f>
        <v>0</v>
      </c>
      <c r="AE12" s="91">
        <f t="shared" ref="AE12:AH13" si="26">AD12</f>
        <v>0</v>
      </c>
      <c r="AF12" s="91">
        <f t="shared" si="26"/>
        <v>0</v>
      </c>
      <c r="AG12" s="91">
        <f t="shared" si="26"/>
        <v>0</v>
      </c>
      <c r="AH12" s="92">
        <f t="shared" si="26"/>
        <v>0</v>
      </c>
    </row>
    <row r="13" spans="1:34" x14ac:dyDescent="0.25">
      <c r="A13" t="s">
        <v>377</v>
      </c>
      <c r="B13" t="s">
        <v>3</v>
      </c>
      <c r="C13" s="6">
        <v>15</v>
      </c>
      <c r="D13" s="59">
        <f t="shared" ref="D13:L13" si="27">C13</f>
        <v>15</v>
      </c>
      <c r="E13" s="59">
        <f t="shared" si="27"/>
        <v>15</v>
      </c>
      <c r="F13" s="59">
        <f t="shared" si="27"/>
        <v>15</v>
      </c>
      <c r="G13" s="59">
        <f t="shared" si="27"/>
        <v>15</v>
      </c>
      <c r="H13" s="59">
        <f t="shared" si="27"/>
        <v>15</v>
      </c>
      <c r="I13" s="59">
        <f t="shared" si="27"/>
        <v>15</v>
      </c>
      <c r="J13" s="59">
        <f t="shared" si="27"/>
        <v>15</v>
      </c>
      <c r="K13" s="59">
        <f t="shared" si="27"/>
        <v>15</v>
      </c>
      <c r="L13" s="59">
        <f t="shared" si="27"/>
        <v>15</v>
      </c>
      <c r="M13" s="59">
        <f>K13</f>
        <v>15</v>
      </c>
      <c r="N13" s="59">
        <f>L13</f>
        <v>15</v>
      </c>
      <c r="O13" s="59">
        <f t="shared" si="23"/>
        <v>15</v>
      </c>
      <c r="P13" s="59">
        <f t="shared" si="23"/>
        <v>15</v>
      </c>
      <c r="Q13" s="59">
        <f t="shared" si="23"/>
        <v>15</v>
      </c>
      <c r="R13" s="59">
        <f t="shared" si="23"/>
        <v>15</v>
      </c>
      <c r="S13" s="60">
        <f>O13</f>
        <v>15</v>
      </c>
      <c r="T13" s="90">
        <f>N13</f>
        <v>15</v>
      </c>
      <c r="U13" s="91">
        <f t="shared" si="24"/>
        <v>15</v>
      </c>
      <c r="V13" s="91">
        <f t="shared" si="24"/>
        <v>15</v>
      </c>
      <c r="W13" s="91">
        <f t="shared" si="24"/>
        <v>15</v>
      </c>
      <c r="X13" s="92">
        <f t="shared" si="24"/>
        <v>15</v>
      </c>
      <c r="Y13" s="90">
        <f>V13</f>
        <v>15</v>
      </c>
      <c r="Z13" s="91">
        <f t="shared" si="25"/>
        <v>15</v>
      </c>
      <c r="AA13" s="91">
        <f t="shared" si="25"/>
        <v>15</v>
      </c>
      <c r="AB13" s="91">
        <f t="shared" si="25"/>
        <v>15</v>
      </c>
      <c r="AC13" s="92">
        <f t="shared" si="25"/>
        <v>15</v>
      </c>
      <c r="AD13" s="91">
        <f>$N13</f>
        <v>15</v>
      </c>
      <c r="AE13" s="91">
        <f t="shared" si="26"/>
        <v>15</v>
      </c>
      <c r="AF13" s="91">
        <f t="shared" si="26"/>
        <v>15</v>
      </c>
      <c r="AG13" s="91">
        <f t="shared" si="26"/>
        <v>15</v>
      </c>
      <c r="AH13" s="92">
        <f t="shared" si="26"/>
        <v>15</v>
      </c>
    </row>
    <row r="14" spans="1:34" x14ac:dyDescent="0.25">
      <c r="A14" t="s">
        <v>76</v>
      </c>
      <c r="B14" t="s">
        <v>3</v>
      </c>
      <c r="C14" s="3">
        <f>((C9+'Z Axis Forces'!$C$11)*'Axis Sizing'!$E$2+C13*'Axis Sizing'!$C$2)/'X Axis Force'!C18</f>
        <v>60.714285714285715</v>
      </c>
      <c r="D14" s="3">
        <f>((D9+'Z Axis Forces'!$C$11)*'Axis Sizing'!$E$2+D13*'Axis Sizing'!$C$2)/'X Axis Force'!D18</f>
        <v>60.714285714285715</v>
      </c>
      <c r="E14" s="3">
        <f>((E9+'Z Axis Forces'!$C$11)*'Axis Sizing'!$E$2+E13*'Axis Sizing'!$C$2)/'X Axis Force'!E18</f>
        <v>60.714285714285715</v>
      </c>
      <c r="F14" s="3">
        <f>((F9+'Z Axis Forces'!$C$11)*'Axis Sizing'!$E$2+F13*'Axis Sizing'!$C$2)/'X Axis Force'!F18</f>
        <v>60.714285714285715</v>
      </c>
      <c r="G14" s="3">
        <f>((G9+'Z Axis Forces'!$C$11)*'Axis Sizing'!$E$2+G13*'Axis Sizing'!$C$2)/'X Axis Force'!G18</f>
        <v>60.714285714285715</v>
      </c>
      <c r="H14" s="3">
        <f>((H9+'Z Axis Forces'!$C$11)*'Axis Sizing'!$E$2+H13*'Axis Sizing'!$C$2)/'X Axis Force'!H18</f>
        <v>60.714285714285715</v>
      </c>
      <c r="I14" s="3">
        <f>((I9+'Z Axis Forces'!$C$11)*'Axis Sizing'!$E$2+I13*'Axis Sizing'!$C$2)/'X Axis Force'!I18</f>
        <v>60.714285714285715</v>
      </c>
      <c r="J14" s="3">
        <f>((J9+'Z Axis Forces'!$C$11)*'Axis Sizing'!$E$2+J13*'Axis Sizing'!$C$2)/'X Axis Force'!J18</f>
        <v>60.714285714285715</v>
      </c>
      <c r="K14" s="3">
        <f>((K9+'Z Axis Forces'!$C$11)*'Axis Sizing'!$E$2+K13*'Axis Sizing'!$C$2)/'X Axis Force'!K18</f>
        <v>60.714285714285715</v>
      </c>
      <c r="L14" s="3">
        <f>((L9+'Z Axis Forces'!$C$11)*'Axis Sizing'!$E$2+L13*'Axis Sizing'!$C$2)/'X Axis Force'!L18</f>
        <v>60.714285714285715</v>
      </c>
      <c r="M14" s="3">
        <f>((M9+'Z Axis Forces'!$C$11)*'Axis Sizing'!$E$2+M13*'Axis Sizing'!$C$2)/'X Axis Force'!M18</f>
        <v>60.714285714285715</v>
      </c>
      <c r="N14" s="3">
        <f>((N9+'Z Axis Forces'!$C$11)*'Axis Sizing'!$E$2+N13*'Axis Sizing'!$C$2)/'X Axis Force'!N18</f>
        <v>60.714285714285715</v>
      </c>
      <c r="O14" s="3">
        <f>((O9+'Z Axis Forces'!$C$11)*'Axis Sizing'!$E$2+O13*'Axis Sizing'!$C$2)/'X Axis Force'!O18</f>
        <v>60.714285714285715</v>
      </c>
      <c r="P14" s="3">
        <f>((P9+'Z Axis Forces'!$C$11)*'Axis Sizing'!$E$2+P13*'Axis Sizing'!$C$2)/'X Axis Force'!P18</f>
        <v>60.714285714285715</v>
      </c>
      <c r="Q14" s="3">
        <f>((Q9+'Z Axis Forces'!$C$11)*'Axis Sizing'!$E$2+Q13*'Axis Sizing'!$C$2)/'X Axis Force'!Q18</f>
        <v>60.714285714285715</v>
      </c>
      <c r="R14" s="3">
        <f>((R9+'Z Axis Forces'!$C$11)*'Axis Sizing'!$E$2+R13*'Axis Sizing'!$C$2)/'X Axis Force'!R18</f>
        <v>60.714285714285715</v>
      </c>
      <c r="S14" s="3">
        <f>((S9+'Z Axis Forces'!$C$11)*'Axis Sizing'!$E$2+S13*'Axis Sizing'!$C$2)/'X Axis Force'!S18</f>
        <v>60.714285714285715</v>
      </c>
      <c r="T14" s="3">
        <f>((T9+'Z Axis Forces'!$C$11)*'Axis Sizing'!$E$2+T13*'Axis Sizing'!$C$2)/'X Axis Force'!T18</f>
        <v>60.714285714285715</v>
      </c>
      <c r="U14" s="3">
        <f>((U9+'Z Axis Forces'!$C$11)*'Axis Sizing'!$E$2+U13*'Axis Sizing'!$C$2)/'X Axis Force'!U18</f>
        <v>60.714285714285715</v>
      </c>
      <c r="V14" s="3">
        <f>((V9+'Z Axis Forces'!$C$11)*'Axis Sizing'!$E$2+V13*'Axis Sizing'!$C$2)/'X Axis Force'!V18</f>
        <v>60.714285714285715</v>
      </c>
      <c r="W14" s="3">
        <f>((W9+'Z Axis Forces'!$C$11)*'Axis Sizing'!$E$2+W13*'Axis Sizing'!$C$2)/'X Axis Force'!W18</f>
        <v>60.714285714285715</v>
      </c>
      <c r="X14" s="3">
        <f>((X9+'Z Axis Forces'!$C$11)*'Axis Sizing'!$E$2+X13*'Axis Sizing'!$C$2)/'X Axis Force'!X18</f>
        <v>60.714285714285715</v>
      </c>
      <c r="Y14" s="3">
        <f>((Y9+'Z Axis Forces'!$C$11)*'Axis Sizing'!$E$2+Y13*'Axis Sizing'!$C$2)/'X Axis Force'!Y18</f>
        <v>60.714285714285715</v>
      </c>
      <c r="Z14" s="3">
        <f>((Z9+'Z Axis Forces'!$C$11)*'Axis Sizing'!$E$2+Z13*'Axis Sizing'!$C$2)/'X Axis Force'!Z18</f>
        <v>60.714285714285715</v>
      </c>
      <c r="AA14" s="3">
        <f>((AA9+'Z Axis Forces'!$C$11)*'Axis Sizing'!$E$2+AA13*'Axis Sizing'!$C$2)/'X Axis Force'!AA18</f>
        <v>60.714285714285715</v>
      </c>
      <c r="AB14" s="3">
        <f>((AB9+'Z Axis Forces'!$C$11)*'Axis Sizing'!$E$2+AB13*'Axis Sizing'!$C$2)/'X Axis Force'!AB18</f>
        <v>60.714285714285715</v>
      </c>
      <c r="AC14" s="3">
        <f>((AC9+'Z Axis Forces'!$C$11)*'Axis Sizing'!$E$2+AC13*'Axis Sizing'!$C$2)/'X Axis Force'!AC18</f>
        <v>60.714285714285715</v>
      </c>
      <c r="AD14" s="3">
        <f>((AD9+'Z Axis Forces'!$C$11)*'Axis Sizing'!$E$2+AD13*'Axis Sizing'!$C$2)/'X Axis Force'!AD18</f>
        <v>137.85714285714286</v>
      </c>
      <c r="AE14" s="3">
        <f>((AE9+'Z Axis Forces'!$C$11)*'Axis Sizing'!$E$2+AE13*'Axis Sizing'!$C$2)/'X Axis Force'!AE18</f>
        <v>86.428571428571431</v>
      </c>
      <c r="AF14" s="3">
        <f>((AF9+'Z Axis Forces'!$C$11)*'Axis Sizing'!$E$2+AF13*'Axis Sizing'!$C$2)/'X Axis Force'!AF18</f>
        <v>60.714285714285715</v>
      </c>
      <c r="AG14" s="3">
        <f>((AG9+'Z Axis Forces'!$C$11)*'Axis Sizing'!$E$2+AG13*'Axis Sizing'!$C$2)/'X Axis Force'!AG18</f>
        <v>47.857142857142854</v>
      </c>
      <c r="AH14" s="3">
        <f>((AH9+'Z Axis Forces'!$C$11)*'Axis Sizing'!$E$2+AH13*'Axis Sizing'!$C$2)/'X Axis Force'!AH18</f>
        <v>41.428571428571431</v>
      </c>
    </row>
    <row r="15" spans="1:34" x14ac:dyDescent="0.25">
      <c r="A15" t="s">
        <v>86</v>
      </c>
      <c r="B15" t="s">
        <v>3</v>
      </c>
      <c r="C15">
        <f>-1*(C4)*'Axis Sizing'!$E$42-'Axis Sizing'!$E$61</f>
        <v>-410</v>
      </c>
      <c r="D15">
        <f>-1*(D4)*'Axis Sizing'!$E$42-'Axis Sizing'!$E$61</f>
        <v>-410</v>
      </c>
      <c r="E15">
        <f>-1*(E4)*'Axis Sizing'!$E$42-'Axis Sizing'!$E$61</f>
        <v>-410</v>
      </c>
      <c r="F15">
        <f>-1*(F4)*'Axis Sizing'!$E$42-'Axis Sizing'!$E$61</f>
        <v>-410</v>
      </c>
      <c r="G15">
        <f>-1*(G4)*'Axis Sizing'!$E$42-'Axis Sizing'!$E$61</f>
        <v>-410</v>
      </c>
      <c r="H15">
        <f>-1*(H4)*'Axis Sizing'!$E$42-'Axis Sizing'!$E$61</f>
        <v>-410</v>
      </c>
      <c r="I15">
        <f>-1*(I4)*'Axis Sizing'!$E$42-'Axis Sizing'!$E$61</f>
        <v>-410</v>
      </c>
      <c r="J15">
        <f>-1*(J4)*'Axis Sizing'!$E$42-'Axis Sizing'!$E$61</f>
        <v>-410</v>
      </c>
      <c r="K15">
        <f>-1*(K4)*'Axis Sizing'!$E$42-'Axis Sizing'!$E$61</f>
        <v>-410</v>
      </c>
      <c r="L15">
        <f>-1*(L4)*'Axis Sizing'!$E$42-'Axis Sizing'!$E$61</f>
        <v>-410</v>
      </c>
      <c r="M15">
        <f>-1*(M4)*'Axis Sizing'!$E$42-'Axis Sizing'!$E$61</f>
        <v>-410</v>
      </c>
      <c r="N15">
        <f>-1*(N4)*'Axis Sizing'!$E$42-'Axis Sizing'!$E$61</f>
        <v>-410</v>
      </c>
      <c r="O15">
        <f>-1*(O4)*'Axis Sizing'!$E$42-'Axis Sizing'!$E$61</f>
        <v>-410</v>
      </c>
      <c r="P15">
        <f>-1*(P4)*'Axis Sizing'!$E$42-'Axis Sizing'!$E$61</f>
        <v>-410</v>
      </c>
      <c r="Q15">
        <f>-1*(Q4)*'Axis Sizing'!$E$42-'Axis Sizing'!$E$61</f>
        <v>-410</v>
      </c>
      <c r="R15">
        <f>-1*(R4)*'Axis Sizing'!$E$42-'Axis Sizing'!$E$61</f>
        <v>-410</v>
      </c>
      <c r="S15" s="41">
        <f>-1*(S4)*'Axis Sizing'!$E$42-'Axis Sizing'!$E$61</f>
        <v>-410</v>
      </c>
      <c r="T15">
        <f>-1*(T4)*'Axis Sizing'!$E$42-'Axis Sizing'!$E$61</f>
        <v>-410</v>
      </c>
      <c r="U15">
        <f>-1*(U4)*'Axis Sizing'!$E$42-'Axis Sizing'!$E$61</f>
        <v>-410</v>
      </c>
      <c r="V15">
        <f>-1*(V4)*'Axis Sizing'!$E$42-'Axis Sizing'!$E$61</f>
        <v>-410</v>
      </c>
      <c r="W15">
        <f>-1*(W4)*'Axis Sizing'!$E$42-'Axis Sizing'!$E$61</f>
        <v>-410</v>
      </c>
      <c r="X15" s="41">
        <f>-1*(X4)*'Axis Sizing'!$E$42-'Axis Sizing'!$E$61</f>
        <v>-410</v>
      </c>
      <c r="Y15">
        <f>-1*(Y4)*'Axis Sizing'!$E$42-'Axis Sizing'!$E$61</f>
        <v>-410</v>
      </c>
      <c r="Z15">
        <f>-1*(Z4)*'Axis Sizing'!$E$42-'Axis Sizing'!$E$61</f>
        <v>-410</v>
      </c>
      <c r="AA15">
        <f>-1*(AA4)*'Axis Sizing'!$E$42-'Axis Sizing'!$E$61</f>
        <v>-410</v>
      </c>
      <c r="AB15">
        <f>-1*(AB4)*'Axis Sizing'!$E$42-'Axis Sizing'!$E$61</f>
        <v>-410</v>
      </c>
      <c r="AC15" s="41">
        <f>-1*(AC4)*'Axis Sizing'!$E$42-'Axis Sizing'!$E$61</f>
        <v>-410</v>
      </c>
      <c r="AD15">
        <f>-1*(AD4)*'Axis Sizing'!$E$42-'Axis Sizing'!$E$61</f>
        <v>-410</v>
      </c>
      <c r="AE15">
        <f>-1*(AE4)*'Axis Sizing'!$E$42-'Axis Sizing'!$E$61</f>
        <v>-410</v>
      </c>
      <c r="AF15">
        <f>-1*(AF4)*'Axis Sizing'!$E$42-'Axis Sizing'!$E$61</f>
        <v>-410</v>
      </c>
      <c r="AG15">
        <f>-1*(AG4)*'Axis Sizing'!$E$42-'Axis Sizing'!$E$61</f>
        <v>-410</v>
      </c>
      <c r="AH15" s="41">
        <f>-1*(AH4)*'Axis Sizing'!$E$42-'Axis Sizing'!$E$61</f>
        <v>-410</v>
      </c>
    </row>
    <row r="16" spans="1:34" x14ac:dyDescent="0.25">
      <c r="A16" t="s">
        <v>87</v>
      </c>
      <c r="B16" t="s">
        <v>3</v>
      </c>
      <c r="C16" s="6">
        <v>0</v>
      </c>
      <c r="D16" s="59">
        <f t="shared" ref="D16:L16" si="28">C16</f>
        <v>0</v>
      </c>
      <c r="E16" s="59">
        <f t="shared" si="28"/>
        <v>0</v>
      </c>
      <c r="F16" s="59">
        <f t="shared" si="28"/>
        <v>0</v>
      </c>
      <c r="G16" s="59">
        <f t="shared" si="28"/>
        <v>0</v>
      </c>
      <c r="H16" s="59">
        <f t="shared" si="28"/>
        <v>0</v>
      </c>
      <c r="I16" s="59">
        <f t="shared" si="28"/>
        <v>0</v>
      </c>
      <c r="J16" s="59">
        <f t="shared" si="28"/>
        <v>0</v>
      </c>
      <c r="K16" s="59">
        <f t="shared" si="28"/>
        <v>0</v>
      </c>
      <c r="L16" s="59">
        <f t="shared" si="28"/>
        <v>0</v>
      </c>
      <c r="M16" s="59">
        <f>K16</f>
        <v>0</v>
      </c>
      <c r="N16" s="59">
        <f>L16</f>
        <v>0</v>
      </c>
      <c r="O16" s="59">
        <f>N16</f>
        <v>0</v>
      </c>
      <c r="P16" s="59">
        <f>O16</f>
        <v>0</v>
      </c>
      <c r="Q16" s="59">
        <f>P16</f>
        <v>0</v>
      </c>
      <c r="R16" s="59">
        <f>Q16</f>
        <v>0</v>
      </c>
      <c r="S16" s="60">
        <f>O16</f>
        <v>0</v>
      </c>
      <c r="T16" s="91">
        <f>$N16</f>
        <v>0</v>
      </c>
      <c r="U16" s="91">
        <f>T16</f>
        <v>0</v>
      </c>
      <c r="V16" s="91">
        <f>U16</f>
        <v>0</v>
      </c>
      <c r="W16" s="91">
        <f>V16</f>
        <v>0</v>
      </c>
      <c r="X16" s="92">
        <f>W16</f>
        <v>0</v>
      </c>
      <c r="Y16" s="91">
        <f>$N16</f>
        <v>0</v>
      </c>
      <c r="Z16" s="91">
        <f>Y16</f>
        <v>0</v>
      </c>
      <c r="AA16" s="91">
        <f>Z16</f>
        <v>0</v>
      </c>
      <c r="AB16" s="91">
        <f>AA16</f>
        <v>0</v>
      </c>
      <c r="AC16" s="92">
        <f>AB16</f>
        <v>0</v>
      </c>
      <c r="AD16" s="91">
        <f>$N16</f>
        <v>0</v>
      </c>
      <c r="AE16" s="91">
        <f>AD16</f>
        <v>0</v>
      </c>
      <c r="AF16" s="91">
        <f>AE16</f>
        <v>0</v>
      </c>
      <c r="AG16" s="91">
        <f>AF16</f>
        <v>0</v>
      </c>
      <c r="AH16" s="92">
        <f>AG16</f>
        <v>0</v>
      </c>
    </row>
    <row r="17" spans="1:34" x14ac:dyDescent="0.25">
      <c r="A17" t="s">
        <v>88</v>
      </c>
      <c r="B17" t="s">
        <v>3</v>
      </c>
      <c r="C17">
        <f>'Z Axis Forces'!$C$14+C9</f>
        <v>195</v>
      </c>
      <c r="D17">
        <f>'Z Axis Forces'!$C$14+D9</f>
        <v>195</v>
      </c>
      <c r="E17">
        <f>'Z Axis Forces'!$C$14+E9</f>
        <v>195</v>
      </c>
      <c r="F17">
        <f>'Z Axis Forces'!$C$14+F9</f>
        <v>195</v>
      </c>
      <c r="G17">
        <f>'Z Axis Forces'!$C$14+G9</f>
        <v>195</v>
      </c>
      <c r="H17">
        <f>'Z Axis Forces'!$C$14+H9</f>
        <v>195</v>
      </c>
      <c r="I17">
        <f>'Z Axis Forces'!$C$14+I9</f>
        <v>195</v>
      </c>
      <c r="J17">
        <f>'Z Axis Forces'!$C$14+J9</f>
        <v>195</v>
      </c>
      <c r="K17">
        <f>'Z Axis Forces'!$C$14+K9</f>
        <v>195</v>
      </c>
      <c r="L17">
        <f>'Z Axis Forces'!$C$14+L9</f>
        <v>195</v>
      </c>
      <c r="M17">
        <f>'Z Axis Forces'!$C$14+M9</f>
        <v>195</v>
      </c>
      <c r="N17">
        <f>'Z Axis Forces'!$C$14+N9</f>
        <v>195</v>
      </c>
      <c r="O17">
        <f>'Z Axis Forces'!$C$14+O9</f>
        <v>195</v>
      </c>
      <c r="P17">
        <f>'Z Axis Forces'!$C$14+P9</f>
        <v>195</v>
      </c>
      <c r="Q17">
        <f>'Z Axis Forces'!$C$14+Q9</f>
        <v>195</v>
      </c>
      <c r="R17">
        <f>'Z Axis Forces'!$C$14+R9</f>
        <v>195</v>
      </c>
      <c r="S17">
        <f>'Z Axis Forces'!$C$14+S9</f>
        <v>195</v>
      </c>
      <c r="T17">
        <f>'Z Axis Forces'!$C$14+T9</f>
        <v>195</v>
      </c>
      <c r="U17">
        <f>'Z Axis Forces'!$C$14+U9</f>
        <v>195</v>
      </c>
      <c r="V17">
        <f>'Z Axis Forces'!$C$14+V9</f>
        <v>195</v>
      </c>
      <c r="W17">
        <f>'Z Axis Forces'!$C$14+W9</f>
        <v>195</v>
      </c>
      <c r="X17">
        <f>'Z Axis Forces'!$C$14+X9</f>
        <v>195</v>
      </c>
      <c r="Y17">
        <f>'Z Axis Forces'!$C$14+Y9</f>
        <v>195</v>
      </c>
      <c r="Z17">
        <f>'Z Axis Forces'!$C$14+Z9</f>
        <v>195</v>
      </c>
      <c r="AA17">
        <f>'Z Axis Forces'!$C$14+AA9</f>
        <v>195</v>
      </c>
      <c r="AB17">
        <f>'Z Axis Forces'!$C$14+AB9</f>
        <v>195</v>
      </c>
      <c r="AC17">
        <f>'Z Axis Forces'!$C$14+AC9</f>
        <v>195</v>
      </c>
      <c r="AD17">
        <f>'Z Axis Forces'!$C$14+AD9</f>
        <v>330</v>
      </c>
      <c r="AE17">
        <f>'Z Axis Forces'!$C$14+AE9</f>
        <v>240</v>
      </c>
      <c r="AF17">
        <f>'Z Axis Forces'!$C$14+AF9</f>
        <v>195</v>
      </c>
      <c r="AG17">
        <f>'Z Axis Forces'!$C$14+AG9</f>
        <v>172.5</v>
      </c>
      <c r="AH17">
        <f>'Z Axis Forces'!$C$14+AH9</f>
        <v>161.25</v>
      </c>
    </row>
    <row r="18" spans="1:34" x14ac:dyDescent="0.25">
      <c r="A18" t="s">
        <v>114</v>
      </c>
      <c r="B18" t="s">
        <v>61</v>
      </c>
      <c r="C18">
        <f>'Axis Forces'!$C$26</f>
        <v>35</v>
      </c>
      <c r="D18" s="12">
        <f>C18</f>
        <v>35</v>
      </c>
      <c r="E18" s="12">
        <f t="shared" ref="E18:L18" si="29">D18</f>
        <v>35</v>
      </c>
      <c r="F18" s="12">
        <f t="shared" si="29"/>
        <v>35</v>
      </c>
      <c r="G18" s="12">
        <f>D18</f>
        <v>35</v>
      </c>
      <c r="H18" s="12">
        <f>E18</f>
        <v>35</v>
      </c>
      <c r="I18" s="12">
        <f>F18</f>
        <v>35</v>
      </c>
      <c r="J18" s="12">
        <f t="shared" si="29"/>
        <v>35</v>
      </c>
      <c r="K18" s="12">
        <f t="shared" si="29"/>
        <v>35</v>
      </c>
      <c r="L18" s="12">
        <f t="shared" si="29"/>
        <v>35</v>
      </c>
      <c r="M18" s="12">
        <f>K18</f>
        <v>35</v>
      </c>
      <c r="N18" s="12">
        <f>L18</f>
        <v>35</v>
      </c>
      <c r="O18" s="12">
        <f>N18</f>
        <v>35</v>
      </c>
      <c r="P18" s="12">
        <f>O18</f>
        <v>35</v>
      </c>
      <c r="Q18" s="12">
        <f>P18</f>
        <v>35</v>
      </c>
      <c r="R18" s="12">
        <f>Q18</f>
        <v>35</v>
      </c>
      <c r="S18" s="60">
        <f>N18</f>
        <v>35</v>
      </c>
      <c r="T18" s="91">
        <f>$N18</f>
        <v>35</v>
      </c>
      <c r="U18" s="91">
        <f t="shared" ref="U18:X21" si="30">T18</f>
        <v>35</v>
      </c>
      <c r="V18" s="91">
        <f t="shared" si="30"/>
        <v>35</v>
      </c>
      <c r="W18" s="91">
        <f t="shared" si="30"/>
        <v>35</v>
      </c>
      <c r="X18" s="92">
        <f t="shared" si="30"/>
        <v>35</v>
      </c>
      <c r="Y18" s="91">
        <f>$N18</f>
        <v>35</v>
      </c>
      <c r="Z18" s="91">
        <f t="shared" ref="Z18:AC21" si="31">Y18</f>
        <v>35</v>
      </c>
      <c r="AA18" s="91">
        <f t="shared" si="31"/>
        <v>35</v>
      </c>
      <c r="AB18" s="91">
        <f t="shared" si="31"/>
        <v>35</v>
      </c>
      <c r="AC18" s="92">
        <f t="shared" si="31"/>
        <v>35</v>
      </c>
      <c r="AD18" s="91">
        <f>$N18</f>
        <v>35</v>
      </c>
      <c r="AE18" s="91">
        <f t="shared" ref="AE18:AH21" si="32">AD18</f>
        <v>35</v>
      </c>
      <c r="AF18" s="91">
        <f t="shared" si="32"/>
        <v>35</v>
      </c>
      <c r="AG18" s="91">
        <f t="shared" si="32"/>
        <v>35</v>
      </c>
      <c r="AH18" s="92">
        <f t="shared" si="32"/>
        <v>35</v>
      </c>
    </row>
    <row r="19" spans="1:34" x14ac:dyDescent="0.25">
      <c r="A19" t="s">
        <v>81</v>
      </c>
      <c r="B19" t="s">
        <v>79</v>
      </c>
      <c r="C19" s="6">
        <v>10</v>
      </c>
      <c r="D19" s="6">
        <v>20</v>
      </c>
      <c r="E19" s="6">
        <v>10</v>
      </c>
      <c r="F19" s="6">
        <v>10</v>
      </c>
      <c r="G19" s="6">
        <v>20</v>
      </c>
      <c r="H19" s="6">
        <v>20</v>
      </c>
      <c r="I19" s="6">
        <v>20</v>
      </c>
      <c r="J19" s="6">
        <v>10</v>
      </c>
      <c r="K19" s="6">
        <v>10</v>
      </c>
      <c r="L19" s="6">
        <v>10</v>
      </c>
      <c r="M19" s="6">
        <v>10</v>
      </c>
      <c r="N19" s="6">
        <v>20</v>
      </c>
      <c r="O19" s="6">
        <v>200</v>
      </c>
      <c r="P19" s="6">
        <v>10</v>
      </c>
      <c r="Q19" s="6">
        <v>10</v>
      </c>
      <c r="R19" s="6">
        <v>10</v>
      </c>
      <c r="S19" s="38">
        <v>10</v>
      </c>
      <c r="T19" s="6">
        <f>$N19</f>
        <v>20</v>
      </c>
      <c r="U19" s="59">
        <f t="shared" si="30"/>
        <v>20</v>
      </c>
      <c r="V19" s="59">
        <f t="shared" si="30"/>
        <v>20</v>
      </c>
      <c r="W19" s="59">
        <f t="shared" si="30"/>
        <v>20</v>
      </c>
      <c r="X19" s="60">
        <f t="shared" si="30"/>
        <v>20</v>
      </c>
      <c r="Y19" s="6">
        <f>$N19</f>
        <v>20</v>
      </c>
      <c r="Z19" s="59">
        <f t="shared" si="31"/>
        <v>20</v>
      </c>
      <c r="AA19" s="59">
        <f t="shared" si="31"/>
        <v>20</v>
      </c>
      <c r="AB19" s="59">
        <f t="shared" si="31"/>
        <v>20</v>
      </c>
      <c r="AC19" s="60">
        <f t="shared" si="31"/>
        <v>20</v>
      </c>
      <c r="AD19" s="6">
        <f>$N19</f>
        <v>20</v>
      </c>
      <c r="AE19" s="59">
        <f t="shared" si="32"/>
        <v>20</v>
      </c>
      <c r="AF19" s="59">
        <f t="shared" si="32"/>
        <v>20</v>
      </c>
      <c r="AG19" s="59">
        <f t="shared" si="32"/>
        <v>20</v>
      </c>
      <c r="AH19" s="60">
        <f t="shared" si="32"/>
        <v>20</v>
      </c>
    </row>
    <row r="20" spans="1:34" x14ac:dyDescent="0.25">
      <c r="A20" t="s">
        <v>78</v>
      </c>
      <c r="B20" t="s">
        <v>79</v>
      </c>
      <c r="C20" s="6"/>
      <c r="D20" s="6"/>
      <c r="E20" s="6">
        <v>10</v>
      </c>
      <c r="F20" s="6"/>
      <c r="G20" s="6">
        <v>10</v>
      </c>
      <c r="H20" s="6">
        <v>10</v>
      </c>
      <c r="I20" s="6">
        <v>10</v>
      </c>
      <c r="J20" s="6"/>
      <c r="K20" s="6"/>
      <c r="L20" s="6"/>
      <c r="M20" s="6"/>
      <c r="N20" s="6">
        <v>10</v>
      </c>
      <c r="O20" s="6">
        <v>200</v>
      </c>
      <c r="P20" s="6"/>
      <c r="Q20" s="6"/>
      <c r="R20" s="6"/>
      <c r="S20" s="38">
        <f>R20/5</f>
        <v>0</v>
      </c>
      <c r="T20" s="6">
        <f>$N20</f>
        <v>10</v>
      </c>
      <c r="U20" s="59">
        <f t="shared" si="30"/>
        <v>10</v>
      </c>
      <c r="V20" s="59">
        <f t="shared" si="30"/>
        <v>10</v>
      </c>
      <c r="W20" s="59">
        <f t="shared" si="30"/>
        <v>10</v>
      </c>
      <c r="X20" s="60">
        <f t="shared" si="30"/>
        <v>10</v>
      </c>
      <c r="Y20" s="6">
        <f>$N20</f>
        <v>10</v>
      </c>
      <c r="Z20" s="59">
        <f t="shared" si="31"/>
        <v>10</v>
      </c>
      <c r="AA20" s="59">
        <f t="shared" si="31"/>
        <v>10</v>
      </c>
      <c r="AB20" s="59">
        <f t="shared" si="31"/>
        <v>10</v>
      </c>
      <c r="AC20" s="60">
        <f t="shared" si="31"/>
        <v>10</v>
      </c>
      <c r="AD20" s="6">
        <f>$N20</f>
        <v>10</v>
      </c>
      <c r="AE20" s="59">
        <f t="shared" si="32"/>
        <v>10</v>
      </c>
      <c r="AF20" s="59">
        <f t="shared" si="32"/>
        <v>10</v>
      </c>
      <c r="AG20" s="59">
        <f t="shared" si="32"/>
        <v>10</v>
      </c>
      <c r="AH20" s="60">
        <f t="shared" si="32"/>
        <v>10</v>
      </c>
    </row>
    <row r="21" spans="1:34" x14ac:dyDescent="0.25">
      <c r="A21" t="s">
        <v>80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v>-10</v>
      </c>
      <c r="I21" s="6">
        <v>10</v>
      </c>
      <c r="J21" s="6"/>
      <c r="K21" s="6"/>
      <c r="L21" s="6"/>
      <c r="M21" s="6"/>
      <c r="N21" s="6">
        <v>-10</v>
      </c>
      <c r="O21" s="6">
        <v>-200</v>
      </c>
      <c r="P21" s="6"/>
      <c r="Q21" s="6"/>
      <c r="R21" s="6"/>
      <c r="S21" s="38">
        <f>R21/5</f>
        <v>0</v>
      </c>
      <c r="T21" s="6">
        <f>$N21</f>
        <v>-10</v>
      </c>
      <c r="U21" s="59">
        <f t="shared" si="30"/>
        <v>-10</v>
      </c>
      <c r="V21" s="59">
        <f t="shared" si="30"/>
        <v>-10</v>
      </c>
      <c r="W21" s="59">
        <f t="shared" si="30"/>
        <v>-10</v>
      </c>
      <c r="X21" s="60">
        <f t="shared" si="30"/>
        <v>-10</v>
      </c>
      <c r="Y21" s="6">
        <f>$N21</f>
        <v>-10</v>
      </c>
      <c r="Z21" s="59">
        <f t="shared" si="31"/>
        <v>-10</v>
      </c>
      <c r="AA21" s="59">
        <f t="shared" si="31"/>
        <v>-10</v>
      </c>
      <c r="AB21" s="59">
        <f t="shared" si="31"/>
        <v>-10</v>
      </c>
      <c r="AC21" s="60">
        <f t="shared" si="31"/>
        <v>-10</v>
      </c>
      <c r="AD21" s="6">
        <f>$N21</f>
        <v>-10</v>
      </c>
      <c r="AE21" s="59">
        <f t="shared" si="32"/>
        <v>-10</v>
      </c>
      <c r="AF21" s="59">
        <f t="shared" si="32"/>
        <v>-10</v>
      </c>
      <c r="AG21" s="59">
        <f t="shared" si="32"/>
        <v>-10</v>
      </c>
      <c r="AH21" s="60">
        <f t="shared" si="32"/>
        <v>-10</v>
      </c>
    </row>
    <row r="22" spans="1:34" x14ac:dyDescent="0.25">
      <c r="A22" t="s">
        <v>97</v>
      </c>
      <c r="B22" t="s">
        <v>19</v>
      </c>
      <c r="C22">
        <f t="shared" ref="C22:J24" si="33">C$18*C19</f>
        <v>350</v>
      </c>
      <c r="D22">
        <f t="shared" si="33"/>
        <v>700</v>
      </c>
      <c r="E22">
        <f t="shared" si="33"/>
        <v>350</v>
      </c>
      <c r="F22">
        <f t="shared" si="33"/>
        <v>350</v>
      </c>
      <c r="G22">
        <f t="shared" si="33"/>
        <v>700</v>
      </c>
      <c r="H22">
        <f t="shared" si="33"/>
        <v>700</v>
      </c>
      <c r="I22">
        <f t="shared" si="33"/>
        <v>700</v>
      </c>
      <c r="J22">
        <f t="shared" si="33"/>
        <v>350</v>
      </c>
      <c r="K22">
        <f t="shared" ref="K22:N24" si="34">K$18*K19</f>
        <v>350</v>
      </c>
      <c r="L22">
        <f t="shared" si="34"/>
        <v>350</v>
      </c>
      <c r="M22">
        <f>M$18*M19</f>
        <v>350</v>
      </c>
      <c r="N22">
        <f t="shared" si="34"/>
        <v>700</v>
      </c>
      <c r="O22">
        <f t="shared" ref="O22:R24" si="35">O$18*O19</f>
        <v>7000</v>
      </c>
      <c r="P22">
        <f t="shared" si="35"/>
        <v>350</v>
      </c>
      <c r="Q22">
        <f t="shared" si="35"/>
        <v>350</v>
      </c>
      <c r="R22">
        <f t="shared" si="35"/>
        <v>350</v>
      </c>
      <c r="S22" s="41">
        <f t="shared" ref="S22:AA24" si="36">S$18*S19</f>
        <v>350</v>
      </c>
      <c r="T22">
        <f t="shared" si="36"/>
        <v>700</v>
      </c>
      <c r="U22">
        <f t="shared" si="36"/>
        <v>700</v>
      </c>
      <c r="V22">
        <f t="shared" si="36"/>
        <v>700</v>
      </c>
      <c r="W22">
        <f t="shared" si="36"/>
        <v>700</v>
      </c>
      <c r="X22" s="41">
        <f t="shared" ref="X22:AH22" si="37">X$18*X19</f>
        <v>700</v>
      </c>
      <c r="Y22">
        <f t="shared" si="37"/>
        <v>700</v>
      </c>
      <c r="Z22">
        <f t="shared" si="37"/>
        <v>700</v>
      </c>
      <c r="AA22">
        <f t="shared" si="37"/>
        <v>700</v>
      </c>
      <c r="AB22">
        <f t="shared" si="37"/>
        <v>700</v>
      </c>
      <c r="AC22" s="41">
        <f t="shared" si="37"/>
        <v>700</v>
      </c>
      <c r="AD22">
        <f t="shared" si="37"/>
        <v>700</v>
      </c>
      <c r="AE22">
        <f t="shared" si="37"/>
        <v>700</v>
      </c>
      <c r="AF22">
        <f t="shared" si="37"/>
        <v>700</v>
      </c>
      <c r="AG22">
        <f t="shared" si="37"/>
        <v>700</v>
      </c>
      <c r="AH22" s="41">
        <f t="shared" si="37"/>
        <v>700</v>
      </c>
    </row>
    <row r="23" spans="1:34" x14ac:dyDescent="0.25">
      <c r="A23" t="s">
        <v>95</v>
      </c>
      <c r="B23" t="s">
        <v>19</v>
      </c>
      <c r="C23">
        <f t="shared" si="33"/>
        <v>0</v>
      </c>
      <c r="D23">
        <f t="shared" si="33"/>
        <v>0</v>
      </c>
      <c r="E23">
        <f t="shared" si="33"/>
        <v>350</v>
      </c>
      <c r="F23">
        <f t="shared" si="33"/>
        <v>0</v>
      </c>
      <c r="G23">
        <f t="shared" si="33"/>
        <v>350</v>
      </c>
      <c r="H23">
        <f t="shared" si="33"/>
        <v>350</v>
      </c>
      <c r="I23">
        <f t="shared" si="33"/>
        <v>350</v>
      </c>
      <c r="J23">
        <f t="shared" si="33"/>
        <v>0</v>
      </c>
      <c r="K23">
        <f t="shared" si="34"/>
        <v>0</v>
      </c>
      <c r="L23">
        <f t="shared" si="34"/>
        <v>0</v>
      </c>
      <c r="M23">
        <f>M$18*M20</f>
        <v>0</v>
      </c>
      <c r="N23">
        <f t="shared" si="34"/>
        <v>350</v>
      </c>
      <c r="O23">
        <f t="shared" si="35"/>
        <v>7000</v>
      </c>
      <c r="P23">
        <f t="shared" si="35"/>
        <v>0</v>
      </c>
      <c r="Q23">
        <f t="shared" si="35"/>
        <v>0</v>
      </c>
      <c r="R23">
        <f t="shared" si="35"/>
        <v>0</v>
      </c>
      <c r="S23" s="41">
        <f t="shared" ref="S23:V24" si="38">S$18*S20</f>
        <v>0</v>
      </c>
      <c r="T23">
        <f t="shared" si="38"/>
        <v>350</v>
      </c>
      <c r="U23">
        <f t="shared" si="38"/>
        <v>350</v>
      </c>
      <c r="V23">
        <f t="shared" si="38"/>
        <v>350</v>
      </c>
      <c r="W23">
        <f t="shared" si="36"/>
        <v>350</v>
      </c>
      <c r="X23" s="41">
        <f t="shared" si="36"/>
        <v>350</v>
      </c>
      <c r="Y23">
        <f t="shared" si="36"/>
        <v>350</v>
      </c>
      <c r="Z23">
        <f t="shared" si="36"/>
        <v>350</v>
      </c>
      <c r="AA23">
        <f t="shared" si="36"/>
        <v>350</v>
      </c>
      <c r="AB23">
        <f t="shared" ref="AB23:AH24" si="39">AB$18*AB20</f>
        <v>350</v>
      </c>
      <c r="AC23" s="41">
        <f t="shared" si="39"/>
        <v>350</v>
      </c>
      <c r="AD23">
        <f t="shared" si="39"/>
        <v>350</v>
      </c>
      <c r="AE23">
        <f t="shared" si="39"/>
        <v>350</v>
      </c>
      <c r="AF23">
        <f t="shared" si="39"/>
        <v>350</v>
      </c>
      <c r="AG23">
        <f t="shared" si="39"/>
        <v>350</v>
      </c>
      <c r="AH23" s="41">
        <f t="shared" si="39"/>
        <v>350</v>
      </c>
    </row>
    <row r="24" spans="1:34" x14ac:dyDescent="0.25">
      <c r="A24" t="s">
        <v>96</v>
      </c>
      <c r="B24" t="s">
        <v>19</v>
      </c>
      <c r="C24">
        <f t="shared" si="33"/>
        <v>0</v>
      </c>
      <c r="D24">
        <f t="shared" si="33"/>
        <v>0</v>
      </c>
      <c r="E24">
        <f t="shared" si="33"/>
        <v>0</v>
      </c>
      <c r="F24">
        <f t="shared" si="33"/>
        <v>-350</v>
      </c>
      <c r="G24">
        <f t="shared" si="33"/>
        <v>-350</v>
      </c>
      <c r="H24">
        <f t="shared" si="33"/>
        <v>-350</v>
      </c>
      <c r="I24">
        <f t="shared" si="33"/>
        <v>350</v>
      </c>
      <c r="J24">
        <f t="shared" si="33"/>
        <v>0</v>
      </c>
      <c r="K24">
        <f t="shared" si="34"/>
        <v>0</v>
      </c>
      <c r="L24">
        <f t="shared" si="34"/>
        <v>0</v>
      </c>
      <c r="M24">
        <f>M$18*M21</f>
        <v>0</v>
      </c>
      <c r="N24">
        <f t="shared" si="34"/>
        <v>-350</v>
      </c>
      <c r="O24">
        <f t="shared" si="35"/>
        <v>-7000</v>
      </c>
      <c r="P24">
        <f t="shared" si="35"/>
        <v>0</v>
      </c>
      <c r="Q24">
        <f t="shared" si="35"/>
        <v>0</v>
      </c>
      <c r="R24">
        <f t="shared" si="35"/>
        <v>0</v>
      </c>
      <c r="S24" s="41">
        <f t="shared" si="38"/>
        <v>0</v>
      </c>
      <c r="T24">
        <f t="shared" si="38"/>
        <v>-350</v>
      </c>
      <c r="U24">
        <f t="shared" si="38"/>
        <v>-350</v>
      </c>
      <c r="V24">
        <f t="shared" si="38"/>
        <v>-350</v>
      </c>
      <c r="W24">
        <f t="shared" si="36"/>
        <v>-350</v>
      </c>
      <c r="X24" s="41">
        <f t="shared" si="36"/>
        <v>-350</v>
      </c>
      <c r="Y24">
        <f t="shared" si="36"/>
        <v>-350</v>
      </c>
      <c r="Z24">
        <f t="shared" si="36"/>
        <v>-350</v>
      </c>
      <c r="AA24">
        <f t="shared" si="36"/>
        <v>-350</v>
      </c>
      <c r="AB24">
        <f t="shared" si="39"/>
        <v>-350</v>
      </c>
      <c r="AC24" s="41">
        <f t="shared" si="39"/>
        <v>-350</v>
      </c>
      <c r="AD24">
        <f t="shared" si="39"/>
        <v>-350</v>
      </c>
      <c r="AE24">
        <f t="shared" si="39"/>
        <v>-350</v>
      </c>
      <c r="AF24">
        <f t="shared" si="39"/>
        <v>-350</v>
      </c>
      <c r="AG24">
        <f t="shared" si="39"/>
        <v>-350</v>
      </c>
      <c r="AH24" s="41">
        <f t="shared" si="39"/>
        <v>-350</v>
      </c>
    </row>
    <row r="25" spans="1:34" x14ac:dyDescent="0.25">
      <c r="A25" t="s">
        <v>92</v>
      </c>
      <c r="B25" t="s">
        <v>19</v>
      </c>
      <c r="C25" s="6"/>
      <c r="D25" s="6"/>
      <c r="E25" s="6"/>
      <c r="F25" s="6"/>
      <c r="G25" s="6"/>
      <c r="H25" s="6"/>
      <c r="I25" s="6"/>
      <c r="J25" s="9">
        <f>-'Axis Sizing'!E46</f>
        <v>-3141.5926535897929</v>
      </c>
      <c r="K25" s="9"/>
      <c r="L25" s="6"/>
      <c r="M25" s="9">
        <f>N25</f>
        <v>-3141.5926535897929</v>
      </c>
      <c r="N25" s="9">
        <f>J25</f>
        <v>-3141.5926535897929</v>
      </c>
      <c r="O25" s="9">
        <f>N25</f>
        <v>-3141.5926535897929</v>
      </c>
      <c r="P25" s="9"/>
      <c r="Q25" s="9"/>
      <c r="R25" s="9"/>
      <c r="S25" s="62">
        <f>MAX(C25:I25)/5</f>
        <v>0</v>
      </c>
      <c r="T25" s="6">
        <f>$N25</f>
        <v>-3141.5926535897929</v>
      </c>
      <c r="U25" s="59">
        <f t="shared" ref="U25:X27" si="40">T25</f>
        <v>-3141.5926535897929</v>
      </c>
      <c r="V25" s="59">
        <f t="shared" si="40"/>
        <v>-3141.5926535897929</v>
      </c>
      <c r="W25" s="59">
        <f t="shared" si="40"/>
        <v>-3141.5926535897929</v>
      </c>
      <c r="X25" s="60">
        <f t="shared" si="40"/>
        <v>-3141.5926535897929</v>
      </c>
      <c r="Y25" s="6">
        <f>$N25</f>
        <v>-3141.5926535897929</v>
      </c>
      <c r="Z25" s="59">
        <f t="shared" ref="Z25:AC27" si="41">Y25</f>
        <v>-3141.5926535897929</v>
      </c>
      <c r="AA25" s="59">
        <f t="shared" si="41"/>
        <v>-3141.5926535897929</v>
      </c>
      <c r="AB25" s="59">
        <f t="shared" si="41"/>
        <v>-3141.5926535897929</v>
      </c>
      <c r="AC25" s="60">
        <f t="shared" si="41"/>
        <v>-3141.5926535897929</v>
      </c>
      <c r="AD25" s="6">
        <f>$N25</f>
        <v>-3141.5926535897929</v>
      </c>
      <c r="AE25" s="59">
        <f t="shared" ref="AE25:AH27" si="42">AD25</f>
        <v>-3141.5926535897929</v>
      </c>
      <c r="AF25" s="59">
        <f t="shared" si="42"/>
        <v>-3141.5926535897929</v>
      </c>
      <c r="AG25" s="59">
        <f t="shared" si="42"/>
        <v>-3141.5926535897929</v>
      </c>
      <c r="AH25" s="60">
        <f t="shared" si="42"/>
        <v>-3141.5926535897929</v>
      </c>
    </row>
    <row r="26" spans="1:34" x14ac:dyDescent="0.25">
      <c r="A26" t="s">
        <v>93</v>
      </c>
      <c r="B26" t="s">
        <v>19</v>
      </c>
      <c r="C26" s="6"/>
      <c r="D26" s="6"/>
      <c r="E26" s="6"/>
      <c r="F26" s="6"/>
      <c r="G26" s="6"/>
      <c r="H26" s="6">
        <f>'Axis Sizing'!C10</f>
        <v>300.78740157480314</v>
      </c>
      <c r="I26" s="6"/>
      <c r="J26" s="9"/>
      <c r="K26" s="9">
        <f>'Axis Sizing'!C46</f>
        <v>5340.7075111026479</v>
      </c>
      <c r="L26" s="9"/>
      <c r="M26" s="9">
        <f>N26</f>
        <v>5340.7075111026479</v>
      </c>
      <c r="N26" s="9">
        <f>K26</f>
        <v>5340.7075111026479</v>
      </c>
      <c r="O26" s="9">
        <f>N26</f>
        <v>5340.7075111026479</v>
      </c>
      <c r="P26" s="9">
        <f>1*H26</f>
        <v>300.78740157480314</v>
      </c>
      <c r="Q26" s="9"/>
      <c r="R26" s="9">
        <f>P26/SQRT(2)</f>
        <v>212.68881134902452</v>
      </c>
      <c r="S26" s="62">
        <f>R26/5</f>
        <v>42.537762269804901</v>
      </c>
      <c r="T26" s="6">
        <f>$N26</f>
        <v>5340.7075111026479</v>
      </c>
      <c r="U26" s="59">
        <f t="shared" si="40"/>
        <v>5340.7075111026479</v>
      </c>
      <c r="V26" s="59">
        <f t="shared" si="40"/>
        <v>5340.7075111026479</v>
      </c>
      <c r="W26" s="59">
        <f t="shared" si="40"/>
        <v>5340.7075111026479</v>
      </c>
      <c r="X26" s="60">
        <f t="shared" si="40"/>
        <v>5340.7075111026479</v>
      </c>
      <c r="Y26" s="6">
        <f>$N26</f>
        <v>5340.7075111026479</v>
      </c>
      <c r="Z26" s="59">
        <f t="shared" si="41"/>
        <v>5340.7075111026479</v>
      </c>
      <c r="AA26" s="59">
        <f t="shared" si="41"/>
        <v>5340.7075111026479</v>
      </c>
      <c r="AB26" s="59">
        <f t="shared" si="41"/>
        <v>5340.7075111026479</v>
      </c>
      <c r="AC26" s="60">
        <f t="shared" si="41"/>
        <v>5340.7075111026479</v>
      </c>
      <c r="AD26" s="6">
        <f>$N26</f>
        <v>5340.7075111026479</v>
      </c>
      <c r="AE26" s="59">
        <f t="shared" si="42"/>
        <v>5340.7075111026479</v>
      </c>
      <c r="AF26" s="59">
        <f t="shared" si="42"/>
        <v>5340.7075111026479</v>
      </c>
      <c r="AG26" s="59">
        <f t="shared" si="42"/>
        <v>5340.7075111026479</v>
      </c>
      <c r="AH26" s="60">
        <f t="shared" si="42"/>
        <v>5340.7075111026479</v>
      </c>
    </row>
    <row r="27" spans="1:34" x14ac:dyDescent="0.25">
      <c r="A27" t="s">
        <v>94</v>
      </c>
      <c r="B27" t="s">
        <v>19</v>
      </c>
      <c r="C27" s="6"/>
      <c r="D27" s="6"/>
      <c r="E27" s="6"/>
      <c r="F27" s="6"/>
      <c r="G27" s="6"/>
      <c r="H27" s="6"/>
      <c r="I27" s="6">
        <f>1*'Axis Sizing'!D10</f>
        <v>300.78740157480314</v>
      </c>
      <c r="J27" s="6"/>
      <c r="K27" s="6"/>
      <c r="L27" s="6">
        <f>2*'Axis Sizing'!D46</f>
        <v>8011.0612666539719</v>
      </c>
      <c r="M27" s="9">
        <f>N27</f>
        <v>8011.0612666539719</v>
      </c>
      <c r="N27" s="6">
        <f>L27</f>
        <v>8011.0612666539719</v>
      </c>
      <c r="O27" s="9">
        <f>N27</f>
        <v>8011.0612666539719</v>
      </c>
      <c r="P27" s="9"/>
      <c r="Q27" s="9">
        <f>-1*I27</f>
        <v>-300.78740157480314</v>
      </c>
      <c r="R27" s="9">
        <f>Q27/SQRT(2)</f>
        <v>-212.68881134902452</v>
      </c>
      <c r="S27" s="62">
        <f>R27/5</f>
        <v>-42.537762269804901</v>
      </c>
      <c r="T27" s="6">
        <f>$N27</f>
        <v>8011.0612666539719</v>
      </c>
      <c r="U27" s="59">
        <f t="shared" si="40"/>
        <v>8011.0612666539719</v>
      </c>
      <c r="V27" s="59">
        <f t="shared" si="40"/>
        <v>8011.0612666539719</v>
      </c>
      <c r="W27" s="59">
        <f t="shared" si="40"/>
        <v>8011.0612666539719</v>
      </c>
      <c r="X27" s="60">
        <f t="shared" si="40"/>
        <v>8011.0612666539719</v>
      </c>
      <c r="Y27" s="6">
        <f>$N27</f>
        <v>8011.0612666539719</v>
      </c>
      <c r="Z27" s="59">
        <f t="shared" si="41"/>
        <v>8011.0612666539719</v>
      </c>
      <c r="AA27" s="59">
        <f t="shared" si="41"/>
        <v>8011.0612666539719</v>
      </c>
      <c r="AB27" s="59">
        <f t="shared" si="41"/>
        <v>8011.0612666539719</v>
      </c>
      <c r="AC27" s="60">
        <f t="shared" si="41"/>
        <v>8011.0612666539719</v>
      </c>
      <c r="AD27" s="6">
        <f>$N27</f>
        <v>8011.0612666539719</v>
      </c>
      <c r="AE27" s="59">
        <f t="shared" si="42"/>
        <v>8011.0612666539719</v>
      </c>
      <c r="AF27" s="59">
        <f t="shared" si="42"/>
        <v>8011.0612666539719</v>
      </c>
      <c r="AG27" s="59">
        <f t="shared" si="42"/>
        <v>8011.0612666539719</v>
      </c>
      <c r="AH27" s="60">
        <f t="shared" si="42"/>
        <v>8011.0612666539719</v>
      </c>
    </row>
    <row r="28" spans="1:34" hidden="1" outlineLevel="1" x14ac:dyDescent="0.25">
      <c r="A28" t="s">
        <v>110</v>
      </c>
      <c r="B28" t="s">
        <v>4</v>
      </c>
      <c r="C28">
        <f>C23*C14/1000</f>
        <v>0</v>
      </c>
      <c r="D28">
        <f t="shared" ref="D28:N28" si="43">D23*D14/1000</f>
        <v>0</v>
      </c>
      <c r="E28">
        <f t="shared" si="43"/>
        <v>21.25</v>
      </c>
      <c r="F28">
        <f t="shared" si="43"/>
        <v>0</v>
      </c>
      <c r="G28">
        <f>G23*G14/1000</f>
        <v>21.25</v>
      </c>
      <c r="H28">
        <f>H23*H14/1000</f>
        <v>21.25</v>
      </c>
      <c r="I28">
        <f t="shared" si="43"/>
        <v>21.25</v>
      </c>
      <c r="J28">
        <f t="shared" si="43"/>
        <v>0</v>
      </c>
      <c r="K28">
        <f t="shared" si="43"/>
        <v>0</v>
      </c>
      <c r="L28">
        <f t="shared" si="43"/>
        <v>0</v>
      </c>
      <c r="M28">
        <f>M23*M14/1000</f>
        <v>0</v>
      </c>
      <c r="N28">
        <f t="shared" si="43"/>
        <v>21.25</v>
      </c>
      <c r="O28">
        <f t="shared" ref="O28:AH28" si="44">O23*O14/1000</f>
        <v>425</v>
      </c>
      <c r="P28">
        <f t="shared" ref="P28:Q28" si="45">P23*P14/1000</f>
        <v>0</v>
      </c>
      <c r="Q28">
        <f t="shared" si="45"/>
        <v>0</v>
      </c>
      <c r="R28">
        <f t="shared" ref="R28" si="46">R23*R14/1000</f>
        <v>0</v>
      </c>
      <c r="S28" s="41">
        <f t="shared" si="44"/>
        <v>0</v>
      </c>
      <c r="T28">
        <f t="shared" si="44"/>
        <v>21.25</v>
      </c>
      <c r="U28">
        <f t="shared" si="44"/>
        <v>21.25</v>
      </c>
      <c r="V28">
        <f t="shared" si="44"/>
        <v>21.25</v>
      </c>
      <c r="W28">
        <f t="shared" si="44"/>
        <v>21.25</v>
      </c>
      <c r="X28" s="41">
        <f t="shared" si="44"/>
        <v>21.25</v>
      </c>
      <c r="Y28">
        <f t="shared" si="44"/>
        <v>21.25</v>
      </c>
      <c r="Z28">
        <f t="shared" si="44"/>
        <v>21.25</v>
      </c>
      <c r="AA28">
        <f t="shared" si="44"/>
        <v>21.25</v>
      </c>
      <c r="AB28">
        <f t="shared" si="44"/>
        <v>21.25</v>
      </c>
      <c r="AC28" s="41">
        <f t="shared" si="44"/>
        <v>21.25</v>
      </c>
      <c r="AD28">
        <f t="shared" si="44"/>
        <v>48.25</v>
      </c>
      <c r="AE28">
        <f t="shared" si="44"/>
        <v>30.25</v>
      </c>
      <c r="AF28">
        <f t="shared" si="44"/>
        <v>21.25</v>
      </c>
      <c r="AG28">
        <f t="shared" si="44"/>
        <v>16.75</v>
      </c>
      <c r="AH28" s="41">
        <f t="shared" si="44"/>
        <v>14.5</v>
      </c>
    </row>
    <row r="29" spans="1:34" hidden="1" outlineLevel="1" x14ac:dyDescent="0.25">
      <c r="A29" t="s">
        <v>111</v>
      </c>
      <c r="B29" t="s">
        <v>4</v>
      </c>
      <c r="C29">
        <f>C26*C17/1000</f>
        <v>0</v>
      </c>
      <c r="D29">
        <f t="shared" ref="D29:N29" si="47">D26*D17/1000</f>
        <v>0</v>
      </c>
      <c r="E29">
        <f t="shared" si="47"/>
        <v>0</v>
      </c>
      <c r="F29">
        <f t="shared" si="47"/>
        <v>0</v>
      </c>
      <c r="G29">
        <f>G26*G17/1000</f>
        <v>0</v>
      </c>
      <c r="H29">
        <f>H26*H17/1000</f>
        <v>58.653543307086615</v>
      </c>
      <c r="I29">
        <f t="shared" si="47"/>
        <v>0</v>
      </c>
      <c r="J29">
        <f t="shared" si="47"/>
        <v>0</v>
      </c>
      <c r="K29">
        <f t="shared" si="47"/>
        <v>1041.4379646650164</v>
      </c>
      <c r="L29">
        <f t="shared" si="47"/>
        <v>0</v>
      </c>
      <c r="M29">
        <f>M26*M17/1000</f>
        <v>1041.4379646650164</v>
      </c>
      <c r="N29">
        <f t="shared" si="47"/>
        <v>1041.4379646650164</v>
      </c>
      <c r="O29">
        <f t="shared" ref="O29:AH29" si="48">O26*O17/1000</f>
        <v>1041.4379646650164</v>
      </c>
      <c r="P29">
        <f>P26*P17/1000</f>
        <v>58.653543307086615</v>
      </c>
      <c r="Q29">
        <f t="shared" ref="Q29" si="49">Q26*Q17/1000</f>
        <v>0</v>
      </c>
      <c r="R29">
        <f t="shared" ref="R29" si="50">R26*R17/1000</f>
        <v>41.474318213059775</v>
      </c>
      <c r="S29" s="41">
        <f t="shared" si="48"/>
        <v>8.294863642611956</v>
      </c>
      <c r="T29">
        <f t="shared" si="48"/>
        <v>1041.4379646650164</v>
      </c>
      <c r="U29">
        <f t="shared" si="48"/>
        <v>1041.4379646650164</v>
      </c>
      <c r="V29">
        <f t="shared" si="48"/>
        <v>1041.4379646650164</v>
      </c>
      <c r="W29">
        <f t="shared" si="48"/>
        <v>1041.4379646650164</v>
      </c>
      <c r="X29" s="41">
        <f t="shared" si="48"/>
        <v>1041.4379646650164</v>
      </c>
      <c r="Y29">
        <f t="shared" si="48"/>
        <v>1041.4379646650164</v>
      </c>
      <c r="Z29">
        <f t="shared" si="48"/>
        <v>1041.4379646650164</v>
      </c>
      <c r="AA29">
        <f t="shared" si="48"/>
        <v>1041.4379646650164</v>
      </c>
      <c r="AB29">
        <f t="shared" si="48"/>
        <v>1041.4379646650164</v>
      </c>
      <c r="AC29" s="41">
        <f t="shared" si="48"/>
        <v>1041.4379646650164</v>
      </c>
      <c r="AD29">
        <f t="shared" si="48"/>
        <v>1762.4334786638738</v>
      </c>
      <c r="AE29">
        <f t="shared" si="48"/>
        <v>1281.7698026646356</v>
      </c>
      <c r="AF29">
        <f t="shared" si="48"/>
        <v>1041.4379646650164</v>
      </c>
      <c r="AG29">
        <f t="shared" si="48"/>
        <v>921.27204566520675</v>
      </c>
      <c r="AH29" s="41">
        <f t="shared" si="48"/>
        <v>861.189086165302</v>
      </c>
    </row>
    <row r="30" spans="1:34" hidden="1" outlineLevel="1" x14ac:dyDescent="0.25">
      <c r="A30" t="s">
        <v>112</v>
      </c>
      <c r="B30" t="s">
        <v>4</v>
      </c>
      <c r="C30">
        <f>-C24*C12/1000</f>
        <v>0</v>
      </c>
      <c r="D30">
        <f t="shared" ref="D30:N30" si="51">-D24*D12/1000</f>
        <v>0</v>
      </c>
      <c r="E30">
        <f t="shared" si="51"/>
        <v>0</v>
      </c>
      <c r="F30">
        <f t="shared" si="51"/>
        <v>0</v>
      </c>
      <c r="G30">
        <f>-G24*G12/1000</f>
        <v>0</v>
      </c>
      <c r="H30">
        <f>-H24*H12/1000</f>
        <v>0</v>
      </c>
      <c r="I30">
        <f t="shared" si="51"/>
        <v>0</v>
      </c>
      <c r="J30">
        <f t="shared" si="51"/>
        <v>0</v>
      </c>
      <c r="K30">
        <f t="shared" si="51"/>
        <v>0</v>
      </c>
      <c r="L30">
        <f t="shared" si="51"/>
        <v>0</v>
      </c>
      <c r="M30">
        <f>-M24*M12/1000</f>
        <v>0</v>
      </c>
      <c r="N30">
        <f t="shared" si="51"/>
        <v>0</v>
      </c>
      <c r="O30">
        <f t="shared" ref="O30:AH30" si="52">-O24*O12/1000</f>
        <v>0</v>
      </c>
      <c r="P30">
        <f t="shared" ref="P30:Q30" si="53">-P24*P12/1000</f>
        <v>0</v>
      </c>
      <c r="Q30">
        <f t="shared" si="53"/>
        <v>0</v>
      </c>
      <c r="R30">
        <f t="shared" ref="R30" si="54">-R24*R12/1000</f>
        <v>0</v>
      </c>
      <c r="S30" s="41">
        <f t="shared" si="52"/>
        <v>0</v>
      </c>
      <c r="T30">
        <f t="shared" si="52"/>
        <v>0</v>
      </c>
      <c r="U30">
        <f t="shared" si="52"/>
        <v>0</v>
      </c>
      <c r="V30">
        <f t="shared" si="52"/>
        <v>0</v>
      </c>
      <c r="W30">
        <f t="shared" si="52"/>
        <v>0</v>
      </c>
      <c r="X30" s="41">
        <f t="shared" si="52"/>
        <v>0</v>
      </c>
      <c r="Y30">
        <f t="shared" si="52"/>
        <v>0</v>
      </c>
      <c r="Z30">
        <f t="shared" si="52"/>
        <v>0</v>
      </c>
      <c r="AA30">
        <f t="shared" si="52"/>
        <v>0</v>
      </c>
      <c r="AB30">
        <f t="shared" si="52"/>
        <v>0</v>
      </c>
      <c r="AC30" s="41">
        <f t="shared" si="52"/>
        <v>0</v>
      </c>
      <c r="AD30">
        <f t="shared" si="52"/>
        <v>0</v>
      </c>
      <c r="AE30">
        <f t="shared" si="52"/>
        <v>0</v>
      </c>
      <c r="AF30">
        <f t="shared" si="52"/>
        <v>0</v>
      </c>
      <c r="AG30">
        <f t="shared" si="52"/>
        <v>0</v>
      </c>
      <c r="AH30" s="41">
        <f t="shared" si="52"/>
        <v>0</v>
      </c>
    </row>
    <row r="31" spans="1:34" hidden="1" outlineLevel="1" x14ac:dyDescent="0.25">
      <c r="A31" t="s">
        <v>113</v>
      </c>
      <c r="B31" t="s">
        <v>4</v>
      </c>
      <c r="C31">
        <f>-C27*C16/1000</f>
        <v>0</v>
      </c>
      <c r="D31">
        <f t="shared" ref="D31:N31" si="55">-D27*D16/1000</f>
        <v>0</v>
      </c>
      <c r="E31">
        <f t="shared" si="55"/>
        <v>0</v>
      </c>
      <c r="F31">
        <f t="shared" si="55"/>
        <v>0</v>
      </c>
      <c r="G31">
        <f>-G27*G16/1000</f>
        <v>0</v>
      </c>
      <c r="H31">
        <f>-H27*H16/1000</f>
        <v>0</v>
      </c>
      <c r="I31">
        <f t="shared" si="55"/>
        <v>0</v>
      </c>
      <c r="J31">
        <f t="shared" si="55"/>
        <v>0</v>
      </c>
      <c r="K31">
        <f t="shared" si="55"/>
        <v>0</v>
      </c>
      <c r="L31">
        <f t="shared" si="55"/>
        <v>0</v>
      </c>
      <c r="M31">
        <f>-M27*M16/1000</f>
        <v>0</v>
      </c>
      <c r="N31">
        <f t="shared" si="55"/>
        <v>0</v>
      </c>
      <c r="O31">
        <f t="shared" ref="O31:AH31" si="56">-O27*O16/1000</f>
        <v>0</v>
      </c>
      <c r="P31">
        <f t="shared" ref="P31:Q31" si="57">-P27*P16/1000</f>
        <v>0</v>
      </c>
      <c r="Q31">
        <f t="shared" si="57"/>
        <v>0</v>
      </c>
      <c r="R31">
        <f t="shared" ref="R31" si="58">-R27*R16/1000</f>
        <v>0</v>
      </c>
      <c r="S31" s="41">
        <f t="shared" si="56"/>
        <v>0</v>
      </c>
      <c r="T31">
        <f t="shared" si="56"/>
        <v>0</v>
      </c>
      <c r="U31">
        <f t="shared" si="56"/>
        <v>0</v>
      </c>
      <c r="V31">
        <f t="shared" si="56"/>
        <v>0</v>
      </c>
      <c r="W31">
        <f t="shared" si="56"/>
        <v>0</v>
      </c>
      <c r="X31" s="41">
        <f t="shared" si="56"/>
        <v>0</v>
      </c>
      <c r="Y31">
        <f t="shared" si="56"/>
        <v>0</v>
      </c>
      <c r="Z31">
        <f t="shared" si="56"/>
        <v>0</v>
      </c>
      <c r="AA31">
        <f t="shared" si="56"/>
        <v>0</v>
      </c>
      <c r="AB31">
        <f t="shared" si="56"/>
        <v>0</v>
      </c>
      <c r="AC31" s="41">
        <f t="shared" si="56"/>
        <v>0</v>
      </c>
      <c r="AD31">
        <f t="shared" si="56"/>
        <v>0</v>
      </c>
      <c r="AE31">
        <f t="shared" si="56"/>
        <v>0</v>
      </c>
      <c r="AF31">
        <f t="shared" si="56"/>
        <v>0</v>
      </c>
      <c r="AG31">
        <f t="shared" si="56"/>
        <v>0</v>
      </c>
      <c r="AH31" s="41">
        <f t="shared" si="56"/>
        <v>0</v>
      </c>
    </row>
    <row r="32" spans="1:34" collapsed="1" x14ac:dyDescent="0.25">
      <c r="A32" t="s">
        <v>82</v>
      </c>
      <c r="B32" t="s">
        <v>4</v>
      </c>
      <c r="C32" s="3">
        <f>SUM(C28:C31)</f>
        <v>0</v>
      </c>
      <c r="D32" s="3">
        <f t="shared" ref="D32:O32" si="59">SUM(D28:D31)</f>
        <v>0</v>
      </c>
      <c r="E32" s="3">
        <f t="shared" si="59"/>
        <v>21.25</v>
      </c>
      <c r="F32" s="3">
        <f t="shared" si="59"/>
        <v>0</v>
      </c>
      <c r="G32" s="3">
        <f t="shared" si="59"/>
        <v>21.25</v>
      </c>
      <c r="H32" s="3">
        <f t="shared" si="59"/>
        <v>79.903543307086608</v>
      </c>
      <c r="I32" s="3">
        <f t="shared" si="59"/>
        <v>21.25</v>
      </c>
      <c r="J32" s="3">
        <f t="shared" si="59"/>
        <v>0</v>
      </c>
      <c r="K32" s="3">
        <f t="shared" si="59"/>
        <v>1041.4379646650164</v>
      </c>
      <c r="L32" s="3">
        <f t="shared" si="59"/>
        <v>0</v>
      </c>
      <c r="M32" s="3">
        <f>SUM(M28:M31)</f>
        <v>1041.4379646650164</v>
      </c>
      <c r="N32" s="3">
        <f t="shared" si="59"/>
        <v>1062.6879646650164</v>
      </c>
      <c r="O32" s="3">
        <f t="shared" si="59"/>
        <v>1466.4379646650164</v>
      </c>
      <c r="P32" s="3">
        <f t="shared" ref="P32:Q32" si="60">SUM(P28:P31)</f>
        <v>58.653543307086615</v>
      </c>
      <c r="Q32" s="3">
        <f t="shared" si="60"/>
        <v>0</v>
      </c>
      <c r="R32" s="3">
        <f t="shared" ref="R32" si="61">SUM(R28:R31)</f>
        <v>41.474318213059775</v>
      </c>
      <c r="S32" s="43">
        <f t="shared" ref="S32:AH32" si="62">SUM(S28:S31)</f>
        <v>8.294863642611956</v>
      </c>
      <c r="T32" s="3">
        <f t="shared" si="62"/>
        <v>1062.6879646650164</v>
      </c>
      <c r="U32" s="3">
        <f t="shared" si="62"/>
        <v>1062.6879646650164</v>
      </c>
      <c r="V32" s="3">
        <f t="shared" si="62"/>
        <v>1062.6879646650164</v>
      </c>
      <c r="W32" s="3">
        <f t="shared" si="62"/>
        <v>1062.6879646650164</v>
      </c>
      <c r="X32" s="43">
        <f t="shared" si="62"/>
        <v>1062.6879646650164</v>
      </c>
      <c r="Y32" s="3">
        <f t="shared" si="62"/>
        <v>1062.6879646650164</v>
      </c>
      <c r="Z32" s="3">
        <f t="shared" si="62"/>
        <v>1062.6879646650164</v>
      </c>
      <c r="AA32" s="3">
        <f t="shared" si="62"/>
        <v>1062.6879646650164</v>
      </c>
      <c r="AB32" s="3">
        <f t="shared" si="62"/>
        <v>1062.6879646650164</v>
      </c>
      <c r="AC32" s="43">
        <f t="shared" si="62"/>
        <v>1062.6879646650164</v>
      </c>
      <c r="AD32" s="3">
        <f t="shared" si="62"/>
        <v>1810.6834786638738</v>
      </c>
      <c r="AE32" s="3">
        <f t="shared" si="62"/>
        <v>1312.0198026646356</v>
      </c>
      <c r="AF32" s="3">
        <f t="shared" si="62"/>
        <v>1062.6879646650164</v>
      </c>
      <c r="AG32" s="3">
        <f t="shared" si="62"/>
        <v>938.02204566520675</v>
      </c>
      <c r="AH32" s="43">
        <f t="shared" si="62"/>
        <v>875.689086165302</v>
      </c>
    </row>
    <row r="33" spans="1:34" outlineLevel="1" x14ac:dyDescent="0.25">
      <c r="A33" t="s">
        <v>115</v>
      </c>
      <c r="B33" t="s">
        <v>4</v>
      </c>
      <c r="C33" s="3">
        <f t="shared" ref="C33:O33" si="63">-C22*C14/1000</f>
        <v>-21.25</v>
      </c>
      <c r="D33" s="3">
        <f t="shared" si="63"/>
        <v>-42.5</v>
      </c>
      <c r="E33" s="3">
        <f t="shared" si="63"/>
        <v>-21.25</v>
      </c>
      <c r="F33" s="3">
        <f t="shared" si="63"/>
        <v>-21.25</v>
      </c>
      <c r="G33" s="3">
        <f t="shared" si="63"/>
        <v>-42.5</v>
      </c>
      <c r="H33" s="3">
        <f t="shared" si="63"/>
        <v>-42.5</v>
      </c>
      <c r="I33" s="3">
        <f t="shared" si="63"/>
        <v>-42.5</v>
      </c>
      <c r="J33" s="3">
        <f t="shared" si="63"/>
        <v>-21.25</v>
      </c>
      <c r="K33" s="3">
        <f t="shared" si="63"/>
        <v>-21.25</v>
      </c>
      <c r="L33" s="3">
        <f t="shared" si="63"/>
        <v>-21.25</v>
      </c>
      <c r="M33" s="3">
        <f>-M22*M14/1000</f>
        <v>-21.25</v>
      </c>
      <c r="N33" s="3">
        <f t="shared" si="63"/>
        <v>-42.5</v>
      </c>
      <c r="O33" s="3">
        <f t="shared" si="63"/>
        <v>-425</v>
      </c>
      <c r="P33" s="3">
        <f t="shared" ref="P33" si="64">-P22*P14/1000</f>
        <v>-21.25</v>
      </c>
      <c r="Q33" s="3">
        <f>-Q22*Q14/1000</f>
        <v>-21.25</v>
      </c>
      <c r="R33" s="3">
        <f t="shared" ref="R33" si="65">-R22*R14/1000</f>
        <v>-21.25</v>
      </c>
      <c r="S33" s="43">
        <f t="shared" ref="S33:AH33" si="66">-S22*S14/1000</f>
        <v>-21.25</v>
      </c>
      <c r="T33" s="3">
        <f t="shared" si="66"/>
        <v>-42.5</v>
      </c>
      <c r="U33" s="3">
        <f t="shared" si="66"/>
        <v>-42.5</v>
      </c>
      <c r="V33" s="3">
        <f t="shared" si="66"/>
        <v>-42.5</v>
      </c>
      <c r="W33" s="3">
        <f t="shared" si="66"/>
        <v>-42.5</v>
      </c>
      <c r="X33" s="43">
        <f t="shared" si="66"/>
        <v>-42.5</v>
      </c>
      <c r="Y33" s="3">
        <f t="shared" si="66"/>
        <v>-42.5</v>
      </c>
      <c r="Z33" s="3">
        <f t="shared" si="66"/>
        <v>-42.5</v>
      </c>
      <c r="AA33" s="3">
        <f t="shared" si="66"/>
        <v>-42.5</v>
      </c>
      <c r="AB33" s="3">
        <f t="shared" si="66"/>
        <v>-42.5</v>
      </c>
      <c r="AC33" s="43">
        <f t="shared" si="66"/>
        <v>-42.5</v>
      </c>
      <c r="AD33" s="3">
        <f t="shared" si="66"/>
        <v>-96.5</v>
      </c>
      <c r="AE33" s="3">
        <f t="shared" si="66"/>
        <v>-60.5</v>
      </c>
      <c r="AF33" s="3">
        <f t="shared" si="66"/>
        <v>-42.5</v>
      </c>
      <c r="AG33" s="3">
        <f t="shared" si="66"/>
        <v>-33.5</v>
      </c>
      <c r="AH33" s="43">
        <f t="shared" si="66"/>
        <v>-29</v>
      </c>
    </row>
    <row r="34" spans="1:34" outlineLevel="1" x14ac:dyDescent="0.25">
      <c r="A34" t="s">
        <v>116</v>
      </c>
      <c r="B34" t="s">
        <v>4</v>
      </c>
      <c r="C34" s="3">
        <f t="shared" ref="C34:O34" si="67">-C25*C17/1000</f>
        <v>0</v>
      </c>
      <c r="D34" s="3">
        <f t="shared" si="67"/>
        <v>0</v>
      </c>
      <c r="E34" s="3">
        <f t="shared" si="67"/>
        <v>0</v>
      </c>
      <c r="F34" s="3">
        <f t="shared" si="67"/>
        <v>0</v>
      </c>
      <c r="G34" s="3">
        <f t="shared" si="67"/>
        <v>0</v>
      </c>
      <c r="H34" s="3">
        <f t="shared" si="67"/>
        <v>0</v>
      </c>
      <c r="I34" s="3">
        <f t="shared" si="67"/>
        <v>0</v>
      </c>
      <c r="J34" s="3">
        <f t="shared" si="67"/>
        <v>612.61056745000963</v>
      </c>
      <c r="K34" s="3">
        <f t="shared" si="67"/>
        <v>0</v>
      </c>
      <c r="L34" s="3">
        <f t="shared" si="67"/>
        <v>0</v>
      </c>
      <c r="M34" s="3">
        <f>-M25*M17/1000</f>
        <v>612.61056745000963</v>
      </c>
      <c r="N34" s="3">
        <f t="shared" si="67"/>
        <v>612.61056745000963</v>
      </c>
      <c r="O34" s="3">
        <f t="shared" si="67"/>
        <v>612.61056745000963</v>
      </c>
      <c r="P34" s="3">
        <f t="shared" ref="P34" si="68">-P25*P17/1000</f>
        <v>0</v>
      </c>
      <c r="Q34" s="3">
        <f>-Q25*Q17/1000</f>
        <v>0</v>
      </c>
      <c r="R34" s="3">
        <f t="shared" ref="R34" si="69">-R25*R17/1000</f>
        <v>0</v>
      </c>
      <c r="S34" s="43">
        <f t="shared" ref="S34:AH34" si="70">-S25*S17/1000</f>
        <v>0</v>
      </c>
      <c r="T34" s="3">
        <f t="shared" si="70"/>
        <v>612.61056745000963</v>
      </c>
      <c r="U34" s="3">
        <f t="shared" si="70"/>
        <v>612.61056745000963</v>
      </c>
      <c r="V34" s="3">
        <f t="shared" si="70"/>
        <v>612.61056745000963</v>
      </c>
      <c r="W34" s="3">
        <f t="shared" si="70"/>
        <v>612.61056745000963</v>
      </c>
      <c r="X34" s="43">
        <f t="shared" si="70"/>
        <v>612.61056745000963</v>
      </c>
      <c r="Y34" s="3">
        <f t="shared" si="70"/>
        <v>612.61056745000963</v>
      </c>
      <c r="Z34" s="3">
        <f t="shared" si="70"/>
        <v>612.61056745000963</v>
      </c>
      <c r="AA34" s="3">
        <f t="shared" si="70"/>
        <v>612.61056745000963</v>
      </c>
      <c r="AB34" s="3">
        <f t="shared" si="70"/>
        <v>612.61056745000963</v>
      </c>
      <c r="AC34" s="43">
        <f t="shared" si="70"/>
        <v>612.61056745000963</v>
      </c>
      <c r="AD34" s="3">
        <f t="shared" si="70"/>
        <v>1036.7255756846316</v>
      </c>
      <c r="AE34" s="3">
        <f t="shared" si="70"/>
        <v>753.98223686155029</v>
      </c>
      <c r="AF34" s="3">
        <f t="shared" si="70"/>
        <v>612.61056745000963</v>
      </c>
      <c r="AG34" s="3">
        <f t="shared" si="70"/>
        <v>541.92473274423924</v>
      </c>
      <c r="AH34" s="43">
        <f t="shared" si="70"/>
        <v>506.5818153913541</v>
      </c>
    </row>
    <row r="35" spans="1:34" outlineLevel="1" x14ac:dyDescent="0.25">
      <c r="A35" t="s">
        <v>117</v>
      </c>
      <c r="B35" t="s">
        <v>4</v>
      </c>
      <c r="C35" s="3">
        <f t="shared" ref="C35:AH35" si="71">C24*C11/1000</f>
        <v>0</v>
      </c>
      <c r="D35" s="3">
        <f t="shared" si="71"/>
        <v>0</v>
      </c>
      <c r="E35" s="3">
        <f t="shared" si="71"/>
        <v>0</v>
      </c>
      <c r="F35" s="3">
        <f t="shared" si="71"/>
        <v>42.5</v>
      </c>
      <c r="G35" s="3">
        <f t="shared" si="71"/>
        <v>42.5</v>
      </c>
      <c r="H35" s="3">
        <f t="shared" si="71"/>
        <v>42.5</v>
      </c>
      <c r="I35" s="3">
        <f t="shared" si="71"/>
        <v>-42.5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 t="shared" si="71"/>
        <v>0</v>
      </c>
      <c r="N35" s="3">
        <f t="shared" si="71"/>
        <v>42.5</v>
      </c>
      <c r="O35" s="3">
        <f>O24*O11/1000</f>
        <v>850</v>
      </c>
      <c r="P35" s="3">
        <f t="shared" ref="P35:Q35" si="72">P24*P11/1000</f>
        <v>0</v>
      </c>
      <c r="Q35" s="3">
        <f t="shared" si="72"/>
        <v>0</v>
      </c>
      <c r="R35" s="3">
        <f t="shared" ref="R35" si="73">R24*R11/1000</f>
        <v>0</v>
      </c>
      <c r="S35" s="43">
        <f t="shared" si="71"/>
        <v>0</v>
      </c>
      <c r="T35" s="3">
        <f t="shared" si="71"/>
        <v>42.5</v>
      </c>
      <c r="U35" s="3">
        <f t="shared" si="71"/>
        <v>42.5</v>
      </c>
      <c r="V35" s="3">
        <f t="shared" si="71"/>
        <v>42.5</v>
      </c>
      <c r="W35" s="3">
        <f t="shared" si="71"/>
        <v>42.5</v>
      </c>
      <c r="X35" s="43">
        <f t="shared" si="71"/>
        <v>42.5</v>
      </c>
      <c r="Y35" s="3">
        <f t="shared" si="71"/>
        <v>42.5</v>
      </c>
      <c r="Z35" s="3">
        <f t="shared" si="71"/>
        <v>42.5</v>
      </c>
      <c r="AA35" s="3">
        <f t="shared" si="71"/>
        <v>42.5</v>
      </c>
      <c r="AB35" s="3">
        <f t="shared" si="71"/>
        <v>42.5</v>
      </c>
      <c r="AC35" s="43">
        <f t="shared" si="71"/>
        <v>42.5</v>
      </c>
      <c r="AD35" s="3">
        <f t="shared" si="71"/>
        <v>42.5</v>
      </c>
      <c r="AE35" s="3">
        <f t="shared" si="71"/>
        <v>42.5</v>
      </c>
      <c r="AF35" s="3">
        <f t="shared" si="71"/>
        <v>42.5</v>
      </c>
      <c r="AG35" s="3">
        <f t="shared" si="71"/>
        <v>42.5</v>
      </c>
      <c r="AH35" s="43">
        <f t="shared" si="71"/>
        <v>42.5</v>
      </c>
    </row>
    <row r="36" spans="1:34" outlineLevel="1" x14ac:dyDescent="0.25">
      <c r="A36" t="s">
        <v>118</v>
      </c>
      <c r="B36" t="s">
        <v>4</v>
      </c>
      <c r="C36" s="3">
        <f t="shared" ref="C36:O36" si="74">C27*C15/1000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-123.32283464566927</v>
      </c>
      <c r="J36" s="3">
        <f t="shared" si="74"/>
        <v>0</v>
      </c>
      <c r="K36" s="3">
        <f t="shared" si="74"/>
        <v>0</v>
      </c>
      <c r="L36" s="3">
        <f t="shared" si="74"/>
        <v>-3284.5351193281285</v>
      </c>
      <c r="M36" s="3">
        <f>M27*M15/1000</f>
        <v>-3284.5351193281285</v>
      </c>
      <c r="N36" s="3">
        <f t="shared" si="74"/>
        <v>-3284.5351193281285</v>
      </c>
      <c r="O36" s="3">
        <f t="shared" si="74"/>
        <v>-3284.5351193281285</v>
      </c>
      <c r="P36" s="3">
        <f t="shared" ref="P36:Q36" si="75">P27*P15/1000</f>
        <v>0</v>
      </c>
      <c r="Q36" s="3">
        <f t="shared" si="75"/>
        <v>123.32283464566927</v>
      </c>
      <c r="R36" s="3">
        <f t="shared" ref="R36" si="76">R27*R15/1000</f>
        <v>87.202412653100055</v>
      </c>
      <c r="S36" s="43">
        <f t="shared" ref="S36:AH36" si="77">S27*S15/1000</f>
        <v>17.44048253062001</v>
      </c>
      <c r="T36" s="3">
        <f t="shared" si="77"/>
        <v>-3284.5351193281285</v>
      </c>
      <c r="U36" s="3">
        <f t="shared" si="77"/>
        <v>-3284.5351193281285</v>
      </c>
      <c r="V36" s="3">
        <f t="shared" si="77"/>
        <v>-3284.5351193281285</v>
      </c>
      <c r="W36" s="3">
        <f t="shared" si="77"/>
        <v>-3284.5351193281285</v>
      </c>
      <c r="X36" s="43">
        <f t="shared" si="77"/>
        <v>-3284.5351193281285</v>
      </c>
      <c r="Y36" s="3">
        <f t="shared" si="77"/>
        <v>-3284.5351193281285</v>
      </c>
      <c r="Z36" s="3">
        <f t="shared" si="77"/>
        <v>-3284.5351193281285</v>
      </c>
      <c r="AA36" s="3">
        <f t="shared" si="77"/>
        <v>-3284.5351193281285</v>
      </c>
      <c r="AB36" s="3">
        <f t="shared" si="77"/>
        <v>-3284.5351193281285</v>
      </c>
      <c r="AC36" s="43">
        <f t="shared" si="77"/>
        <v>-3284.5351193281285</v>
      </c>
      <c r="AD36" s="3">
        <f t="shared" si="77"/>
        <v>-3284.5351193281285</v>
      </c>
      <c r="AE36" s="3">
        <f t="shared" si="77"/>
        <v>-3284.5351193281285</v>
      </c>
      <c r="AF36" s="3">
        <f t="shared" si="77"/>
        <v>-3284.5351193281285</v>
      </c>
      <c r="AG36" s="3">
        <f t="shared" si="77"/>
        <v>-3284.5351193281285</v>
      </c>
      <c r="AH36" s="43">
        <f t="shared" si="77"/>
        <v>-3284.5351193281285</v>
      </c>
    </row>
    <row r="37" spans="1:34" x14ac:dyDescent="0.25">
      <c r="A37" t="s">
        <v>84</v>
      </c>
      <c r="B37" t="s">
        <v>4</v>
      </c>
      <c r="C37" s="3">
        <f>SUM(C33:C36)</f>
        <v>-21.25</v>
      </c>
      <c r="D37" s="3">
        <f t="shared" ref="D37:O37" si="78">SUM(D33:D36)</f>
        <v>-42.5</v>
      </c>
      <c r="E37" s="3">
        <f t="shared" si="78"/>
        <v>-21.25</v>
      </c>
      <c r="F37" s="3">
        <f t="shared" si="78"/>
        <v>21.25</v>
      </c>
      <c r="G37" s="3">
        <f t="shared" si="78"/>
        <v>0</v>
      </c>
      <c r="H37" s="3">
        <f t="shared" si="78"/>
        <v>0</v>
      </c>
      <c r="I37" s="3">
        <f t="shared" si="78"/>
        <v>-208.32283464566927</v>
      </c>
      <c r="J37" s="3">
        <f t="shared" si="78"/>
        <v>591.36056745000963</v>
      </c>
      <c r="K37" s="3">
        <f t="shared" si="78"/>
        <v>-21.25</v>
      </c>
      <c r="L37" s="3">
        <f t="shared" si="78"/>
        <v>-3305.7851193281285</v>
      </c>
      <c r="M37" s="3">
        <f>SUM(M33:M36)</f>
        <v>-2693.174551878119</v>
      </c>
      <c r="N37" s="3">
        <f t="shared" si="78"/>
        <v>-2671.924551878119</v>
      </c>
      <c r="O37" s="3">
        <f t="shared" si="78"/>
        <v>-2246.924551878119</v>
      </c>
      <c r="P37" s="3">
        <f t="shared" ref="P37:Q37" si="79">SUM(P33:P36)</f>
        <v>-21.25</v>
      </c>
      <c r="Q37" s="3">
        <f t="shared" si="79"/>
        <v>102.07283464566927</v>
      </c>
      <c r="R37" s="3">
        <f t="shared" ref="R37" si="80">SUM(R33:R36)</f>
        <v>65.952412653100055</v>
      </c>
      <c r="S37" s="43">
        <f t="shared" ref="S37:AH37" si="81">SUM(S33:S36)</f>
        <v>-3.8095174693799905</v>
      </c>
      <c r="T37" s="3">
        <f t="shared" si="81"/>
        <v>-2671.924551878119</v>
      </c>
      <c r="U37" s="3">
        <f t="shared" si="81"/>
        <v>-2671.924551878119</v>
      </c>
      <c r="V37" s="3">
        <f t="shared" si="81"/>
        <v>-2671.924551878119</v>
      </c>
      <c r="W37" s="3">
        <f t="shared" si="81"/>
        <v>-2671.924551878119</v>
      </c>
      <c r="X37" s="43">
        <f t="shared" si="81"/>
        <v>-2671.924551878119</v>
      </c>
      <c r="Y37" s="3">
        <f t="shared" si="81"/>
        <v>-2671.924551878119</v>
      </c>
      <c r="Z37" s="3">
        <f t="shared" si="81"/>
        <v>-2671.924551878119</v>
      </c>
      <c r="AA37" s="3">
        <f t="shared" si="81"/>
        <v>-2671.924551878119</v>
      </c>
      <c r="AB37" s="3">
        <f t="shared" si="81"/>
        <v>-2671.924551878119</v>
      </c>
      <c r="AC37" s="43">
        <f t="shared" si="81"/>
        <v>-2671.924551878119</v>
      </c>
      <c r="AD37" s="3">
        <f t="shared" si="81"/>
        <v>-2301.8095436434969</v>
      </c>
      <c r="AE37" s="3">
        <f t="shared" si="81"/>
        <v>-2548.552882466578</v>
      </c>
      <c r="AF37" s="3">
        <f t="shared" si="81"/>
        <v>-2671.924551878119</v>
      </c>
      <c r="AG37" s="3">
        <f t="shared" si="81"/>
        <v>-2733.6103865838895</v>
      </c>
      <c r="AH37" s="43">
        <f t="shared" si="81"/>
        <v>-2764.4533039367743</v>
      </c>
    </row>
    <row r="38" spans="1:34" hidden="1" outlineLevel="1" x14ac:dyDescent="0.25">
      <c r="A38" t="s">
        <v>119</v>
      </c>
      <c r="B38" t="s">
        <v>4</v>
      </c>
      <c r="C38" s="3">
        <f t="shared" ref="C38:O38" si="82">C22*C12/1000</f>
        <v>0</v>
      </c>
      <c r="D38" s="3">
        <f t="shared" si="82"/>
        <v>0</v>
      </c>
      <c r="E38" s="3">
        <f t="shared" si="82"/>
        <v>0</v>
      </c>
      <c r="F38" s="3">
        <f t="shared" si="82"/>
        <v>0</v>
      </c>
      <c r="G38" s="3">
        <f t="shared" si="82"/>
        <v>0</v>
      </c>
      <c r="H38" s="3">
        <f t="shared" si="82"/>
        <v>0</v>
      </c>
      <c r="I38" s="3">
        <f t="shared" si="82"/>
        <v>0</v>
      </c>
      <c r="J38" s="3">
        <f t="shared" si="82"/>
        <v>0</v>
      </c>
      <c r="K38" s="3">
        <f t="shared" si="82"/>
        <v>0</v>
      </c>
      <c r="L38" s="3">
        <f t="shared" si="82"/>
        <v>0</v>
      </c>
      <c r="M38" s="3">
        <f>M22*M12/1000</f>
        <v>0</v>
      </c>
      <c r="N38" s="3">
        <f t="shared" si="82"/>
        <v>0</v>
      </c>
      <c r="O38" s="3">
        <f t="shared" si="82"/>
        <v>0</v>
      </c>
      <c r="P38" s="3">
        <f t="shared" ref="P38:Q38" si="83">P22*P12/1000</f>
        <v>0</v>
      </c>
      <c r="Q38" s="3">
        <f t="shared" si="83"/>
        <v>0</v>
      </c>
      <c r="R38" s="3">
        <f t="shared" ref="R38" si="84">R22*R12/1000</f>
        <v>0</v>
      </c>
      <c r="S38" s="43">
        <f t="shared" ref="S38:AH38" si="85">S22*S12/1000</f>
        <v>0</v>
      </c>
      <c r="T38" s="3">
        <f t="shared" si="85"/>
        <v>0</v>
      </c>
      <c r="U38" s="3">
        <f t="shared" si="85"/>
        <v>0</v>
      </c>
      <c r="V38" s="3">
        <f t="shared" si="85"/>
        <v>0</v>
      </c>
      <c r="W38" s="3">
        <f t="shared" si="85"/>
        <v>0</v>
      </c>
      <c r="X38" s="43">
        <f t="shared" si="85"/>
        <v>0</v>
      </c>
      <c r="Y38" s="3">
        <f t="shared" si="85"/>
        <v>0</v>
      </c>
      <c r="Z38" s="3">
        <f t="shared" si="85"/>
        <v>0</v>
      </c>
      <c r="AA38" s="3">
        <f t="shared" si="85"/>
        <v>0</v>
      </c>
      <c r="AB38" s="3">
        <f t="shared" si="85"/>
        <v>0</v>
      </c>
      <c r="AC38" s="43">
        <f t="shared" si="85"/>
        <v>0</v>
      </c>
      <c r="AD38" s="3">
        <f t="shared" si="85"/>
        <v>0</v>
      </c>
      <c r="AE38" s="3">
        <f t="shared" si="85"/>
        <v>0</v>
      </c>
      <c r="AF38" s="3">
        <f t="shared" si="85"/>
        <v>0</v>
      </c>
      <c r="AG38" s="3">
        <f t="shared" si="85"/>
        <v>0</v>
      </c>
      <c r="AH38" s="43">
        <f t="shared" si="85"/>
        <v>0</v>
      </c>
    </row>
    <row r="39" spans="1:34" hidden="1" outlineLevel="1" x14ac:dyDescent="0.25">
      <c r="A39" t="s">
        <v>120</v>
      </c>
      <c r="B39" t="s">
        <v>4</v>
      </c>
      <c r="C39" s="3">
        <f t="shared" ref="C39:O39" si="86">C25*C16/1000</f>
        <v>0</v>
      </c>
      <c r="D39" s="3">
        <f t="shared" si="86"/>
        <v>0</v>
      </c>
      <c r="E39" s="3">
        <f t="shared" si="86"/>
        <v>0</v>
      </c>
      <c r="F39" s="3">
        <f t="shared" si="86"/>
        <v>0</v>
      </c>
      <c r="G39" s="3">
        <f t="shared" si="86"/>
        <v>0</v>
      </c>
      <c r="H39" s="3">
        <f t="shared" si="86"/>
        <v>0</v>
      </c>
      <c r="I39" s="3">
        <f t="shared" si="86"/>
        <v>0</v>
      </c>
      <c r="J39" s="3">
        <f t="shared" si="86"/>
        <v>0</v>
      </c>
      <c r="K39" s="3">
        <f t="shared" si="86"/>
        <v>0</v>
      </c>
      <c r="L39" s="3">
        <f t="shared" si="86"/>
        <v>0</v>
      </c>
      <c r="M39" s="3">
        <f>M25*M16/1000</f>
        <v>0</v>
      </c>
      <c r="N39" s="3">
        <f t="shared" si="86"/>
        <v>0</v>
      </c>
      <c r="O39" s="3">
        <f t="shared" si="86"/>
        <v>0</v>
      </c>
      <c r="P39" s="3">
        <f t="shared" ref="P39:Q39" si="87">P25*P16/1000</f>
        <v>0</v>
      </c>
      <c r="Q39" s="3">
        <f t="shared" si="87"/>
        <v>0</v>
      </c>
      <c r="R39" s="3">
        <f t="shared" ref="R39" si="88">R25*R16/1000</f>
        <v>0</v>
      </c>
      <c r="S39" s="43">
        <f t="shared" ref="S39:AH39" si="89">S25*S16/1000</f>
        <v>0</v>
      </c>
      <c r="T39" s="3">
        <f t="shared" si="89"/>
        <v>0</v>
      </c>
      <c r="U39" s="3">
        <f t="shared" si="89"/>
        <v>0</v>
      </c>
      <c r="V39" s="3">
        <f t="shared" si="89"/>
        <v>0</v>
      </c>
      <c r="W39" s="3">
        <f t="shared" si="89"/>
        <v>0</v>
      </c>
      <c r="X39" s="43">
        <f t="shared" si="89"/>
        <v>0</v>
      </c>
      <c r="Y39" s="3">
        <f t="shared" si="89"/>
        <v>0</v>
      </c>
      <c r="Z39" s="3">
        <f t="shared" si="89"/>
        <v>0</v>
      </c>
      <c r="AA39" s="3">
        <f t="shared" si="89"/>
        <v>0</v>
      </c>
      <c r="AB39" s="3">
        <f t="shared" si="89"/>
        <v>0</v>
      </c>
      <c r="AC39" s="43">
        <f t="shared" si="89"/>
        <v>0</v>
      </c>
      <c r="AD39" s="3">
        <f t="shared" si="89"/>
        <v>0</v>
      </c>
      <c r="AE39" s="3">
        <f t="shared" si="89"/>
        <v>0</v>
      </c>
      <c r="AF39" s="3">
        <f t="shared" si="89"/>
        <v>0</v>
      </c>
      <c r="AG39" s="3">
        <f t="shared" si="89"/>
        <v>0</v>
      </c>
      <c r="AH39" s="43">
        <f t="shared" si="89"/>
        <v>0</v>
      </c>
    </row>
    <row r="40" spans="1:34" hidden="1" outlineLevel="1" x14ac:dyDescent="0.25">
      <c r="A40" t="s">
        <v>121</v>
      </c>
      <c r="B40" t="s">
        <v>4</v>
      </c>
      <c r="C40" s="3">
        <f t="shared" ref="C40:AH40" si="90">-C23*C11/1000</f>
        <v>0</v>
      </c>
      <c r="D40" s="3">
        <f t="shared" si="90"/>
        <v>0</v>
      </c>
      <c r="E40" s="3">
        <f t="shared" si="90"/>
        <v>42.5</v>
      </c>
      <c r="F40" s="3">
        <f t="shared" si="90"/>
        <v>0</v>
      </c>
      <c r="G40" s="3">
        <f t="shared" si="90"/>
        <v>42.5</v>
      </c>
      <c r="H40" s="3">
        <f t="shared" si="90"/>
        <v>42.5</v>
      </c>
      <c r="I40" s="3">
        <f t="shared" si="90"/>
        <v>42.5</v>
      </c>
      <c r="J40" s="3">
        <f t="shared" si="90"/>
        <v>0</v>
      </c>
      <c r="K40" s="3">
        <f t="shared" si="90"/>
        <v>0</v>
      </c>
      <c r="L40" s="3">
        <f t="shared" si="90"/>
        <v>0</v>
      </c>
      <c r="M40" s="3">
        <f t="shared" si="90"/>
        <v>0</v>
      </c>
      <c r="N40" s="3">
        <f t="shared" si="90"/>
        <v>42.5</v>
      </c>
      <c r="O40" s="3">
        <f t="shared" si="90"/>
        <v>850</v>
      </c>
      <c r="P40" s="3">
        <f t="shared" ref="P40:Q40" si="91">-P23*P11/1000</f>
        <v>0</v>
      </c>
      <c r="Q40" s="3">
        <f t="shared" si="91"/>
        <v>0</v>
      </c>
      <c r="R40" s="3">
        <f t="shared" ref="R40" si="92">-R23*R11/1000</f>
        <v>0</v>
      </c>
      <c r="S40" s="43">
        <f t="shared" si="90"/>
        <v>0</v>
      </c>
      <c r="T40" s="3">
        <f t="shared" si="90"/>
        <v>42.5</v>
      </c>
      <c r="U40" s="3">
        <f t="shared" si="90"/>
        <v>42.5</v>
      </c>
      <c r="V40" s="3">
        <f t="shared" si="90"/>
        <v>42.5</v>
      </c>
      <c r="W40" s="3">
        <f t="shared" si="90"/>
        <v>42.5</v>
      </c>
      <c r="X40" s="43">
        <f t="shared" si="90"/>
        <v>42.5</v>
      </c>
      <c r="Y40" s="3">
        <f t="shared" si="90"/>
        <v>42.5</v>
      </c>
      <c r="Z40" s="3">
        <f t="shared" si="90"/>
        <v>42.5</v>
      </c>
      <c r="AA40" s="3">
        <f t="shared" si="90"/>
        <v>42.5</v>
      </c>
      <c r="AB40" s="3">
        <f t="shared" si="90"/>
        <v>42.5</v>
      </c>
      <c r="AC40" s="43">
        <f t="shared" si="90"/>
        <v>42.5</v>
      </c>
      <c r="AD40" s="3">
        <f t="shared" si="90"/>
        <v>42.5</v>
      </c>
      <c r="AE40" s="3">
        <f t="shared" si="90"/>
        <v>42.5</v>
      </c>
      <c r="AF40" s="3">
        <f t="shared" si="90"/>
        <v>42.5</v>
      </c>
      <c r="AG40" s="3">
        <f t="shared" si="90"/>
        <v>42.5</v>
      </c>
      <c r="AH40" s="43">
        <f t="shared" si="90"/>
        <v>42.5</v>
      </c>
    </row>
    <row r="41" spans="1:34" hidden="1" outlineLevel="1" x14ac:dyDescent="0.25">
      <c r="A41" t="s">
        <v>122</v>
      </c>
      <c r="B41" t="s">
        <v>4</v>
      </c>
      <c r="C41" s="3">
        <f t="shared" ref="C41:O41" si="93">-C26*C15/1000</f>
        <v>0</v>
      </c>
      <c r="D41" s="3">
        <f t="shared" si="93"/>
        <v>0</v>
      </c>
      <c r="E41" s="3">
        <f t="shared" si="93"/>
        <v>0</v>
      </c>
      <c r="F41" s="3">
        <f t="shared" si="93"/>
        <v>0</v>
      </c>
      <c r="G41" s="3">
        <f t="shared" si="93"/>
        <v>0</v>
      </c>
      <c r="H41" s="3">
        <f t="shared" si="93"/>
        <v>123.32283464566927</v>
      </c>
      <c r="I41" s="3">
        <f t="shared" si="93"/>
        <v>0</v>
      </c>
      <c r="J41" s="3">
        <f t="shared" si="93"/>
        <v>0</v>
      </c>
      <c r="K41" s="3">
        <f t="shared" si="93"/>
        <v>2189.6900795520855</v>
      </c>
      <c r="L41" s="3">
        <f t="shared" si="93"/>
        <v>0</v>
      </c>
      <c r="M41" s="3">
        <f>-M26*M15/1000</f>
        <v>2189.6900795520855</v>
      </c>
      <c r="N41" s="3">
        <f t="shared" si="93"/>
        <v>2189.6900795520855</v>
      </c>
      <c r="O41" s="3">
        <f t="shared" si="93"/>
        <v>2189.6900795520855</v>
      </c>
      <c r="P41" s="3">
        <f t="shared" ref="P41:Q41" si="94">-P26*P15/1000</f>
        <v>123.32283464566927</v>
      </c>
      <c r="Q41" s="3">
        <f t="shared" si="94"/>
        <v>0</v>
      </c>
      <c r="R41" s="3">
        <f t="shared" ref="R41" si="95">-R26*R15/1000</f>
        <v>87.202412653100055</v>
      </c>
      <c r="S41" s="43">
        <f t="shared" ref="S41:AH41" si="96">-S26*S15/1000</f>
        <v>17.44048253062001</v>
      </c>
      <c r="T41" s="3">
        <f t="shared" si="96"/>
        <v>2189.6900795520855</v>
      </c>
      <c r="U41" s="3">
        <f t="shared" si="96"/>
        <v>2189.6900795520855</v>
      </c>
      <c r="V41" s="3">
        <f t="shared" si="96"/>
        <v>2189.6900795520855</v>
      </c>
      <c r="W41" s="3">
        <f t="shared" si="96"/>
        <v>2189.6900795520855</v>
      </c>
      <c r="X41" s="43">
        <f t="shared" si="96"/>
        <v>2189.6900795520855</v>
      </c>
      <c r="Y41" s="3">
        <f t="shared" si="96"/>
        <v>2189.6900795520855</v>
      </c>
      <c r="Z41" s="3">
        <f t="shared" si="96"/>
        <v>2189.6900795520855</v>
      </c>
      <c r="AA41" s="3">
        <f t="shared" si="96"/>
        <v>2189.6900795520855</v>
      </c>
      <c r="AB41" s="3">
        <f t="shared" si="96"/>
        <v>2189.6900795520855</v>
      </c>
      <c r="AC41" s="43">
        <f t="shared" si="96"/>
        <v>2189.6900795520855</v>
      </c>
      <c r="AD41" s="3">
        <f t="shared" si="96"/>
        <v>2189.6900795520855</v>
      </c>
      <c r="AE41" s="3">
        <f t="shared" si="96"/>
        <v>2189.6900795520855</v>
      </c>
      <c r="AF41" s="3">
        <f t="shared" si="96"/>
        <v>2189.6900795520855</v>
      </c>
      <c r="AG41" s="3">
        <f t="shared" si="96"/>
        <v>2189.6900795520855</v>
      </c>
      <c r="AH41" s="43">
        <f t="shared" si="96"/>
        <v>2189.6900795520855</v>
      </c>
    </row>
    <row r="42" spans="1:34" collapsed="1" x14ac:dyDescent="0.25">
      <c r="A42" t="s">
        <v>83</v>
      </c>
      <c r="B42" t="s">
        <v>4</v>
      </c>
      <c r="C42" s="3">
        <f>SUM(C38:C41)</f>
        <v>0</v>
      </c>
      <c r="D42" s="3">
        <f t="shared" ref="D42:O42" si="97">SUM(D38:D41)</f>
        <v>0</v>
      </c>
      <c r="E42" s="3">
        <f t="shared" si="97"/>
        <v>42.5</v>
      </c>
      <c r="F42" s="3">
        <f t="shared" si="97"/>
        <v>0</v>
      </c>
      <c r="G42" s="3">
        <f t="shared" si="97"/>
        <v>42.5</v>
      </c>
      <c r="H42" s="3">
        <f t="shared" si="97"/>
        <v>165.82283464566927</v>
      </c>
      <c r="I42" s="3">
        <f t="shared" si="97"/>
        <v>42.5</v>
      </c>
      <c r="J42" s="3">
        <f t="shared" si="97"/>
        <v>0</v>
      </c>
      <c r="K42" s="3">
        <f t="shared" si="97"/>
        <v>2189.6900795520855</v>
      </c>
      <c r="L42" s="3">
        <f t="shared" si="97"/>
        <v>0</v>
      </c>
      <c r="M42" s="3">
        <f>SUM(M38:M41)</f>
        <v>2189.6900795520855</v>
      </c>
      <c r="N42" s="3">
        <f t="shared" si="97"/>
        <v>2232.1900795520855</v>
      </c>
      <c r="O42" s="3">
        <f t="shared" si="97"/>
        <v>3039.6900795520855</v>
      </c>
      <c r="P42" s="3">
        <f t="shared" ref="P42:Q42" si="98">SUM(P38:P41)</f>
        <v>123.32283464566927</v>
      </c>
      <c r="Q42" s="3">
        <f t="shared" si="98"/>
        <v>0</v>
      </c>
      <c r="R42" s="3">
        <f t="shared" ref="R42" si="99">SUM(R38:R41)</f>
        <v>87.202412653100055</v>
      </c>
      <c r="S42" s="43">
        <f t="shared" ref="S42:AH42" si="100">SUM(S38:S41)</f>
        <v>17.44048253062001</v>
      </c>
      <c r="T42" s="3">
        <f t="shared" si="100"/>
        <v>2232.1900795520855</v>
      </c>
      <c r="U42" s="3">
        <f t="shared" si="100"/>
        <v>2232.1900795520855</v>
      </c>
      <c r="V42" s="3">
        <f t="shared" si="100"/>
        <v>2232.1900795520855</v>
      </c>
      <c r="W42" s="3">
        <f t="shared" si="100"/>
        <v>2232.1900795520855</v>
      </c>
      <c r="X42" s="43">
        <f t="shared" si="100"/>
        <v>2232.1900795520855</v>
      </c>
      <c r="Y42" s="3">
        <f t="shared" si="100"/>
        <v>2232.1900795520855</v>
      </c>
      <c r="Z42" s="3">
        <f t="shared" si="100"/>
        <v>2232.1900795520855</v>
      </c>
      <c r="AA42" s="3">
        <f t="shared" si="100"/>
        <v>2232.1900795520855</v>
      </c>
      <c r="AB42" s="3">
        <f t="shared" si="100"/>
        <v>2232.1900795520855</v>
      </c>
      <c r="AC42" s="43">
        <f t="shared" si="100"/>
        <v>2232.1900795520855</v>
      </c>
      <c r="AD42" s="3">
        <f t="shared" si="100"/>
        <v>2232.1900795520855</v>
      </c>
      <c r="AE42" s="3">
        <f t="shared" si="100"/>
        <v>2232.1900795520855</v>
      </c>
      <c r="AF42" s="3">
        <f t="shared" si="100"/>
        <v>2232.1900795520855</v>
      </c>
      <c r="AG42" s="3">
        <f t="shared" si="100"/>
        <v>2232.1900795520855</v>
      </c>
      <c r="AH42" s="43">
        <f t="shared" si="100"/>
        <v>2232.1900795520855</v>
      </c>
    </row>
    <row r="43" spans="1:34" outlineLevel="2" x14ac:dyDescent="0.25">
      <c r="A43" t="s">
        <v>124</v>
      </c>
      <c r="B43" t="s">
        <v>19</v>
      </c>
      <c r="C43" s="3">
        <f>-(C$24+C$27)/4</f>
        <v>0</v>
      </c>
      <c r="D43" s="3">
        <f t="shared" ref="D43:AH43" si="101">-(D$24+D$27)/4</f>
        <v>0</v>
      </c>
      <c r="E43" s="3">
        <f t="shared" si="101"/>
        <v>0</v>
      </c>
      <c r="F43" s="3">
        <f t="shared" si="101"/>
        <v>87.5</v>
      </c>
      <c r="G43" s="3">
        <f t="shared" si="101"/>
        <v>87.5</v>
      </c>
      <c r="H43" s="3">
        <f t="shared" si="101"/>
        <v>87.5</v>
      </c>
      <c r="I43" s="3">
        <f>-(I$24+I$27)/4</f>
        <v>-162.6968503937008</v>
      </c>
      <c r="J43" s="3">
        <f t="shared" si="101"/>
        <v>0</v>
      </c>
      <c r="K43" s="3">
        <f t="shared" si="101"/>
        <v>0</v>
      </c>
      <c r="L43" s="3">
        <f t="shared" si="101"/>
        <v>-2002.765316663493</v>
      </c>
      <c r="M43" s="3">
        <f t="shared" si="101"/>
        <v>-2002.765316663493</v>
      </c>
      <c r="N43" s="3">
        <f t="shared" si="101"/>
        <v>-1915.265316663493</v>
      </c>
      <c r="O43" s="3">
        <f t="shared" si="101"/>
        <v>-252.76531666349297</v>
      </c>
      <c r="P43" s="3">
        <f t="shared" si="101"/>
        <v>0</v>
      </c>
      <c r="Q43" s="3">
        <f t="shared" si="101"/>
        <v>75.196850393700785</v>
      </c>
      <c r="R43" s="3">
        <f t="shared" si="101"/>
        <v>53.17220283725613</v>
      </c>
      <c r="S43" s="43">
        <f t="shared" si="101"/>
        <v>10.634440567451225</v>
      </c>
      <c r="T43" s="3">
        <f t="shared" si="101"/>
        <v>-1915.265316663493</v>
      </c>
      <c r="U43" s="3">
        <f t="shared" si="101"/>
        <v>-1915.265316663493</v>
      </c>
      <c r="V43" s="3">
        <f t="shared" si="101"/>
        <v>-1915.265316663493</v>
      </c>
      <c r="W43" s="3">
        <f t="shared" si="101"/>
        <v>-1915.265316663493</v>
      </c>
      <c r="X43" s="43">
        <f t="shared" si="101"/>
        <v>-1915.265316663493</v>
      </c>
      <c r="Y43" s="3">
        <f t="shared" si="101"/>
        <v>-1915.265316663493</v>
      </c>
      <c r="Z43" s="3">
        <f t="shared" si="101"/>
        <v>-1915.265316663493</v>
      </c>
      <c r="AA43" s="3">
        <f t="shared" si="101"/>
        <v>-1915.265316663493</v>
      </c>
      <c r="AB43" s="3">
        <f t="shared" si="101"/>
        <v>-1915.265316663493</v>
      </c>
      <c r="AC43" s="43">
        <f t="shared" si="101"/>
        <v>-1915.265316663493</v>
      </c>
      <c r="AD43" s="3">
        <f t="shared" si="101"/>
        <v>-1915.265316663493</v>
      </c>
      <c r="AE43" s="3">
        <f t="shared" si="101"/>
        <v>-1915.265316663493</v>
      </c>
      <c r="AF43" s="3">
        <f t="shared" si="101"/>
        <v>-1915.265316663493</v>
      </c>
      <c r="AG43" s="3">
        <f t="shared" si="101"/>
        <v>-1915.265316663493</v>
      </c>
      <c r="AH43" s="43">
        <f t="shared" si="101"/>
        <v>-1915.265316663493</v>
      </c>
    </row>
    <row r="44" spans="1:34" outlineLevel="2" x14ac:dyDescent="0.25">
      <c r="A44" t="s">
        <v>125</v>
      </c>
      <c r="B44" t="s">
        <v>19</v>
      </c>
      <c r="C44" s="3">
        <f t="shared" ref="C44:AH44" si="102">C$32*1000/C$6/2</f>
        <v>0</v>
      </c>
      <c r="D44" s="3">
        <f t="shared" si="102"/>
        <v>0</v>
      </c>
      <c r="E44" s="3">
        <f>E$32*1000/E$6/2</f>
        <v>75.892857142857139</v>
      </c>
      <c r="F44" s="3">
        <f t="shared" si="102"/>
        <v>0</v>
      </c>
      <c r="G44" s="3">
        <f t="shared" si="102"/>
        <v>75.892857142857139</v>
      </c>
      <c r="H44" s="3">
        <f t="shared" si="102"/>
        <v>285.36979752530931</v>
      </c>
      <c r="I44" s="3">
        <f t="shared" si="102"/>
        <v>75.892857142857139</v>
      </c>
      <c r="J44" s="3">
        <f t="shared" si="102"/>
        <v>0</v>
      </c>
      <c r="K44" s="3">
        <f t="shared" si="102"/>
        <v>3719.4213023750585</v>
      </c>
      <c r="L44" s="3">
        <f t="shared" si="102"/>
        <v>0</v>
      </c>
      <c r="M44" s="3">
        <f t="shared" si="102"/>
        <v>3719.4213023750585</v>
      </c>
      <c r="N44" s="3">
        <f t="shared" si="102"/>
        <v>3795.3141595179159</v>
      </c>
      <c r="O44" s="3">
        <f t="shared" si="102"/>
        <v>5237.2784452322012</v>
      </c>
      <c r="P44" s="3">
        <f t="shared" si="102"/>
        <v>209.4769403824522</v>
      </c>
      <c r="Q44" s="3">
        <f t="shared" si="102"/>
        <v>0</v>
      </c>
      <c r="R44" s="3">
        <f t="shared" si="102"/>
        <v>148.12256504664205</v>
      </c>
      <c r="S44" s="43">
        <f t="shared" si="102"/>
        <v>29.624513009328414</v>
      </c>
      <c r="T44" s="3">
        <f t="shared" si="102"/>
        <v>3795.3141595179159</v>
      </c>
      <c r="U44" s="3">
        <f t="shared" si="102"/>
        <v>3795.3141595179159</v>
      </c>
      <c r="V44" s="3">
        <f t="shared" si="102"/>
        <v>3795.3141595179159</v>
      </c>
      <c r="W44" s="3">
        <f t="shared" si="102"/>
        <v>3795.3141595179159</v>
      </c>
      <c r="X44" s="43">
        <f t="shared" si="102"/>
        <v>3795.3141595179159</v>
      </c>
      <c r="Y44" s="3">
        <f t="shared" si="102"/>
        <v>15181.256638071663</v>
      </c>
      <c r="Z44" s="3">
        <f t="shared" si="102"/>
        <v>7590.6283190358317</v>
      </c>
      <c r="AA44" s="3">
        <f t="shared" si="102"/>
        <v>3795.3141595179159</v>
      </c>
      <c r="AB44" s="3">
        <f t="shared" si="102"/>
        <v>1897.6570797589579</v>
      </c>
      <c r="AC44" s="43">
        <f t="shared" si="102"/>
        <v>948.82853987947897</v>
      </c>
      <c r="AD44" s="3">
        <f t="shared" si="102"/>
        <v>6466.726709513835</v>
      </c>
      <c r="AE44" s="3">
        <f t="shared" si="102"/>
        <v>4685.785009516555</v>
      </c>
      <c r="AF44" s="3">
        <f t="shared" si="102"/>
        <v>3795.3141595179159</v>
      </c>
      <c r="AG44" s="3">
        <f t="shared" si="102"/>
        <v>3350.0787345185954</v>
      </c>
      <c r="AH44" s="43">
        <f t="shared" si="102"/>
        <v>3127.4610220189356</v>
      </c>
    </row>
    <row r="45" spans="1:34" outlineLevel="2" x14ac:dyDescent="0.25">
      <c r="A45" t="s">
        <v>126</v>
      </c>
      <c r="B45" t="s">
        <v>19</v>
      </c>
      <c r="C45" s="3">
        <f t="shared" ref="C45:AH45" si="103">-C$37*1000/C$5/2</f>
        <v>88.541666666666671</v>
      </c>
      <c r="D45" s="3">
        <f t="shared" si="103"/>
        <v>177.08333333333334</v>
      </c>
      <c r="E45" s="3">
        <f t="shared" si="103"/>
        <v>88.541666666666671</v>
      </c>
      <c r="F45" s="3">
        <f t="shared" si="103"/>
        <v>-88.541666666666671</v>
      </c>
      <c r="G45" s="3">
        <f t="shared" si="103"/>
        <v>0</v>
      </c>
      <c r="H45" s="3">
        <f t="shared" si="103"/>
        <v>0</v>
      </c>
      <c r="I45" s="3">
        <f t="shared" si="103"/>
        <v>868.01181102362193</v>
      </c>
      <c r="J45" s="3">
        <f t="shared" si="103"/>
        <v>-2464.0023643750401</v>
      </c>
      <c r="K45" s="3">
        <f t="shared" si="103"/>
        <v>88.541666666666671</v>
      </c>
      <c r="L45" s="3">
        <f t="shared" si="103"/>
        <v>13774.104663867203</v>
      </c>
      <c r="M45" s="3">
        <f t="shared" si="103"/>
        <v>11221.560632825496</v>
      </c>
      <c r="N45" s="3">
        <f t="shared" si="103"/>
        <v>11133.018966158828</v>
      </c>
      <c r="O45" s="3">
        <f t="shared" si="103"/>
        <v>9362.1856328254962</v>
      </c>
      <c r="P45" s="3">
        <f t="shared" si="103"/>
        <v>88.541666666666671</v>
      </c>
      <c r="Q45" s="3">
        <f t="shared" si="103"/>
        <v>-425.30347769028867</v>
      </c>
      <c r="R45" s="3">
        <f t="shared" si="103"/>
        <v>-274.80171938791688</v>
      </c>
      <c r="S45" s="43">
        <f t="shared" si="103"/>
        <v>15.872989455749961</v>
      </c>
      <c r="T45" s="3">
        <f t="shared" si="103"/>
        <v>44532.075864635313</v>
      </c>
      <c r="U45" s="3">
        <f t="shared" si="103"/>
        <v>22266.037932317657</v>
      </c>
      <c r="V45" s="3">
        <f t="shared" si="103"/>
        <v>11133.018966158828</v>
      </c>
      <c r="W45" s="3">
        <f t="shared" si="103"/>
        <v>5566.5094830794142</v>
      </c>
      <c r="X45" s="43">
        <f t="shared" si="103"/>
        <v>2783.2547415397071</v>
      </c>
      <c r="Y45" s="3">
        <f t="shared" si="103"/>
        <v>11133.018966158828</v>
      </c>
      <c r="Z45" s="3">
        <f t="shared" si="103"/>
        <v>11133.018966158828</v>
      </c>
      <c r="AA45" s="3">
        <f t="shared" si="103"/>
        <v>11133.018966158828</v>
      </c>
      <c r="AB45" s="3">
        <f t="shared" si="103"/>
        <v>11133.018966158828</v>
      </c>
      <c r="AC45" s="43">
        <f t="shared" si="103"/>
        <v>11133.018966158828</v>
      </c>
      <c r="AD45" s="3">
        <f t="shared" si="103"/>
        <v>9590.8730985145703</v>
      </c>
      <c r="AE45" s="3">
        <f t="shared" si="103"/>
        <v>10618.970343610741</v>
      </c>
      <c r="AF45" s="3">
        <f t="shared" si="103"/>
        <v>11133.018966158828</v>
      </c>
      <c r="AG45" s="3">
        <f t="shared" si="103"/>
        <v>11390.043277432873</v>
      </c>
      <c r="AH45" s="43">
        <f t="shared" si="103"/>
        <v>11518.555433069892</v>
      </c>
    </row>
    <row r="46" spans="1:34" outlineLevel="1" x14ac:dyDescent="0.25">
      <c r="A46" t="s">
        <v>123</v>
      </c>
      <c r="B46" t="s">
        <v>19</v>
      </c>
      <c r="C46" s="3">
        <f>SUM(C43:C45)</f>
        <v>88.541666666666671</v>
      </c>
      <c r="D46" s="3">
        <f t="shared" ref="D46:O46" si="104">SUM(D43:D45)</f>
        <v>177.08333333333334</v>
      </c>
      <c r="E46" s="3">
        <f t="shared" si="104"/>
        <v>164.4345238095238</v>
      </c>
      <c r="F46" s="3">
        <f t="shared" si="104"/>
        <v>-1.0416666666666714</v>
      </c>
      <c r="G46" s="3">
        <f t="shared" si="104"/>
        <v>163.39285714285714</v>
      </c>
      <c r="H46" s="3">
        <f t="shared" si="104"/>
        <v>372.86979752530931</v>
      </c>
      <c r="I46" s="3">
        <f t="shared" si="104"/>
        <v>781.2078177727783</v>
      </c>
      <c r="J46" s="3">
        <f t="shared" si="104"/>
        <v>-2464.0023643750401</v>
      </c>
      <c r="K46" s="3">
        <f t="shared" si="104"/>
        <v>3807.962969041725</v>
      </c>
      <c r="L46" s="3">
        <f t="shared" si="104"/>
        <v>11771.33934720371</v>
      </c>
      <c r="M46" s="3">
        <f>SUM(M43:M45)</f>
        <v>12938.216618537062</v>
      </c>
      <c r="N46" s="3">
        <f t="shared" si="104"/>
        <v>13013.067809013251</v>
      </c>
      <c r="O46" s="3">
        <f t="shared" si="104"/>
        <v>14346.698761394204</v>
      </c>
      <c r="P46" s="3">
        <f t="shared" ref="P46:Q46" si="105">SUM(P43:P45)</f>
        <v>298.01860704911888</v>
      </c>
      <c r="Q46" s="3">
        <f t="shared" si="105"/>
        <v>-350.10662729658787</v>
      </c>
      <c r="R46" s="3">
        <f t="shared" ref="R46" si="106">SUM(R43:R45)</f>
        <v>-73.506951504018701</v>
      </c>
      <c r="S46" s="43">
        <f t="shared" ref="S46:AH46" si="107">SUM(S43:S45)</f>
        <v>56.131943032529598</v>
      </c>
      <c r="T46" s="3">
        <f t="shared" si="107"/>
        <v>46412.124707489733</v>
      </c>
      <c r="U46" s="3">
        <f t="shared" si="107"/>
        <v>24146.08677517208</v>
      </c>
      <c r="V46" s="3">
        <f t="shared" si="107"/>
        <v>13013.067809013251</v>
      </c>
      <c r="W46" s="3">
        <f t="shared" si="107"/>
        <v>7446.5583259338373</v>
      </c>
      <c r="X46" s="43">
        <f t="shared" si="107"/>
        <v>4663.3035843941298</v>
      </c>
      <c r="Y46" s="3">
        <f t="shared" si="107"/>
        <v>24399.010287566998</v>
      </c>
      <c r="Z46" s="3">
        <f t="shared" si="107"/>
        <v>16808.381968531168</v>
      </c>
      <c r="AA46" s="3">
        <f t="shared" si="107"/>
        <v>13013.067809013251</v>
      </c>
      <c r="AB46" s="3">
        <f t="shared" si="107"/>
        <v>11115.410729254294</v>
      </c>
      <c r="AC46" s="43">
        <f t="shared" si="107"/>
        <v>10166.582189374814</v>
      </c>
      <c r="AD46" s="3">
        <f t="shared" si="107"/>
        <v>14142.334491364913</v>
      </c>
      <c r="AE46" s="3">
        <f t="shared" si="107"/>
        <v>13389.490036463803</v>
      </c>
      <c r="AF46" s="3">
        <f t="shared" si="107"/>
        <v>13013.067809013251</v>
      </c>
      <c r="AG46" s="3">
        <f t="shared" si="107"/>
        <v>12824.856695287976</v>
      </c>
      <c r="AH46" s="43">
        <f t="shared" si="107"/>
        <v>12730.751138425336</v>
      </c>
    </row>
    <row r="47" spans="1:34" outlineLevel="2" x14ac:dyDescent="0.25">
      <c r="A47" t="s">
        <v>127</v>
      </c>
      <c r="B47" t="s">
        <v>19</v>
      </c>
      <c r="C47" s="3">
        <f>-(C$24+C$27)/4</f>
        <v>0</v>
      </c>
      <c r="D47" s="3">
        <f t="shared" ref="D47:AH47" si="108">-(D$24+D$27)/4</f>
        <v>0</v>
      </c>
      <c r="E47" s="3">
        <f t="shared" si="108"/>
        <v>0</v>
      </c>
      <c r="F47" s="3">
        <f t="shared" si="108"/>
        <v>87.5</v>
      </c>
      <c r="G47" s="3">
        <f t="shared" si="108"/>
        <v>87.5</v>
      </c>
      <c r="H47" s="3">
        <f t="shared" si="108"/>
        <v>87.5</v>
      </c>
      <c r="I47" s="3">
        <f t="shared" si="108"/>
        <v>-162.6968503937008</v>
      </c>
      <c r="J47" s="3">
        <f t="shared" si="108"/>
        <v>0</v>
      </c>
      <c r="K47" s="3">
        <f t="shared" si="108"/>
        <v>0</v>
      </c>
      <c r="L47" s="3">
        <f t="shared" si="108"/>
        <v>-2002.765316663493</v>
      </c>
      <c r="M47" s="3">
        <f t="shared" si="108"/>
        <v>-2002.765316663493</v>
      </c>
      <c r="N47" s="3">
        <f t="shared" si="108"/>
        <v>-1915.265316663493</v>
      </c>
      <c r="O47" s="3">
        <f t="shared" si="108"/>
        <v>-252.76531666349297</v>
      </c>
      <c r="P47" s="3">
        <f t="shared" si="108"/>
        <v>0</v>
      </c>
      <c r="Q47" s="3">
        <f t="shared" si="108"/>
        <v>75.196850393700785</v>
      </c>
      <c r="R47" s="3">
        <f t="shared" si="108"/>
        <v>53.17220283725613</v>
      </c>
      <c r="S47" s="43">
        <f t="shared" si="108"/>
        <v>10.634440567451225</v>
      </c>
      <c r="T47" s="3">
        <f t="shared" si="108"/>
        <v>-1915.265316663493</v>
      </c>
      <c r="U47" s="3">
        <f t="shared" si="108"/>
        <v>-1915.265316663493</v>
      </c>
      <c r="V47" s="3">
        <f t="shared" si="108"/>
        <v>-1915.265316663493</v>
      </c>
      <c r="W47" s="3">
        <f t="shared" si="108"/>
        <v>-1915.265316663493</v>
      </c>
      <c r="X47" s="43">
        <f t="shared" si="108"/>
        <v>-1915.265316663493</v>
      </c>
      <c r="Y47" s="3">
        <f t="shared" si="108"/>
        <v>-1915.265316663493</v>
      </c>
      <c r="Z47" s="3">
        <f t="shared" si="108"/>
        <v>-1915.265316663493</v>
      </c>
      <c r="AA47" s="3">
        <f t="shared" si="108"/>
        <v>-1915.265316663493</v>
      </c>
      <c r="AB47" s="3">
        <f t="shared" si="108"/>
        <v>-1915.265316663493</v>
      </c>
      <c r="AC47" s="43">
        <f t="shared" si="108"/>
        <v>-1915.265316663493</v>
      </c>
      <c r="AD47" s="3">
        <f t="shared" si="108"/>
        <v>-1915.265316663493</v>
      </c>
      <c r="AE47" s="3">
        <f t="shared" si="108"/>
        <v>-1915.265316663493</v>
      </c>
      <c r="AF47" s="3">
        <f t="shared" si="108"/>
        <v>-1915.265316663493</v>
      </c>
      <c r="AG47" s="3">
        <f t="shared" si="108"/>
        <v>-1915.265316663493</v>
      </c>
      <c r="AH47" s="43">
        <f t="shared" si="108"/>
        <v>-1915.265316663493</v>
      </c>
    </row>
    <row r="48" spans="1:34" outlineLevel="2" x14ac:dyDescent="0.25">
      <c r="A48" t="s">
        <v>128</v>
      </c>
      <c r="B48" t="s">
        <v>19</v>
      </c>
      <c r="C48" s="3">
        <f t="shared" ref="C48:AH48" si="109">C$32*1000/C$6/2</f>
        <v>0</v>
      </c>
      <c r="D48" s="3">
        <f t="shared" si="109"/>
        <v>0</v>
      </c>
      <c r="E48" s="3">
        <f t="shared" si="109"/>
        <v>75.892857142857139</v>
      </c>
      <c r="F48" s="3">
        <f t="shared" si="109"/>
        <v>0</v>
      </c>
      <c r="G48" s="3">
        <f t="shared" si="109"/>
        <v>75.892857142857139</v>
      </c>
      <c r="H48" s="3">
        <f t="shared" si="109"/>
        <v>285.36979752530931</v>
      </c>
      <c r="I48" s="3">
        <f t="shared" si="109"/>
        <v>75.892857142857139</v>
      </c>
      <c r="J48" s="3">
        <f t="shared" si="109"/>
        <v>0</v>
      </c>
      <c r="K48" s="3">
        <f t="shared" si="109"/>
        <v>3719.4213023750585</v>
      </c>
      <c r="L48" s="3">
        <f t="shared" si="109"/>
        <v>0</v>
      </c>
      <c r="M48" s="3">
        <f t="shared" si="109"/>
        <v>3719.4213023750585</v>
      </c>
      <c r="N48" s="3">
        <f t="shared" si="109"/>
        <v>3795.3141595179159</v>
      </c>
      <c r="O48" s="3">
        <f t="shared" si="109"/>
        <v>5237.2784452322012</v>
      </c>
      <c r="P48" s="3">
        <f t="shared" si="109"/>
        <v>209.4769403824522</v>
      </c>
      <c r="Q48" s="3">
        <f t="shared" si="109"/>
        <v>0</v>
      </c>
      <c r="R48" s="3">
        <f t="shared" si="109"/>
        <v>148.12256504664205</v>
      </c>
      <c r="S48" s="43">
        <f t="shared" si="109"/>
        <v>29.624513009328414</v>
      </c>
      <c r="T48" s="3">
        <f t="shared" si="109"/>
        <v>3795.3141595179159</v>
      </c>
      <c r="U48" s="3">
        <f t="shared" si="109"/>
        <v>3795.3141595179159</v>
      </c>
      <c r="V48" s="3">
        <f t="shared" si="109"/>
        <v>3795.3141595179159</v>
      </c>
      <c r="W48" s="3">
        <f t="shared" si="109"/>
        <v>3795.3141595179159</v>
      </c>
      <c r="X48" s="43">
        <f t="shared" si="109"/>
        <v>3795.3141595179159</v>
      </c>
      <c r="Y48" s="3">
        <f t="shared" si="109"/>
        <v>15181.256638071663</v>
      </c>
      <c r="Z48" s="3">
        <f t="shared" si="109"/>
        <v>7590.6283190358317</v>
      </c>
      <c r="AA48" s="3">
        <f t="shared" si="109"/>
        <v>3795.3141595179159</v>
      </c>
      <c r="AB48" s="3">
        <f t="shared" si="109"/>
        <v>1897.6570797589579</v>
      </c>
      <c r="AC48" s="43">
        <f t="shared" si="109"/>
        <v>948.82853987947897</v>
      </c>
      <c r="AD48" s="3">
        <f t="shared" si="109"/>
        <v>6466.726709513835</v>
      </c>
      <c r="AE48" s="3">
        <f t="shared" si="109"/>
        <v>4685.785009516555</v>
      </c>
      <c r="AF48" s="3">
        <f t="shared" si="109"/>
        <v>3795.3141595179159</v>
      </c>
      <c r="AG48" s="3">
        <f t="shared" si="109"/>
        <v>3350.0787345185954</v>
      </c>
      <c r="AH48" s="43">
        <f t="shared" si="109"/>
        <v>3127.4610220189356</v>
      </c>
    </row>
    <row r="49" spans="1:34" outlineLevel="2" x14ac:dyDescent="0.25">
      <c r="A49" t="s">
        <v>129</v>
      </c>
      <c r="B49" t="s">
        <v>19</v>
      </c>
      <c r="C49" s="3">
        <f t="shared" ref="C49:AH49" si="110">C$37*1000/C$5/2</f>
        <v>-88.541666666666671</v>
      </c>
      <c r="D49" s="3">
        <f t="shared" si="110"/>
        <v>-177.08333333333334</v>
      </c>
      <c r="E49" s="3">
        <f t="shared" si="110"/>
        <v>-88.541666666666671</v>
      </c>
      <c r="F49" s="3">
        <f t="shared" si="110"/>
        <v>88.541666666666671</v>
      </c>
      <c r="G49" s="3">
        <f t="shared" si="110"/>
        <v>0</v>
      </c>
      <c r="H49" s="3">
        <f t="shared" si="110"/>
        <v>0</v>
      </c>
      <c r="I49" s="3">
        <f t="shared" si="110"/>
        <v>-868.01181102362193</v>
      </c>
      <c r="J49" s="3">
        <f t="shared" si="110"/>
        <v>2464.0023643750401</v>
      </c>
      <c r="K49" s="3">
        <f t="shared" si="110"/>
        <v>-88.541666666666671</v>
      </c>
      <c r="L49" s="3">
        <f t="shared" si="110"/>
        <v>-13774.104663867203</v>
      </c>
      <c r="M49" s="3">
        <f t="shared" si="110"/>
        <v>-11221.560632825496</v>
      </c>
      <c r="N49" s="3">
        <f t="shared" si="110"/>
        <v>-11133.018966158828</v>
      </c>
      <c r="O49" s="3">
        <f t="shared" si="110"/>
        <v>-9362.1856328254962</v>
      </c>
      <c r="P49" s="3">
        <f t="shared" si="110"/>
        <v>-88.541666666666671</v>
      </c>
      <c r="Q49" s="3">
        <f t="shared" si="110"/>
        <v>425.30347769028867</v>
      </c>
      <c r="R49" s="3">
        <f t="shared" si="110"/>
        <v>274.80171938791688</v>
      </c>
      <c r="S49" s="43">
        <f t="shared" si="110"/>
        <v>-15.872989455749961</v>
      </c>
      <c r="T49" s="3">
        <f t="shared" si="110"/>
        <v>-44532.075864635313</v>
      </c>
      <c r="U49" s="3">
        <f t="shared" si="110"/>
        <v>-22266.037932317657</v>
      </c>
      <c r="V49" s="3">
        <f t="shared" si="110"/>
        <v>-11133.018966158828</v>
      </c>
      <c r="W49" s="3">
        <f t="shared" si="110"/>
        <v>-5566.5094830794142</v>
      </c>
      <c r="X49" s="43">
        <f t="shared" si="110"/>
        <v>-2783.2547415397071</v>
      </c>
      <c r="Y49" s="3">
        <f t="shared" si="110"/>
        <v>-11133.018966158828</v>
      </c>
      <c r="Z49" s="3">
        <f t="shared" si="110"/>
        <v>-11133.018966158828</v>
      </c>
      <c r="AA49" s="3">
        <f t="shared" si="110"/>
        <v>-11133.018966158828</v>
      </c>
      <c r="AB49" s="3">
        <f t="shared" si="110"/>
        <v>-11133.018966158828</v>
      </c>
      <c r="AC49" s="43">
        <f t="shared" si="110"/>
        <v>-11133.018966158828</v>
      </c>
      <c r="AD49" s="3">
        <f t="shared" si="110"/>
        <v>-9590.8730985145703</v>
      </c>
      <c r="AE49" s="3">
        <f t="shared" si="110"/>
        <v>-10618.970343610741</v>
      </c>
      <c r="AF49" s="3">
        <f t="shared" si="110"/>
        <v>-11133.018966158828</v>
      </c>
      <c r="AG49" s="3">
        <f t="shared" si="110"/>
        <v>-11390.043277432873</v>
      </c>
      <c r="AH49" s="43">
        <f t="shared" si="110"/>
        <v>-11518.555433069892</v>
      </c>
    </row>
    <row r="50" spans="1:34" outlineLevel="1" x14ac:dyDescent="0.25">
      <c r="A50" t="s">
        <v>98</v>
      </c>
      <c r="B50" t="s">
        <v>19</v>
      </c>
      <c r="C50" s="3">
        <f>SUM(C47:C49)</f>
        <v>-88.541666666666671</v>
      </c>
      <c r="D50" s="3">
        <f t="shared" ref="D50:O50" si="111">SUM(D47:D49)</f>
        <v>-177.08333333333334</v>
      </c>
      <c r="E50" s="3">
        <f t="shared" si="111"/>
        <v>-12.648809523809533</v>
      </c>
      <c r="F50" s="3">
        <f t="shared" si="111"/>
        <v>176.04166666666669</v>
      </c>
      <c r="G50" s="3">
        <f t="shared" si="111"/>
        <v>163.39285714285714</v>
      </c>
      <c r="H50" s="3">
        <f t="shared" si="111"/>
        <v>372.86979752530931</v>
      </c>
      <c r="I50" s="3">
        <f t="shared" si="111"/>
        <v>-954.81580427446556</v>
      </c>
      <c r="J50" s="3">
        <f t="shared" si="111"/>
        <v>2464.0023643750401</v>
      </c>
      <c r="K50" s="3">
        <f t="shared" si="111"/>
        <v>3630.879635708392</v>
      </c>
      <c r="L50" s="3">
        <f t="shared" si="111"/>
        <v>-15776.869980530697</v>
      </c>
      <c r="M50" s="3">
        <f>SUM(M47:M49)</f>
        <v>-9504.90464711393</v>
      </c>
      <c r="N50" s="3">
        <f t="shared" si="111"/>
        <v>-9252.9701233044052</v>
      </c>
      <c r="O50" s="3">
        <f t="shared" si="111"/>
        <v>-4377.6725042567878</v>
      </c>
      <c r="P50" s="3">
        <f t="shared" ref="P50:Q50" si="112">SUM(P47:P49)</f>
        <v>120.93527371578553</v>
      </c>
      <c r="Q50" s="3">
        <f t="shared" si="112"/>
        <v>500.50032808398947</v>
      </c>
      <c r="R50" s="3">
        <f t="shared" ref="R50" si="113">SUM(R47:R49)</f>
        <v>476.09648727181502</v>
      </c>
      <c r="S50" s="43">
        <f t="shared" ref="S50:AH50" si="114">SUM(S47:S49)</f>
        <v>24.38596412102968</v>
      </c>
      <c r="T50" s="3">
        <f t="shared" si="114"/>
        <v>-42652.027021780894</v>
      </c>
      <c r="U50" s="3">
        <f t="shared" si="114"/>
        <v>-20385.989089463234</v>
      </c>
      <c r="V50" s="3">
        <f t="shared" si="114"/>
        <v>-9252.9701233044052</v>
      </c>
      <c r="W50" s="3">
        <f t="shared" si="114"/>
        <v>-3686.460640224991</v>
      </c>
      <c r="X50" s="43">
        <f t="shared" si="114"/>
        <v>-903.20589868528418</v>
      </c>
      <c r="Y50" s="3">
        <f t="shared" si="114"/>
        <v>2132.9723552493415</v>
      </c>
      <c r="Z50" s="3">
        <f t="shared" si="114"/>
        <v>-5457.6559637864893</v>
      </c>
      <c r="AA50" s="3">
        <f t="shared" si="114"/>
        <v>-9252.9701233044052</v>
      </c>
      <c r="AB50" s="3">
        <f t="shared" si="114"/>
        <v>-11150.627203063363</v>
      </c>
      <c r="AC50" s="43">
        <f t="shared" si="114"/>
        <v>-12099.455742942842</v>
      </c>
      <c r="AD50" s="3">
        <f t="shared" si="114"/>
        <v>-5039.4117056642281</v>
      </c>
      <c r="AE50" s="3">
        <f t="shared" si="114"/>
        <v>-7848.4506507576789</v>
      </c>
      <c r="AF50" s="3">
        <f t="shared" si="114"/>
        <v>-9252.9701233044052</v>
      </c>
      <c r="AG50" s="3">
        <f t="shared" si="114"/>
        <v>-9955.2298595777702</v>
      </c>
      <c r="AH50" s="43">
        <f t="shared" si="114"/>
        <v>-10306.359727714449</v>
      </c>
    </row>
    <row r="51" spans="1:34" outlineLevel="2" x14ac:dyDescent="0.25">
      <c r="A51" t="s">
        <v>130</v>
      </c>
      <c r="B51" t="s">
        <v>19</v>
      </c>
      <c r="C51" s="3">
        <f>-(C$24+C$27)/4</f>
        <v>0</v>
      </c>
      <c r="D51" s="3">
        <f t="shared" ref="D51:AH51" si="115">-(D$24+D$27)/4</f>
        <v>0</v>
      </c>
      <c r="E51" s="3">
        <f t="shared" si="115"/>
        <v>0</v>
      </c>
      <c r="F51" s="3">
        <f t="shared" si="115"/>
        <v>87.5</v>
      </c>
      <c r="G51" s="3">
        <f t="shared" si="115"/>
        <v>87.5</v>
      </c>
      <c r="H51" s="3">
        <f t="shared" si="115"/>
        <v>87.5</v>
      </c>
      <c r="I51" s="3">
        <f t="shared" si="115"/>
        <v>-162.6968503937008</v>
      </c>
      <c r="J51" s="3">
        <f t="shared" si="115"/>
        <v>0</v>
      </c>
      <c r="K51" s="3">
        <f t="shared" si="115"/>
        <v>0</v>
      </c>
      <c r="L51" s="3">
        <f t="shared" si="115"/>
        <v>-2002.765316663493</v>
      </c>
      <c r="M51" s="3">
        <f t="shared" si="115"/>
        <v>-2002.765316663493</v>
      </c>
      <c r="N51" s="3">
        <f t="shared" si="115"/>
        <v>-1915.265316663493</v>
      </c>
      <c r="O51" s="3">
        <f t="shared" si="115"/>
        <v>-252.76531666349297</v>
      </c>
      <c r="P51" s="3">
        <f t="shared" si="115"/>
        <v>0</v>
      </c>
      <c r="Q51" s="3">
        <f t="shared" si="115"/>
        <v>75.196850393700785</v>
      </c>
      <c r="R51" s="3">
        <f t="shared" si="115"/>
        <v>53.17220283725613</v>
      </c>
      <c r="S51" s="43">
        <f t="shared" si="115"/>
        <v>10.634440567451225</v>
      </c>
      <c r="T51" s="3">
        <f t="shared" si="115"/>
        <v>-1915.265316663493</v>
      </c>
      <c r="U51" s="3">
        <f t="shared" si="115"/>
        <v>-1915.265316663493</v>
      </c>
      <c r="V51" s="3">
        <f t="shared" si="115"/>
        <v>-1915.265316663493</v>
      </c>
      <c r="W51" s="3">
        <f t="shared" si="115"/>
        <v>-1915.265316663493</v>
      </c>
      <c r="X51" s="43">
        <f t="shared" si="115"/>
        <v>-1915.265316663493</v>
      </c>
      <c r="Y51" s="3">
        <f t="shared" si="115"/>
        <v>-1915.265316663493</v>
      </c>
      <c r="Z51" s="3">
        <f t="shared" si="115"/>
        <v>-1915.265316663493</v>
      </c>
      <c r="AA51" s="3">
        <f t="shared" si="115"/>
        <v>-1915.265316663493</v>
      </c>
      <c r="AB51" s="3">
        <f t="shared" si="115"/>
        <v>-1915.265316663493</v>
      </c>
      <c r="AC51" s="43">
        <f t="shared" si="115"/>
        <v>-1915.265316663493</v>
      </c>
      <c r="AD51" s="3">
        <f t="shared" si="115"/>
        <v>-1915.265316663493</v>
      </c>
      <c r="AE51" s="3">
        <f t="shared" si="115"/>
        <v>-1915.265316663493</v>
      </c>
      <c r="AF51" s="3">
        <f t="shared" si="115"/>
        <v>-1915.265316663493</v>
      </c>
      <c r="AG51" s="3">
        <f t="shared" si="115"/>
        <v>-1915.265316663493</v>
      </c>
      <c r="AH51" s="43">
        <f t="shared" si="115"/>
        <v>-1915.265316663493</v>
      </c>
    </row>
    <row r="52" spans="1:34" outlineLevel="2" x14ac:dyDescent="0.25">
      <c r="A52" t="s">
        <v>131</v>
      </c>
      <c r="B52" t="s">
        <v>19</v>
      </c>
      <c r="C52" s="3">
        <f t="shared" ref="C52:AH52" si="116">-C$32*1000/C$6/2</f>
        <v>0</v>
      </c>
      <c r="D52" s="3">
        <f t="shared" si="116"/>
        <v>0</v>
      </c>
      <c r="E52" s="3">
        <f t="shared" si="116"/>
        <v>-75.892857142857139</v>
      </c>
      <c r="F52" s="3">
        <f t="shared" si="116"/>
        <v>0</v>
      </c>
      <c r="G52" s="3">
        <f t="shared" si="116"/>
        <v>-75.892857142857139</v>
      </c>
      <c r="H52" s="3">
        <f t="shared" si="116"/>
        <v>-285.36979752530931</v>
      </c>
      <c r="I52" s="3">
        <f t="shared" si="116"/>
        <v>-75.892857142857139</v>
      </c>
      <c r="J52" s="3">
        <f t="shared" si="116"/>
        <v>0</v>
      </c>
      <c r="K52" s="3">
        <f t="shared" si="116"/>
        <v>-3719.4213023750585</v>
      </c>
      <c r="L52" s="3">
        <f t="shared" si="116"/>
        <v>0</v>
      </c>
      <c r="M52" s="3">
        <f t="shared" si="116"/>
        <v>-3719.4213023750585</v>
      </c>
      <c r="N52" s="3">
        <f t="shared" si="116"/>
        <v>-3795.3141595179159</v>
      </c>
      <c r="O52" s="3">
        <f t="shared" si="116"/>
        <v>-5237.2784452322012</v>
      </c>
      <c r="P52" s="3">
        <f t="shared" si="116"/>
        <v>-209.4769403824522</v>
      </c>
      <c r="Q52" s="3">
        <f t="shared" si="116"/>
        <v>0</v>
      </c>
      <c r="R52" s="3">
        <f t="shared" si="116"/>
        <v>-148.12256504664205</v>
      </c>
      <c r="S52" s="43">
        <f t="shared" si="116"/>
        <v>-29.624513009328414</v>
      </c>
      <c r="T52" s="3">
        <f t="shared" si="116"/>
        <v>-3795.3141595179159</v>
      </c>
      <c r="U52" s="3">
        <f t="shared" si="116"/>
        <v>-3795.3141595179159</v>
      </c>
      <c r="V52" s="3">
        <f t="shared" si="116"/>
        <v>-3795.3141595179159</v>
      </c>
      <c r="W52" s="3">
        <f t="shared" si="116"/>
        <v>-3795.3141595179159</v>
      </c>
      <c r="X52" s="43">
        <f t="shared" si="116"/>
        <v>-3795.3141595179159</v>
      </c>
      <c r="Y52" s="3">
        <f t="shared" si="116"/>
        <v>-15181.256638071663</v>
      </c>
      <c r="Z52" s="3">
        <f t="shared" si="116"/>
        <v>-7590.6283190358317</v>
      </c>
      <c r="AA52" s="3">
        <f t="shared" si="116"/>
        <v>-3795.3141595179159</v>
      </c>
      <c r="AB52" s="3">
        <f t="shared" si="116"/>
        <v>-1897.6570797589579</v>
      </c>
      <c r="AC52" s="43">
        <f t="shared" si="116"/>
        <v>-948.82853987947897</v>
      </c>
      <c r="AD52" s="3">
        <f t="shared" si="116"/>
        <v>-6466.726709513835</v>
      </c>
      <c r="AE52" s="3">
        <f t="shared" si="116"/>
        <v>-4685.785009516555</v>
      </c>
      <c r="AF52" s="3">
        <f t="shared" si="116"/>
        <v>-3795.3141595179159</v>
      </c>
      <c r="AG52" s="3">
        <f t="shared" si="116"/>
        <v>-3350.0787345185954</v>
      </c>
      <c r="AH52" s="43">
        <f t="shared" si="116"/>
        <v>-3127.4610220189356</v>
      </c>
    </row>
    <row r="53" spans="1:34" outlineLevel="2" x14ac:dyDescent="0.25">
      <c r="A53" t="s">
        <v>132</v>
      </c>
      <c r="B53" t="s">
        <v>19</v>
      </c>
      <c r="C53" s="3">
        <f t="shared" ref="C53:AH53" si="117">C$37*1000/C$5/2</f>
        <v>-88.541666666666671</v>
      </c>
      <c r="D53" s="3">
        <f t="shared" si="117"/>
        <v>-177.08333333333334</v>
      </c>
      <c r="E53" s="3">
        <f t="shared" si="117"/>
        <v>-88.541666666666671</v>
      </c>
      <c r="F53" s="3">
        <f t="shared" si="117"/>
        <v>88.541666666666671</v>
      </c>
      <c r="G53" s="3">
        <f t="shared" si="117"/>
        <v>0</v>
      </c>
      <c r="H53" s="3">
        <f t="shared" si="117"/>
        <v>0</v>
      </c>
      <c r="I53" s="3">
        <f t="shared" si="117"/>
        <v>-868.01181102362193</v>
      </c>
      <c r="J53" s="3">
        <f t="shared" si="117"/>
        <v>2464.0023643750401</v>
      </c>
      <c r="K53" s="3">
        <f t="shared" si="117"/>
        <v>-88.541666666666671</v>
      </c>
      <c r="L53" s="3">
        <f t="shared" si="117"/>
        <v>-13774.104663867203</v>
      </c>
      <c r="M53" s="3">
        <f t="shared" si="117"/>
        <v>-11221.560632825496</v>
      </c>
      <c r="N53" s="3">
        <f t="shared" si="117"/>
        <v>-11133.018966158828</v>
      </c>
      <c r="O53" s="3">
        <f t="shared" si="117"/>
        <v>-9362.1856328254962</v>
      </c>
      <c r="P53" s="3">
        <f t="shared" si="117"/>
        <v>-88.541666666666671</v>
      </c>
      <c r="Q53" s="3">
        <f t="shared" si="117"/>
        <v>425.30347769028867</v>
      </c>
      <c r="R53" s="3">
        <f t="shared" si="117"/>
        <v>274.80171938791688</v>
      </c>
      <c r="S53" s="43">
        <f t="shared" si="117"/>
        <v>-15.872989455749961</v>
      </c>
      <c r="T53" s="3">
        <f t="shared" si="117"/>
        <v>-44532.075864635313</v>
      </c>
      <c r="U53" s="3">
        <f t="shared" si="117"/>
        <v>-22266.037932317657</v>
      </c>
      <c r="V53" s="3">
        <f t="shared" si="117"/>
        <v>-11133.018966158828</v>
      </c>
      <c r="W53" s="3">
        <f t="shared" si="117"/>
        <v>-5566.5094830794142</v>
      </c>
      <c r="X53" s="43">
        <f t="shared" si="117"/>
        <v>-2783.2547415397071</v>
      </c>
      <c r="Y53" s="3">
        <f t="shared" si="117"/>
        <v>-11133.018966158828</v>
      </c>
      <c r="Z53" s="3">
        <f t="shared" si="117"/>
        <v>-11133.018966158828</v>
      </c>
      <c r="AA53" s="3">
        <f t="shared" si="117"/>
        <v>-11133.018966158828</v>
      </c>
      <c r="AB53" s="3">
        <f t="shared" si="117"/>
        <v>-11133.018966158828</v>
      </c>
      <c r="AC53" s="43">
        <f t="shared" si="117"/>
        <v>-11133.018966158828</v>
      </c>
      <c r="AD53" s="3">
        <f t="shared" si="117"/>
        <v>-9590.8730985145703</v>
      </c>
      <c r="AE53" s="3">
        <f t="shared" si="117"/>
        <v>-10618.970343610741</v>
      </c>
      <c r="AF53" s="3">
        <f t="shared" si="117"/>
        <v>-11133.018966158828</v>
      </c>
      <c r="AG53" s="3">
        <f t="shared" si="117"/>
        <v>-11390.043277432873</v>
      </c>
      <c r="AH53" s="43">
        <f t="shared" si="117"/>
        <v>-11518.555433069892</v>
      </c>
    </row>
    <row r="54" spans="1:34" outlineLevel="1" x14ac:dyDescent="0.25">
      <c r="A54" t="s">
        <v>99</v>
      </c>
      <c r="B54" t="s">
        <v>19</v>
      </c>
      <c r="C54" s="3">
        <f>SUM(C51:C53)</f>
        <v>-88.541666666666671</v>
      </c>
      <c r="D54" s="3">
        <f t="shared" ref="D54:O54" si="118">SUM(D51:D53)</f>
        <v>-177.08333333333334</v>
      </c>
      <c r="E54" s="3">
        <f t="shared" si="118"/>
        <v>-164.4345238095238</v>
      </c>
      <c r="F54" s="3">
        <f t="shared" si="118"/>
        <v>176.04166666666669</v>
      </c>
      <c r="G54" s="3">
        <f t="shared" si="118"/>
        <v>11.607142857142861</v>
      </c>
      <c r="H54" s="3">
        <f t="shared" si="118"/>
        <v>-197.86979752530931</v>
      </c>
      <c r="I54" s="3">
        <f t="shared" si="118"/>
        <v>-1106.6015185601798</v>
      </c>
      <c r="J54" s="3">
        <f t="shared" si="118"/>
        <v>2464.0023643750401</v>
      </c>
      <c r="K54" s="3">
        <f t="shared" si="118"/>
        <v>-3807.962969041725</v>
      </c>
      <c r="L54" s="3">
        <f t="shared" si="118"/>
        <v>-15776.869980530697</v>
      </c>
      <c r="M54" s="3">
        <f>SUM(M51:M53)</f>
        <v>-16943.74725186405</v>
      </c>
      <c r="N54" s="3">
        <f t="shared" si="118"/>
        <v>-16843.598442340237</v>
      </c>
      <c r="O54" s="3">
        <f t="shared" si="118"/>
        <v>-14852.229394721191</v>
      </c>
      <c r="P54" s="3">
        <f t="shared" ref="P54:Q54" si="119">SUM(P51:P53)</f>
        <v>-298.01860704911888</v>
      </c>
      <c r="Q54" s="3">
        <f t="shared" si="119"/>
        <v>500.50032808398947</v>
      </c>
      <c r="R54" s="3">
        <f t="shared" ref="R54" si="120">SUM(R51:R53)</f>
        <v>179.85135717853095</v>
      </c>
      <c r="S54" s="43">
        <f t="shared" ref="S54:AH54" si="121">SUM(S51:S53)</f>
        <v>-34.863061897627148</v>
      </c>
      <c r="T54" s="3">
        <f t="shared" si="121"/>
        <v>-50242.655340816724</v>
      </c>
      <c r="U54" s="3">
        <f t="shared" si="121"/>
        <v>-27976.617408499063</v>
      </c>
      <c r="V54" s="3">
        <f t="shared" si="121"/>
        <v>-16843.598442340237</v>
      </c>
      <c r="W54" s="3">
        <f t="shared" si="121"/>
        <v>-11277.088959260822</v>
      </c>
      <c r="X54" s="43">
        <f t="shared" si="121"/>
        <v>-8493.8342177211161</v>
      </c>
      <c r="Y54" s="3">
        <f t="shared" si="121"/>
        <v>-28229.540920893982</v>
      </c>
      <c r="Z54" s="3">
        <f t="shared" si="121"/>
        <v>-20638.912601858152</v>
      </c>
      <c r="AA54" s="3">
        <f t="shared" si="121"/>
        <v>-16843.598442340237</v>
      </c>
      <c r="AB54" s="3">
        <f t="shared" si="121"/>
        <v>-14945.941362581279</v>
      </c>
      <c r="AC54" s="43">
        <f t="shared" si="121"/>
        <v>-13997.1128227018</v>
      </c>
      <c r="AD54" s="3">
        <f t="shared" si="121"/>
        <v>-17972.865124691896</v>
      </c>
      <c r="AE54" s="3">
        <f t="shared" si="121"/>
        <v>-17220.020669790789</v>
      </c>
      <c r="AF54" s="3">
        <f t="shared" si="121"/>
        <v>-16843.598442340237</v>
      </c>
      <c r="AG54" s="3">
        <f t="shared" si="121"/>
        <v>-16655.387328614961</v>
      </c>
      <c r="AH54" s="43">
        <f t="shared" si="121"/>
        <v>-16561.281771752321</v>
      </c>
    </row>
    <row r="55" spans="1:34" outlineLevel="2" x14ac:dyDescent="0.25">
      <c r="A55" t="s">
        <v>133</v>
      </c>
      <c r="B55" t="s">
        <v>19</v>
      </c>
      <c r="C55" s="3">
        <f>-(C$24+C$27)/4</f>
        <v>0</v>
      </c>
      <c r="D55" s="3">
        <f t="shared" ref="D55:AH55" si="122">-(D$24+D$27)/4</f>
        <v>0</v>
      </c>
      <c r="E55" s="3">
        <f t="shared" si="122"/>
        <v>0</v>
      </c>
      <c r="F55" s="3">
        <f t="shared" si="122"/>
        <v>87.5</v>
      </c>
      <c r="G55" s="3">
        <f t="shared" si="122"/>
        <v>87.5</v>
      </c>
      <c r="H55" s="3">
        <f t="shared" si="122"/>
        <v>87.5</v>
      </c>
      <c r="I55" s="3">
        <f t="shared" si="122"/>
        <v>-162.6968503937008</v>
      </c>
      <c r="J55" s="3">
        <f t="shared" si="122"/>
        <v>0</v>
      </c>
      <c r="K55" s="3">
        <f t="shared" si="122"/>
        <v>0</v>
      </c>
      <c r="L55" s="3">
        <f t="shared" si="122"/>
        <v>-2002.765316663493</v>
      </c>
      <c r="M55" s="3">
        <f t="shared" si="122"/>
        <v>-2002.765316663493</v>
      </c>
      <c r="N55" s="3">
        <f t="shared" si="122"/>
        <v>-1915.265316663493</v>
      </c>
      <c r="O55" s="3">
        <f t="shared" si="122"/>
        <v>-252.76531666349297</v>
      </c>
      <c r="P55" s="3">
        <f t="shared" si="122"/>
        <v>0</v>
      </c>
      <c r="Q55" s="3">
        <f t="shared" si="122"/>
        <v>75.196850393700785</v>
      </c>
      <c r="R55" s="3">
        <f t="shared" si="122"/>
        <v>53.17220283725613</v>
      </c>
      <c r="S55" s="43">
        <f t="shared" si="122"/>
        <v>10.634440567451225</v>
      </c>
      <c r="T55" s="3">
        <f t="shared" si="122"/>
        <v>-1915.265316663493</v>
      </c>
      <c r="U55" s="3">
        <f t="shared" si="122"/>
        <v>-1915.265316663493</v>
      </c>
      <c r="V55" s="3">
        <f t="shared" si="122"/>
        <v>-1915.265316663493</v>
      </c>
      <c r="W55" s="3">
        <f t="shared" si="122"/>
        <v>-1915.265316663493</v>
      </c>
      <c r="X55" s="43">
        <f t="shared" si="122"/>
        <v>-1915.265316663493</v>
      </c>
      <c r="Y55" s="3">
        <f t="shared" si="122"/>
        <v>-1915.265316663493</v>
      </c>
      <c r="Z55" s="3">
        <f t="shared" si="122"/>
        <v>-1915.265316663493</v>
      </c>
      <c r="AA55" s="3">
        <f t="shared" si="122"/>
        <v>-1915.265316663493</v>
      </c>
      <c r="AB55" s="3">
        <f t="shared" si="122"/>
        <v>-1915.265316663493</v>
      </c>
      <c r="AC55" s="43">
        <f t="shared" si="122"/>
        <v>-1915.265316663493</v>
      </c>
      <c r="AD55" s="3">
        <f t="shared" si="122"/>
        <v>-1915.265316663493</v>
      </c>
      <c r="AE55" s="3">
        <f t="shared" si="122"/>
        <v>-1915.265316663493</v>
      </c>
      <c r="AF55" s="3">
        <f t="shared" si="122"/>
        <v>-1915.265316663493</v>
      </c>
      <c r="AG55" s="3">
        <f t="shared" si="122"/>
        <v>-1915.265316663493</v>
      </c>
      <c r="AH55" s="43">
        <f t="shared" si="122"/>
        <v>-1915.265316663493</v>
      </c>
    </row>
    <row r="56" spans="1:34" outlineLevel="2" x14ac:dyDescent="0.25">
      <c r="A56" t="s">
        <v>134</v>
      </c>
      <c r="B56" t="s">
        <v>19</v>
      </c>
      <c r="C56" s="3">
        <f t="shared" ref="C56:AH56" si="123">-C$32*1000/C$6/2</f>
        <v>0</v>
      </c>
      <c r="D56" s="3">
        <f t="shared" si="123"/>
        <v>0</v>
      </c>
      <c r="E56" s="3">
        <f t="shared" si="123"/>
        <v>-75.892857142857139</v>
      </c>
      <c r="F56" s="3">
        <f t="shared" si="123"/>
        <v>0</v>
      </c>
      <c r="G56" s="3">
        <f t="shared" si="123"/>
        <v>-75.892857142857139</v>
      </c>
      <c r="H56" s="3">
        <f t="shared" si="123"/>
        <v>-285.36979752530931</v>
      </c>
      <c r="I56" s="3">
        <f t="shared" si="123"/>
        <v>-75.892857142857139</v>
      </c>
      <c r="J56" s="3">
        <f t="shared" si="123"/>
        <v>0</v>
      </c>
      <c r="K56" s="3">
        <f t="shared" si="123"/>
        <v>-3719.4213023750585</v>
      </c>
      <c r="L56" s="3">
        <f t="shared" si="123"/>
        <v>0</v>
      </c>
      <c r="M56" s="3">
        <f t="shared" si="123"/>
        <v>-3719.4213023750585</v>
      </c>
      <c r="N56" s="3">
        <f t="shared" si="123"/>
        <v>-3795.3141595179159</v>
      </c>
      <c r="O56" s="3">
        <f t="shared" si="123"/>
        <v>-5237.2784452322012</v>
      </c>
      <c r="P56" s="3">
        <f t="shared" si="123"/>
        <v>-209.4769403824522</v>
      </c>
      <c r="Q56" s="3">
        <f t="shared" si="123"/>
        <v>0</v>
      </c>
      <c r="R56" s="3">
        <f t="shared" si="123"/>
        <v>-148.12256504664205</v>
      </c>
      <c r="S56" s="43">
        <f t="shared" si="123"/>
        <v>-29.624513009328414</v>
      </c>
      <c r="T56" s="3">
        <f t="shared" si="123"/>
        <v>-3795.3141595179159</v>
      </c>
      <c r="U56" s="3">
        <f t="shared" si="123"/>
        <v>-3795.3141595179159</v>
      </c>
      <c r="V56" s="3">
        <f t="shared" si="123"/>
        <v>-3795.3141595179159</v>
      </c>
      <c r="W56" s="3">
        <f t="shared" si="123"/>
        <v>-3795.3141595179159</v>
      </c>
      <c r="X56" s="43">
        <f t="shared" si="123"/>
        <v>-3795.3141595179159</v>
      </c>
      <c r="Y56" s="3">
        <f t="shared" si="123"/>
        <v>-15181.256638071663</v>
      </c>
      <c r="Z56" s="3">
        <f t="shared" si="123"/>
        <v>-7590.6283190358317</v>
      </c>
      <c r="AA56" s="3">
        <f t="shared" si="123"/>
        <v>-3795.3141595179159</v>
      </c>
      <c r="AB56" s="3">
        <f t="shared" si="123"/>
        <v>-1897.6570797589579</v>
      </c>
      <c r="AC56" s="43">
        <f t="shared" si="123"/>
        <v>-948.82853987947897</v>
      </c>
      <c r="AD56" s="3">
        <f t="shared" si="123"/>
        <v>-6466.726709513835</v>
      </c>
      <c r="AE56" s="3">
        <f t="shared" si="123"/>
        <v>-4685.785009516555</v>
      </c>
      <c r="AF56" s="3">
        <f t="shared" si="123"/>
        <v>-3795.3141595179159</v>
      </c>
      <c r="AG56" s="3">
        <f t="shared" si="123"/>
        <v>-3350.0787345185954</v>
      </c>
      <c r="AH56" s="43">
        <f t="shared" si="123"/>
        <v>-3127.4610220189356</v>
      </c>
    </row>
    <row r="57" spans="1:34" outlineLevel="2" x14ac:dyDescent="0.25">
      <c r="A57" t="s">
        <v>135</v>
      </c>
      <c r="B57" t="s">
        <v>19</v>
      </c>
      <c r="C57" s="3">
        <f t="shared" ref="C57:AH57" si="124">-C$37*1000/C$5/2</f>
        <v>88.541666666666671</v>
      </c>
      <c r="D57" s="3">
        <f t="shared" si="124"/>
        <v>177.08333333333334</v>
      </c>
      <c r="E57" s="3">
        <f t="shared" si="124"/>
        <v>88.541666666666671</v>
      </c>
      <c r="F57" s="3">
        <f t="shared" si="124"/>
        <v>-88.541666666666671</v>
      </c>
      <c r="G57" s="3">
        <f t="shared" si="124"/>
        <v>0</v>
      </c>
      <c r="H57" s="3">
        <f t="shared" si="124"/>
        <v>0</v>
      </c>
      <c r="I57" s="3">
        <f t="shared" si="124"/>
        <v>868.01181102362193</v>
      </c>
      <c r="J57" s="3">
        <f t="shared" si="124"/>
        <v>-2464.0023643750401</v>
      </c>
      <c r="K57" s="3">
        <f t="shared" si="124"/>
        <v>88.541666666666671</v>
      </c>
      <c r="L57" s="3">
        <f t="shared" si="124"/>
        <v>13774.104663867203</v>
      </c>
      <c r="M57" s="3">
        <f t="shared" si="124"/>
        <v>11221.560632825496</v>
      </c>
      <c r="N57" s="3">
        <f t="shared" si="124"/>
        <v>11133.018966158828</v>
      </c>
      <c r="O57" s="3">
        <f t="shared" si="124"/>
        <v>9362.1856328254962</v>
      </c>
      <c r="P57" s="3">
        <f t="shared" si="124"/>
        <v>88.541666666666671</v>
      </c>
      <c r="Q57" s="3">
        <f t="shared" si="124"/>
        <v>-425.30347769028867</v>
      </c>
      <c r="R57" s="3">
        <f t="shared" si="124"/>
        <v>-274.80171938791688</v>
      </c>
      <c r="S57" s="43">
        <f t="shared" si="124"/>
        <v>15.872989455749961</v>
      </c>
      <c r="T57" s="3">
        <f t="shared" si="124"/>
        <v>44532.075864635313</v>
      </c>
      <c r="U57" s="3">
        <f t="shared" si="124"/>
        <v>22266.037932317657</v>
      </c>
      <c r="V57" s="3">
        <f t="shared" si="124"/>
        <v>11133.018966158828</v>
      </c>
      <c r="W57" s="3">
        <f t="shared" si="124"/>
        <v>5566.5094830794142</v>
      </c>
      <c r="X57" s="43">
        <f t="shared" si="124"/>
        <v>2783.2547415397071</v>
      </c>
      <c r="Y57" s="3">
        <f t="shared" si="124"/>
        <v>11133.018966158828</v>
      </c>
      <c r="Z57" s="3">
        <f t="shared" si="124"/>
        <v>11133.018966158828</v>
      </c>
      <c r="AA57" s="3">
        <f t="shared" si="124"/>
        <v>11133.018966158828</v>
      </c>
      <c r="AB57" s="3">
        <f t="shared" si="124"/>
        <v>11133.018966158828</v>
      </c>
      <c r="AC57" s="43">
        <f t="shared" si="124"/>
        <v>11133.018966158828</v>
      </c>
      <c r="AD57" s="3">
        <f t="shared" si="124"/>
        <v>9590.8730985145703</v>
      </c>
      <c r="AE57" s="3">
        <f t="shared" si="124"/>
        <v>10618.970343610741</v>
      </c>
      <c r="AF57" s="3">
        <f t="shared" si="124"/>
        <v>11133.018966158828</v>
      </c>
      <c r="AG57" s="3">
        <f t="shared" si="124"/>
        <v>11390.043277432873</v>
      </c>
      <c r="AH57" s="43">
        <f t="shared" si="124"/>
        <v>11518.555433069892</v>
      </c>
    </row>
    <row r="58" spans="1:34" outlineLevel="1" x14ac:dyDescent="0.25">
      <c r="A58" t="s">
        <v>100</v>
      </c>
      <c r="B58" t="s">
        <v>19</v>
      </c>
      <c r="C58" s="3">
        <f>SUM(C55:C57)</f>
        <v>88.541666666666671</v>
      </c>
      <c r="D58" s="3">
        <f t="shared" ref="D58:O58" si="125">SUM(D55:D57)</f>
        <v>177.08333333333334</v>
      </c>
      <c r="E58" s="3">
        <f t="shared" si="125"/>
        <v>12.648809523809533</v>
      </c>
      <c r="F58" s="3">
        <f t="shared" si="125"/>
        <v>-1.0416666666666714</v>
      </c>
      <c r="G58" s="3">
        <f t="shared" si="125"/>
        <v>11.607142857142861</v>
      </c>
      <c r="H58" s="3">
        <f t="shared" si="125"/>
        <v>-197.86979752530931</v>
      </c>
      <c r="I58" s="3">
        <f t="shared" si="125"/>
        <v>629.42210348706396</v>
      </c>
      <c r="J58" s="3">
        <f t="shared" si="125"/>
        <v>-2464.0023643750401</v>
      </c>
      <c r="K58" s="3">
        <f t="shared" si="125"/>
        <v>-3630.879635708392</v>
      </c>
      <c r="L58" s="3">
        <f t="shared" si="125"/>
        <v>11771.33934720371</v>
      </c>
      <c r="M58" s="3">
        <f>SUM(M55:M57)</f>
        <v>5499.3740137869445</v>
      </c>
      <c r="N58" s="3">
        <f t="shared" si="125"/>
        <v>5422.4394899774197</v>
      </c>
      <c r="O58" s="3">
        <f t="shared" si="125"/>
        <v>3872.1418709298023</v>
      </c>
      <c r="P58" s="3">
        <f t="shared" ref="P58:Q58" si="126">SUM(P55:P57)</f>
        <v>-120.93527371578553</v>
      </c>
      <c r="Q58" s="3">
        <f t="shared" si="126"/>
        <v>-350.10662729658787</v>
      </c>
      <c r="R58" s="3">
        <f t="shared" ref="R58" si="127">SUM(R55:R57)</f>
        <v>-369.75208159730278</v>
      </c>
      <c r="S58" s="43">
        <f t="shared" ref="S58:AH58" si="128">SUM(S55:S57)</f>
        <v>-3.1170829861272278</v>
      </c>
      <c r="T58" s="3">
        <f t="shared" si="128"/>
        <v>38821.496388453903</v>
      </c>
      <c r="U58" s="3">
        <f t="shared" si="128"/>
        <v>16555.45845613625</v>
      </c>
      <c r="V58" s="3">
        <f t="shared" si="128"/>
        <v>5422.4394899774197</v>
      </c>
      <c r="W58" s="3">
        <f t="shared" si="128"/>
        <v>-144.06999310199444</v>
      </c>
      <c r="X58" s="43">
        <f t="shared" si="128"/>
        <v>-2927.3247346417015</v>
      </c>
      <c r="Y58" s="3">
        <f t="shared" si="128"/>
        <v>-5963.502988576327</v>
      </c>
      <c r="Z58" s="3">
        <f t="shared" si="128"/>
        <v>1627.1253304595029</v>
      </c>
      <c r="AA58" s="3">
        <f t="shared" si="128"/>
        <v>5422.4394899774197</v>
      </c>
      <c r="AB58" s="3">
        <f t="shared" si="128"/>
        <v>7320.0965697363772</v>
      </c>
      <c r="AC58" s="43">
        <f t="shared" si="128"/>
        <v>8268.9251096158569</v>
      </c>
      <c r="AD58" s="3">
        <f t="shared" si="128"/>
        <v>1208.8810723372426</v>
      </c>
      <c r="AE58" s="3">
        <f t="shared" si="128"/>
        <v>4017.9200174306934</v>
      </c>
      <c r="AF58" s="3">
        <f t="shared" si="128"/>
        <v>5422.4394899774197</v>
      </c>
      <c r="AG58" s="3">
        <f t="shared" si="128"/>
        <v>6124.6992262507847</v>
      </c>
      <c r="AH58" s="43">
        <f t="shared" si="128"/>
        <v>6475.8290943874636</v>
      </c>
    </row>
    <row r="59" spans="1:34" outlineLevel="2" x14ac:dyDescent="0.25">
      <c r="A59" t="s">
        <v>136</v>
      </c>
      <c r="B59" t="s">
        <v>19</v>
      </c>
      <c r="C59" s="3">
        <f>-(C$22+C$25)/4</f>
        <v>-87.5</v>
      </c>
      <c r="D59" s="3">
        <f t="shared" ref="D59:AH59" si="129">-(D$22+D$25)/4</f>
        <v>-175</v>
      </c>
      <c r="E59" s="3">
        <f t="shared" si="129"/>
        <v>-87.5</v>
      </c>
      <c r="F59" s="3">
        <f t="shared" si="129"/>
        <v>-87.5</v>
      </c>
      <c r="G59" s="3">
        <f t="shared" si="129"/>
        <v>-175</v>
      </c>
      <c r="H59" s="3">
        <f t="shared" si="129"/>
        <v>-175</v>
      </c>
      <c r="I59" s="3">
        <f t="shared" si="129"/>
        <v>-175</v>
      </c>
      <c r="J59" s="3">
        <f t="shared" si="129"/>
        <v>697.89816339744823</v>
      </c>
      <c r="K59" s="3">
        <f t="shared" si="129"/>
        <v>-87.5</v>
      </c>
      <c r="L59" s="3">
        <f t="shared" si="129"/>
        <v>-87.5</v>
      </c>
      <c r="M59" s="3">
        <f t="shared" si="129"/>
        <v>697.89816339744823</v>
      </c>
      <c r="N59" s="3">
        <f t="shared" si="129"/>
        <v>610.39816339744823</v>
      </c>
      <c r="O59" s="3">
        <f t="shared" si="129"/>
        <v>-964.60183660255177</v>
      </c>
      <c r="P59" s="3">
        <f t="shared" si="129"/>
        <v>-87.5</v>
      </c>
      <c r="Q59" s="3">
        <f t="shared" si="129"/>
        <v>-87.5</v>
      </c>
      <c r="R59" s="3">
        <f t="shared" si="129"/>
        <v>-87.5</v>
      </c>
      <c r="S59" s="43">
        <f t="shared" si="129"/>
        <v>-87.5</v>
      </c>
      <c r="T59" s="3">
        <f t="shared" si="129"/>
        <v>610.39816339744823</v>
      </c>
      <c r="U59" s="3">
        <f t="shared" si="129"/>
        <v>610.39816339744823</v>
      </c>
      <c r="V59" s="3">
        <f t="shared" si="129"/>
        <v>610.39816339744823</v>
      </c>
      <c r="W59" s="3">
        <f t="shared" si="129"/>
        <v>610.39816339744823</v>
      </c>
      <c r="X59" s="43">
        <f t="shared" si="129"/>
        <v>610.39816339744823</v>
      </c>
      <c r="Y59" s="3">
        <f t="shared" si="129"/>
        <v>610.39816339744823</v>
      </c>
      <c r="Z59" s="3">
        <f t="shared" si="129"/>
        <v>610.39816339744823</v>
      </c>
      <c r="AA59" s="3">
        <f t="shared" si="129"/>
        <v>610.39816339744823</v>
      </c>
      <c r="AB59" s="3">
        <f t="shared" si="129"/>
        <v>610.39816339744823</v>
      </c>
      <c r="AC59" s="43">
        <f t="shared" si="129"/>
        <v>610.39816339744823</v>
      </c>
      <c r="AD59" s="3">
        <f t="shared" si="129"/>
        <v>610.39816339744823</v>
      </c>
      <c r="AE59" s="3">
        <f t="shared" si="129"/>
        <v>610.39816339744823</v>
      </c>
      <c r="AF59" s="3">
        <f t="shared" si="129"/>
        <v>610.39816339744823</v>
      </c>
      <c r="AG59" s="3">
        <f t="shared" si="129"/>
        <v>610.39816339744823</v>
      </c>
      <c r="AH59" s="43">
        <f t="shared" si="129"/>
        <v>610.39816339744823</v>
      </c>
    </row>
    <row r="60" spans="1:34" outlineLevel="2" x14ac:dyDescent="0.25">
      <c r="A60" t="s">
        <v>137</v>
      </c>
      <c r="B60" t="s">
        <v>19</v>
      </c>
      <c r="C60" s="3">
        <f t="shared" ref="C60:AH60" si="130">-C$42*1000/C$6/2</f>
        <v>0</v>
      </c>
      <c r="D60" s="3">
        <f t="shared" si="130"/>
        <v>0</v>
      </c>
      <c r="E60" s="3">
        <f t="shared" si="130"/>
        <v>-151.78571428571428</v>
      </c>
      <c r="F60" s="3">
        <f t="shared" si="130"/>
        <v>0</v>
      </c>
      <c r="G60" s="3">
        <f t="shared" si="130"/>
        <v>-151.78571428571428</v>
      </c>
      <c r="H60" s="3">
        <f t="shared" si="130"/>
        <v>-592.22440944881885</v>
      </c>
      <c r="I60" s="3">
        <f t="shared" si="130"/>
        <v>-151.78571428571428</v>
      </c>
      <c r="J60" s="3">
        <f t="shared" si="130"/>
        <v>0</v>
      </c>
      <c r="K60" s="3">
        <f t="shared" si="130"/>
        <v>-7820.32171268602</v>
      </c>
      <c r="L60" s="3">
        <f t="shared" si="130"/>
        <v>0</v>
      </c>
      <c r="M60" s="3">
        <f t="shared" si="130"/>
        <v>-7820.32171268602</v>
      </c>
      <c r="N60" s="3">
        <f t="shared" si="130"/>
        <v>-7972.1074269717346</v>
      </c>
      <c r="O60" s="3">
        <f t="shared" si="130"/>
        <v>-10856.035998400306</v>
      </c>
      <c r="P60" s="3">
        <f t="shared" si="130"/>
        <v>-440.43869516310457</v>
      </c>
      <c r="Q60" s="3">
        <f t="shared" si="130"/>
        <v>0</v>
      </c>
      <c r="R60" s="3">
        <f t="shared" si="130"/>
        <v>-311.43718804678588</v>
      </c>
      <c r="S60" s="43">
        <f t="shared" si="130"/>
        <v>-62.287437609357184</v>
      </c>
      <c r="T60" s="3">
        <f t="shared" si="130"/>
        <v>-7972.1074269717346</v>
      </c>
      <c r="U60" s="3">
        <f t="shared" si="130"/>
        <v>-7972.1074269717346</v>
      </c>
      <c r="V60" s="3">
        <f t="shared" si="130"/>
        <v>-7972.1074269717346</v>
      </c>
      <c r="W60" s="3">
        <f t="shared" si="130"/>
        <v>-7972.1074269717346</v>
      </c>
      <c r="X60" s="43">
        <f t="shared" si="130"/>
        <v>-7972.1074269717346</v>
      </c>
      <c r="Y60" s="3">
        <f t="shared" si="130"/>
        <v>-31888.429707886939</v>
      </c>
      <c r="Z60" s="3">
        <f t="shared" si="130"/>
        <v>-15944.214853943469</v>
      </c>
      <c r="AA60" s="3">
        <f t="shared" si="130"/>
        <v>-7972.1074269717346</v>
      </c>
      <c r="AB60" s="3">
        <f t="shared" si="130"/>
        <v>-3986.0537134858673</v>
      </c>
      <c r="AC60" s="43">
        <f t="shared" si="130"/>
        <v>-1993.0268567429337</v>
      </c>
      <c r="AD60" s="3">
        <f t="shared" si="130"/>
        <v>-7972.1074269717346</v>
      </c>
      <c r="AE60" s="3">
        <f t="shared" si="130"/>
        <v>-7972.1074269717346</v>
      </c>
      <c r="AF60" s="3">
        <f t="shared" si="130"/>
        <v>-7972.1074269717346</v>
      </c>
      <c r="AG60" s="3">
        <f t="shared" si="130"/>
        <v>-7972.1074269717346</v>
      </c>
      <c r="AH60" s="43">
        <f t="shared" si="130"/>
        <v>-7972.1074269717346</v>
      </c>
    </row>
    <row r="61" spans="1:34" outlineLevel="1" x14ac:dyDescent="0.25">
      <c r="A61" t="s">
        <v>101</v>
      </c>
      <c r="B61" t="s">
        <v>19</v>
      </c>
      <c r="C61" s="3">
        <f>SUM(C59:C60)</f>
        <v>-87.5</v>
      </c>
      <c r="D61" s="3">
        <f t="shared" ref="D61:O61" si="131">SUM(D59:D60)</f>
        <v>-175</v>
      </c>
      <c r="E61" s="3">
        <f t="shared" si="131"/>
        <v>-239.28571428571428</v>
      </c>
      <c r="F61" s="3">
        <f t="shared" si="131"/>
        <v>-87.5</v>
      </c>
      <c r="G61" s="3">
        <f t="shared" si="131"/>
        <v>-326.78571428571428</v>
      </c>
      <c r="H61" s="3">
        <f t="shared" si="131"/>
        <v>-767.22440944881885</v>
      </c>
      <c r="I61" s="3">
        <f t="shared" si="131"/>
        <v>-326.78571428571428</v>
      </c>
      <c r="J61" s="3">
        <f t="shared" si="131"/>
        <v>697.89816339744823</v>
      </c>
      <c r="K61" s="3">
        <f t="shared" si="131"/>
        <v>-7907.82171268602</v>
      </c>
      <c r="L61" s="3">
        <f t="shared" si="131"/>
        <v>-87.5</v>
      </c>
      <c r="M61" s="3">
        <f>SUM(M59:M60)</f>
        <v>-7122.4235492885718</v>
      </c>
      <c r="N61" s="3">
        <f t="shared" si="131"/>
        <v>-7361.7092635742865</v>
      </c>
      <c r="O61" s="3">
        <f t="shared" si="131"/>
        <v>-11820.637835002857</v>
      </c>
      <c r="P61" s="3">
        <f t="shared" ref="P61:Q61" si="132">SUM(P59:P60)</f>
        <v>-527.93869516310451</v>
      </c>
      <c r="Q61" s="3">
        <f t="shared" si="132"/>
        <v>-87.5</v>
      </c>
      <c r="R61" s="3">
        <f t="shared" ref="R61" si="133">SUM(R59:R60)</f>
        <v>-398.93718804678588</v>
      </c>
      <c r="S61" s="43">
        <f t="shared" ref="S61:AH61" si="134">SUM(S59:S60)</f>
        <v>-149.7874376093572</v>
      </c>
      <c r="T61" s="3">
        <f t="shared" si="134"/>
        <v>-7361.7092635742865</v>
      </c>
      <c r="U61" s="3">
        <f t="shared" si="134"/>
        <v>-7361.7092635742865</v>
      </c>
      <c r="V61" s="3">
        <f t="shared" si="134"/>
        <v>-7361.7092635742865</v>
      </c>
      <c r="W61" s="3">
        <f t="shared" si="134"/>
        <v>-7361.7092635742865</v>
      </c>
      <c r="X61" s="43">
        <f t="shared" si="134"/>
        <v>-7361.7092635742865</v>
      </c>
      <c r="Y61" s="3">
        <f t="shared" si="134"/>
        <v>-31278.031544489491</v>
      </c>
      <c r="Z61" s="3">
        <f t="shared" si="134"/>
        <v>-15333.81669054602</v>
      </c>
      <c r="AA61" s="3">
        <f t="shared" si="134"/>
        <v>-7361.7092635742865</v>
      </c>
      <c r="AB61" s="3">
        <f t="shared" si="134"/>
        <v>-3375.6555500884192</v>
      </c>
      <c r="AC61" s="43">
        <f t="shared" si="134"/>
        <v>-1382.6286933454853</v>
      </c>
      <c r="AD61" s="3">
        <f t="shared" si="134"/>
        <v>-7361.7092635742865</v>
      </c>
      <c r="AE61" s="3">
        <f t="shared" si="134"/>
        <v>-7361.7092635742865</v>
      </c>
      <c r="AF61" s="3">
        <f t="shared" si="134"/>
        <v>-7361.7092635742865</v>
      </c>
      <c r="AG61" s="3">
        <f t="shared" si="134"/>
        <v>-7361.7092635742865</v>
      </c>
      <c r="AH61" s="43">
        <f t="shared" si="134"/>
        <v>-7361.7092635742865</v>
      </c>
    </row>
    <row r="62" spans="1:34" outlineLevel="2" x14ac:dyDescent="0.25">
      <c r="A62" t="s">
        <v>136</v>
      </c>
      <c r="B62" t="s">
        <v>19</v>
      </c>
      <c r="C62" s="3">
        <f>-(C$22+C$25)/4</f>
        <v>-87.5</v>
      </c>
      <c r="D62" s="3">
        <f t="shared" ref="D62:AH62" si="135">-(D$22+D$25)/4</f>
        <v>-175</v>
      </c>
      <c r="E62" s="3">
        <f t="shared" si="135"/>
        <v>-87.5</v>
      </c>
      <c r="F62" s="3">
        <f t="shared" si="135"/>
        <v>-87.5</v>
      </c>
      <c r="G62" s="3">
        <f t="shared" si="135"/>
        <v>-175</v>
      </c>
      <c r="H62" s="3">
        <f t="shared" si="135"/>
        <v>-175</v>
      </c>
      <c r="I62" s="3">
        <f t="shared" si="135"/>
        <v>-175</v>
      </c>
      <c r="J62" s="3">
        <f t="shared" si="135"/>
        <v>697.89816339744823</v>
      </c>
      <c r="K62" s="3">
        <f t="shared" si="135"/>
        <v>-87.5</v>
      </c>
      <c r="L62" s="3">
        <f t="shared" si="135"/>
        <v>-87.5</v>
      </c>
      <c r="M62" s="3">
        <f t="shared" si="135"/>
        <v>697.89816339744823</v>
      </c>
      <c r="N62" s="3">
        <f t="shared" si="135"/>
        <v>610.39816339744823</v>
      </c>
      <c r="O62" s="3">
        <f t="shared" si="135"/>
        <v>-964.60183660255177</v>
      </c>
      <c r="P62" s="3">
        <f t="shared" si="135"/>
        <v>-87.5</v>
      </c>
      <c r="Q62" s="3">
        <f t="shared" si="135"/>
        <v>-87.5</v>
      </c>
      <c r="R62" s="3">
        <f t="shared" si="135"/>
        <v>-87.5</v>
      </c>
      <c r="S62" s="43">
        <f t="shared" si="135"/>
        <v>-87.5</v>
      </c>
      <c r="T62" s="3">
        <f t="shared" si="135"/>
        <v>610.39816339744823</v>
      </c>
      <c r="U62" s="3">
        <f t="shared" si="135"/>
        <v>610.39816339744823</v>
      </c>
      <c r="V62" s="3">
        <f t="shared" si="135"/>
        <v>610.39816339744823</v>
      </c>
      <c r="W62" s="3">
        <f t="shared" si="135"/>
        <v>610.39816339744823</v>
      </c>
      <c r="X62" s="43">
        <f t="shared" si="135"/>
        <v>610.39816339744823</v>
      </c>
      <c r="Y62" s="3">
        <f t="shared" si="135"/>
        <v>610.39816339744823</v>
      </c>
      <c r="Z62" s="3">
        <f t="shared" si="135"/>
        <v>610.39816339744823</v>
      </c>
      <c r="AA62" s="3">
        <f t="shared" si="135"/>
        <v>610.39816339744823</v>
      </c>
      <c r="AB62" s="3">
        <f t="shared" si="135"/>
        <v>610.39816339744823</v>
      </c>
      <c r="AC62" s="43">
        <f t="shared" si="135"/>
        <v>610.39816339744823</v>
      </c>
      <c r="AD62" s="3">
        <f t="shared" si="135"/>
        <v>610.39816339744823</v>
      </c>
      <c r="AE62" s="3">
        <f t="shared" si="135"/>
        <v>610.39816339744823</v>
      </c>
      <c r="AF62" s="3">
        <f t="shared" si="135"/>
        <v>610.39816339744823</v>
      </c>
      <c r="AG62" s="3">
        <f t="shared" si="135"/>
        <v>610.39816339744823</v>
      </c>
      <c r="AH62" s="43">
        <f t="shared" si="135"/>
        <v>610.39816339744823</v>
      </c>
    </row>
    <row r="63" spans="1:34" outlineLevel="2" x14ac:dyDescent="0.25">
      <c r="A63" t="s">
        <v>137</v>
      </c>
      <c r="B63" t="s">
        <v>19</v>
      </c>
      <c r="C63" s="3">
        <f t="shared" ref="C63:AH63" si="136">-C$42*1000/C$6/2</f>
        <v>0</v>
      </c>
      <c r="D63" s="3">
        <f t="shared" si="136"/>
        <v>0</v>
      </c>
      <c r="E63" s="3">
        <f t="shared" si="136"/>
        <v>-151.78571428571428</v>
      </c>
      <c r="F63" s="3">
        <f t="shared" si="136"/>
        <v>0</v>
      </c>
      <c r="G63" s="3">
        <f t="shared" si="136"/>
        <v>-151.78571428571428</v>
      </c>
      <c r="H63" s="3">
        <f t="shared" si="136"/>
        <v>-592.22440944881885</v>
      </c>
      <c r="I63" s="3">
        <f t="shared" si="136"/>
        <v>-151.78571428571428</v>
      </c>
      <c r="J63" s="3">
        <f t="shared" si="136"/>
        <v>0</v>
      </c>
      <c r="K63" s="3">
        <f t="shared" si="136"/>
        <v>-7820.32171268602</v>
      </c>
      <c r="L63" s="3">
        <f t="shared" si="136"/>
        <v>0</v>
      </c>
      <c r="M63" s="3">
        <f t="shared" si="136"/>
        <v>-7820.32171268602</v>
      </c>
      <c r="N63" s="3">
        <f t="shared" si="136"/>
        <v>-7972.1074269717346</v>
      </c>
      <c r="O63" s="3">
        <f t="shared" si="136"/>
        <v>-10856.035998400306</v>
      </c>
      <c r="P63" s="3">
        <f t="shared" si="136"/>
        <v>-440.43869516310457</v>
      </c>
      <c r="Q63" s="3">
        <f t="shared" si="136"/>
        <v>0</v>
      </c>
      <c r="R63" s="3">
        <f t="shared" si="136"/>
        <v>-311.43718804678588</v>
      </c>
      <c r="S63" s="43">
        <f t="shared" si="136"/>
        <v>-62.287437609357184</v>
      </c>
      <c r="T63" s="3">
        <f t="shared" si="136"/>
        <v>-7972.1074269717346</v>
      </c>
      <c r="U63" s="3">
        <f t="shared" si="136"/>
        <v>-7972.1074269717346</v>
      </c>
      <c r="V63" s="3">
        <f t="shared" si="136"/>
        <v>-7972.1074269717346</v>
      </c>
      <c r="W63" s="3">
        <f t="shared" si="136"/>
        <v>-7972.1074269717346</v>
      </c>
      <c r="X63" s="43">
        <f t="shared" si="136"/>
        <v>-7972.1074269717346</v>
      </c>
      <c r="Y63" s="3">
        <f t="shared" si="136"/>
        <v>-31888.429707886939</v>
      </c>
      <c r="Z63" s="3">
        <f t="shared" si="136"/>
        <v>-15944.214853943469</v>
      </c>
      <c r="AA63" s="3">
        <f t="shared" si="136"/>
        <v>-7972.1074269717346</v>
      </c>
      <c r="AB63" s="3">
        <f t="shared" si="136"/>
        <v>-3986.0537134858673</v>
      </c>
      <c r="AC63" s="43">
        <f t="shared" si="136"/>
        <v>-1993.0268567429337</v>
      </c>
      <c r="AD63" s="3">
        <f t="shared" si="136"/>
        <v>-7972.1074269717346</v>
      </c>
      <c r="AE63" s="3">
        <f t="shared" si="136"/>
        <v>-7972.1074269717346</v>
      </c>
      <c r="AF63" s="3">
        <f t="shared" si="136"/>
        <v>-7972.1074269717346</v>
      </c>
      <c r="AG63" s="3">
        <f t="shared" si="136"/>
        <v>-7972.1074269717346</v>
      </c>
      <c r="AH63" s="43">
        <f t="shared" si="136"/>
        <v>-7972.1074269717346</v>
      </c>
    </row>
    <row r="64" spans="1:34" outlineLevel="1" x14ac:dyDescent="0.25">
      <c r="A64" t="s">
        <v>102</v>
      </c>
      <c r="B64" t="s">
        <v>19</v>
      </c>
      <c r="C64" s="3">
        <f>SUM(C62:C63)</f>
        <v>-87.5</v>
      </c>
      <c r="D64" s="3">
        <f t="shared" ref="D64:O64" si="137">SUM(D62:D63)</f>
        <v>-175</v>
      </c>
      <c r="E64" s="3">
        <f t="shared" si="137"/>
        <v>-239.28571428571428</v>
      </c>
      <c r="F64" s="3">
        <f t="shared" si="137"/>
        <v>-87.5</v>
      </c>
      <c r="G64" s="3">
        <f t="shared" si="137"/>
        <v>-326.78571428571428</v>
      </c>
      <c r="H64" s="3">
        <f t="shared" si="137"/>
        <v>-767.22440944881885</v>
      </c>
      <c r="I64" s="3">
        <f t="shared" si="137"/>
        <v>-326.78571428571428</v>
      </c>
      <c r="J64" s="3">
        <f t="shared" si="137"/>
        <v>697.89816339744823</v>
      </c>
      <c r="K64" s="3">
        <f t="shared" si="137"/>
        <v>-7907.82171268602</v>
      </c>
      <c r="L64" s="3">
        <f t="shared" si="137"/>
        <v>-87.5</v>
      </c>
      <c r="M64" s="3">
        <f>SUM(M62:M63)</f>
        <v>-7122.4235492885718</v>
      </c>
      <c r="N64" s="3">
        <f t="shared" si="137"/>
        <v>-7361.7092635742865</v>
      </c>
      <c r="O64" s="3">
        <f t="shared" si="137"/>
        <v>-11820.637835002857</v>
      </c>
      <c r="P64" s="3">
        <f t="shared" ref="P64:Q64" si="138">SUM(P62:P63)</f>
        <v>-527.93869516310451</v>
      </c>
      <c r="Q64" s="3">
        <f t="shared" si="138"/>
        <v>-87.5</v>
      </c>
      <c r="R64" s="3">
        <f t="shared" ref="R64" si="139">SUM(R62:R63)</f>
        <v>-398.93718804678588</v>
      </c>
      <c r="S64" s="43">
        <f t="shared" ref="S64:AH64" si="140">SUM(S62:S63)</f>
        <v>-149.7874376093572</v>
      </c>
      <c r="T64" s="3">
        <f t="shared" si="140"/>
        <v>-7361.7092635742865</v>
      </c>
      <c r="U64" s="3">
        <f t="shared" si="140"/>
        <v>-7361.7092635742865</v>
      </c>
      <c r="V64" s="3">
        <f t="shared" si="140"/>
        <v>-7361.7092635742865</v>
      </c>
      <c r="W64" s="3">
        <f t="shared" si="140"/>
        <v>-7361.7092635742865</v>
      </c>
      <c r="X64" s="43">
        <f t="shared" si="140"/>
        <v>-7361.7092635742865</v>
      </c>
      <c r="Y64" s="3">
        <f t="shared" si="140"/>
        <v>-31278.031544489491</v>
      </c>
      <c r="Z64" s="3">
        <f t="shared" si="140"/>
        <v>-15333.81669054602</v>
      </c>
      <c r="AA64" s="3">
        <f t="shared" si="140"/>
        <v>-7361.7092635742865</v>
      </c>
      <c r="AB64" s="3">
        <f t="shared" si="140"/>
        <v>-3375.6555500884192</v>
      </c>
      <c r="AC64" s="43">
        <f t="shared" si="140"/>
        <v>-1382.6286933454853</v>
      </c>
      <c r="AD64" s="3">
        <f t="shared" si="140"/>
        <v>-7361.7092635742865</v>
      </c>
      <c r="AE64" s="3">
        <f t="shared" si="140"/>
        <v>-7361.7092635742865</v>
      </c>
      <c r="AF64" s="3">
        <f t="shared" si="140"/>
        <v>-7361.7092635742865</v>
      </c>
      <c r="AG64" s="3">
        <f t="shared" si="140"/>
        <v>-7361.7092635742865</v>
      </c>
      <c r="AH64" s="43">
        <f t="shared" si="140"/>
        <v>-7361.7092635742865</v>
      </c>
    </row>
    <row r="65" spans="1:34" outlineLevel="2" x14ac:dyDescent="0.25">
      <c r="A65" t="s">
        <v>136</v>
      </c>
      <c r="B65" t="s">
        <v>19</v>
      </c>
      <c r="C65" s="3">
        <f>-(C$22+C$25)/4</f>
        <v>-87.5</v>
      </c>
      <c r="D65" s="3">
        <f t="shared" ref="D65:AH65" si="141">-(D$22+D$25)/4</f>
        <v>-175</v>
      </c>
      <c r="E65" s="3">
        <f t="shared" si="141"/>
        <v>-87.5</v>
      </c>
      <c r="F65" s="3">
        <f t="shared" si="141"/>
        <v>-87.5</v>
      </c>
      <c r="G65" s="3">
        <f t="shared" si="141"/>
        <v>-175</v>
      </c>
      <c r="H65" s="3">
        <f t="shared" si="141"/>
        <v>-175</v>
      </c>
      <c r="I65" s="3">
        <f t="shared" si="141"/>
        <v>-175</v>
      </c>
      <c r="J65" s="3">
        <f t="shared" si="141"/>
        <v>697.89816339744823</v>
      </c>
      <c r="K65" s="3">
        <f t="shared" si="141"/>
        <v>-87.5</v>
      </c>
      <c r="L65" s="3">
        <f t="shared" si="141"/>
        <v>-87.5</v>
      </c>
      <c r="M65" s="3">
        <f t="shared" si="141"/>
        <v>697.89816339744823</v>
      </c>
      <c r="N65" s="3">
        <f t="shared" si="141"/>
        <v>610.39816339744823</v>
      </c>
      <c r="O65" s="3">
        <f t="shared" si="141"/>
        <v>-964.60183660255177</v>
      </c>
      <c r="P65" s="3">
        <f t="shared" si="141"/>
        <v>-87.5</v>
      </c>
      <c r="Q65" s="3">
        <f t="shared" si="141"/>
        <v>-87.5</v>
      </c>
      <c r="R65" s="3">
        <f t="shared" si="141"/>
        <v>-87.5</v>
      </c>
      <c r="S65" s="43">
        <f t="shared" si="141"/>
        <v>-87.5</v>
      </c>
      <c r="T65" s="3">
        <f t="shared" si="141"/>
        <v>610.39816339744823</v>
      </c>
      <c r="U65" s="3">
        <f t="shared" si="141"/>
        <v>610.39816339744823</v>
      </c>
      <c r="V65" s="3">
        <f t="shared" si="141"/>
        <v>610.39816339744823</v>
      </c>
      <c r="W65" s="3">
        <f t="shared" si="141"/>
        <v>610.39816339744823</v>
      </c>
      <c r="X65" s="43">
        <f t="shared" si="141"/>
        <v>610.39816339744823</v>
      </c>
      <c r="Y65" s="3">
        <f t="shared" si="141"/>
        <v>610.39816339744823</v>
      </c>
      <c r="Z65" s="3">
        <f t="shared" si="141"/>
        <v>610.39816339744823</v>
      </c>
      <c r="AA65" s="3">
        <f t="shared" si="141"/>
        <v>610.39816339744823</v>
      </c>
      <c r="AB65" s="3">
        <f t="shared" si="141"/>
        <v>610.39816339744823</v>
      </c>
      <c r="AC65" s="43">
        <f t="shared" si="141"/>
        <v>610.39816339744823</v>
      </c>
      <c r="AD65" s="3">
        <f t="shared" si="141"/>
        <v>610.39816339744823</v>
      </c>
      <c r="AE65" s="3">
        <f t="shared" si="141"/>
        <v>610.39816339744823</v>
      </c>
      <c r="AF65" s="3">
        <f t="shared" si="141"/>
        <v>610.39816339744823</v>
      </c>
      <c r="AG65" s="3">
        <f t="shared" si="141"/>
        <v>610.39816339744823</v>
      </c>
      <c r="AH65" s="43">
        <f t="shared" si="141"/>
        <v>610.39816339744823</v>
      </c>
    </row>
    <row r="66" spans="1:34" outlineLevel="2" x14ac:dyDescent="0.25">
      <c r="A66" t="s">
        <v>137</v>
      </c>
      <c r="B66" t="s">
        <v>19</v>
      </c>
      <c r="C66" s="3">
        <f t="shared" ref="C66:AH66" si="142">C$42*1000/C$6/2</f>
        <v>0</v>
      </c>
      <c r="D66" s="3">
        <f t="shared" si="142"/>
        <v>0</v>
      </c>
      <c r="E66" s="3">
        <f t="shared" si="142"/>
        <v>151.78571428571428</v>
      </c>
      <c r="F66" s="3">
        <f t="shared" si="142"/>
        <v>0</v>
      </c>
      <c r="G66" s="3">
        <f t="shared" si="142"/>
        <v>151.78571428571428</v>
      </c>
      <c r="H66" s="3">
        <f t="shared" si="142"/>
        <v>592.22440944881885</v>
      </c>
      <c r="I66" s="3">
        <f t="shared" si="142"/>
        <v>151.78571428571428</v>
      </c>
      <c r="J66" s="3">
        <f t="shared" si="142"/>
        <v>0</v>
      </c>
      <c r="K66" s="3">
        <f t="shared" si="142"/>
        <v>7820.32171268602</v>
      </c>
      <c r="L66" s="3">
        <f t="shared" si="142"/>
        <v>0</v>
      </c>
      <c r="M66" s="3">
        <f t="shared" si="142"/>
        <v>7820.32171268602</v>
      </c>
      <c r="N66" s="3">
        <f t="shared" si="142"/>
        <v>7972.1074269717346</v>
      </c>
      <c r="O66" s="3">
        <f t="shared" si="142"/>
        <v>10856.035998400306</v>
      </c>
      <c r="P66" s="3">
        <f t="shared" si="142"/>
        <v>440.43869516310457</v>
      </c>
      <c r="Q66" s="3">
        <f t="shared" si="142"/>
        <v>0</v>
      </c>
      <c r="R66" s="3">
        <f t="shared" si="142"/>
        <v>311.43718804678588</v>
      </c>
      <c r="S66" s="43">
        <f t="shared" si="142"/>
        <v>62.287437609357184</v>
      </c>
      <c r="T66" s="3">
        <f t="shared" si="142"/>
        <v>7972.1074269717346</v>
      </c>
      <c r="U66" s="3">
        <f t="shared" si="142"/>
        <v>7972.1074269717346</v>
      </c>
      <c r="V66" s="3">
        <f t="shared" si="142"/>
        <v>7972.1074269717346</v>
      </c>
      <c r="W66" s="3">
        <f t="shared" si="142"/>
        <v>7972.1074269717346</v>
      </c>
      <c r="X66" s="43">
        <f t="shared" si="142"/>
        <v>7972.1074269717346</v>
      </c>
      <c r="Y66" s="3">
        <f t="shared" si="142"/>
        <v>31888.429707886939</v>
      </c>
      <c r="Z66" s="3">
        <f t="shared" si="142"/>
        <v>15944.214853943469</v>
      </c>
      <c r="AA66" s="3">
        <f t="shared" si="142"/>
        <v>7972.1074269717346</v>
      </c>
      <c r="AB66" s="3">
        <f t="shared" si="142"/>
        <v>3986.0537134858673</v>
      </c>
      <c r="AC66" s="43">
        <f t="shared" si="142"/>
        <v>1993.0268567429337</v>
      </c>
      <c r="AD66" s="3">
        <f t="shared" si="142"/>
        <v>7972.1074269717346</v>
      </c>
      <c r="AE66" s="3">
        <f t="shared" si="142"/>
        <v>7972.1074269717346</v>
      </c>
      <c r="AF66" s="3">
        <f t="shared" si="142"/>
        <v>7972.1074269717346</v>
      </c>
      <c r="AG66" s="3">
        <f t="shared" si="142"/>
        <v>7972.1074269717346</v>
      </c>
      <c r="AH66" s="43">
        <f t="shared" si="142"/>
        <v>7972.1074269717346</v>
      </c>
    </row>
    <row r="67" spans="1:34" outlineLevel="1" x14ac:dyDescent="0.25">
      <c r="A67" t="s">
        <v>103</v>
      </c>
      <c r="B67" t="s">
        <v>19</v>
      </c>
      <c r="C67" s="3">
        <f>SUM(C65:C66)</f>
        <v>-87.5</v>
      </c>
      <c r="D67" s="3">
        <f t="shared" ref="D67:O67" si="143">SUM(D65:D66)</f>
        <v>-175</v>
      </c>
      <c r="E67" s="3">
        <f t="shared" si="143"/>
        <v>64.285714285714278</v>
      </c>
      <c r="F67" s="3">
        <f t="shared" si="143"/>
        <v>-87.5</v>
      </c>
      <c r="G67" s="3">
        <f t="shared" si="143"/>
        <v>-23.214285714285722</v>
      </c>
      <c r="H67" s="3">
        <f t="shared" si="143"/>
        <v>417.22440944881885</v>
      </c>
      <c r="I67" s="3">
        <f t="shared" si="143"/>
        <v>-23.214285714285722</v>
      </c>
      <c r="J67" s="3">
        <f t="shared" si="143"/>
        <v>697.89816339744823</v>
      </c>
      <c r="K67" s="3">
        <f t="shared" si="143"/>
        <v>7732.82171268602</v>
      </c>
      <c r="L67" s="3">
        <f t="shared" si="143"/>
        <v>-87.5</v>
      </c>
      <c r="M67" s="3">
        <f>SUM(M65:M66)</f>
        <v>8518.219876083469</v>
      </c>
      <c r="N67" s="3">
        <f t="shared" si="143"/>
        <v>8582.5055903691828</v>
      </c>
      <c r="O67" s="3">
        <f t="shared" si="143"/>
        <v>9891.4341617977552</v>
      </c>
      <c r="P67" s="3">
        <f t="shared" ref="P67:Q67" si="144">SUM(P65:P66)</f>
        <v>352.93869516310457</v>
      </c>
      <c r="Q67" s="3">
        <f t="shared" si="144"/>
        <v>-87.5</v>
      </c>
      <c r="R67" s="3">
        <f t="shared" ref="R67" si="145">SUM(R65:R66)</f>
        <v>223.93718804678588</v>
      </c>
      <c r="S67" s="43">
        <f t="shared" ref="S67:AH67" si="146">SUM(S65:S66)</f>
        <v>-25.212562390642816</v>
      </c>
      <c r="T67" s="3">
        <f t="shared" si="146"/>
        <v>8582.5055903691828</v>
      </c>
      <c r="U67" s="3">
        <f t="shared" si="146"/>
        <v>8582.5055903691828</v>
      </c>
      <c r="V67" s="3">
        <f t="shared" si="146"/>
        <v>8582.5055903691828</v>
      </c>
      <c r="W67" s="3">
        <f t="shared" si="146"/>
        <v>8582.5055903691828</v>
      </c>
      <c r="X67" s="43">
        <f t="shared" si="146"/>
        <v>8582.5055903691828</v>
      </c>
      <c r="Y67" s="3">
        <f t="shared" si="146"/>
        <v>32498.827871284386</v>
      </c>
      <c r="Z67" s="3">
        <f t="shared" si="146"/>
        <v>16554.613017340918</v>
      </c>
      <c r="AA67" s="3">
        <f t="shared" si="146"/>
        <v>8582.5055903691828</v>
      </c>
      <c r="AB67" s="3">
        <f t="shared" si="146"/>
        <v>4596.4518768833159</v>
      </c>
      <c r="AC67" s="43">
        <f t="shared" si="146"/>
        <v>2603.425020140382</v>
      </c>
      <c r="AD67" s="3">
        <f t="shared" si="146"/>
        <v>8582.5055903691828</v>
      </c>
      <c r="AE67" s="3">
        <f t="shared" si="146"/>
        <v>8582.5055903691828</v>
      </c>
      <c r="AF67" s="3">
        <f t="shared" si="146"/>
        <v>8582.5055903691828</v>
      </c>
      <c r="AG67" s="3">
        <f t="shared" si="146"/>
        <v>8582.5055903691828</v>
      </c>
      <c r="AH67" s="43">
        <f t="shared" si="146"/>
        <v>8582.5055903691828</v>
      </c>
    </row>
    <row r="68" spans="1:34" outlineLevel="2" x14ac:dyDescent="0.25">
      <c r="A68" t="s">
        <v>136</v>
      </c>
      <c r="B68" t="s">
        <v>19</v>
      </c>
      <c r="C68" s="3">
        <f>-(C$22+C$25)/4</f>
        <v>-87.5</v>
      </c>
      <c r="D68" s="3">
        <f t="shared" ref="D68:AH68" si="147">-(D$22+D$25)/4</f>
        <v>-175</v>
      </c>
      <c r="E68" s="3">
        <f t="shared" si="147"/>
        <v>-87.5</v>
      </c>
      <c r="F68" s="3">
        <f t="shared" si="147"/>
        <v>-87.5</v>
      </c>
      <c r="G68" s="3">
        <f t="shared" si="147"/>
        <v>-175</v>
      </c>
      <c r="H68" s="3">
        <f t="shared" si="147"/>
        <v>-175</v>
      </c>
      <c r="I68" s="3">
        <f t="shared" si="147"/>
        <v>-175</v>
      </c>
      <c r="J68" s="3">
        <f t="shared" si="147"/>
        <v>697.89816339744823</v>
      </c>
      <c r="K68" s="3">
        <f t="shared" si="147"/>
        <v>-87.5</v>
      </c>
      <c r="L68" s="3">
        <f t="shared" si="147"/>
        <v>-87.5</v>
      </c>
      <c r="M68" s="3">
        <f t="shared" si="147"/>
        <v>697.89816339744823</v>
      </c>
      <c r="N68" s="3">
        <f t="shared" si="147"/>
        <v>610.39816339744823</v>
      </c>
      <c r="O68" s="3">
        <f t="shared" si="147"/>
        <v>-964.60183660255177</v>
      </c>
      <c r="P68" s="3">
        <f t="shared" si="147"/>
        <v>-87.5</v>
      </c>
      <c r="Q68" s="3">
        <f t="shared" si="147"/>
        <v>-87.5</v>
      </c>
      <c r="R68" s="3">
        <f t="shared" si="147"/>
        <v>-87.5</v>
      </c>
      <c r="S68" s="43">
        <f t="shared" si="147"/>
        <v>-87.5</v>
      </c>
      <c r="T68" s="3">
        <f t="shared" si="147"/>
        <v>610.39816339744823</v>
      </c>
      <c r="U68" s="3">
        <f t="shared" si="147"/>
        <v>610.39816339744823</v>
      </c>
      <c r="V68" s="3">
        <f t="shared" si="147"/>
        <v>610.39816339744823</v>
      </c>
      <c r="W68" s="3">
        <f t="shared" si="147"/>
        <v>610.39816339744823</v>
      </c>
      <c r="X68" s="43">
        <f t="shared" si="147"/>
        <v>610.39816339744823</v>
      </c>
      <c r="Y68" s="3">
        <f t="shared" si="147"/>
        <v>610.39816339744823</v>
      </c>
      <c r="Z68" s="3">
        <f t="shared" si="147"/>
        <v>610.39816339744823</v>
      </c>
      <c r="AA68" s="3">
        <f t="shared" si="147"/>
        <v>610.39816339744823</v>
      </c>
      <c r="AB68" s="3">
        <f t="shared" si="147"/>
        <v>610.39816339744823</v>
      </c>
      <c r="AC68" s="43">
        <f t="shared" si="147"/>
        <v>610.39816339744823</v>
      </c>
      <c r="AD68" s="3">
        <f t="shared" si="147"/>
        <v>610.39816339744823</v>
      </c>
      <c r="AE68" s="3">
        <f t="shared" si="147"/>
        <v>610.39816339744823</v>
      </c>
      <c r="AF68" s="3">
        <f t="shared" si="147"/>
        <v>610.39816339744823</v>
      </c>
      <c r="AG68" s="3">
        <f t="shared" si="147"/>
        <v>610.39816339744823</v>
      </c>
      <c r="AH68" s="43">
        <f t="shared" si="147"/>
        <v>610.39816339744823</v>
      </c>
    </row>
    <row r="69" spans="1:34" outlineLevel="2" x14ac:dyDescent="0.25">
      <c r="A69" t="s">
        <v>137</v>
      </c>
      <c r="B69" t="s">
        <v>19</v>
      </c>
      <c r="C69" s="3">
        <f t="shared" ref="C69:AH69" si="148">C$42*1000/C$6/2</f>
        <v>0</v>
      </c>
      <c r="D69" s="3">
        <f t="shared" si="148"/>
        <v>0</v>
      </c>
      <c r="E69" s="3">
        <f t="shared" si="148"/>
        <v>151.78571428571428</v>
      </c>
      <c r="F69" s="3">
        <f t="shared" si="148"/>
        <v>0</v>
      </c>
      <c r="G69" s="3">
        <f t="shared" si="148"/>
        <v>151.78571428571428</v>
      </c>
      <c r="H69" s="3">
        <f t="shared" si="148"/>
        <v>592.22440944881885</v>
      </c>
      <c r="I69" s="3">
        <f t="shared" si="148"/>
        <v>151.78571428571428</v>
      </c>
      <c r="J69" s="3">
        <f t="shared" si="148"/>
        <v>0</v>
      </c>
      <c r="K69" s="3">
        <f t="shared" si="148"/>
        <v>7820.32171268602</v>
      </c>
      <c r="L69" s="3">
        <f t="shared" si="148"/>
        <v>0</v>
      </c>
      <c r="M69" s="3">
        <f t="shared" si="148"/>
        <v>7820.32171268602</v>
      </c>
      <c r="N69" s="3">
        <f t="shared" si="148"/>
        <v>7972.1074269717346</v>
      </c>
      <c r="O69" s="3">
        <f t="shared" si="148"/>
        <v>10856.035998400306</v>
      </c>
      <c r="P69" s="3">
        <f t="shared" si="148"/>
        <v>440.43869516310457</v>
      </c>
      <c r="Q69" s="3">
        <f t="shared" si="148"/>
        <v>0</v>
      </c>
      <c r="R69" s="3">
        <f t="shared" si="148"/>
        <v>311.43718804678588</v>
      </c>
      <c r="S69" s="43">
        <f t="shared" si="148"/>
        <v>62.287437609357184</v>
      </c>
      <c r="T69" s="3">
        <f t="shared" si="148"/>
        <v>7972.1074269717346</v>
      </c>
      <c r="U69" s="3">
        <f t="shared" si="148"/>
        <v>7972.1074269717346</v>
      </c>
      <c r="V69" s="3">
        <f t="shared" si="148"/>
        <v>7972.1074269717346</v>
      </c>
      <c r="W69" s="3">
        <f t="shared" si="148"/>
        <v>7972.1074269717346</v>
      </c>
      <c r="X69" s="43">
        <f t="shared" si="148"/>
        <v>7972.1074269717346</v>
      </c>
      <c r="Y69" s="3">
        <f t="shared" si="148"/>
        <v>31888.429707886939</v>
      </c>
      <c r="Z69" s="3">
        <f t="shared" si="148"/>
        <v>15944.214853943469</v>
      </c>
      <c r="AA69" s="3">
        <f t="shared" si="148"/>
        <v>7972.1074269717346</v>
      </c>
      <c r="AB69" s="3">
        <f t="shared" si="148"/>
        <v>3986.0537134858673</v>
      </c>
      <c r="AC69" s="43">
        <f t="shared" si="148"/>
        <v>1993.0268567429337</v>
      </c>
      <c r="AD69" s="3">
        <f t="shared" si="148"/>
        <v>7972.1074269717346</v>
      </c>
      <c r="AE69" s="3">
        <f t="shared" si="148"/>
        <v>7972.1074269717346</v>
      </c>
      <c r="AF69" s="3">
        <f t="shared" si="148"/>
        <v>7972.1074269717346</v>
      </c>
      <c r="AG69" s="3">
        <f t="shared" si="148"/>
        <v>7972.1074269717346</v>
      </c>
      <c r="AH69" s="43">
        <f t="shared" si="148"/>
        <v>7972.1074269717346</v>
      </c>
    </row>
    <row r="70" spans="1:34" outlineLevel="1" x14ac:dyDescent="0.25">
      <c r="A70" t="s">
        <v>104</v>
      </c>
      <c r="B70" t="s">
        <v>19</v>
      </c>
      <c r="C70" s="3">
        <f>SUM(C68:C69)</f>
        <v>-87.5</v>
      </c>
      <c r="D70" s="3">
        <f t="shared" ref="D70:O70" si="149">SUM(D68:D69)</f>
        <v>-175</v>
      </c>
      <c r="E70" s="3">
        <f t="shared" si="149"/>
        <v>64.285714285714278</v>
      </c>
      <c r="F70" s="3">
        <f t="shared" si="149"/>
        <v>-87.5</v>
      </c>
      <c r="G70" s="3">
        <f t="shared" si="149"/>
        <v>-23.214285714285722</v>
      </c>
      <c r="H70" s="3">
        <f t="shared" si="149"/>
        <v>417.22440944881885</v>
      </c>
      <c r="I70" s="3">
        <f t="shared" si="149"/>
        <v>-23.214285714285722</v>
      </c>
      <c r="J70" s="3">
        <f t="shared" si="149"/>
        <v>697.89816339744823</v>
      </c>
      <c r="K70" s="3">
        <f t="shared" si="149"/>
        <v>7732.82171268602</v>
      </c>
      <c r="L70" s="3">
        <f t="shared" si="149"/>
        <v>-87.5</v>
      </c>
      <c r="M70" s="3">
        <f>SUM(M68:M69)</f>
        <v>8518.219876083469</v>
      </c>
      <c r="N70" s="3">
        <f t="shared" si="149"/>
        <v>8582.5055903691828</v>
      </c>
      <c r="O70" s="3">
        <f t="shared" si="149"/>
        <v>9891.4341617977552</v>
      </c>
      <c r="P70" s="3">
        <f t="shared" ref="P70:Q70" si="150">SUM(P68:P69)</f>
        <v>352.93869516310457</v>
      </c>
      <c r="Q70" s="3">
        <f t="shared" si="150"/>
        <v>-87.5</v>
      </c>
      <c r="R70" s="3">
        <f t="shared" ref="R70" si="151">SUM(R68:R69)</f>
        <v>223.93718804678588</v>
      </c>
      <c r="S70" s="43">
        <f t="shared" ref="S70:AH70" si="152">SUM(S68:S69)</f>
        <v>-25.212562390642816</v>
      </c>
      <c r="T70" s="3">
        <f t="shared" si="152"/>
        <v>8582.5055903691828</v>
      </c>
      <c r="U70" s="3">
        <f t="shared" si="152"/>
        <v>8582.5055903691828</v>
      </c>
      <c r="V70" s="3">
        <f t="shared" si="152"/>
        <v>8582.5055903691828</v>
      </c>
      <c r="W70" s="3">
        <f t="shared" si="152"/>
        <v>8582.5055903691828</v>
      </c>
      <c r="X70" s="43">
        <f t="shared" si="152"/>
        <v>8582.5055903691828</v>
      </c>
      <c r="Y70" s="3">
        <f t="shared" si="152"/>
        <v>32498.827871284386</v>
      </c>
      <c r="Z70" s="3">
        <f t="shared" si="152"/>
        <v>16554.613017340918</v>
      </c>
      <c r="AA70" s="3">
        <f t="shared" si="152"/>
        <v>8582.5055903691828</v>
      </c>
      <c r="AB70" s="3">
        <f t="shared" si="152"/>
        <v>4596.4518768833159</v>
      </c>
      <c r="AC70" s="43">
        <f t="shared" si="152"/>
        <v>2603.425020140382</v>
      </c>
      <c r="AD70" s="3">
        <f t="shared" si="152"/>
        <v>8582.5055903691828</v>
      </c>
      <c r="AE70" s="3">
        <f t="shared" si="152"/>
        <v>8582.5055903691828</v>
      </c>
      <c r="AF70" s="3">
        <f t="shared" si="152"/>
        <v>8582.5055903691828</v>
      </c>
      <c r="AG70" s="3">
        <f t="shared" si="152"/>
        <v>8582.5055903691828</v>
      </c>
      <c r="AH70" s="43">
        <f t="shared" si="152"/>
        <v>8582.5055903691828</v>
      </c>
    </row>
    <row r="71" spans="1:34" outlineLevel="1" x14ac:dyDescent="0.25">
      <c r="A71" t="s">
        <v>105</v>
      </c>
      <c r="B71" t="s">
        <v>19</v>
      </c>
      <c r="C71" s="3">
        <f>SQRT(C46^2+C61^2)</f>
        <v>124.48243545219989</v>
      </c>
      <c r="D71" s="3">
        <f t="shared" ref="D71:O71" si="153">SQRT(D46^2+D61^2)</f>
        <v>248.96487090439979</v>
      </c>
      <c r="E71" s="3">
        <f t="shared" si="153"/>
        <v>290.33836412311985</v>
      </c>
      <c r="F71" s="3">
        <f t="shared" si="153"/>
        <v>87.506200177155705</v>
      </c>
      <c r="G71" s="3">
        <f t="shared" si="153"/>
        <v>365.35753560934063</v>
      </c>
      <c r="H71" s="3">
        <f t="shared" si="153"/>
        <v>853.03293040811377</v>
      </c>
      <c r="I71" s="3">
        <f t="shared" si="153"/>
        <v>846.80254936468566</v>
      </c>
      <c r="J71" s="3">
        <f t="shared" si="153"/>
        <v>2560.9313731764305</v>
      </c>
      <c r="K71" s="3">
        <f t="shared" si="153"/>
        <v>8776.9143902183259</v>
      </c>
      <c r="L71" s="3">
        <f t="shared" si="153"/>
        <v>11771.66454997025</v>
      </c>
      <c r="M71" s="3">
        <f>SQRT(M46^2+M61^2)</f>
        <v>14769.101749383713</v>
      </c>
      <c r="N71" s="3">
        <f t="shared" si="153"/>
        <v>14951.076786752599</v>
      </c>
      <c r="O71" s="3">
        <f t="shared" si="153"/>
        <v>18589.11628282773</v>
      </c>
      <c r="P71" s="3">
        <f t="shared" ref="P71:Q71" si="154">SQRT(P46^2+P61^2)</f>
        <v>606.24611833645463</v>
      </c>
      <c r="Q71" s="3">
        <f t="shared" si="154"/>
        <v>360.87518684025906</v>
      </c>
      <c r="R71" s="3">
        <f t="shared" ref="R71" si="155">SQRT(R46^2+R61^2)</f>
        <v>405.65274795826389</v>
      </c>
      <c r="S71" s="43">
        <f t="shared" ref="S71:AH71" si="156">SQRT(S46^2+S61^2)</f>
        <v>159.95959331713814</v>
      </c>
      <c r="T71" s="3">
        <f t="shared" si="156"/>
        <v>46992.340685956195</v>
      </c>
      <c r="U71" s="3">
        <f t="shared" si="156"/>
        <v>25243.380713278788</v>
      </c>
      <c r="V71" s="3">
        <f t="shared" si="156"/>
        <v>14951.076786752599</v>
      </c>
      <c r="W71" s="3">
        <f t="shared" si="156"/>
        <v>10471.1983164741</v>
      </c>
      <c r="X71" s="43">
        <f t="shared" si="156"/>
        <v>8714.4227348470195</v>
      </c>
      <c r="Y71" s="3">
        <f t="shared" si="156"/>
        <v>39668.967220119055</v>
      </c>
      <c r="Z71" s="3">
        <f t="shared" si="156"/>
        <v>22751.871103258989</v>
      </c>
      <c r="AA71" s="3">
        <f t="shared" si="156"/>
        <v>14951.076786752599</v>
      </c>
      <c r="AB71" s="3">
        <f t="shared" si="156"/>
        <v>11616.686535878647</v>
      </c>
      <c r="AC71" s="43">
        <f t="shared" si="156"/>
        <v>10260.16839613149</v>
      </c>
      <c r="AD71" s="3">
        <f t="shared" si="156"/>
        <v>15943.66294635725</v>
      </c>
      <c r="AE71" s="3">
        <f t="shared" si="156"/>
        <v>15279.830061815443</v>
      </c>
      <c r="AF71" s="3">
        <f t="shared" si="156"/>
        <v>14951.076786752599</v>
      </c>
      <c r="AG71" s="3">
        <f t="shared" si="156"/>
        <v>14787.552621582392</v>
      </c>
      <c r="AH71" s="43">
        <f t="shared" si="156"/>
        <v>14706.011962116494</v>
      </c>
    </row>
    <row r="72" spans="1:34" outlineLevel="1" x14ac:dyDescent="0.25">
      <c r="A72" t="s">
        <v>106</v>
      </c>
      <c r="B72" t="s">
        <v>19</v>
      </c>
      <c r="C72" s="3">
        <f>SQRT(C50^2+C64^2)</f>
        <v>124.48243545219989</v>
      </c>
      <c r="D72" s="3">
        <f t="shared" ref="D72:O72" si="157">SQRT(D50^2+D64^2)</f>
        <v>248.96487090439979</v>
      </c>
      <c r="E72" s="3">
        <f t="shared" si="157"/>
        <v>239.61979351379571</v>
      </c>
      <c r="F72" s="3">
        <f t="shared" si="157"/>
        <v>196.58819497309034</v>
      </c>
      <c r="G72" s="3">
        <f t="shared" si="157"/>
        <v>365.35753560934063</v>
      </c>
      <c r="H72" s="3">
        <f t="shared" si="157"/>
        <v>853.03293040811377</v>
      </c>
      <c r="I72" s="3">
        <f t="shared" si="157"/>
        <v>1009.188844148368</v>
      </c>
      <c r="J72" s="3">
        <f t="shared" si="157"/>
        <v>2560.9313731764305</v>
      </c>
      <c r="K72" s="3">
        <f t="shared" si="157"/>
        <v>8701.547630659179</v>
      </c>
      <c r="L72" s="3">
        <f t="shared" si="157"/>
        <v>15777.112620266444</v>
      </c>
      <c r="M72" s="3">
        <f>SQRT(M50^2+M64^2)</f>
        <v>11877.378901348075</v>
      </c>
      <c r="N72" s="3">
        <f t="shared" si="157"/>
        <v>11824.221724247198</v>
      </c>
      <c r="O72" s="3">
        <f t="shared" si="157"/>
        <v>12605.216990628402</v>
      </c>
      <c r="P72" s="3">
        <f t="shared" ref="P72:Q72" si="158">SQRT(P50^2+P64^2)</f>
        <v>541.6129672369683</v>
      </c>
      <c r="Q72" s="3">
        <f t="shared" si="158"/>
        <v>508.09135833251594</v>
      </c>
      <c r="R72" s="3">
        <f t="shared" ref="R72" si="159">SQRT(R50^2+R64^2)</f>
        <v>621.14309559008871</v>
      </c>
      <c r="S72" s="43">
        <f t="shared" ref="S72:AH72" si="160">SQRT(S50^2+S64^2)</f>
        <v>151.75951934455125</v>
      </c>
      <c r="T72" s="3">
        <f t="shared" si="160"/>
        <v>43282.677509000328</v>
      </c>
      <c r="U72" s="3">
        <f t="shared" si="160"/>
        <v>21674.485332692664</v>
      </c>
      <c r="V72" s="3">
        <f t="shared" si="160"/>
        <v>11824.221724247198</v>
      </c>
      <c r="W72" s="3">
        <f t="shared" si="160"/>
        <v>8233.1497820289605</v>
      </c>
      <c r="X72" s="43">
        <f t="shared" si="160"/>
        <v>7416.9093412832917</v>
      </c>
      <c r="Y72" s="3">
        <f t="shared" si="160"/>
        <v>31350.675086293399</v>
      </c>
      <c r="Z72" s="3">
        <f t="shared" si="160"/>
        <v>16276.11571961572</v>
      </c>
      <c r="AA72" s="3">
        <f t="shared" si="160"/>
        <v>11824.221724247198</v>
      </c>
      <c r="AB72" s="3">
        <f t="shared" si="160"/>
        <v>11650.387865412011</v>
      </c>
      <c r="AC72" s="43">
        <f t="shared" si="160"/>
        <v>12178.197378064406</v>
      </c>
      <c r="AD72" s="3">
        <f t="shared" si="160"/>
        <v>8921.3470743257767</v>
      </c>
      <c r="AE72" s="3">
        <f t="shared" si="160"/>
        <v>10760.712843430685</v>
      </c>
      <c r="AF72" s="3">
        <f t="shared" si="160"/>
        <v>11824.221724247198</v>
      </c>
      <c r="AG72" s="3">
        <f t="shared" si="160"/>
        <v>12381.492835616564</v>
      </c>
      <c r="AH72" s="43">
        <f t="shared" si="160"/>
        <v>12665.536471798174</v>
      </c>
    </row>
    <row r="73" spans="1:34" outlineLevel="1" x14ac:dyDescent="0.25">
      <c r="A73" t="s">
        <v>107</v>
      </c>
      <c r="B73" t="s">
        <v>19</v>
      </c>
      <c r="C73" s="3">
        <f>SQRT(C54^2+C67^2)</f>
        <v>124.48243545219989</v>
      </c>
      <c r="D73" s="3">
        <f t="shared" ref="D73:O73" si="161">SQRT(D54^2+D67^2)</f>
        <v>248.96487090439979</v>
      </c>
      <c r="E73" s="3">
        <f t="shared" si="161"/>
        <v>176.55414376810683</v>
      </c>
      <c r="F73" s="3">
        <f t="shared" si="161"/>
        <v>196.58819497309034</v>
      </c>
      <c r="G73" s="3">
        <f t="shared" si="161"/>
        <v>25.954360453122568</v>
      </c>
      <c r="H73" s="3">
        <f t="shared" si="161"/>
        <v>461.76689423628301</v>
      </c>
      <c r="I73" s="3">
        <f t="shared" si="161"/>
        <v>1106.8449864099853</v>
      </c>
      <c r="J73" s="3">
        <f t="shared" si="161"/>
        <v>2560.9313731764305</v>
      </c>
      <c r="K73" s="3">
        <f t="shared" si="161"/>
        <v>8619.5773454260179</v>
      </c>
      <c r="L73" s="3">
        <f t="shared" si="161"/>
        <v>15777.112620266444</v>
      </c>
      <c r="M73" s="3">
        <f>SQRT(M54^2+M67^2)</f>
        <v>18964.457302869334</v>
      </c>
      <c r="N73" s="3">
        <f t="shared" si="161"/>
        <v>18904.132106381523</v>
      </c>
      <c r="O73" s="3">
        <f t="shared" si="161"/>
        <v>17844.584270041145</v>
      </c>
      <c r="P73" s="3">
        <f t="shared" ref="P73:Q73" si="162">SQRT(P54^2+P67^2)</f>
        <v>461.93161040454027</v>
      </c>
      <c r="Q73" s="3">
        <f t="shared" si="162"/>
        <v>508.09135833251594</v>
      </c>
      <c r="R73" s="3">
        <f t="shared" ref="R73" si="163">SQRT(R54^2+R67^2)</f>
        <v>287.21834006424632</v>
      </c>
      <c r="S73" s="43">
        <f t="shared" ref="S73:AH73" si="164">SQRT(S54^2+S67^2)</f>
        <v>43.024485902562951</v>
      </c>
      <c r="T73" s="3">
        <f t="shared" si="164"/>
        <v>50970.421009687743</v>
      </c>
      <c r="U73" s="3">
        <f t="shared" si="164"/>
        <v>29263.467392471644</v>
      </c>
      <c r="V73" s="3">
        <f t="shared" si="164"/>
        <v>18904.132106381523</v>
      </c>
      <c r="W73" s="3">
        <f t="shared" si="164"/>
        <v>14171.52559196788</v>
      </c>
      <c r="X73" s="43">
        <f t="shared" si="164"/>
        <v>12074.958464808413</v>
      </c>
      <c r="Y73" s="3">
        <f t="shared" si="164"/>
        <v>43047.4249358983</v>
      </c>
      <c r="Z73" s="3">
        <f t="shared" si="164"/>
        <v>26457.889665297429</v>
      </c>
      <c r="AA73" s="3">
        <f t="shared" si="164"/>
        <v>18904.132106381523</v>
      </c>
      <c r="AB73" s="3">
        <f t="shared" si="164"/>
        <v>15636.768626229083</v>
      </c>
      <c r="AC73" s="43">
        <f t="shared" si="164"/>
        <v>14237.169283496494</v>
      </c>
      <c r="AD73" s="3">
        <f t="shared" si="164"/>
        <v>19916.909474089709</v>
      </c>
      <c r="AE73" s="3">
        <f t="shared" si="164"/>
        <v>19240.283627762357</v>
      </c>
      <c r="AF73" s="3">
        <f t="shared" si="164"/>
        <v>18904.132106381523</v>
      </c>
      <c r="AG73" s="3">
        <f t="shared" si="164"/>
        <v>18736.630680965722</v>
      </c>
      <c r="AH73" s="43">
        <f t="shared" si="164"/>
        <v>18653.028068710293</v>
      </c>
    </row>
    <row r="74" spans="1:34" outlineLevel="1" x14ac:dyDescent="0.25">
      <c r="A74" t="s">
        <v>108</v>
      </c>
      <c r="B74" t="s">
        <v>19</v>
      </c>
      <c r="C74" s="3">
        <f>SQRT(C58^2+C70^2)</f>
        <v>124.48243545219989</v>
      </c>
      <c r="D74" s="3">
        <f t="shared" ref="D74:O74" si="165">SQRT(D58^2+D70^2)</f>
        <v>248.96487090439979</v>
      </c>
      <c r="E74" s="3">
        <f t="shared" si="165"/>
        <v>65.518283277220434</v>
      </c>
      <c r="F74" s="3">
        <f t="shared" si="165"/>
        <v>87.506200177155705</v>
      </c>
      <c r="G74" s="3">
        <f t="shared" si="165"/>
        <v>25.954360453122568</v>
      </c>
      <c r="H74" s="3">
        <f t="shared" si="165"/>
        <v>461.76689423628301</v>
      </c>
      <c r="I74" s="3">
        <f t="shared" si="165"/>
        <v>629.85005153552595</v>
      </c>
      <c r="J74" s="3">
        <f t="shared" si="165"/>
        <v>2560.9313731764305</v>
      </c>
      <c r="K74" s="3">
        <f t="shared" si="165"/>
        <v>8542.8226347730215</v>
      </c>
      <c r="L74" s="3">
        <f t="shared" si="165"/>
        <v>11771.66454997025</v>
      </c>
      <c r="M74" s="3">
        <f>SQRT(M58^2+M70^2)</f>
        <v>10139.190519998063</v>
      </c>
      <c r="N74" s="3">
        <f t="shared" si="165"/>
        <v>10151.958049124556</v>
      </c>
      <c r="O74" s="3">
        <f t="shared" si="165"/>
        <v>10622.332721478244</v>
      </c>
      <c r="P74" s="3">
        <f t="shared" ref="P74:Q74" si="166">SQRT(P58^2+P70^2)</f>
        <v>373.08318505682723</v>
      </c>
      <c r="Q74" s="3">
        <f t="shared" si="166"/>
        <v>360.87518684025906</v>
      </c>
      <c r="R74" s="3">
        <f t="shared" ref="R74" si="167">SQRT(R58^2+R70^2)</f>
        <v>432.27822757552804</v>
      </c>
      <c r="S74" s="43">
        <f t="shared" ref="S74:AH74" si="168">SQRT(S58^2+S70^2)</f>
        <v>25.404517484976179</v>
      </c>
      <c r="T74" s="3">
        <f t="shared" si="168"/>
        <v>39758.873022854379</v>
      </c>
      <c r="U74" s="3">
        <f t="shared" si="168"/>
        <v>18647.857970865487</v>
      </c>
      <c r="V74" s="3">
        <f t="shared" si="168"/>
        <v>10151.958049124556</v>
      </c>
      <c r="W74" s="3">
        <f t="shared" si="168"/>
        <v>8583.7147186769143</v>
      </c>
      <c r="X74" s="43">
        <f t="shared" si="168"/>
        <v>9068.0004582467554</v>
      </c>
      <c r="Y74" s="3">
        <f t="shared" si="168"/>
        <v>33041.446410563352</v>
      </c>
      <c r="Z74" s="3">
        <f t="shared" si="168"/>
        <v>16634.384539108632</v>
      </c>
      <c r="AA74" s="3">
        <f t="shared" si="168"/>
        <v>10151.958049124556</v>
      </c>
      <c r="AB74" s="3">
        <f t="shared" si="168"/>
        <v>8643.5631337296563</v>
      </c>
      <c r="AC74" s="43">
        <f t="shared" si="168"/>
        <v>8669.0797841482909</v>
      </c>
      <c r="AD74" s="3">
        <f t="shared" si="168"/>
        <v>8667.2253723884151</v>
      </c>
      <c r="AE74" s="3">
        <f t="shared" si="168"/>
        <v>9476.4488852728227</v>
      </c>
      <c r="AF74" s="3">
        <f t="shared" si="168"/>
        <v>10151.958049124556</v>
      </c>
      <c r="AG74" s="3">
        <f t="shared" si="168"/>
        <v>10543.782187657103</v>
      </c>
      <c r="AH74" s="43">
        <f t="shared" si="168"/>
        <v>10751.547082556697</v>
      </c>
    </row>
    <row r="75" spans="1:34" x14ac:dyDescent="0.25">
      <c r="A75" t="s">
        <v>140</v>
      </c>
      <c r="B75" t="s">
        <v>19</v>
      </c>
      <c r="C75" s="3" cm="1">
        <f t="array" ref="C75">MAX(ABS(C46:C58))</f>
        <v>88.541666666666671</v>
      </c>
      <c r="D75" s="3" cm="1">
        <f t="array" ref="D75">MAX(ABS(D46:D58))</f>
        <v>177.08333333333334</v>
      </c>
      <c r="E75" s="3" cm="1">
        <f t="array" ref="E75">MAX(ABS(E46:E58))</f>
        <v>164.4345238095238</v>
      </c>
      <c r="F75" s="3" cm="1">
        <f t="array" ref="F75">MAX(ABS(F46:F58))</f>
        <v>176.04166666666669</v>
      </c>
      <c r="G75" s="3" cm="1">
        <f t="array" ref="G75">MAX(ABS(G46:G58))</f>
        <v>163.39285714285714</v>
      </c>
      <c r="H75" s="3" cm="1">
        <f t="array" ref="H75">MAX(ABS(H46:H58))</f>
        <v>372.86979752530931</v>
      </c>
      <c r="I75" s="3" cm="1">
        <f t="array" ref="I75">MAX(ABS(I46:I58))</f>
        <v>1106.6015185601798</v>
      </c>
      <c r="J75" s="3" cm="1">
        <f t="array" ref="J75">MAX(ABS(J46:J58))</f>
        <v>2464.0023643750401</v>
      </c>
      <c r="K75" s="3" cm="1">
        <f t="array" ref="K75">MAX(ABS(K46:K58))</f>
        <v>3807.962969041725</v>
      </c>
      <c r="L75" s="3" cm="1">
        <f t="array" ref="L75">MAX(ABS(L46:L58))</f>
        <v>15776.869980530697</v>
      </c>
      <c r="M75" s="3" cm="1">
        <f t="array" ref="M75">MAX(ABS(M46:M58))</f>
        <v>16943.74725186405</v>
      </c>
      <c r="N75" s="3" cm="1">
        <f t="array" ref="N75">MAX(ABS(N46:N58))</f>
        <v>16843.598442340237</v>
      </c>
      <c r="O75" s="3" cm="1">
        <f t="array" ref="O75">MAX(ABS(O46:O58))</f>
        <v>14852.229394721191</v>
      </c>
      <c r="P75" s="3" cm="1">
        <f t="array" ref="P75">MAX(ABS(P46:P58))</f>
        <v>298.01860704911888</v>
      </c>
      <c r="Q75" s="3" cm="1">
        <f t="array" ref="Q75">MAX(ABS(Q46:Q58))</f>
        <v>500.50032808398947</v>
      </c>
      <c r="R75" s="3" cm="1">
        <f t="array" ref="R75">MAX(ABS(R46:R58))</f>
        <v>476.09648727181502</v>
      </c>
      <c r="S75" s="43" cm="1">
        <f t="array" ref="S75">MAX(ABS(S46:S58))</f>
        <v>56.131943032529598</v>
      </c>
      <c r="T75" s="3" cm="1">
        <f t="array" ref="T75">MAX(ABS(T46:T58))</f>
        <v>50242.655340816724</v>
      </c>
      <c r="U75" s="3" cm="1">
        <f t="array" ref="U75">MAX(ABS(U46:U58))</f>
        <v>27976.617408499063</v>
      </c>
      <c r="V75" s="3" cm="1">
        <f t="array" ref="V75">MAX(ABS(V46:V58))</f>
        <v>16843.598442340237</v>
      </c>
      <c r="W75" s="3" cm="1">
        <f t="array" ref="W75">MAX(ABS(W46:W58))</f>
        <v>11277.088959260822</v>
      </c>
      <c r="X75" s="43" cm="1">
        <f t="array" ref="X75">MAX(ABS(X46:X58))</f>
        <v>8493.8342177211161</v>
      </c>
      <c r="Y75" s="3" cm="1">
        <f t="array" ref="Y75">MAX(ABS(Y46:Y58))</f>
        <v>28229.540920893982</v>
      </c>
      <c r="Z75" s="3" cm="1">
        <f t="array" ref="Z75">MAX(ABS(Z46:Z58))</f>
        <v>20638.912601858152</v>
      </c>
      <c r="AA75" s="3" cm="1">
        <f t="array" ref="AA75">MAX(ABS(AA46:AA58))</f>
        <v>16843.598442340237</v>
      </c>
      <c r="AB75" s="3" cm="1">
        <f t="array" ref="AB75">MAX(ABS(AB46:AB58))</f>
        <v>14945.941362581279</v>
      </c>
      <c r="AC75" s="43" cm="1">
        <f t="array" ref="AC75">MAX(ABS(AC46:AC58))</f>
        <v>13997.1128227018</v>
      </c>
      <c r="AD75" s="3" cm="1">
        <f t="array" ref="AD75">MAX(ABS(AD46:AD58))</f>
        <v>17972.865124691896</v>
      </c>
      <c r="AE75" s="3" cm="1">
        <f t="array" ref="AE75">MAX(ABS(AE46:AE58))</f>
        <v>17220.020669790789</v>
      </c>
      <c r="AF75" s="3" cm="1">
        <f t="array" ref="AF75">MAX(ABS(AF46:AF58))</f>
        <v>16843.598442340237</v>
      </c>
      <c r="AG75" s="3" cm="1">
        <f t="array" ref="AG75">MAX(ABS(AG46:AG58))</f>
        <v>16655.387328614961</v>
      </c>
      <c r="AH75" s="43" cm="1">
        <f t="array" ref="AH75">MAX(ABS(AH46:AH58))</f>
        <v>16561.281771752321</v>
      </c>
    </row>
    <row r="76" spans="1:34" x14ac:dyDescent="0.25">
      <c r="A76" t="s">
        <v>141</v>
      </c>
      <c r="B76" t="s">
        <v>19</v>
      </c>
      <c r="C76" s="3" cm="1">
        <f t="array" ref="C76">MAX(ABS(C61:C70))</f>
        <v>87.5</v>
      </c>
      <c r="D76" s="3" cm="1">
        <f t="array" ref="D76">MAX(ABS(D61:D70))</f>
        <v>175</v>
      </c>
      <c r="E76" s="3" cm="1">
        <f t="array" ref="E76">MAX(ABS(E61:E70))</f>
        <v>239.28571428571428</v>
      </c>
      <c r="F76" s="3" cm="1">
        <f t="array" ref="F76">MAX(ABS(F61:F70))</f>
        <v>87.5</v>
      </c>
      <c r="G76" s="3" cm="1">
        <f t="array" ref="G76">MAX(ABS(G61:G70))</f>
        <v>326.78571428571428</v>
      </c>
      <c r="H76" s="3" cm="1">
        <f t="array" ref="H76">MAX(ABS(H61:H70))</f>
        <v>767.22440944881885</v>
      </c>
      <c r="I76" s="3" cm="1">
        <f t="array" ref="I76">MAX(ABS(I61:I70))</f>
        <v>326.78571428571428</v>
      </c>
      <c r="J76" s="3" cm="1">
        <f t="array" ref="J76">MAX(ABS(J61:J70))</f>
        <v>697.89816339744823</v>
      </c>
      <c r="K76" s="3" cm="1">
        <f t="array" ref="K76">MAX(ABS(K61:K70))</f>
        <v>7907.82171268602</v>
      </c>
      <c r="L76" s="3" cm="1">
        <f t="array" ref="L76">MAX(ABS(L61:L70))</f>
        <v>87.5</v>
      </c>
      <c r="M76" s="3" cm="1">
        <f t="array" ref="M76">MAX(ABS(M61:M70))</f>
        <v>8518.219876083469</v>
      </c>
      <c r="N76" s="3" cm="1">
        <f t="array" ref="N76">MAX(ABS(N61:N70))</f>
        <v>8582.5055903691828</v>
      </c>
      <c r="O76" s="3" cm="1">
        <f t="array" ref="O76">MAX(ABS(O61:O70))</f>
        <v>11820.637835002857</v>
      </c>
      <c r="P76" s="3" cm="1">
        <f t="array" ref="P76">MAX(ABS(P61:P70))</f>
        <v>527.93869516310451</v>
      </c>
      <c r="Q76" s="3" cm="1">
        <f t="array" ref="Q76">MAX(ABS(Q61:Q70))</f>
        <v>87.5</v>
      </c>
      <c r="R76" s="3" cm="1">
        <f t="array" ref="R76">MAX(ABS(R61:R70))</f>
        <v>398.93718804678588</v>
      </c>
      <c r="S76" s="43" cm="1">
        <f t="array" ref="S76">MAX(ABS(S61:S70))</f>
        <v>149.7874376093572</v>
      </c>
      <c r="T76" s="3" cm="1">
        <f t="array" ref="T76">MAX(ABS(T61:T70))</f>
        <v>8582.5055903691828</v>
      </c>
      <c r="U76" s="3" cm="1">
        <f t="array" ref="U76">MAX(ABS(U61:U70))</f>
        <v>8582.5055903691828</v>
      </c>
      <c r="V76" s="3" cm="1">
        <f t="array" ref="V76">MAX(ABS(V61:V70))</f>
        <v>8582.5055903691828</v>
      </c>
      <c r="W76" s="3" cm="1">
        <f t="array" ref="W76">MAX(ABS(W61:W70))</f>
        <v>8582.5055903691828</v>
      </c>
      <c r="X76" s="43" cm="1">
        <f t="array" ref="X76">MAX(ABS(X61:X70))</f>
        <v>8582.5055903691828</v>
      </c>
      <c r="Y76" s="3" cm="1">
        <f t="array" ref="Y76">MAX(ABS(Y61:Y70))</f>
        <v>32498.827871284386</v>
      </c>
      <c r="Z76" s="3" cm="1">
        <f t="array" ref="Z76">MAX(ABS(Z61:Z70))</f>
        <v>16554.613017340918</v>
      </c>
      <c r="AA76" s="3" cm="1">
        <f t="array" ref="AA76">MAX(ABS(AA61:AA70))</f>
        <v>8582.5055903691828</v>
      </c>
      <c r="AB76" s="3" cm="1">
        <f t="array" ref="AB76">MAX(ABS(AB61:AB70))</f>
        <v>4596.4518768833159</v>
      </c>
      <c r="AC76" s="43" cm="1">
        <f t="array" ref="AC76">MAX(ABS(AC61:AC70))</f>
        <v>2603.425020140382</v>
      </c>
      <c r="AD76" s="3" cm="1">
        <f t="array" ref="AD76">MAX(ABS(AD61:AD70))</f>
        <v>8582.5055903691828</v>
      </c>
      <c r="AE76" s="3" cm="1">
        <f t="array" ref="AE76">MAX(ABS(AE61:AE70))</f>
        <v>8582.5055903691828</v>
      </c>
      <c r="AF76" s="3" cm="1">
        <f t="array" ref="AF76">MAX(ABS(AF61:AF70))</f>
        <v>8582.5055903691828</v>
      </c>
      <c r="AG76" s="3" cm="1">
        <f t="array" ref="AG76">MAX(ABS(AG61:AG70))</f>
        <v>8582.5055903691828</v>
      </c>
      <c r="AH76" s="43" cm="1">
        <f t="array" ref="AH76">MAX(ABS(AH61:AH70))</f>
        <v>8582.5055903691828</v>
      </c>
    </row>
    <row r="77" spans="1:34" x14ac:dyDescent="0.25">
      <c r="A77" t="s">
        <v>109</v>
      </c>
      <c r="B77" t="s">
        <v>19</v>
      </c>
      <c r="C77" s="56">
        <f>MAX(C71:C74)</f>
        <v>124.48243545219989</v>
      </c>
      <c r="D77" s="56">
        <f t="shared" ref="D77:O77" si="169">MAX(D71:D74)</f>
        <v>248.96487090439979</v>
      </c>
      <c r="E77" s="56">
        <f t="shared" si="169"/>
        <v>290.33836412311985</v>
      </c>
      <c r="F77" s="56">
        <f t="shared" si="169"/>
        <v>196.58819497309034</v>
      </c>
      <c r="G77" s="56">
        <f t="shared" si="169"/>
        <v>365.35753560934063</v>
      </c>
      <c r="H77" s="56">
        <f t="shared" si="169"/>
        <v>853.03293040811377</v>
      </c>
      <c r="I77" s="56">
        <f t="shared" si="169"/>
        <v>1106.8449864099853</v>
      </c>
      <c r="J77" s="56">
        <f t="shared" si="169"/>
        <v>2560.9313731764305</v>
      </c>
      <c r="K77" s="56">
        <f t="shared" si="169"/>
        <v>8776.9143902183259</v>
      </c>
      <c r="L77" s="56">
        <f t="shared" si="169"/>
        <v>15777.112620266444</v>
      </c>
      <c r="M77" s="56">
        <f>MAX(M71:M74)</f>
        <v>18964.457302869334</v>
      </c>
      <c r="N77" s="56">
        <f t="shared" si="169"/>
        <v>18904.132106381523</v>
      </c>
      <c r="O77" s="56">
        <f t="shared" si="169"/>
        <v>18589.11628282773</v>
      </c>
      <c r="P77" s="56">
        <f t="shared" ref="P77:Q77" si="170">MAX(P71:P74)</f>
        <v>606.24611833645463</v>
      </c>
      <c r="Q77" s="56">
        <f t="shared" si="170"/>
        <v>508.09135833251594</v>
      </c>
      <c r="R77" s="56">
        <f t="shared" ref="R77" si="171">MAX(R71:R74)</f>
        <v>621.14309559008871</v>
      </c>
      <c r="S77" s="64">
        <f t="shared" ref="S77:AH77" si="172">MAX(S71:S74)</f>
        <v>159.95959331713814</v>
      </c>
      <c r="T77" s="56">
        <f t="shared" si="172"/>
        <v>50970.421009687743</v>
      </c>
      <c r="U77" s="56">
        <f t="shared" si="172"/>
        <v>29263.467392471644</v>
      </c>
      <c r="V77" s="56">
        <f t="shared" si="172"/>
        <v>18904.132106381523</v>
      </c>
      <c r="W77" s="56">
        <f t="shared" si="172"/>
        <v>14171.52559196788</v>
      </c>
      <c r="X77" s="64">
        <f t="shared" si="172"/>
        <v>12074.958464808413</v>
      </c>
      <c r="Y77" s="56">
        <f t="shared" si="172"/>
        <v>43047.4249358983</v>
      </c>
      <c r="Z77" s="56">
        <f t="shared" si="172"/>
        <v>26457.889665297429</v>
      </c>
      <c r="AA77" s="56">
        <f t="shared" si="172"/>
        <v>18904.132106381523</v>
      </c>
      <c r="AB77" s="56">
        <f t="shared" si="172"/>
        <v>15636.768626229083</v>
      </c>
      <c r="AC77" s="64">
        <f t="shared" si="172"/>
        <v>14237.169283496494</v>
      </c>
      <c r="AD77" s="56">
        <f t="shared" si="172"/>
        <v>19916.909474089709</v>
      </c>
      <c r="AE77" s="56">
        <f t="shared" si="172"/>
        <v>19240.283627762357</v>
      </c>
      <c r="AF77" s="56">
        <f t="shared" si="172"/>
        <v>18904.132106381523</v>
      </c>
      <c r="AG77" s="56">
        <f t="shared" si="172"/>
        <v>18736.630680965722</v>
      </c>
      <c r="AH77" s="64">
        <f t="shared" si="172"/>
        <v>18653.028068710293</v>
      </c>
    </row>
    <row r="78" spans="1:34" x14ac:dyDescent="0.25">
      <c r="A78" t="s">
        <v>350</v>
      </c>
      <c r="B78" t="s">
        <v>26</v>
      </c>
      <c r="C78" s="82">
        <v>2</v>
      </c>
      <c r="D78" s="82">
        <v>2</v>
      </c>
      <c r="E78" s="82">
        <v>2</v>
      </c>
      <c r="F78" s="82">
        <v>2</v>
      </c>
      <c r="G78" s="82">
        <v>2</v>
      </c>
      <c r="H78" s="82">
        <v>2</v>
      </c>
      <c r="I78" s="82">
        <v>2</v>
      </c>
      <c r="J78" s="82">
        <v>2</v>
      </c>
      <c r="K78" s="82">
        <v>2</v>
      </c>
      <c r="L78" s="82">
        <v>2</v>
      </c>
      <c r="M78" s="82">
        <v>2</v>
      </c>
      <c r="N78" s="82">
        <v>0</v>
      </c>
      <c r="O78" s="84">
        <v>1.5</v>
      </c>
      <c r="P78" s="84">
        <v>2.5</v>
      </c>
      <c r="Q78" s="84">
        <v>2.5</v>
      </c>
      <c r="R78" s="84">
        <v>2.5</v>
      </c>
      <c r="S78" s="88">
        <v>2</v>
      </c>
      <c r="T78" s="82">
        <v>2</v>
      </c>
      <c r="U78" s="82">
        <v>2</v>
      </c>
      <c r="V78" s="82">
        <v>2</v>
      </c>
      <c r="W78" s="84">
        <v>1.5</v>
      </c>
      <c r="X78" s="88">
        <v>2</v>
      </c>
      <c r="Y78" s="82">
        <v>2</v>
      </c>
      <c r="Z78" s="82">
        <v>2</v>
      </c>
      <c r="AA78" s="82">
        <v>2</v>
      </c>
      <c r="AB78" s="84">
        <v>1.5</v>
      </c>
      <c r="AC78" s="88">
        <v>2</v>
      </c>
      <c r="AD78" s="82">
        <v>2</v>
      </c>
      <c r="AE78" s="82">
        <v>2</v>
      </c>
      <c r="AF78" s="82">
        <v>2</v>
      </c>
      <c r="AG78" s="84">
        <v>1.5</v>
      </c>
      <c r="AH78" s="88">
        <v>2</v>
      </c>
    </row>
    <row r="79" spans="1:34" x14ac:dyDescent="0.25">
      <c r="A79" t="s">
        <v>351</v>
      </c>
      <c r="B79" t="s">
        <v>19</v>
      </c>
      <c r="C79" s="83">
        <f>C77*C78</f>
        <v>248.96487090439979</v>
      </c>
      <c r="D79" s="82">
        <f t="shared" ref="D79:S79" si="173">D77*D78</f>
        <v>497.92974180879958</v>
      </c>
      <c r="E79" s="82">
        <f t="shared" si="173"/>
        <v>580.67672824623969</v>
      </c>
      <c r="F79" s="82">
        <f t="shared" si="173"/>
        <v>393.17638994618068</v>
      </c>
      <c r="G79" s="82">
        <f t="shared" si="173"/>
        <v>730.71507121868126</v>
      </c>
      <c r="H79" s="82">
        <f t="shared" si="173"/>
        <v>1706.0658608162275</v>
      </c>
      <c r="I79" s="82">
        <f t="shared" si="173"/>
        <v>2213.6899728199705</v>
      </c>
      <c r="J79" s="82">
        <f t="shared" si="173"/>
        <v>5121.862746352861</v>
      </c>
      <c r="K79" s="82">
        <f t="shared" si="173"/>
        <v>17553.828780436652</v>
      </c>
      <c r="L79" s="82">
        <f t="shared" si="173"/>
        <v>31554.225240532887</v>
      </c>
      <c r="M79" s="82">
        <f t="shared" si="173"/>
        <v>37928.914605738668</v>
      </c>
      <c r="N79" s="82">
        <f t="shared" si="173"/>
        <v>0</v>
      </c>
      <c r="O79" s="82">
        <f t="shared" si="173"/>
        <v>27883.674424241595</v>
      </c>
      <c r="P79" s="82">
        <f t="shared" ref="P79:Q79" si="174">P77*P78</f>
        <v>1515.6152958411367</v>
      </c>
      <c r="Q79" s="82">
        <f t="shared" si="174"/>
        <v>1270.2283958312898</v>
      </c>
      <c r="R79" s="82">
        <f t="shared" ref="R79" si="175">R77*R78</f>
        <v>1552.8577389752218</v>
      </c>
      <c r="S79" s="89">
        <f t="shared" si="173"/>
        <v>319.91918663427629</v>
      </c>
      <c r="T79" s="81">
        <f t="shared" ref="T79:AH79" si="176">T77*T78</f>
        <v>101940.84201937549</v>
      </c>
      <c r="U79" s="81">
        <f t="shared" si="176"/>
        <v>58526.934784943289</v>
      </c>
      <c r="V79" s="81">
        <f t="shared" si="176"/>
        <v>37808.264212763046</v>
      </c>
      <c r="W79" s="81">
        <f t="shared" si="176"/>
        <v>21257.288387951819</v>
      </c>
      <c r="X79" s="94">
        <f t="shared" si="176"/>
        <v>24149.916929616826</v>
      </c>
      <c r="Y79" s="81">
        <f t="shared" si="176"/>
        <v>86094.849871796599</v>
      </c>
      <c r="Z79" s="81">
        <f t="shared" si="176"/>
        <v>52915.779330594858</v>
      </c>
      <c r="AA79" s="81">
        <f t="shared" si="176"/>
        <v>37808.264212763046</v>
      </c>
      <c r="AB79" s="81">
        <f t="shared" si="176"/>
        <v>23455.152939343625</v>
      </c>
      <c r="AC79" s="94">
        <f t="shared" si="176"/>
        <v>28474.338566992988</v>
      </c>
      <c r="AD79" s="81">
        <f t="shared" si="176"/>
        <v>39833.818948179418</v>
      </c>
      <c r="AE79" s="81">
        <f t="shared" si="176"/>
        <v>38480.567255524715</v>
      </c>
      <c r="AF79" s="81">
        <f t="shared" si="176"/>
        <v>37808.264212763046</v>
      </c>
      <c r="AG79" s="81">
        <f t="shared" si="176"/>
        <v>28104.946021448581</v>
      </c>
      <c r="AH79" s="94">
        <f t="shared" si="176"/>
        <v>37306.056137420586</v>
      </c>
    </row>
    <row r="80" spans="1:34" x14ac:dyDescent="0.25">
      <c r="A80" t="s">
        <v>349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41"/>
      <c r="P80" s="41"/>
      <c r="Q80" s="41"/>
      <c r="R80" s="41"/>
      <c r="S80" s="41"/>
      <c r="T80" s="77">
        <v>0.25</v>
      </c>
      <c r="U80" s="57">
        <v>0.5</v>
      </c>
      <c r="V80" s="57">
        <v>1</v>
      </c>
      <c r="W80" s="57">
        <v>2</v>
      </c>
      <c r="X80" s="58">
        <v>4</v>
      </c>
      <c r="Y80" s="77">
        <v>0.25</v>
      </c>
      <c r="Z80" s="57">
        <v>0.5</v>
      </c>
      <c r="AA80" s="57">
        <v>1</v>
      </c>
      <c r="AB80" s="57">
        <v>2</v>
      </c>
      <c r="AC80" s="58">
        <v>4</v>
      </c>
      <c r="AD80" s="77">
        <v>0.25</v>
      </c>
      <c r="AE80" s="57">
        <v>0.5</v>
      </c>
      <c r="AF80" s="57">
        <v>1</v>
      </c>
      <c r="AG80" s="57">
        <v>2</v>
      </c>
      <c r="AH80" s="58">
        <v>4</v>
      </c>
    </row>
    <row r="81" spans="1:34" x14ac:dyDescent="0.25">
      <c r="A81" t="s">
        <v>348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41"/>
      <c r="P81" s="26"/>
      <c r="Q81" s="26"/>
      <c r="R81" s="26"/>
      <c r="T81" s="78">
        <f t="shared" ref="T81:AH81" si="177">T77/$N$77</f>
        <v>2.6962581896304836</v>
      </c>
      <c r="U81" s="79">
        <f t="shared" si="177"/>
        <v>1.5479931703711005</v>
      </c>
      <c r="V81" s="79">
        <f t="shared" si="177"/>
        <v>1</v>
      </c>
      <c r="W81" s="79">
        <f t="shared" si="177"/>
        <v>0.74965227243539823</v>
      </c>
      <c r="X81" s="80">
        <f t="shared" si="177"/>
        <v>0.63874704201481081</v>
      </c>
      <c r="Y81" s="78">
        <f t="shared" si="177"/>
        <v>2.2771436791518536</v>
      </c>
      <c r="Z81" s="79">
        <f t="shared" si="177"/>
        <v>1.3995823514355341</v>
      </c>
      <c r="AA81" s="79">
        <f t="shared" si="177"/>
        <v>1</v>
      </c>
      <c r="AB81" s="79">
        <f t="shared" si="177"/>
        <v>0.82716141308336144</v>
      </c>
      <c r="AC81" s="80">
        <f t="shared" si="177"/>
        <v>0.75312472444531908</v>
      </c>
      <c r="AD81" s="78">
        <f t="shared" si="177"/>
        <v>1.0535743911441615</v>
      </c>
      <c r="AE81" s="79">
        <f t="shared" si="177"/>
        <v>1.017781907124282</v>
      </c>
      <c r="AF81" s="79">
        <f t="shared" si="177"/>
        <v>1</v>
      </c>
      <c r="AG81" s="79">
        <f t="shared" si="177"/>
        <v>0.99113942790532783</v>
      </c>
      <c r="AH81" s="80">
        <f t="shared" si="177"/>
        <v>0.98671697614795739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28A5-BDDC-42FC-8128-774BF467523B}">
  <dimension ref="A1:AI83"/>
  <sheetViews>
    <sheetView zoomScale="106" zoomScaleNormal="10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:AI10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6" width="10.42578125" customWidth="1"/>
  </cols>
  <sheetData>
    <row r="1" spans="1:35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364</v>
      </c>
      <c r="N1" s="18" t="s">
        <v>363</v>
      </c>
      <c r="O1" s="37" t="s">
        <v>344</v>
      </c>
      <c r="P1" s="97" t="s">
        <v>74</v>
      </c>
      <c r="Q1" s="98"/>
      <c r="R1" s="98"/>
      <c r="S1" s="98"/>
      <c r="T1" s="69"/>
      <c r="U1" s="97" t="s">
        <v>75</v>
      </c>
      <c r="V1" s="98"/>
      <c r="W1" s="98"/>
      <c r="X1" s="98"/>
      <c r="Y1" s="69"/>
      <c r="Z1" s="97" t="s">
        <v>362</v>
      </c>
      <c r="AA1" s="98"/>
      <c r="AB1" s="98"/>
      <c r="AC1" s="98"/>
      <c r="AD1" s="69"/>
      <c r="AE1" s="97" t="s">
        <v>361</v>
      </c>
      <c r="AF1" s="98"/>
      <c r="AG1" s="98"/>
      <c r="AH1" s="98"/>
      <c r="AI1" s="69"/>
    </row>
    <row r="2" spans="1:35" x14ac:dyDescent="0.25">
      <c r="A2" t="s">
        <v>89</v>
      </c>
      <c r="B2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96">
        <f>$N2</f>
        <v>0</v>
      </c>
      <c r="Q2" s="52">
        <f>P2</f>
        <v>0</v>
      </c>
      <c r="R2" s="52">
        <f t="shared" ref="R2:R8" si="0">Q2</f>
        <v>0</v>
      </c>
      <c r="S2" s="52">
        <f t="shared" ref="S2:S8" si="1">R2</f>
        <v>0</v>
      </c>
      <c r="T2" s="66">
        <f t="shared" ref="T2:T8" si="2">S2</f>
        <v>0</v>
      </c>
      <c r="U2" s="96">
        <f>$N2</f>
        <v>0</v>
      </c>
      <c r="V2" s="52">
        <f t="shared" ref="V2:Y5" si="3">U2</f>
        <v>0</v>
      </c>
      <c r="W2" s="52">
        <f t="shared" si="3"/>
        <v>0</v>
      </c>
      <c r="X2" s="52">
        <f t="shared" si="3"/>
        <v>0</v>
      </c>
      <c r="Y2" s="66">
        <f t="shared" si="3"/>
        <v>0</v>
      </c>
      <c r="Z2" s="96">
        <f>$N2</f>
        <v>0</v>
      </c>
      <c r="AA2" s="52">
        <f t="shared" ref="AA2:AD6" si="4">Z2</f>
        <v>0</v>
      </c>
      <c r="AB2" s="52">
        <f t="shared" si="4"/>
        <v>0</v>
      </c>
      <c r="AC2" s="52">
        <f t="shared" si="4"/>
        <v>0</v>
      </c>
      <c r="AD2" s="66">
        <f t="shared" si="4"/>
        <v>0</v>
      </c>
      <c r="AE2" s="96">
        <f t="shared" ref="AE2:AE7" si="5">$N2</f>
        <v>0</v>
      </c>
      <c r="AF2" s="52">
        <f t="shared" ref="AF2:AI7" si="6">AE2</f>
        <v>0</v>
      </c>
      <c r="AG2" s="52">
        <f t="shared" si="6"/>
        <v>0</v>
      </c>
      <c r="AH2" s="52">
        <f t="shared" si="6"/>
        <v>0</v>
      </c>
      <c r="AI2" s="66">
        <f t="shared" si="6"/>
        <v>0</v>
      </c>
    </row>
    <row r="3" spans="1:35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96">
        <f>$N3</f>
        <v>0.5</v>
      </c>
      <c r="Q3" s="52">
        <f>P3</f>
        <v>0.5</v>
      </c>
      <c r="R3" s="52">
        <f t="shared" si="0"/>
        <v>0.5</v>
      </c>
      <c r="S3" s="52">
        <f t="shared" si="1"/>
        <v>0.5</v>
      </c>
      <c r="T3" s="66">
        <f t="shared" si="2"/>
        <v>0.5</v>
      </c>
      <c r="U3" s="96">
        <f>$N3</f>
        <v>0.5</v>
      </c>
      <c r="V3" s="52">
        <f t="shared" si="3"/>
        <v>0.5</v>
      </c>
      <c r="W3" s="52">
        <f t="shared" si="3"/>
        <v>0.5</v>
      </c>
      <c r="X3" s="52">
        <f t="shared" si="3"/>
        <v>0.5</v>
      </c>
      <c r="Y3" s="66">
        <f t="shared" si="3"/>
        <v>0.5</v>
      </c>
      <c r="Z3" s="96">
        <f>$N3</f>
        <v>0.5</v>
      </c>
      <c r="AA3" s="52">
        <f t="shared" si="4"/>
        <v>0.5</v>
      </c>
      <c r="AB3" s="52">
        <f t="shared" si="4"/>
        <v>0.5</v>
      </c>
      <c r="AC3" s="52">
        <f t="shared" si="4"/>
        <v>0.5</v>
      </c>
      <c r="AD3" s="66">
        <f t="shared" si="4"/>
        <v>0.5</v>
      </c>
      <c r="AE3" s="96">
        <f t="shared" si="5"/>
        <v>0.5</v>
      </c>
      <c r="AF3" s="52">
        <f t="shared" si="6"/>
        <v>0.5</v>
      </c>
      <c r="AG3" s="52">
        <f t="shared" si="6"/>
        <v>0.5</v>
      </c>
      <c r="AH3" s="52">
        <f t="shared" si="6"/>
        <v>0.5</v>
      </c>
      <c r="AI3" s="66">
        <f t="shared" si="6"/>
        <v>0.5</v>
      </c>
    </row>
    <row r="4" spans="1:35" x14ac:dyDescent="0.25">
      <c r="A4" t="s">
        <v>91</v>
      </c>
      <c r="B4" t="s">
        <v>32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96">
        <f>$N4</f>
        <v>1</v>
      </c>
      <c r="Q4" s="52">
        <f>P4</f>
        <v>1</v>
      </c>
      <c r="R4" s="52">
        <f t="shared" si="0"/>
        <v>1</v>
      </c>
      <c r="S4" s="52">
        <f t="shared" si="1"/>
        <v>1</v>
      </c>
      <c r="T4" s="66">
        <f t="shared" si="2"/>
        <v>1</v>
      </c>
      <c r="U4" s="96">
        <f>$N4</f>
        <v>1</v>
      </c>
      <c r="V4" s="52">
        <f t="shared" si="3"/>
        <v>1</v>
      </c>
      <c r="W4" s="52">
        <f t="shared" si="3"/>
        <v>1</v>
      </c>
      <c r="X4" s="52">
        <f t="shared" si="3"/>
        <v>1</v>
      </c>
      <c r="Y4" s="66">
        <f t="shared" si="3"/>
        <v>1</v>
      </c>
      <c r="Z4" s="96">
        <f>$N4</f>
        <v>1</v>
      </c>
      <c r="AA4" s="52">
        <f t="shared" si="4"/>
        <v>1</v>
      </c>
      <c r="AB4" s="52">
        <f t="shared" si="4"/>
        <v>1</v>
      </c>
      <c r="AC4" s="52">
        <f t="shared" si="4"/>
        <v>1</v>
      </c>
      <c r="AD4" s="66">
        <f t="shared" si="4"/>
        <v>1</v>
      </c>
      <c r="AE4" s="96">
        <f t="shared" si="5"/>
        <v>1</v>
      </c>
      <c r="AF4" s="52">
        <f t="shared" si="6"/>
        <v>1</v>
      </c>
      <c r="AG4" s="52">
        <f t="shared" si="6"/>
        <v>1</v>
      </c>
      <c r="AH4" s="52">
        <f t="shared" si="6"/>
        <v>1</v>
      </c>
      <c r="AI4" s="66">
        <f t="shared" si="6"/>
        <v>1</v>
      </c>
    </row>
    <row r="5" spans="1:35" ht="15.75" thickBot="1" x14ac:dyDescent="0.3">
      <c r="A5" t="s">
        <v>74</v>
      </c>
      <c r="B5" t="s">
        <v>3</v>
      </c>
      <c r="C5" s="85">
        <f>'Axis Sizing'!D60</f>
        <v>1550</v>
      </c>
      <c r="D5" s="12">
        <f t="shared" ref="D5:D10" si="7">C5</f>
        <v>1550</v>
      </c>
      <c r="E5" s="12">
        <f t="shared" ref="E5:L6" si="8">D5</f>
        <v>1550</v>
      </c>
      <c r="F5" s="12">
        <f t="shared" si="8"/>
        <v>1550</v>
      </c>
      <c r="G5" s="12">
        <f t="shared" ref="G5:I6" si="9">D5</f>
        <v>1550</v>
      </c>
      <c r="H5" s="12">
        <f t="shared" si="9"/>
        <v>1550</v>
      </c>
      <c r="I5" s="12">
        <f t="shared" si="9"/>
        <v>1550</v>
      </c>
      <c r="J5" s="12">
        <f t="shared" si="8"/>
        <v>1550</v>
      </c>
      <c r="K5" s="12">
        <f t="shared" si="8"/>
        <v>1550</v>
      </c>
      <c r="L5" s="12">
        <f t="shared" si="8"/>
        <v>1550</v>
      </c>
      <c r="M5" s="12">
        <f t="shared" ref="M5:N9" si="10">K5</f>
        <v>1550</v>
      </c>
      <c r="N5" s="12">
        <f t="shared" si="10"/>
        <v>1550</v>
      </c>
      <c r="O5" s="12">
        <f>N5</f>
        <v>1550</v>
      </c>
      <c r="P5" s="20">
        <f>$N5*P$82</f>
        <v>387.5</v>
      </c>
      <c r="Q5" s="20">
        <f>$N5*Q$82</f>
        <v>775</v>
      </c>
      <c r="R5" s="20">
        <f>$N5*R$82</f>
        <v>1550</v>
      </c>
      <c r="S5" s="20">
        <f>$N5*S$82</f>
        <v>3100</v>
      </c>
      <c r="T5" s="38">
        <f>$N5*T$82</f>
        <v>6200</v>
      </c>
      <c r="U5" s="93">
        <f>$N5</f>
        <v>1550</v>
      </c>
      <c r="V5" s="12">
        <f t="shared" si="3"/>
        <v>1550</v>
      </c>
      <c r="W5" s="12">
        <f t="shared" si="3"/>
        <v>1550</v>
      </c>
      <c r="X5" s="12">
        <f t="shared" si="3"/>
        <v>1550</v>
      </c>
      <c r="Y5" s="60">
        <f t="shared" si="3"/>
        <v>1550</v>
      </c>
      <c r="Z5" s="93">
        <f>$N5</f>
        <v>1550</v>
      </c>
      <c r="AA5" s="12">
        <f t="shared" si="4"/>
        <v>1550</v>
      </c>
      <c r="AB5" s="12">
        <f t="shared" si="4"/>
        <v>1550</v>
      </c>
      <c r="AC5" s="12">
        <f t="shared" si="4"/>
        <v>1550</v>
      </c>
      <c r="AD5" s="60">
        <f t="shared" si="4"/>
        <v>1550</v>
      </c>
      <c r="AE5" s="93">
        <f t="shared" si="5"/>
        <v>1550</v>
      </c>
      <c r="AF5" s="12">
        <f t="shared" si="6"/>
        <v>1550</v>
      </c>
      <c r="AG5" s="12">
        <f t="shared" si="6"/>
        <v>1550</v>
      </c>
      <c r="AH5" s="12">
        <f t="shared" si="6"/>
        <v>1550</v>
      </c>
      <c r="AI5" s="60">
        <f t="shared" si="6"/>
        <v>1550</v>
      </c>
    </row>
    <row r="6" spans="1:35" ht="16.5" thickTop="1" thickBot="1" x14ac:dyDescent="0.3">
      <c r="A6" t="s">
        <v>75</v>
      </c>
      <c r="B6" t="s">
        <v>3</v>
      </c>
      <c r="C6" s="85">
        <f>'Axis Sizing'!D59</f>
        <v>290</v>
      </c>
      <c r="D6" s="12">
        <f t="shared" si="7"/>
        <v>290</v>
      </c>
      <c r="E6" s="12">
        <f t="shared" si="8"/>
        <v>290</v>
      </c>
      <c r="F6" s="12">
        <f t="shared" si="8"/>
        <v>290</v>
      </c>
      <c r="G6" s="12">
        <f t="shared" si="9"/>
        <v>290</v>
      </c>
      <c r="H6" s="12">
        <f t="shared" si="9"/>
        <v>290</v>
      </c>
      <c r="I6" s="12">
        <f t="shared" si="9"/>
        <v>290</v>
      </c>
      <c r="J6" s="12">
        <f t="shared" si="8"/>
        <v>290</v>
      </c>
      <c r="K6" s="12">
        <f t="shared" si="8"/>
        <v>290</v>
      </c>
      <c r="L6" s="12">
        <f t="shared" si="8"/>
        <v>290</v>
      </c>
      <c r="M6" s="12">
        <f t="shared" si="10"/>
        <v>290</v>
      </c>
      <c r="N6" s="12">
        <f t="shared" si="10"/>
        <v>290</v>
      </c>
      <c r="O6" s="12">
        <f>N6</f>
        <v>290</v>
      </c>
      <c r="P6" s="93">
        <f>$N6</f>
        <v>290</v>
      </c>
      <c r="Q6" s="12">
        <f>P6</f>
        <v>290</v>
      </c>
      <c r="R6" s="12">
        <f t="shared" si="0"/>
        <v>290</v>
      </c>
      <c r="S6" s="12">
        <f t="shared" si="1"/>
        <v>290</v>
      </c>
      <c r="T6" s="60">
        <f t="shared" si="2"/>
        <v>290</v>
      </c>
      <c r="U6" s="20">
        <f>$N6*U$82</f>
        <v>72.5</v>
      </c>
      <c r="V6" s="20">
        <f>$N6*V$82</f>
        <v>145</v>
      </c>
      <c r="W6" s="20">
        <f>$N6*W$82</f>
        <v>290</v>
      </c>
      <c r="X6" s="20">
        <f>$N6*X$82</f>
        <v>580</v>
      </c>
      <c r="Y6" s="38">
        <f>$N6*Y$82</f>
        <v>1160</v>
      </c>
      <c r="Z6" s="93">
        <f>$N6</f>
        <v>290</v>
      </c>
      <c r="AA6" s="12">
        <f t="shared" si="4"/>
        <v>290</v>
      </c>
      <c r="AB6" s="12">
        <f t="shared" si="4"/>
        <v>290</v>
      </c>
      <c r="AC6" s="12">
        <f t="shared" si="4"/>
        <v>290</v>
      </c>
      <c r="AD6" s="60">
        <f t="shared" si="4"/>
        <v>290</v>
      </c>
      <c r="AE6" s="93">
        <f t="shared" si="5"/>
        <v>290</v>
      </c>
      <c r="AF6" s="12">
        <f t="shared" si="6"/>
        <v>290</v>
      </c>
      <c r="AG6" s="12">
        <f t="shared" si="6"/>
        <v>290</v>
      </c>
      <c r="AH6" s="12">
        <f t="shared" si="6"/>
        <v>290</v>
      </c>
      <c r="AI6" s="60">
        <f t="shared" si="6"/>
        <v>290</v>
      </c>
    </row>
    <row r="7" spans="1:35" ht="15.75" thickTop="1" x14ac:dyDescent="0.25">
      <c r="A7" t="s">
        <v>355</v>
      </c>
      <c r="B7" t="s">
        <v>3</v>
      </c>
      <c r="C7" s="95">
        <v>110</v>
      </c>
      <c r="D7" s="12">
        <f t="shared" si="7"/>
        <v>110</v>
      </c>
      <c r="E7" s="12">
        <f t="shared" ref="E7:F9" si="11">D7</f>
        <v>110</v>
      </c>
      <c r="F7" s="12">
        <f t="shared" si="11"/>
        <v>110</v>
      </c>
      <c r="G7" s="12">
        <f t="shared" ref="G7:I9" si="12">D7</f>
        <v>110</v>
      </c>
      <c r="H7" s="12">
        <f t="shared" si="12"/>
        <v>110</v>
      </c>
      <c r="I7" s="12">
        <f t="shared" si="12"/>
        <v>110</v>
      </c>
      <c r="J7" s="12">
        <f t="shared" ref="J7:L9" si="13">I7</f>
        <v>110</v>
      </c>
      <c r="K7" s="12">
        <f t="shared" si="13"/>
        <v>110</v>
      </c>
      <c r="L7" s="12">
        <f t="shared" si="13"/>
        <v>110</v>
      </c>
      <c r="M7" s="12">
        <f t="shared" si="10"/>
        <v>110</v>
      </c>
      <c r="N7" s="12">
        <f t="shared" si="10"/>
        <v>110</v>
      </c>
      <c r="O7" s="12">
        <f t="shared" ref="O7:Q8" si="14">N7</f>
        <v>110</v>
      </c>
      <c r="P7" s="93">
        <f>$N7</f>
        <v>110</v>
      </c>
      <c r="Q7" s="12">
        <f t="shared" si="14"/>
        <v>110</v>
      </c>
      <c r="R7" s="12">
        <f t="shared" si="0"/>
        <v>110</v>
      </c>
      <c r="S7" s="12">
        <f t="shared" si="1"/>
        <v>110</v>
      </c>
      <c r="T7" s="60">
        <f t="shared" si="2"/>
        <v>110</v>
      </c>
      <c r="U7" s="93">
        <f>$N7</f>
        <v>110</v>
      </c>
      <c r="V7" s="12">
        <f t="shared" ref="V7:Y9" si="15">U7</f>
        <v>110</v>
      </c>
      <c r="W7" s="12">
        <f t="shared" si="15"/>
        <v>110</v>
      </c>
      <c r="X7" s="12">
        <f t="shared" si="15"/>
        <v>110</v>
      </c>
      <c r="Y7" s="60">
        <f t="shared" si="15"/>
        <v>110</v>
      </c>
      <c r="Z7" s="20">
        <f>$N7*Z$82</f>
        <v>27.5</v>
      </c>
      <c r="AA7" s="20">
        <f>$N7*AA$82</f>
        <v>55</v>
      </c>
      <c r="AB7" s="20">
        <f>$N7*AB$82</f>
        <v>110</v>
      </c>
      <c r="AC7" s="20">
        <f>$N7*AC$82</f>
        <v>220</v>
      </c>
      <c r="AD7" s="38">
        <f>$N7*AD$82</f>
        <v>440</v>
      </c>
      <c r="AE7" s="93">
        <f t="shared" si="5"/>
        <v>110</v>
      </c>
      <c r="AF7" s="12">
        <f t="shared" si="6"/>
        <v>110</v>
      </c>
      <c r="AG7" s="12">
        <f t="shared" si="6"/>
        <v>110</v>
      </c>
      <c r="AH7" s="12">
        <f t="shared" si="6"/>
        <v>110</v>
      </c>
      <c r="AI7" s="60">
        <f t="shared" si="6"/>
        <v>110</v>
      </c>
    </row>
    <row r="8" spans="1:35" ht="15.75" thickBot="1" x14ac:dyDescent="0.3">
      <c r="A8" t="s">
        <v>356</v>
      </c>
      <c r="B8" t="s">
        <v>3</v>
      </c>
      <c r="C8" s="85">
        <f>'Axis Sizing'!C61</f>
        <v>280</v>
      </c>
      <c r="D8" s="12">
        <f t="shared" si="7"/>
        <v>280</v>
      </c>
      <c r="E8" s="12">
        <f t="shared" si="11"/>
        <v>280</v>
      </c>
      <c r="F8" s="12">
        <f t="shared" si="11"/>
        <v>280</v>
      </c>
      <c r="G8" s="12">
        <f t="shared" si="12"/>
        <v>280</v>
      </c>
      <c r="H8" s="12">
        <f t="shared" si="12"/>
        <v>280</v>
      </c>
      <c r="I8" s="12">
        <f t="shared" si="12"/>
        <v>280</v>
      </c>
      <c r="J8" s="12">
        <f t="shared" si="13"/>
        <v>280</v>
      </c>
      <c r="K8" s="12">
        <f t="shared" si="13"/>
        <v>280</v>
      </c>
      <c r="L8" s="12">
        <f t="shared" si="13"/>
        <v>280</v>
      </c>
      <c r="M8" s="12">
        <f t="shared" si="10"/>
        <v>280</v>
      </c>
      <c r="N8" s="12">
        <f t="shared" si="10"/>
        <v>280</v>
      </c>
      <c r="O8" s="12">
        <f t="shared" si="14"/>
        <v>280</v>
      </c>
      <c r="P8" s="93">
        <f>$N8</f>
        <v>280</v>
      </c>
      <c r="Q8" s="12">
        <f t="shared" si="14"/>
        <v>280</v>
      </c>
      <c r="R8" s="12">
        <f t="shared" si="0"/>
        <v>280</v>
      </c>
      <c r="S8" s="12">
        <f t="shared" si="1"/>
        <v>280</v>
      </c>
      <c r="T8" s="60">
        <f t="shared" si="2"/>
        <v>280</v>
      </c>
      <c r="U8" s="93">
        <f>$N8</f>
        <v>280</v>
      </c>
      <c r="V8" s="12">
        <f t="shared" si="15"/>
        <v>280</v>
      </c>
      <c r="W8" s="12">
        <f t="shared" si="15"/>
        <v>280</v>
      </c>
      <c r="X8" s="12">
        <f t="shared" si="15"/>
        <v>280</v>
      </c>
      <c r="Y8" s="60">
        <f t="shared" si="15"/>
        <v>280</v>
      </c>
      <c r="Z8" s="93">
        <f>$N8</f>
        <v>280</v>
      </c>
      <c r="AA8" s="12">
        <f t="shared" ref="AA8:AD9" si="16">Z8</f>
        <v>280</v>
      </c>
      <c r="AB8" s="12">
        <f t="shared" si="16"/>
        <v>280</v>
      </c>
      <c r="AC8" s="12">
        <f t="shared" si="16"/>
        <v>280</v>
      </c>
      <c r="AD8" s="60">
        <f t="shared" si="16"/>
        <v>280</v>
      </c>
      <c r="AE8" s="20">
        <f>$N8/AE$82</f>
        <v>1120</v>
      </c>
      <c r="AF8" s="20">
        <f>$N8/AF$82</f>
        <v>560</v>
      </c>
      <c r="AG8" s="20">
        <f>$N8/AG$82</f>
        <v>280</v>
      </c>
      <c r="AH8" s="20">
        <f>$N8/AH$82</f>
        <v>140</v>
      </c>
      <c r="AI8" s="20">
        <f>$N8/AI$82</f>
        <v>70</v>
      </c>
    </row>
    <row r="9" spans="1:35" ht="15.75" thickTop="1" x14ac:dyDescent="0.25">
      <c r="A9" t="s">
        <v>357</v>
      </c>
      <c r="B9" t="s">
        <v>3</v>
      </c>
      <c r="C9" s="6">
        <v>135</v>
      </c>
      <c r="D9" s="12">
        <f t="shared" si="7"/>
        <v>135</v>
      </c>
      <c r="E9" s="12">
        <f t="shared" si="11"/>
        <v>135</v>
      </c>
      <c r="F9" s="12">
        <f t="shared" si="11"/>
        <v>135</v>
      </c>
      <c r="G9" s="12">
        <f t="shared" si="12"/>
        <v>135</v>
      </c>
      <c r="H9" s="12">
        <f t="shared" si="12"/>
        <v>135</v>
      </c>
      <c r="I9" s="12">
        <f t="shared" si="12"/>
        <v>135</v>
      </c>
      <c r="J9" s="12">
        <f t="shared" si="13"/>
        <v>135</v>
      </c>
      <c r="K9" s="12">
        <f t="shared" si="13"/>
        <v>135</v>
      </c>
      <c r="L9" s="12">
        <f t="shared" si="13"/>
        <v>135</v>
      </c>
      <c r="M9" s="12">
        <f t="shared" si="10"/>
        <v>135</v>
      </c>
      <c r="N9" s="12">
        <f t="shared" si="10"/>
        <v>135</v>
      </c>
      <c r="O9" s="12">
        <f>N9</f>
        <v>135</v>
      </c>
      <c r="P9" s="93">
        <f>$N9</f>
        <v>135</v>
      </c>
      <c r="Q9" s="12">
        <f t="shared" ref="Q9:T10" si="17">P9</f>
        <v>135</v>
      </c>
      <c r="R9" s="12">
        <f t="shared" si="17"/>
        <v>135</v>
      </c>
      <c r="S9" s="12">
        <f t="shared" si="17"/>
        <v>135</v>
      </c>
      <c r="T9" s="60">
        <f t="shared" si="17"/>
        <v>135</v>
      </c>
      <c r="U9" s="93">
        <f>$N9</f>
        <v>135</v>
      </c>
      <c r="V9" s="12">
        <f t="shared" si="15"/>
        <v>135</v>
      </c>
      <c r="W9" s="12">
        <f t="shared" si="15"/>
        <v>135</v>
      </c>
      <c r="X9" s="12">
        <f t="shared" si="15"/>
        <v>135</v>
      </c>
      <c r="Y9" s="60">
        <f t="shared" si="15"/>
        <v>135</v>
      </c>
      <c r="Z9" s="93">
        <f>$N9</f>
        <v>135</v>
      </c>
      <c r="AA9" s="12">
        <f t="shared" si="16"/>
        <v>135</v>
      </c>
      <c r="AB9" s="12">
        <f t="shared" si="16"/>
        <v>135</v>
      </c>
      <c r="AC9" s="12">
        <f t="shared" si="16"/>
        <v>135</v>
      </c>
      <c r="AD9" s="60">
        <f t="shared" si="16"/>
        <v>135</v>
      </c>
      <c r="AE9" s="93">
        <f>$N9</f>
        <v>135</v>
      </c>
      <c r="AF9" s="12">
        <f t="shared" ref="AF9:AI10" si="18">AE9</f>
        <v>135</v>
      </c>
      <c r="AG9" s="12">
        <f t="shared" si="18"/>
        <v>135</v>
      </c>
      <c r="AH9" s="12">
        <f t="shared" si="18"/>
        <v>135</v>
      </c>
      <c r="AI9" s="60">
        <f t="shared" si="18"/>
        <v>135</v>
      </c>
    </row>
    <row r="10" spans="1:35" x14ac:dyDescent="0.25">
      <c r="A10" t="s">
        <v>623</v>
      </c>
      <c r="B10" t="s">
        <v>3</v>
      </c>
      <c r="C10" s="6">
        <v>250</v>
      </c>
      <c r="D10" s="12">
        <f t="shared" si="7"/>
        <v>250</v>
      </c>
      <c r="E10" s="12">
        <f t="shared" ref="E10" si="19">D10</f>
        <v>250</v>
      </c>
      <c r="F10" s="12">
        <f t="shared" ref="F10" si="20">E10</f>
        <v>250</v>
      </c>
      <c r="G10" s="12">
        <f t="shared" ref="G10" si="21">D10</f>
        <v>250</v>
      </c>
      <c r="H10" s="12">
        <f t="shared" ref="H10" si="22">E10</f>
        <v>250</v>
      </c>
      <c r="I10" s="12">
        <f t="shared" ref="I10" si="23">F10</f>
        <v>250</v>
      </c>
      <c r="J10" s="12">
        <f t="shared" ref="J10" si="24">I10</f>
        <v>250</v>
      </c>
      <c r="K10" s="12">
        <f t="shared" ref="K10" si="25">J10</f>
        <v>250</v>
      </c>
      <c r="L10" s="12">
        <f t="shared" ref="L10" si="26">K10</f>
        <v>250</v>
      </c>
      <c r="M10" s="12">
        <f t="shared" ref="M10" si="27">K10</f>
        <v>250</v>
      </c>
      <c r="N10" s="12">
        <f t="shared" ref="N10" si="28">L10</f>
        <v>250</v>
      </c>
      <c r="O10" s="12">
        <f>N10</f>
        <v>250</v>
      </c>
      <c r="P10" s="93">
        <f>$N10</f>
        <v>250</v>
      </c>
      <c r="Q10" s="12">
        <f t="shared" si="17"/>
        <v>250</v>
      </c>
      <c r="R10" s="12">
        <f t="shared" si="17"/>
        <v>250</v>
      </c>
      <c r="S10" s="12">
        <f t="shared" si="17"/>
        <v>250</v>
      </c>
      <c r="T10" s="60">
        <f t="shared" si="17"/>
        <v>250</v>
      </c>
      <c r="U10" s="93">
        <f>$N10</f>
        <v>250</v>
      </c>
      <c r="V10" s="12">
        <f t="shared" ref="V10" si="29">U10</f>
        <v>250</v>
      </c>
      <c r="W10" s="12">
        <f t="shared" ref="W10" si="30">V10</f>
        <v>250</v>
      </c>
      <c r="X10" s="12">
        <f t="shared" ref="X10" si="31">W10</f>
        <v>250</v>
      </c>
      <c r="Y10" s="60">
        <f t="shared" ref="Y10" si="32">X10</f>
        <v>250</v>
      </c>
      <c r="Z10" s="93">
        <f>$N10</f>
        <v>250</v>
      </c>
      <c r="AA10" s="12">
        <f t="shared" ref="AA10" si="33">Z10</f>
        <v>250</v>
      </c>
      <c r="AB10" s="12">
        <f t="shared" ref="AB10" si="34">AA10</f>
        <v>250</v>
      </c>
      <c r="AC10" s="12">
        <f t="shared" ref="AC10" si="35">AB10</f>
        <v>250</v>
      </c>
      <c r="AD10" s="60">
        <f t="shared" ref="AD10" si="36">AC10</f>
        <v>250</v>
      </c>
      <c r="AE10" s="93">
        <f>$N10</f>
        <v>250</v>
      </c>
      <c r="AF10" s="12">
        <f t="shared" si="18"/>
        <v>250</v>
      </c>
      <c r="AG10" s="12">
        <f t="shared" si="18"/>
        <v>250</v>
      </c>
      <c r="AH10" s="12">
        <f t="shared" si="18"/>
        <v>250</v>
      </c>
      <c r="AI10" s="60">
        <f t="shared" si="18"/>
        <v>250</v>
      </c>
    </row>
    <row r="11" spans="1:35" x14ac:dyDescent="0.25">
      <c r="A11" t="s">
        <v>85</v>
      </c>
      <c r="B11" t="s">
        <v>3</v>
      </c>
      <c r="C11" s="3">
        <f>(C2-0.5)*'Axis Sizing'!$C$42*'X Axis Force'!$C$18/'Y Axis Forces'!C20</f>
        <v>-267.64705882352939</v>
      </c>
      <c r="D11" s="3">
        <f>(D2-0.5)*'Axis Sizing'!$C$42*'X Axis Force'!$C$18/'Y Axis Forces'!D20</f>
        <v>-267.64705882352939</v>
      </c>
      <c r="E11" s="3">
        <f>(E2-0.5)*'Axis Sizing'!$C$42*'X Axis Force'!$C$18/'Y Axis Forces'!E20</f>
        <v>-267.64705882352939</v>
      </c>
      <c r="F11" s="3">
        <f>(F2-0.5)*'Axis Sizing'!$C$42*'X Axis Force'!$C$18/'Y Axis Forces'!F20</f>
        <v>-267.64705882352939</v>
      </c>
      <c r="G11" s="3">
        <f>(G2-0.5)*'Axis Sizing'!$C$42*'X Axis Force'!$C$18/'Y Axis Forces'!G20</f>
        <v>-267.64705882352939</v>
      </c>
      <c r="H11" s="3">
        <f>(H2-0.5)*'Axis Sizing'!$C$42*'X Axis Force'!$C$18/'Y Axis Forces'!H20</f>
        <v>-267.64705882352939</v>
      </c>
      <c r="I11" s="3">
        <f>(I2-0.5)*'Axis Sizing'!$C$42*'X Axis Force'!$C$18/'Y Axis Forces'!I20</f>
        <v>-267.64705882352939</v>
      </c>
      <c r="J11" s="3">
        <f>(J2-0.5)*'Axis Sizing'!$C$42*'X Axis Force'!$C$18/'Y Axis Forces'!J20</f>
        <v>-267.64705882352939</v>
      </c>
      <c r="K11" s="3">
        <f>(K2-0.5)*'Axis Sizing'!$C$42*'X Axis Force'!$C$18/'Y Axis Forces'!K20</f>
        <v>-267.64705882352939</v>
      </c>
      <c r="L11" s="3">
        <f>(L2-0.5)*'Axis Sizing'!$C$42*'X Axis Force'!$C$18/'Y Axis Forces'!L20</f>
        <v>-267.64705882352939</v>
      </c>
      <c r="M11" s="3">
        <f>(M2-0.5)*'Axis Sizing'!$C$42*'X Axis Force'!$C$18/'Y Axis Forces'!M20</f>
        <v>-267.64705882352939</v>
      </c>
      <c r="N11" s="3">
        <f>(N2-0.5)*'Axis Sizing'!$C$42*'X Axis Force'!$C$18/'Y Axis Forces'!N20</f>
        <v>-267.64705882352939</v>
      </c>
      <c r="O11" s="3">
        <f>(O2-0.5)*'Axis Sizing'!$C$42*'X Axis Force'!$C$18/'Y Axis Forces'!O20</f>
        <v>-267.64705882352939</v>
      </c>
      <c r="P11" s="3">
        <f>(P2-0.5)*'Axis Sizing'!$C$42*'X Axis Force'!$C$18/'Y Axis Forces'!P20</f>
        <v>-267.64705882352939</v>
      </c>
      <c r="Q11" s="3">
        <f>(Q2-0.5)*'Axis Sizing'!$C$42*'X Axis Force'!$C$18/'Y Axis Forces'!Q20</f>
        <v>-267.64705882352939</v>
      </c>
      <c r="R11" s="3">
        <f>(R2-0.5)*'Axis Sizing'!$C$42*'X Axis Force'!$C$18/'Y Axis Forces'!R20</f>
        <v>-267.64705882352939</v>
      </c>
      <c r="S11" s="3">
        <f>(S2-0.5)*'Axis Sizing'!$C$42*'X Axis Force'!$C$18/'Y Axis Forces'!S20</f>
        <v>-267.64705882352939</v>
      </c>
      <c r="T11" s="43">
        <f>(T2-0.5)*'Axis Sizing'!$C$42*'X Axis Force'!$C$18/'Y Axis Forces'!T20</f>
        <v>-267.64705882352939</v>
      </c>
      <c r="U11" s="3">
        <f>(U2-0.5)*'Axis Sizing'!$C$42*'X Axis Force'!$C$18/'Y Axis Forces'!U20</f>
        <v>-267.64705882352939</v>
      </c>
      <c r="V11" s="3">
        <f>(V2-0.5)*'Axis Sizing'!$C$42*'X Axis Force'!$C$18/'Y Axis Forces'!V20</f>
        <v>-267.64705882352939</v>
      </c>
      <c r="W11" s="3">
        <f>(W2-0.5)*'Axis Sizing'!$C$42*'X Axis Force'!$C$18/'Y Axis Forces'!W20</f>
        <v>-267.64705882352939</v>
      </c>
      <c r="X11" s="3">
        <f>(X2-0.5)*'Axis Sizing'!$C$42*'X Axis Force'!$C$18/'Y Axis Forces'!X20</f>
        <v>-267.64705882352939</v>
      </c>
      <c r="Y11" s="43">
        <f>(Y2-0.5)*'Axis Sizing'!$C$42*'X Axis Force'!$C$18/'Y Axis Forces'!Y20</f>
        <v>-267.64705882352939</v>
      </c>
      <c r="Z11" s="3">
        <f>(Z2-0.5)*'Axis Sizing'!$C$42*'X Axis Force'!$C$18/'Y Axis Forces'!Z20</f>
        <v>-267.64705882352939</v>
      </c>
      <c r="AA11" s="3">
        <f>(AA2-0.5)*'Axis Sizing'!$C$42*'X Axis Force'!$C$18/'Y Axis Forces'!AA20</f>
        <v>-267.64705882352939</v>
      </c>
      <c r="AB11" s="3">
        <f>(AB2-0.5)*'Axis Sizing'!$C$42*'X Axis Force'!$C$18/'Y Axis Forces'!AB20</f>
        <v>-267.64705882352939</v>
      </c>
      <c r="AC11" s="3">
        <f>(AC2-0.5)*'Axis Sizing'!$C$42*'X Axis Force'!$C$18/'Y Axis Forces'!AC20</f>
        <v>-267.64705882352939</v>
      </c>
      <c r="AD11" s="43">
        <f>(AD2-0.5)*'Axis Sizing'!$C$42*'X Axis Force'!$C$18/'Y Axis Forces'!AD20</f>
        <v>-267.64705882352939</v>
      </c>
      <c r="AE11" s="3">
        <f>(AE2-0.5)*'Axis Sizing'!$C$42*'X Axis Force'!$C$18/'Y Axis Forces'!AE20</f>
        <v>-267.64705882352939</v>
      </c>
      <c r="AF11" s="3">
        <f>(AF2-0.5)*'Axis Sizing'!$C$42*'X Axis Force'!$C$18/'Y Axis Forces'!AF20</f>
        <v>-267.64705882352939</v>
      </c>
      <c r="AG11" s="3">
        <f>(AG2-0.5)*'Axis Sizing'!$C$42*'X Axis Force'!$C$18/'Y Axis Forces'!AG20</f>
        <v>-267.64705882352939</v>
      </c>
      <c r="AH11" s="3">
        <f>(AH2-0.5)*'Axis Sizing'!$C$42*'X Axis Force'!$C$18/'Y Axis Forces'!AH20</f>
        <v>-267.64705882352939</v>
      </c>
      <c r="AI11" s="43">
        <f>(AI2-0.5)*'Axis Sizing'!$C$42*'X Axis Force'!$C$18/'Y Axis Forces'!AI20</f>
        <v>-267.64705882352939</v>
      </c>
    </row>
    <row r="12" spans="1:35" x14ac:dyDescent="0.25">
      <c r="A12" t="s">
        <v>77</v>
      </c>
      <c r="B12" t="s">
        <v>3</v>
      </c>
      <c r="C12">
        <f>(C9*'Axis Sizing'!$D$2 + ('Y Axis Forces'!C7-'X Axis Force'!$C$14)*'X Axis Force'!$C$18)/'Y Axis Forces'!C20</f>
        <v>123.52941176470588</v>
      </c>
      <c r="D12">
        <f>(D9*'Axis Sizing'!$D$2 + ('Y Axis Forces'!D7-'X Axis Force'!$C$14)*'X Axis Force'!$C$18)/'Y Axis Forces'!D20</f>
        <v>123.52941176470588</v>
      </c>
      <c r="E12">
        <f>(E9*'Axis Sizing'!$D$2 + ('Y Axis Forces'!E7-'X Axis Force'!$C$14)*'X Axis Force'!$C$18)/'Y Axis Forces'!E20</f>
        <v>123.52941176470588</v>
      </c>
      <c r="F12">
        <f>(F9*'Axis Sizing'!$D$2 + ('Y Axis Forces'!F7-'X Axis Force'!$C$14)*'X Axis Force'!$C$18)/'Y Axis Forces'!F20</f>
        <v>123.52941176470588</v>
      </c>
      <c r="G12">
        <f>(G9*'Axis Sizing'!$D$2 + ('Y Axis Forces'!G7-'X Axis Force'!$C$14)*'X Axis Force'!$C$18)/'Y Axis Forces'!G20</f>
        <v>123.52941176470588</v>
      </c>
      <c r="H12">
        <f>(H9*'Axis Sizing'!$D$2 + ('Y Axis Forces'!H7-'X Axis Force'!$C$14)*'X Axis Force'!$C$18)/'Y Axis Forces'!H20</f>
        <v>123.52941176470588</v>
      </c>
      <c r="I12">
        <f>(I9*'Axis Sizing'!$D$2 + ('Y Axis Forces'!I7-'X Axis Force'!$C$14)*'X Axis Force'!$C$18)/'Y Axis Forces'!I20</f>
        <v>123.52941176470588</v>
      </c>
      <c r="J12">
        <f>(J9*'Axis Sizing'!$D$2 + ('Y Axis Forces'!J7-'X Axis Force'!$C$14)*'X Axis Force'!$C$18)/'Y Axis Forces'!J20</f>
        <v>123.52941176470588</v>
      </c>
      <c r="K12">
        <f>(K9*'Axis Sizing'!$D$2 + ('Y Axis Forces'!K7-'X Axis Force'!$C$14)*'X Axis Force'!$C$18)/'Y Axis Forces'!K20</f>
        <v>123.52941176470588</v>
      </c>
      <c r="L12">
        <f>(L9*'Axis Sizing'!$D$2 + ('Y Axis Forces'!L7-'X Axis Force'!$C$14)*'X Axis Force'!$C$18)/'Y Axis Forces'!L20</f>
        <v>123.52941176470588</v>
      </c>
      <c r="M12">
        <f>(M9*'Axis Sizing'!$D$2 + ('Y Axis Forces'!M7-'X Axis Force'!$C$14)*'X Axis Force'!$C$18)/'Y Axis Forces'!M20</f>
        <v>123.52941176470588</v>
      </c>
      <c r="N12">
        <f>(N9*'Axis Sizing'!$D$2 + ('Y Axis Forces'!N7-'X Axis Force'!$C$14)*'X Axis Force'!$C$18)/'Y Axis Forces'!N20</f>
        <v>123.52941176470588</v>
      </c>
      <c r="O12">
        <f>(O9*'Axis Sizing'!$D$2 + ('Y Axis Forces'!O7-'X Axis Force'!$C$14)*'X Axis Force'!$C$18)/'Y Axis Forces'!O20</f>
        <v>123.52941176470588</v>
      </c>
      <c r="P12">
        <f>(P9*'Axis Sizing'!$D$2 + ('Y Axis Forces'!P7-'X Axis Force'!$C$14)*'X Axis Force'!$C$18)/'Y Axis Forces'!P20</f>
        <v>123.52941176470588</v>
      </c>
      <c r="Q12">
        <f>(Q9*'Axis Sizing'!$D$2 + ('Y Axis Forces'!Q7-'X Axis Force'!$C$14)*'X Axis Force'!$C$18)/'Y Axis Forces'!Q20</f>
        <v>123.52941176470588</v>
      </c>
      <c r="R12">
        <f>(R9*'Axis Sizing'!$D$2 + ('Y Axis Forces'!R7-'X Axis Force'!$C$14)*'X Axis Force'!$C$18)/'Y Axis Forces'!R20</f>
        <v>123.52941176470588</v>
      </c>
      <c r="S12">
        <f>(S9*'Axis Sizing'!$D$2 + ('Y Axis Forces'!S7-'X Axis Force'!$C$14)*'X Axis Force'!$C$18)/'Y Axis Forces'!S20</f>
        <v>123.52941176470588</v>
      </c>
      <c r="T12" s="41">
        <f>(T9*'Axis Sizing'!$D$2 + ('Y Axis Forces'!T7-'X Axis Force'!$C$14)*'X Axis Force'!$C$18)/'Y Axis Forces'!T20</f>
        <v>123.52941176470588</v>
      </c>
      <c r="U12">
        <f>(U9*'Axis Sizing'!$D$2 + ('Y Axis Forces'!U7-'X Axis Force'!$C$14)*'X Axis Force'!$C$18)/'Y Axis Forces'!U20</f>
        <v>123.52941176470588</v>
      </c>
      <c r="V12">
        <f>(V9*'Axis Sizing'!$D$2 + ('Y Axis Forces'!V7-'X Axis Force'!$C$14)*'X Axis Force'!$C$18)/'Y Axis Forces'!V20</f>
        <v>123.52941176470588</v>
      </c>
      <c r="W12">
        <f>(W9*'Axis Sizing'!$D$2 + ('Y Axis Forces'!W7-'X Axis Force'!$C$14)*'X Axis Force'!$C$18)/'Y Axis Forces'!W20</f>
        <v>123.52941176470588</v>
      </c>
      <c r="X12">
        <f>(X9*'Axis Sizing'!$D$2 + ('Y Axis Forces'!X7-'X Axis Force'!$C$14)*'X Axis Force'!$C$18)/'Y Axis Forces'!X20</f>
        <v>123.52941176470588</v>
      </c>
      <c r="Y12" s="41">
        <f>(Y9*'Axis Sizing'!$D$2 + ('Y Axis Forces'!Y7-'X Axis Force'!$C$14)*'X Axis Force'!$C$18)/'Y Axis Forces'!Y20</f>
        <v>123.52941176470588</v>
      </c>
      <c r="Z12">
        <f>(Z9*'Axis Sizing'!$D$2 + ('Y Axis Forces'!Z7-'X Axis Force'!$C$14)*'X Axis Force'!$C$18)/'Y Axis Forces'!Z20</f>
        <v>89.558823529411768</v>
      </c>
      <c r="AA12">
        <f>(AA9*'Axis Sizing'!$D$2 + ('Y Axis Forces'!AA7-'X Axis Force'!$C$14)*'X Axis Force'!$C$18)/'Y Axis Forces'!AA20</f>
        <v>100.88235294117646</v>
      </c>
      <c r="AB12">
        <f>(AB9*'Axis Sizing'!$D$2 + ('Y Axis Forces'!AB7-'X Axis Force'!$C$14)*'X Axis Force'!$C$18)/'Y Axis Forces'!AB20</f>
        <v>123.52941176470588</v>
      </c>
      <c r="AC12">
        <f>(AC9*'Axis Sizing'!$D$2 + ('Y Axis Forces'!AC7-'X Axis Force'!$C$14)*'X Axis Force'!$C$18)/'Y Axis Forces'!AC20</f>
        <v>168.8235294117647</v>
      </c>
      <c r="AD12" s="41">
        <f>(AD9*'Axis Sizing'!$D$2 + ('Y Axis Forces'!AD7-'X Axis Force'!$C$14)*'X Axis Force'!$C$18)/'Y Axis Forces'!AD20</f>
        <v>259.41176470588238</v>
      </c>
      <c r="AE12">
        <f>(AE9*'Axis Sizing'!$D$2 + ('Y Axis Forces'!AE7-'X Axis Force'!$C$14)*'X Axis Force'!$C$18)/'Y Axis Forces'!AE20</f>
        <v>123.52941176470588</v>
      </c>
      <c r="AF12">
        <f>(AF9*'Axis Sizing'!$D$2 + ('Y Axis Forces'!AF7-'X Axis Force'!$C$14)*'X Axis Force'!$C$18)/'Y Axis Forces'!AF20</f>
        <v>123.52941176470588</v>
      </c>
      <c r="AG12">
        <f>(AG9*'Axis Sizing'!$D$2 + ('Y Axis Forces'!AG7-'X Axis Force'!$C$14)*'X Axis Force'!$C$18)/'Y Axis Forces'!AG20</f>
        <v>123.52941176470588</v>
      </c>
      <c r="AH12">
        <f>(AH9*'Axis Sizing'!$D$2 + ('Y Axis Forces'!AH7-'X Axis Force'!$C$14)*'X Axis Force'!$C$18)/'Y Axis Forces'!AH20</f>
        <v>123.52941176470588</v>
      </c>
      <c r="AI12" s="41">
        <f>(AI9*'Axis Sizing'!$D$2 + ('Y Axis Forces'!AI7-'X Axis Force'!$C$14)*'X Axis Force'!$C$18)/'Y Axis Forces'!AI20</f>
        <v>123.52941176470588</v>
      </c>
    </row>
    <row r="13" spans="1:35" outlineLevel="1" x14ac:dyDescent="0.25">
      <c r="A13" t="s">
        <v>358</v>
      </c>
      <c r="B13" t="s">
        <v>3</v>
      </c>
      <c r="C13">
        <f>((C4-0.5)*'Axis Sizing'!$E$42+C8+'Z Axis Forces'!$C$7)*'Axis Sizing'!$E$2/'Y Axis Forces'!C20</f>
        <v>63.529411764705884</v>
      </c>
      <c r="D13">
        <f>((D4-0.5)*'Axis Sizing'!$E$42+D8+'Z Axis Forces'!$C$7)*'Axis Sizing'!$E$2/'Y Axis Forces'!D20</f>
        <v>63.529411764705884</v>
      </c>
      <c r="E13">
        <f>((E4-0.5)*'Axis Sizing'!$E$42+E8+'Z Axis Forces'!$C$7)*'Axis Sizing'!$E$2/'Y Axis Forces'!E20</f>
        <v>63.529411764705884</v>
      </c>
      <c r="F13">
        <f>((F4-0.5)*'Axis Sizing'!$E$42+F8+'Z Axis Forces'!$C$7)*'Axis Sizing'!$E$2/'Y Axis Forces'!F20</f>
        <v>63.529411764705884</v>
      </c>
      <c r="G13">
        <f>((G4-0.5)*'Axis Sizing'!$E$42+G8+'Z Axis Forces'!$C$7)*'Axis Sizing'!$E$2/'Y Axis Forces'!G20</f>
        <v>63.529411764705884</v>
      </c>
      <c r="H13">
        <f>((H4-0.5)*'Axis Sizing'!$E$42+H8+'Z Axis Forces'!$C$7)*'Axis Sizing'!$E$2/'Y Axis Forces'!H20</f>
        <v>63.529411764705884</v>
      </c>
      <c r="I13">
        <f>((I4-0.5)*'Axis Sizing'!$E$42+I8+'Z Axis Forces'!$C$7)*'Axis Sizing'!$E$2/'Y Axis Forces'!I20</f>
        <v>63.529411764705884</v>
      </c>
      <c r="J13">
        <f>((J4-0.5)*'Axis Sizing'!$E$42+J8+'Z Axis Forces'!$C$7)*'Axis Sizing'!$E$2/'Y Axis Forces'!J20</f>
        <v>63.529411764705884</v>
      </c>
      <c r="K13">
        <f>((K4-0.5)*'Axis Sizing'!$E$42+K8+'Z Axis Forces'!$C$7)*'Axis Sizing'!$E$2/'Y Axis Forces'!K20</f>
        <v>63.529411764705884</v>
      </c>
      <c r="L13">
        <f>((L4-0.5)*'Axis Sizing'!$E$42+L8+'Z Axis Forces'!$C$7)*'Axis Sizing'!$E$2/'Y Axis Forces'!L20</f>
        <v>63.529411764705884</v>
      </c>
      <c r="M13">
        <f>((M4-0.5)*'Axis Sizing'!$E$42+M8+'Z Axis Forces'!$C$7)*'Axis Sizing'!$E$2/'Y Axis Forces'!M20</f>
        <v>63.529411764705884</v>
      </c>
      <c r="N13">
        <f>((N4-0.5)*'Axis Sizing'!$E$42+N8+'Z Axis Forces'!$C$7)*'Axis Sizing'!$E$2/'Y Axis Forces'!N20</f>
        <v>63.529411764705884</v>
      </c>
      <c r="O13">
        <f>((O4-0.5)*'Axis Sizing'!$E$42+O8+'Z Axis Forces'!$C$7)*'Axis Sizing'!$E$2/'Y Axis Forces'!O20</f>
        <v>63.529411764705884</v>
      </c>
      <c r="P13">
        <f>((P4-0.5)*'Axis Sizing'!$E$42+P8+'Z Axis Forces'!$C$7)*'Axis Sizing'!$E$2/'Y Axis Forces'!P20</f>
        <v>63.529411764705884</v>
      </c>
      <c r="Q13">
        <f>((Q4-0.5)*'Axis Sizing'!$E$42+Q8+'Z Axis Forces'!$C$7)*'Axis Sizing'!$E$2/'Y Axis Forces'!Q20</f>
        <v>63.529411764705884</v>
      </c>
      <c r="R13">
        <f>((R4-0.5)*'Axis Sizing'!$E$42+R8+'Z Axis Forces'!$C$7)*'Axis Sizing'!$E$2/'Y Axis Forces'!R20</f>
        <v>63.529411764705884</v>
      </c>
      <c r="S13">
        <f>((S4-0.5)*'Axis Sizing'!$E$42+S8+'Z Axis Forces'!$C$7)*'Axis Sizing'!$E$2/'Y Axis Forces'!S20</f>
        <v>63.529411764705884</v>
      </c>
      <c r="T13" s="41">
        <f>((T4-0.5)*'Axis Sizing'!$E$42+T8+'Z Axis Forces'!$C$7)*'Axis Sizing'!$E$2/'Y Axis Forces'!T20</f>
        <v>63.529411764705884</v>
      </c>
      <c r="U13">
        <f>((U4-0.5)*'Axis Sizing'!$E$42+U8+'Z Axis Forces'!$C$7)*'Axis Sizing'!$E$2/'Y Axis Forces'!U20</f>
        <v>63.529411764705884</v>
      </c>
      <c r="V13">
        <f>((V4-0.5)*'Axis Sizing'!$E$42+V8+'Z Axis Forces'!$C$7)*'Axis Sizing'!$E$2/'Y Axis Forces'!V20</f>
        <v>63.529411764705884</v>
      </c>
      <c r="W13">
        <f>((W4-0.5)*'Axis Sizing'!$E$42+W8+'Z Axis Forces'!$C$7)*'Axis Sizing'!$E$2/'Y Axis Forces'!W20</f>
        <v>63.529411764705884</v>
      </c>
      <c r="X13">
        <f>((X4-0.5)*'Axis Sizing'!$E$42+X8+'Z Axis Forces'!$C$7)*'Axis Sizing'!$E$2/'Y Axis Forces'!X20</f>
        <v>63.529411764705884</v>
      </c>
      <c r="Y13" s="41">
        <f>((Y4-0.5)*'Axis Sizing'!$E$42+Y8+'Z Axis Forces'!$C$7)*'Axis Sizing'!$E$2/'Y Axis Forces'!Y20</f>
        <v>63.529411764705884</v>
      </c>
      <c r="Z13">
        <f>((Z4-0.5)*'Axis Sizing'!$E$42+Z8+'Z Axis Forces'!$C$7)*'Axis Sizing'!$E$2/'Y Axis Forces'!Z20</f>
        <v>63.529411764705884</v>
      </c>
      <c r="AA13">
        <f>((AA4-0.5)*'Axis Sizing'!$E$42+AA8+'Z Axis Forces'!$C$7)*'Axis Sizing'!$E$2/'Y Axis Forces'!AA20</f>
        <v>63.529411764705884</v>
      </c>
      <c r="AB13">
        <f>((AB4-0.5)*'Axis Sizing'!$E$42+AB8+'Z Axis Forces'!$C$7)*'Axis Sizing'!$E$2/'Y Axis Forces'!AB20</f>
        <v>63.529411764705884</v>
      </c>
      <c r="AC13">
        <f>((AC4-0.5)*'Axis Sizing'!$E$42+AC8+'Z Axis Forces'!$C$7)*'Axis Sizing'!$E$2/'Y Axis Forces'!AC20</f>
        <v>63.529411764705884</v>
      </c>
      <c r="AD13" s="41">
        <f>((AD4-0.5)*'Axis Sizing'!$E$42+AD8+'Z Axis Forces'!$C$7)*'Axis Sizing'!$E$2/'Y Axis Forces'!AD20</f>
        <v>63.529411764705884</v>
      </c>
      <c r="AE13">
        <f>((AE4-0.5)*'Axis Sizing'!$E$42+AE8+'Z Axis Forces'!$C$7)*'Axis Sizing'!$E$2/'Y Axis Forces'!AE20</f>
        <v>261.1764705882353</v>
      </c>
      <c r="AF13">
        <f>((AF4-0.5)*'Axis Sizing'!$E$42+AF8+'Z Axis Forces'!$C$7)*'Axis Sizing'!$E$2/'Y Axis Forces'!AF20</f>
        <v>129.41176470588235</v>
      </c>
      <c r="AG13">
        <f>((AG4-0.5)*'Axis Sizing'!$E$42+AG8+'Z Axis Forces'!$C$7)*'Axis Sizing'!$E$2/'Y Axis Forces'!AG20</f>
        <v>63.529411764705884</v>
      </c>
      <c r="AH13">
        <f>((AH4-0.5)*'Axis Sizing'!$E$42+AH8+'Z Axis Forces'!$C$7)*'Axis Sizing'!$E$2/'Y Axis Forces'!AH20</f>
        <v>30.588235294117649</v>
      </c>
      <c r="AI13" s="41">
        <f>((AI4-0.5)*'Axis Sizing'!$E$42+AI8+'Z Axis Forces'!$C$7)*'Axis Sizing'!$E$2/'Y Axis Forces'!AI20</f>
        <v>14.117647058823529</v>
      </c>
    </row>
    <row r="14" spans="1:35" outlineLevel="1" x14ac:dyDescent="0.25">
      <c r="A14" t="s">
        <v>359</v>
      </c>
      <c r="B14" t="s">
        <v>3</v>
      </c>
      <c r="C14">
        <f>C8*'Axis Sizing'!$C$2/'Y Axis Forces'!C20</f>
        <v>49.411764705882355</v>
      </c>
      <c r="D14">
        <f>D8*'Axis Sizing'!$C$2/'Y Axis Forces'!D20</f>
        <v>49.411764705882355</v>
      </c>
      <c r="E14">
        <f>E8*'Axis Sizing'!$C$2/'Y Axis Forces'!E20</f>
        <v>49.411764705882355</v>
      </c>
      <c r="F14">
        <f>F8*'Axis Sizing'!$C$2/'Y Axis Forces'!F20</f>
        <v>49.411764705882355</v>
      </c>
      <c r="G14">
        <f>G8*'Axis Sizing'!$C$2/'Y Axis Forces'!G20</f>
        <v>49.411764705882355</v>
      </c>
      <c r="H14">
        <f>H8*'Axis Sizing'!$C$2/'Y Axis Forces'!H20</f>
        <v>49.411764705882355</v>
      </c>
      <c r="I14">
        <f>I8*'Axis Sizing'!$C$2/'Y Axis Forces'!I20</f>
        <v>49.411764705882355</v>
      </c>
      <c r="J14">
        <f>J8*'Axis Sizing'!$C$2/'Y Axis Forces'!J20</f>
        <v>49.411764705882355</v>
      </c>
      <c r="K14">
        <f>K8*'Axis Sizing'!$C$2/'Y Axis Forces'!K20</f>
        <v>49.411764705882355</v>
      </c>
      <c r="L14">
        <f>L8*'Axis Sizing'!$C$2/'Y Axis Forces'!L20</f>
        <v>49.411764705882355</v>
      </c>
      <c r="M14">
        <f>M8*'Axis Sizing'!$C$2/'Y Axis Forces'!M20</f>
        <v>49.411764705882355</v>
      </c>
      <c r="N14">
        <f>N8*'Axis Sizing'!$C$2/'Y Axis Forces'!N20</f>
        <v>49.411764705882355</v>
      </c>
      <c r="O14">
        <f>O8*'Axis Sizing'!$C$2/'Y Axis Forces'!O20</f>
        <v>49.411764705882355</v>
      </c>
      <c r="P14">
        <f>P8*'Axis Sizing'!$C$2/'Y Axis Forces'!P20</f>
        <v>49.411764705882355</v>
      </c>
      <c r="Q14">
        <f>Q8*'Axis Sizing'!$C$2/'Y Axis Forces'!Q20</f>
        <v>49.411764705882355</v>
      </c>
      <c r="R14">
        <f>R8*'Axis Sizing'!$C$2/'Y Axis Forces'!R20</f>
        <v>49.411764705882355</v>
      </c>
      <c r="S14">
        <f>S8*'Axis Sizing'!$C$2/'Y Axis Forces'!S20</f>
        <v>49.411764705882355</v>
      </c>
      <c r="T14" s="41">
        <f>T8*'Axis Sizing'!$C$2/'Y Axis Forces'!T20</f>
        <v>49.411764705882355</v>
      </c>
      <c r="U14">
        <f>U8*'Axis Sizing'!$C$2/'Y Axis Forces'!U20</f>
        <v>49.411764705882355</v>
      </c>
      <c r="V14">
        <f>V8*'Axis Sizing'!$C$2/'Y Axis Forces'!V20</f>
        <v>49.411764705882355</v>
      </c>
      <c r="W14">
        <f>W8*'Axis Sizing'!$C$2/'Y Axis Forces'!W20</f>
        <v>49.411764705882355</v>
      </c>
      <c r="X14">
        <f>X8*'Axis Sizing'!$C$2/'Y Axis Forces'!X20</f>
        <v>49.411764705882355</v>
      </c>
      <c r="Y14" s="41">
        <f>Y8*'Axis Sizing'!$C$2/'Y Axis Forces'!Y20</f>
        <v>49.411764705882355</v>
      </c>
      <c r="Z14">
        <f>Z8*'Axis Sizing'!$C$2/'Y Axis Forces'!Z20</f>
        <v>49.411764705882355</v>
      </c>
      <c r="AA14">
        <f>AA8*'Axis Sizing'!$C$2/'Y Axis Forces'!AA20</f>
        <v>49.411764705882355</v>
      </c>
      <c r="AB14">
        <f>AB8*'Axis Sizing'!$C$2/'Y Axis Forces'!AB20</f>
        <v>49.411764705882355</v>
      </c>
      <c r="AC14">
        <f>AC8*'Axis Sizing'!$C$2/'Y Axis Forces'!AC20</f>
        <v>49.411764705882355</v>
      </c>
      <c r="AD14" s="41">
        <f>AD8*'Axis Sizing'!$C$2/'Y Axis Forces'!AD20</f>
        <v>49.411764705882355</v>
      </c>
      <c r="AE14">
        <f>AE8*'Axis Sizing'!$C$2/'Y Axis Forces'!AE20</f>
        <v>197.64705882352942</v>
      </c>
      <c r="AF14">
        <f>AF8*'Axis Sizing'!$C$2/'Y Axis Forces'!AF20</f>
        <v>98.82352941176471</v>
      </c>
      <c r="AG14">
        <f>AG8*'Axis Sizing'!$C$2/'Y Axis Forces'!AG20</f>
        <v>49.411764705882355</v>
      </c>
      <c r="AH14">
        <f>AH8*'Axis Sizing'!$C$2/'Y Axis Forces'!AH20</f>
        <v>24.705882352941178</v>
      </c>
      <c r="AI14" s="41">
        <f>AI8*'Axis Sizing'!$C$2/'Y Axis Forces'!AI20</f>
        <v>12.352941176470589</v>
      </c>
    </row>
    <row r="15" spans="1:35" outlineLevel="1" x14ac:dyDescent="0.25">
      <c r="A15" t="s">
        <v>360</v>
      </c>
      <c r="B15" t="s">
        <v>3</v>
      </c>
      <c r="C15">
        <f>C10*'Axis Sizing'!$D$2/'Y Axis Forces'!C20</f>
        <v>191.1764705882353</v>
      </c>
      <c r="D15">
        <f>D10*'Axis Sizing'!$D$2/'Y Axis Forces'!D20</f>
        <v>191.1764705882353</v>
      </c>
      <c r="E15">
        <f>E10*'Axis Sizing'!$D$2/'Y Axis Forces'!E20</f>
        <v>191.1764705882353</v>
      </c>
      <c r="F15">
        <f>F10*'Axis Sizing'!$D$2/'Y Axis Forces'!F20</f>
        <v>191.1764705882353</v>
      </c>
      <c r="G15">
        <f>G10*'Axis Sizing'!$D$2/'Y Axis Forces'!G20</f>
        <v>191.1764705882353</v>
      </c>
      <c r="H15">
        <f>H10*'Axis Sizing'!$D$2/'Y Axis Forces'!H20</f>
        <v>191.1764705882353</v>
      </c>
      <c r="I15">
        <f>I10*'Axis Sizing'!$D$2/'Y Axis Forces'!I20</f>
        <v>191.1764705882353</v>
      </c>
      <c r="J15">
        <f>J10*'Axis Sizing'!$D$2/'Y Axis Forces'!J20</f>
        <v>191.1764705882353</v>
      </c>
      <c r="K15">
        <f>K10*'Axis Sizing'!$D$2/'Y Axis Forces'!K20</f>
        <v>191.1764705882353</v>
      </c>
      <c r="L15">
        <f>L10*'Axis Sizing'!$D$2/'Y Axis Forces'!L20</f>
        <v>191.1764705882353</v>
      </c>
      <c r="M15">
        <f>M10*'Axis Sizing'!$D$2/'Y Axis Forces'!M20</f>
        <v>191.1764705882353</v>
      </c>
      <c r="N15">
        <f>N10*'Axis Sizing'!$D$2/'Y Axis Forces'!N20</f>
        <v>191.1764705882353</v>
      </c>
      <c r="O15">
        <f>O10*'Axis Sizing'!$D$2/'Y Axis Forces'!O20</f>
        <v>191.1764705882353</v>
      </c>
      <c r="P15">
        <f>P10*'Axis Sizing'!$D$2/'Y Axis Forces'!P20</f>
        <v>191.1764705882353</v>
      </c>
      <c r="Q15">
        <f>Q10*'Axis Sizing'!$D$2/'Y Axis Forces'!Q20</f>
        <v>191.1764705882353</v>
      </c>
      <c r="R15">
        <f>R10*'Axis Sizing'!$D$2/'Y Axis Forces'!R20</f>
        <v>191.1764705882353</v>
      </c>
      <c r="S15">
        <f>S10*'Axis Sizing'!$D$2/'Y Axis Forces'!S20</f>
        <v>191.1764705882353</v>
      </c>
      <c r="T15" s="41">
        <f>T10*'Axis Sizing'!$D$2/'Y Axis Forces'!T20</f>
        <v>191.1764705882353</v>
      </c>
      <c r="U15">
        <f>U10*'Axis Sizing'!$D$2/'Y Axis Forces'!U20</f>
        <v>191.1764705882353</v>
      </c>
      <c r="V15">
        <f>V10*'Axis Sizing'!$D$2/'Y Axis Forces'!V20</f>
        <v>191.1764705882353</v>
      </c>
      <c r="W15">
        <f>W10*'Axis Sizing'!$D$2/'Y Axis Forces'!W20</f>
        <v>191.1764705882353</v>
      </c>
      <c r="X15">
        <f>X10*'Axis Sizing'!$D$2/'Y Axis Forces'!X20</f>
        <v>191.1764705882353</v>
      </c>
      <c r="Y15" s="41">
        <f>Y10*'Axis Sizing'!$D$2/'Y Axis Forces'!Y20</f>
        <v>191.1764705882353</v>
      </c>
      <c r="Z15">
        <f>Z10*'Axis Sizing'!$D$2/'Y Axis Forces'!Z20</f>
        <v>191.1764705882353</v>
      </c>
      <c r="AA15">
        <f>AA10*'Axis Sizing'!$D$2/'Y Axis Forces'!AA20</f>
        <v>191.1764705882353</v>
      </c>
      <c r="AB15">
        <f>AB10*'Axis Sizing'!$D$2/'Y Axis Forces'!AB20</f>
        <v>191.1764705882353</v>
      </c>
      <c r="AC15">
        <f>AC10*'Axis Sizing'!$D$2/'Y Axis Forces'!AC20</f>
        <v>191.1764705882353</v>
      </c>
      <c r="AD15" s="41">
        <f>AD10*'Axis Sizing'!$D$2/'Y Axis Forces'!AD20</f>
        <v>191.1764705882353</v>
      </c>
      <c r="AE15">
        <f>AE10*'Axis Sizing'!$D$2/'Y Axis Forces'!AE20</f>
        <v>191.1764705882353</v>
      </c>
      <c r="AF15">
        <f>AF10*'Axis Sizing'!$D$2/'Y Axis Forces'!AF20</f>
        <v>191.1764705882353</v>
      </c>
      <c r="AG15">
        <f>AG10*'Axis Sizing'!$D$2/'Y Axis Forces'!AG20</f>
        <v>191.1764705882353</v>
      </c>
      <c r="AH15">
        <f>AH10*'Axis Sizing'!$D$2/'Y Axis Forces'!AH20</f>
        <v>191.1764705882353</v>
      </c>
      <c r="AI15" s="41">
        <f>AI10*'Axis Sizing'!$D$2/'Y Axis Forces'!AI20</f>
        <v>191.1764705882353</v>
      </c>
    </row>
    <row r="16" spans="1:35" x14ac:dyDescent="0.25">
      <c r="A16" t="s">
        <v>76</v>
      </c>
      <c r="B16" t="s">
        <v>3</v>
      </c>
      <c r="C16">
        <f>SUM(C13:C15)</f>
        <v>304.11764705882354</v>
      </c>
      <c r="D16">
        <f t="shared" ref="D16:Q16" si="37">SUM(D13:D15)</f>
        <v>304.11764705882354</v>
      </c>
      <c r="E16">
        <f t="shared" si="37"/>
        <v>304.11764705882354</v>
      </c>
      <c r="F16">
        <f t="shared" si="37"/>
        <v>304.11764705882354</v>
      </c>
      <c r="G16">
        <f t="shared" si="37"/>
        <v>304.11764705882354</v>
      </c>
      <c r="H16">
        <f t="shared" si="37"/>
        <v>304.11764705882354</v>
      </c>
      <c r="I16">
        <f t="shared" si="37"/>
        <v>304.11764705882354</v>
      </c>
      <c r="J16">
        <f t="shared" si="37"/>
        <v>304.11764705882354</v>
      </c>
      <c r="K16">
        <f t="shared" si="37"/>
        <v>304.11764705882354</v>
      </c>
      <c r="L16">
        <f t="shared" si="37"/>
        <v>304.11764705882354</v>
      </c>
      <c r="M16">
        <f t="shared" si="37"/>
        <v>304.11764705882354</v>
      </c>
      <c r="N16">
        <f t="shared" si="37"/>
        <v>304.11764705882354</v>
      </c>
      <c r="O16">
        <f t="shared" si="37"/>
        <v>304.11764705882354</v>
      </c>
      <c r="P16">
        <f t="shared" si="37"/>
        <v>304.11764705882354</v>
      </c>
      <c r="Q16">
        <f t="shared" si="37"/>
        <v>304.11764705882354</v>
      </c>
      <c r="R16">
        <f t="shared" ref="R16:AI16" si="38">SUM(R13:R15)</f>
        <v>304.11764705882354</v>
      </c>
      <c r="S16">
        <f t="shared" si="38"/>
        <v>304.11764705882354</v>
      </c>
      <c r="T16" s="41">
        <f t="shared" si="38"/>
        <v>304.11764705882354</v>
      </c>
      <c r="U16">
        <f t="shared" si="38"/>
        <v>304.11764705882354</v>
      </c>
      <c r="V16">
        <f t="shared" si="38"/>
        <v>304.11764705882354</v>
      </c>
      <c r="W16">
        <f t="shared" si="38"/>
        <v>304.11764705882354</v>
      </c>
      <c r="X16">
        <f t="shared" si="38"/>
        <v>304.11764705882354</v>
      </c>
      <c r="Y16" s="41">
        <f t="shared" si="38"/>
        <v>304.11764705882354</v>
      </c>
      <c r="Z16">
        <f t="shared" si="38"/>
        <v>304.11764705882354</v>
      </c>
      <c r="AA16">
        <f t="shared" si="38"/>
        <v>304.11764705882354</v>
      </c>
      <c r="AB16">
        <f t="shared" si="38"/>
        <v>304.11764705882354</v>
      </c>
      <c r="AC16">
        <f t="shared" si="38"/>
        <v>304.11764705882354</v>
      </c>
      <c r="AD16" s="41">
        <f t="shared" si="38"/>
        <v>304.11764705882354</v>
      </c>
      <c r="AE16">
        <f t="shared" si="38"/>
        <v>650</v>
      </c>
      <c r="AF16">
        <f t="shared" si="38"/>
        <v>419.41176470588238</v>
      </c>
      <c r="AG16">
        <f t="shared" si="38"/>
        <v>304.11764705882354</v>
      </c>
      <c r="AH16">
        <f t="shared" si="38"/>
        <v>246.47058823529414</v>
      </c>
      <c r="AI16" s="41">
        <f t="shared" si="38"/>
        <v>217.64705882352942</v>
      </c>
    </row>
    <row r="17" spans="1:35" x14ac:dyDescent="0.25">
      <c r="A17" t="s">
        <v>86</v>
      </c>
      <c r="B17" t="s">
        <v>3</v>
      </c>
      <c r="C17">
        <f>1*(C2-0.5)*'Axis Sizing'!$C$42</f>
        <v>-650</v>
      </c>
      <c r="D17">
        <f>1*(D2-0.5)*'Axis Sizing'!$C$42</f>
        <v>-650</v>
      </c>
      <c r="E17">
        <f>1*(E2-0.5)*'Axis Sizing'!$C$42</f>
        <v>-650</v>
      </c>
      <c r="F17">
        <f>1*(F2-0.5)*'Axis Sizing'!$C$42</f>
        <v>-650</v>
      </c>
      <c r="G17">
        <f>1*(G2-0.5)*'Axis Sizing'!$C$42</f>
        <v>-650</v>
      </c>
      <c r="H17">
        <f>1*(H2-0.5)*'Axis Sizing'!$C$42</f>
        <v>-650</v>
      </c>
      <c r="I17">
        <f>1*(I2-0.5)*'Axis Sizing'!$C$42</f>
        <v>-650</v>
      </c>
      <c r="J17">
        <f>1*(J2-0.5)*'Axis Sizing'!$C$42</f>
        <v>-650</v>
      </c>
      <c r="K17">
        <f>1*(K2-0.5)*'Axis Sizing'!$C$42</f>
        <v>-650</v>
      </c>
      <c r="L17">
        <f>1*(L2-0.5)*'Axis Sizing'!$C$42</f>
        <v>-650</v>
      </c>
      <c r="M17">
        <f>1*(M2-0.5)*'Axis Sizing'!$C$42</f>
        <v>-650</v>
      </c>
      <c r="N17">
        <f>1*(N2-0.5)*'Axis Sizing'!$C$42</f>
        <v>-650</v>
      </c>
      <c r="O17">
        <f>1*(O2-0.5)*'Axis Sizing'!$C$42</f>
        <v>-650</v>
      </c>
      <c r="P17">
        <f>1*(P2-0.5)*'Axis Sizing'!$C$42</f>
        <v>-650</v>
      </c>
      <c r="Q17">
        <f>1*(Q2-0.5)*'Axis Sizing'!$C$42</f>
        <v>-650</v>
      </c>
      <c r="R17">
        <f>1*(R2-0.5)*'Axis Sizing'!$C$42</f>
        <v>-650</v>
      </c>
      <c r="S17">
        <f>1*(S2-0.5)*'Axis Sizing'!$C$42</f>
        <v>-650</v>
      </c>
      <c r="T17">
        <f>1*(T2-0.5)*'Axis Sizing'!$C$42</f>
        <v>-650</v>
      </c>
      <c r="U17">
        <f>1*(U2-0.5)*'Axis Sizing'!$C$42</f>
        <v>-650</v>
      </c>
      <c r="V17">
        <f>1*(V2-0.5)*'Axis Sizing'!$C$42</f>
        <v>-650</v>
      </c>
      <c r="W17">
        <f>1*(W2-0.5)*'Axis Sizing'!$C$42</f>
        <v>-650</v>
      </c>
      <c r="X17">
        <f>1*(X2-0.5)*'Axis Sizing'!$C$42</f>
        <v>-650</v>
      </c>
      <c r="Y17">
        <f>1*(Y2-0.5)*'Axis Sizing'!$C$42</f>
        <v>-650</v>
      </c>
      <c r="Z17">
        <f>1*(Z2-0.5)*'Axis Sizing'!$C$42</f>
        <v>-650</v>
      </c>
      <c r="AA17">
        <f>1*(AA2-0.5)*'Axis Sizing'!$C$42</f>
        <v>-650</v>
      </c>
      <c r="AB17">
        <f>1*(AB2-0.5)*'Axis Sizing'!$C$42</f>
        <v>-650</v>
      </c>
      <c r="AC17">
        <f>1*(AC2-0.5)*'Axis Sizing'!$C$42</f>
        <v>-650</v>
      </c>
      <c r="AD17">
        <f>1*(AD2-0.5)*'Axis Sizing'!$C$42</f>
        <v>-650</v>
      </c>
      <c r="AE17">
        <f>1*(AE2-0.5)*'Axis Sizing'!$C$42</f>
        <v>-650</v>
      </c>
      <c r="AF17">
        <f>1*(AF2-0.5)*'Axis Sizing'!$C$42</f>
        <v>-650</v>
      </c>
      <c r="AG17">
        <f>1*(AG2-0.5)*'Axis Sizing'!$C$42</f>
        <v>-650</v>
      </c>
      <c r="AH17">
        <f>1*(AH2-0.5)*'Axis Sizing'!$C$42</f>
        <v>-650</v>
      </c>
      <c r="AI17">
        <f>1*(AI2-0.5)*'Axis Sizing'!$C$42</f>
        <v>-650</v>
      </c>
    </row>
    <row r="18" spans="1:35" x14ac:dyDescent="0.25">
      <c r="A18" t="s">
        <v>87</v>
      </c>
      <c r="B18" t="s">
        <v>3</v>
      </c>
      <c r="C18">
        <f>C7-'X Axis Force'!$C$9-'Z Axis Forces'!$C$11</f>
        <v>15</v>
      </c>
      <c r="D18">
        <f>D7-'X Axis Force'!$C$9-'Z Axis Forces'!$C$11</f>
        <v>15</v>
      </c>
      <c r="E18">
        <f>E7-'X Axis Force'!$C$9-'Z Axis Forces'!$C$11</f>
        <v>15</v>
      </c>
      <c r="F18">
        <f>F7-'X Axis Force'!$C$9-'Z Axis Forces'!$C$11</f>
        <v>15</v>
      </c>
      <c r="G18">
        <f>G7-'X Axis Force'!$C$9-'Z Axis Forces'!$C$11</f>
        <v>15</v>
      </c>
      <c r="H18">
        <f>H7-'X Axis Force'!$C$9-'Z Axis Forces'!$C$11</f>
        <v>15</v>
      </c>
      <c r="I18">
        <f>I7-'X Axis Force'!$C$9-'Z Axis Forces'!$C$11</f>
        <v>15</v>
      </c>
      <c r="J18">
        <f>J7-'X Axis Force'!$C$9-'Z Axis Forces'!$C$11</f>
        <v>15</v>
      </c>
      <c r="K18">
        <f>K7-'X Axis Force'!$C$9-'Z Axis Forces'!$C$11</f>
        <v>15</v>
      </c>
      <c r="L18">
        <f>L7-'X Axis Force'!$C$9-'Z Axis Forces'!$C$11</f>
        <v>15</v>
      </c>
      <c r="M18">
        <f>M7-'X Axis Force'!$C$9-'Z Axis Forces'!$C$11</f>
        <v>15</v>
      </c>
      <c r="N18">
        <f>N7-'X Axis Force'!$C$9-'Z Axis Forces'!$C$11</f>
        <v>15</v>
      </c>
      <c r="O18">
        <f>O7-'X Axis Force'!$C$9-'Z Axis Forces'!$C$11</f>
        <v>15</v>
      </c>
      <c r="P18">
        <f>P7-'X Axis Force'!$C$9-'Z Axis Forces'!$C$11</f>
        <v>15</v>
      </c>
      <c r="Q18">
        <f>Q7-'X Axis Force'!$C$9-'Z Axis Forces'!$C$11</f>
        <v>15</v>
      </c>
      <c r="R18">
        <f>R7-'X Axis Force'!$C$9-'Z Axis Forces'!$C$11</f>
        <v>15</v>
      </c>
      <c r="S18">
        <f>S7-'X Axis Force'!$C$9-'Z Axis Forces'!$C$11</f>
        <v>15</v>
      </c>
      <c r="T18">
        <f>T7-'X Axis Force'!$C$9-'Z Axis Forces'!$C$11</f>
        <v>15</v>
      </c>
      <c r="U18">
        <f>U7-'X Axis Force'!$C$9-'Z Axis Forces'!$C$11</f>
        <v>15</v>
      </c>
      <c r="V18">
        <f>V7-'X Axis Force'!$C$9-'Z Axis Forces'!$C$11</f>
        <v>15</v>
      </c>
      <c r="W18">
        <f>W7-'X Axis Force'!$C$9-'Z Axis Forces'!$C$11</f>
        <v>15</v>
      </c>
      <c r="X18">
        <f>X7-'X Axis Force'!$C$9-'Z Axis Forces'!$C$11</f>
        <v>15</v>
      </c>
      <c r="Y18">
        <f>Y7-'X Axis Force'!$C$9-'Z Axis Forces'!$C$11</f>
        <v>15</v>
      </c>
      <c r="Z18">
        <f>Z7-'X Axis Force'!$C$9-'Z Axis Forces'!$C$11</f>
        <v>-67.5</v>
      </c>
      <c r="AA18">
        <f>AA7-'X Axis Force'!$C$9-'Z Axis Forces'!$C$11</f>
        <v>-40</v>
      </c>
      <c r="AB18">
        <f>AB7-'X Axis Force'!$C$9-'Z Axis Forces'!$C$11</f>
        <v>15</v>
      </c>
      <c r="AC18">
        <f>AC7-'X Axis Force'!$C$9-'Z Axis Forces'!$C$11</f>
        <v>125</v>
      </c>
      <c r="AD18">
        <f>AD7-'X Axis Force'!$C$9-'Z Axis Forces'!$C$11</f>
        <v>345</v>
      </c>
      <c r="AE18">
        <f>AE7-'X Axis Force'!$C$9-'Z Axis Forces'!$C$11</f>
        <v>15</v>
      </c>
      <c r="AF18">
        <f>AF7-'X Axis Force'!$C$9-'Z Axis Forces'!$C$11</f>
        <v>15</v>
      </c>
      <c r="AG18">
        <f>AG7-'X Axis Force'!$C$9-'Z Axis Forces'!$C$11</f>
        <v>15</v>
      </c>
      <c r="AH18">
        <f>AH7-'X Axis Force'!$C$9-'Z Axis Forces'!$C$11</f>
        <v>15</v>
      </c>
      <c r="AI18">
        <f>AI7-'X Axis Force'!$C$9-'Z Axis Forces'!$C$11</f>
        <v>15</v>
      </c>
    </row>
    <row r="19" spans="1:35" x14ac:dyDescent="0.25">
      <c r="A19" t="s">
        <v>88</v>
      </c>
      <c r="B19" t="s">
        <v>3</v>
      </c>
      <c r="C19">
        <f>(C4)*'Axis Sizing'!$E$42-'Axis Sizing'!$D$61</f>
        <v>100</v>
      </c>
      <c r="D19">
        <f>(D4)*'Axis Sizing'!$E$42-'Axis Sizing'!$D$61</f>
        <v>100</v>
      </c>
      <c r="E19">
        <f>(E4)*'Axis Sizing'!$E$42-'Axis Sizing'!$D$61</f>
        <v>100</v>
      </c>
      <c r="F19">
        <f>(F4)*'Axis Sizing'!$E$42-'Axis Sizing'!$D$61</f>
        <v>100</v>
      </c>
      <c r="G19">
        <f>(G4)*'Axis Sizing'!$E$42-'Axis Sizing'!$D$61</f>
        <v>100</v>
      </c>
      <c r="H19">
        <f>(H4)*'Axis Sizing'!$E$42-'Axis Sizing'!$D$61</f>
        <v>100</v>
      </c>
      <c r="I19">
        <f>(I4)*'Axis Sizing'!$E$42-'Axis Sizing'!$D$61</f>
        <v>100</v>
      </c>
      <c r="J19">
        <f>(J4)*'Axis Sizing'!$E$42-'Axis Sizing'!$D$61</f>
        <v>100</v>
      </c>
      <c r="K19">
        <f>(K4)*'Axis Sizing'!$E$42-'Axis Sizing'!$D$61</f>
        <v>100</v>
      </c>
      <c r="L19">
        <f>(L4)*'Axis Sizing'!$E$42-'Axis Sizing'!$D$61</f>
        <v>100</v>
      </c>
      <c r="M19">
        <f>(M4)*'Axis Sizing'!$E$42-'Axis Sizing'!$D$61</f>
        <v>100</v>
      </c>
      <c r="N19">
        <f>(N4)*'Axis Sizing'!$E$42-'Axis Sizing'!$D$61</f>
        <v>100</v>
      </c>
      <c r="O19">
        <f>(O4)*'Axis Sizing'!$E$42-'Axis Sizing'!$D$61</f>
        <v>100</v>
      </c>
      <c r="P19">
        <f>(P4)*'Axis Sizing'!$E$42-'Axis Sizing'!$D$61</f>
        <v>100</v>
      </c>
      <c r="Q19">
        <f>(Q4)*'Axis Sizing'!$E$42-'Axis Sizing'!$D$61</f>
        <v>100</v>
      </c>
      <c r="R19">
        <f>(R4)*'Axis Sizing'!$E$42-'Axis Sizing'!$D$61</f>
        <v>100</v>
      </c>
      <c r="S19">
        <f>(S4)*'Axis Sizing'!$E$42-'Axis Sizing'!$D$61</f>
        <v>100</v>
      </c>
      <c r="T19" s="41">
        <f>(T4)*'Axis Sizing'!$E$42-'Axis Sizing'!$D$61</f>
        <v>100</v>
      </c>
      <c r="U19">
        <f>(U4)*'Axis Sizing'!$E$42-'Axis Sizing'!$D$61</f>
        <v>100</v>
      </c>
      <c r="V19">
        <f>(V4)*'Axis Sizing'!$E$42-'Axis Sizing'!$D$61</f>
        <v>100</v>
      </c>
      <c r="W19">
        <f>(W4)*'Axis Sizing'!$E$42-'Axis Sizing'!$D$61</f>
        <v>100</v>
      </c>
      <c r="X19">
        <f>(X4)*'Axis Sizing'!$E$42-'Axis Sizing'!$D$61</f>
        <v>100</v>
      </c>
      <c r="Y19" s="41">
        <f>(Y4)*'Axis Sizing'!$E$42-'Axis Sizing'!$D$61</f>
        <v>100</v>
      </c>
      <c r="Z19">
        <f>(Z4)*'Axis Sizing'!$E$42-'Axis Sizing'!$D$61</f>
        <v>100</v>
      </c>
      <c r="AA19">
        <f>(AA4)*'Axis Sizing'!$E$42-'Axis Sizing'!$D$61</f>
        <v>100</v>
      </c>
      <c r="AB19">
        <f>(AB4)*'Axis Sizing'!$E$42-'Axis Sizing'!$D$61</f>
        <v>100</v>
      </c>
      <c r="AC19">
        <f>(AC4)*'Axis Sizing'!$E$42-'Axis Sizing'!$D$61</f>
        <v>100</v>
      </c>
      <c r="AD19" s="41">
        <f>(AD4)*'Axis Sizing'!$E$42-'Axis Sizing'!$D$61</f>
        <v>100</v>
      </c>
      <c r="AE19">
        <f>(AE4)*'Axis Sizing'!$E$42-'Axis Sizing'!$D$61</f>
        <v>100</v>
      </c>
      <c r="AF19">
        <f>(AF4)*'Axis Sizing'!$E$42-'Axis Sizing'!$D$61</f>
        <v>100</v>
      </c>
      <c r="AG19">
        <f>(AG4)*'Axis Sizing'!$E$42-'Axis Sizing'!$D$61</f>
        <v>100</v>
      </c>
      <c r="AH19">
        <f>(AH4)*'Axis Sizing'!$E$42-'Axis Sizing'!$D$61</f>
        <v>100</v>
      </c>
      <c r="AI19" s="41">
        <f>(AI4)*'Axis Sizing'!$E$42-'Axis Sizing'!$D$61</f>
        <v>100</v>
      </c>
    </row>
    <row r="20" spans="1:35" x14ac:dyDescent="0.25">
      <c r="A20" t="s">
        <v>114</v>
      </c>
      <c r="B20" t="s">
        <v>61</v>
      </c>
      <c r="C20">
        <f>'Axis Forces'!$D$26</f>
        <v>85</v>
      </c>
      <c r="D20" s="12">
        <f>C20</f>
        <v>85</v>
      </c>
      <c r="E20" s="12">
        <f t="shared" ref="E20:L20" si="39">D20</f>
        <v>85</v>
      </c>
      <c r="F20" s="12">
        <f t="shared" si="39"/>
        <v>85</v>
      </c>
      <c r="G20" s="12">
        <f>D20</f>
        <v>85</v>
      </c>
      <c r="H20" s="12">
        <f>E20</f>
        <v>85</v>
      </c>
      <c r="I20" s="12">
        <f>F20</f>
        <v>85</v>
      </c>
      <c r="J20" s="12">
        <f t="shared" si="39"/>
        <v>85</v>
      </c>
      <c r="K20" s="12">
        <f t="shared" si="39"/>
        <v>85</v>
      </c>
      <c r="L20" s="12">
        <f t="shared" si="39"/>
        <v>85</v>
      </c>
      <c r="M20" s="12">
        <f>K20</f>
        <v>85</v>
      </c>
      <c r="N20" s="12">
        <f>L20</f>
        <v>85</v>
      </c>
      <c r="O20" s="12">
        <f>N20</f>
        <v>85</v>
      </c>
      <c r="P20" s="93">
        <f>$N20</f>
        <v>85</v>
      </c>
      <c r="Q20" s="12">
        <f t="shared" ref="Q20:T23" si="40">P20</f>
        <v>85</v>
      </c>
      <c r="R20" s="12">
        <f t="shared" si="40"/>
        <v>85</v>
      </c>
      <c r="S20" s="12">
        <f t="shared" si="40"/>
        <v>85</v>
      </c>
      <c r="T20" s="60">
        <f t="shared" si="40"/>
        <v>85</v>
      </c>
      <c r="U20" s="93">
        <f>$N20</f>
        <v>85</v>
      </c>
      <c r="V20" s="12">
        <f t="shared" ref="V20:Y23" si="41">U20</f>
        <v>85</v>
      </c>
      <c r="W20" s="12">
        <f t="shared" si="41"/>
        <v>85</v>
      </c>
      <c r="X20" s="12">
        <f t="shared" si="41"/>
        <v>85</v>
      </c>
      <c r="Y20" s="60">
        <f t="shared" si="41"/>
        <v>85</v>
      </c>
      <c r="Z20" s="93">
        <f>$N20</f>
        <v>85</v>
      </c>
      <c r="AA20" s="12">
        <f t="shared" ref="AA20:AD23" si="42">Z20</f>
        <v>85</v>
      </c>
      <c r="AB20" s="12">
        <f t="shared" si="42"/>
        <v>85</v>
      </c>
      <c r="AC20" s="12">
        <f t="shared" si="42"/>
        <v>85</v>
      </c>
      <c r="AD20" s="60">
        <f t="shared" si="42"/>
        <v>85</v>
      </c>
      <c r="AE20" s="93">
        <f>$N20</f>
        <v>85</v>
      </c>
      <c r="AF20" s="12">
        <f t="shared" ref="AF20:AI23" si="43">AE20</f>
        <v>85</v>
      </c>
      <c r="AG20" s="12">
        <f t="shared" si="43"/>
        <v>85</v>
      </c>
      <c r="AH20" s="12">
        <f t="shared" si="43"/>
        <v>85</v>
      </c>
      <c r="AI20" s="60">
        <f t="shared" si="43"/>
        <v>85</v>
      </c>
    </row>
    <row r="21" spans="1:35" x14ac:dyDescent="0.25">
      <c r="A21" t="s">
        <v>81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f>G21</f>
        <v>-10</v>
      </c>
      <c r="I21" s="6">
        <f>H21</f>
        <v>-10</v>
      </c>
      <c r="J21" s="6"/>
      <c r="K21" s="6"/>
      <c r="L21" s="6"/>
      <c r="M21" s="6"/>
      <c r="N21" s="6">
        <v>-10</v>
      </c>
      <c r="O21" s="6">
        <v>-200</v>
      </c>
      <c r="P21" s="93">
        <f>$N21</f>
        <v>-10</v>
      </c>
      <c r="Q21" s="12">
        <f t="shared" si="40"/>
        <v>-10</v>
      </c>
      <c r="R21" s="12">
        <f t="shared" si="40"/>
        <v>-10</v>
      </c>
      <c r="S21" s="12">
        <f t="shared" si="40"/>
        <v>-10</v>
      </c>
      <c r="T21" s="60">
        <f t="shared" si="40"/>
        <v>-10</v>
      </c>
      <c r="U21" s="93">
        <f>$N21</f>
        <v>-10</v>
      </c>
      <c r="V21" s="12">
        <f t="shared" si="41"/>
        <v>-10</v>
      </c>
      <c r="W21" s="12">
        <f t="shared" si="41"/>
        <v>-10</v>
      </c>
      <c r="X21" s="12">
        <f t="shared" si="41"/>
        <v>-10</v>
      </c>
      <c r="Y21" s="60">
        <f t="shared" si="41"/>
        <v>-10</v>
      </c>
      <c r="Z21" s="93">
        <f>$N21</f>
        <v>-10</v>
      </c>
      <c r="AA21" s="12">
        <f t="shared" si="42"/>
        <v>-10</v>
      </c>
      <c r="AB21" s="12">
        <f t="shared" si="42"/>
        <v>-10</v>
      </c>
      <c r="AC21" s="12">
        <f t="shared" si="42"/>
        <v>-10</v>
      </c>
      <c r="AD21" s="60">
        <f t="shared" si="42"/>
        <v>-10</v>
      </c>
      <c r="AE21" s="93">
        <f>$N21</f>
        <v>-10</v>
      </c>
      <c r="AF21" s="12">
        <f t="shared" si="43"/>
        <v>-10</v>
      </c>
      <c r="AG21" s="12">
        <f t="shared" si="43"/>
        <v>-10</v>
      </c>
      <c r="AH21" s="12">
        <f t="shared" si="43"/>
        <v>-10</v>
      </c>
      <c r="AI21" s="60">
        <f t="shared" si="43"/>
        <v>-10</v>
      </c>
    </row>
    <row r="22" spans="1:35" x14ac:dyDescent="0.25">
      <c r="A22" t="s">
        <v>78</v>
      </c>
      <c r="B22" t="s">
        <v>79</v>
      </c>
      <c r="C22" s="6"/>
      <c r="D22" s="6"/>
      <c r="E22" s="6">
        <v>10</v>
      </c>
      <c r="F22" s="6"/>
      <c r="G22" s="6">
        <v>10</v>
      </c>
      <c r="H22" s="6">
        <f>G22</f>
        <v>10</v>
      </c>
      <c r="I22" s="6">
        <v>10</v>
      </c>
      <c r="J22" s="6"/>
      <c r="K22" s="6"/>
      <c r="L22" s="6"/>
      <c r="M22" s="6"/>
      <c r="N22" s="6">
        <v>10</v>
      </c>
      <c r="O22" s="6">
        <v>200</v>
      </c>
      <c r="P22" s="93">
        <f>$N22</f>
        <v>10</v>
      </c>
      <c r="Q22" s="12">
        <f t="shared" si="40"/>
        <v>10</v>
      </c>
      <c r="R22" s="12">
        <f t="shared" si="40"/>
        <v>10</v>
      </c>
      <c r="S22" s="12">
        <f t="shared" si="40"/>
        <v>10</v>
      </c>
      <c r="T22" s="60">
        <f t="shared" si="40"/>
        <v>10</v>
      </c>
      <c r="U22" s="93">
        <f>$N22</f>
        <v>10</v>
      </c>
      <c r="V22" s="12">
        <f t="shared" si="41"/>
        <v>10</v>
      </c>
      <c r="W22" s="12">
        <f t="shared" si="41"/>
        <v>10</v>
      </c>
      <c r="X22" s="12">
        <f t="shared" si="41"/>
        <v>10</v>
      </c>
      <c r="Y22" s="60">
        <f t="shared" si="41"/>
        <v>10</v>
      </c>
      <c r="Z22" s="93">
        <f>$N22</f>
        <v>10</v>
      </c>
      <c r="AA22" s="12">
        <f t="shared" si="42"/>
        <v>10</v>
      </c>
      <c r="AB22" s="12">
        <f t="shared" si="42"/>
        <v>10</v>
      </c>
      <c r="AC22" s="12">
        <f t="shared" si="42"/>
        <v>10</v>
      </c>
      <c r="AD22" s="60">
        <f t="shared" si="42"/>
        <v>10</v>
      </c>
      <c r="AE22" s="93">
        <f>$N22</f>
        <v>10</v>
      </c>
      <c r="AF22" s="12">
        <f t="shared" si="43"/>
        <v>10</v>
      </c>
      <c r="AG22" s="12">
        <f t="shared" si="43"/>
        <v>10</v>
      </c>
      <c r="AH22" s="12">
        <f t="shared" si="43"/>
        <v>10</v>
      </c>
      <c r="AI22" s="60">
        <f t="shared" si="43"/>
        <v>10</v>
      </c>
    </row>
    <row r="23" spans="1:35" x14ac:dyDescent="0.25">
      <c r="A23" t="s">
        <v>80</v>
      </c>
      <c r="B23" t="s">
        <v>79</v>
      </c>
      <c r="C23" s="6">
        <v>-10</v>
      </c>
      <c r="D23" s="6">
        <v>-20</v>
      </c>
      <c r="E23" s="6">
        <v>-10</v>
      </c>
      <c r="F23" s="6">
        <v>-10</v>
      </c>
      <c r="G23" s="6">
        <v>-20</v>
      </c>
      <c r="H23" s="6">
        <f>G23</f>
        <v>-20</v>
      </c>
      <c r="I23" s="6">
        <f>H23</f>
        <v>-20</v>
      </c>
      <c r="J23" s="6">
        <v>-10</v>
      </c>
      <c r="K23" s="6">
        <v>-10</v>
      </c>
      <c r="L23" s="6">
        <v>-10</v>
      </c>
      <c r="M23" s="6">
        <v>-10</v>
      </c>
      <c r="N23" s="6">
        <v>-20</v>
      </c>
      <c r="O23" s="6">
        <v>200</v>
      </c>
      <c r="P23" s="93">
        <f>$N23</f>
        <v>-20</v>
      </c>
      <c r="Q23" s="12">
        <f t="shared" si="40"/>
        <v>-20</v>
      </c>
      <c r="R23" s="12">
        <f t="shared" si="40"/>
        <v>-20</v>
      </c>
      <c r="S23" s="12">
        <f t="shared" si="40"/>
        <v>-20</v>
      </c>
      <c r="T23" s="60">
        <f t="shared" si="40"/>
        <v>-20</v>
      </c>
      <c r="U23" s="93">
        <f>$N23</f>
        <v>-20</v>
      </c>
      <c r="V23" s="12">
        <f t="shared" si="41"/>
        <v>-20</v>
      </c>
      <c r="W23" s="12">
        <f t="shared" si="41"/>
        <v>-20</v>
      </c>
      <c r="X23" s="12">
        <f t="shared" si="41"/>
        <v>-20</v>
      </c>
      <c r="Y23" s="60">
        <f t="shared" si="41"/>
        <v>-20</v>
      </c>
      <c r="Z23" s="93">
        <f>$N23</f>
        <v>-20</v>
      </c>
      <c r="AA23" s="12">
        <f t="shared" si="42"/>
        <v>-20</v>
      </c>
      <c r="AB23" s="12">
        <f t="shared" si="42"/>
        <v>-20</v>
      </c>
      <c r="AC23" s="12">
        <f t="shared" si="42"/>
        <v>-20</v>
      </c>
      <c r="AD23" s="60">
        <f t="shared" si="42"/>
        <v>-20</v>
      </c>
      <c r="AE23" s="93">
        <f>$N23</f>
        <v>-20</v>
      </c>
      <c r="AF23" s="12">
        <f t="shared" si="43"/>
        <v>-20</v>
      </c>
      <c r="AG23" s="12">
        <f t="shared" si="43"/>
        <v>-20</v>
      </c>
      <c r="AH23" s="12">
        <f t="shared" si="43"/>
        <v>-20</v>
      </c>
      <c r="AI23" s="60">
        <f t="shared" si="43"/>
        <v>-20</v>
      </c>
    </row>
    <row r="24" spans="1:35" x14ac:dyDescent="0.25">
      <c r="A24" t="s">
        <v>97</v>
      </c>
      <c r="B24" t="s">
        <v>19</v>
      </c>
      <c r="C24">
        <f t="shared" ref="C24:J26" si="44">C$20*C21</f>
        <v>0</v>
      </c>
      <c r="D24">
        <f t="shared" si="44"/>
        <v>0</v>
      </c>
      <c r="E24">
        <f t="shared" si="44"/>
        <v>0</v>
      </c>
      <c r="F24">
        <f t="shared" si="44"/>
        <v>-850</v>
      </c>
      <c r="G24">
        <f t="shared" si="44"/>
        <v>-850</v>
      </c>
      <c r="H24">
        <f t="shared" si="44"/>
        <v>-850</v>
      </c>
      <c r="I24">
        <f t="shared" si="44"/>
        <v>-850</v>
      </c>
      <c r="J24">
        <f t="shared" si="44"/>
        <v>0</v>
      </c>
      <c r="K24">
        <f t="shared" ref="K24:N26" si="45">K$20*K21</f>
        <v>0</v>
      </c>
      <c r="L24">
        <f t="shared" si="45"/>
        <v>0</v>
      </c>
      <c r="M24">
        <f>M$20*M21</f>
        <v>0</v>
      </c>
      <c r="N24">
        <f t="shared" si="45"/>
        <v>-850</v>
      </c>
      <c r="O24">
        <f t="shared" ref="O24:Z24" si="46">O$20*O21</f>
        <v>-17000</v>
      </c>
      <c r="P24">
        <f t="shared" si="46"/>
        <v>-850</v>
      </c>
      <c r="Q24">
        <f t="shared" si="46"/>
        <v>-850</v>
      </c>
      <c r="R24">
        <f t="shared" si="46"/>
        <v>-850</v>
      </c>
      <c r="S24">
        <f t="shared" si="46"/>
        <v>-850</v>
      </c>
      <c r="T24" s="41">
        <f t="shared" si="46"/>
        <v>-850</v>
      </c>
      <c r="U24">
        <f t="shared" si="46"/>
        <v>-850</v>
      </c>
      <c r="V24">
        <f t="shared" si="46"/>
        <v>-850</v>
      </c>
      <c r="W24">
        <f t="shared" si="46"/>
        <v>-850</v>
      </c>
      <c r="X24">
        <f t="shared" si="46"/>
        <v>-850</v>
      </c>
      <c r="Y24" s="41">
        <f t="shared" si="46"/>
        <v>-850</v>
      </c>
      <c r="Z24">
        <f t="shared" si="46"/>
        <v>-850</v>
      </c>
      <c r="AA24">
        <f t="shared" ref="AA24:AI24" si="47">AA$20*AA21</f>
        <v>-850</v>
      </c>
      <c r="AB24">
        <f t="shared" si="47"/>
        <v>-850</v>
      </c>
      <c r="AC24">
        <f t="shared" si="47"/>
        <v>-850</v>
      </c>
      <c r="AD24" s="41">
        <f t="shared" si="47"/>
        <v>-850</v>
      </c>
      <c r="AE24">
        <f t="shared" si="47"/>
        <v>-850</v>
      </c>
      <c r="AF24">
        <f t="shared" si="47"/>
        <v>-850</v>
      </c>
      <c r="AG24">
        <f t="shared" si="47"/>
        <v>-850</v>
      </c>
      <c r="AH24">
        <f t="shared" si="47"/>
        <v>-850</v>
      </c>
      <c r="AI24" s="41">
        <f t="shared" si="47"/>
        <v>-850</v>
      </c>
    </row>
    <row r="25" spans="1:35" x14ac:dyDescent="0.25">
      <c r="A25" t="s">
        <v>95</v>
      </c>
      <c r="B25" t="s">
        <v>19</v>
      </c>
      <c r="C25">
        <f t="shared" si="44"/>
        <v>0</v>
      </c>
      <c r="D25">
        <f t="shared" si="44"/>
        <v>0</v>
      </c>
      <c r="E25">
        <f t="shared" si="44"/>
        <v>850</v>
      </c>
      <c r="F25">
        <f t="shared" si="44"/>
        <v>0</v>
      </c>
      <c r="G25">
        <f t="shared" si="44"/>
        <v>850</v>
      </c>
      <c r="H25">
        <f t="shared" si="44"/>
        <v>850</v>
      </c>
      <c r="I25">
        <f t="shared" si="44"/>
        <v>850</v>
      </c>
      <c r="J25">
        <f t="shared" si="44"/>
        <v>0</v>
      </c>
      <c r="K25">
        <f t="shared" si="45"/>
        <v>0</v>
      </c>
      <c r="L25">
        <f t="shared" si="45"/>
        <v>0</v>
      </c>
      <c r="M25">
        <f>M$20*M22</f>
        <v>0</v>
      </c>
      <c r="N25">
        <f t="shared" si="45"/>
        <v>850</v>
      </c>
      <c r="O25">
        <f t="shared" ref="O25:Z25" si="48">O$20*O22</f>
        <v>17000</v>
      </c>
      <c r="P25">
        <f t="shared" si="48"/>
        <v>850</v>
      </c>
      <c r="Q25">
        <f t="shared" si="48"/>
        <v>850</v>
      </c>
      <c r="R25">
        <f t="shared" si="48"/>
        <v>850</v>
      </c>
      <c r="S25">
        <f t="shared" si="48"/>
        <v>850</v>
      </c>
      <c r="T25" s="41">
        <f t="shared" si="48"/>
        <v>850</v>
      </c>
      <c r="U25">
        <f t="shared" si="48"/>
        <v>850</v>
      </c>
      <c r="V25">
        <f t="shared" si="48"/>
        <v>850</v>
      </c>
      <c r="W25">
        <f t="shared" si="48"/>
        <v>850</v>
      </c>
      <c r="X25">
        <f t="shared" si="48"/>
        <v>850</v>
      </c>
      <c r="Y25" s="41">
        <f t="shared" si="48"/>
        <v>850</v>
      </c>
      <c r="Z25">
        <f t="shared" si="48"/>
        <v>850</v>
      </c>
      <c r="AA25">
        <f t="shared" ref="AA25:AI25" si="49">AA$20*AA22</f>
        <v>850</v>
      </c>
      <c r="AB25">
        <f t="shared" si="49"/>
        <v>850</v>
      </c>
      <c r="AC25">
        <f t="shared" si="49"/>
        <v>850</v>
      </c>
      <c r="AD25" s="41">
        <f t="shared" si="49"/>
        <v>850</v>
      </c>
      <c r="AE25">
        <f t="shared" si="49"/>
        <v>850</v>
      </c>
      <c r="AF25">
        <f t="shared" si="49"/>
        <v>850</v>
      </c>
      <c r="AG25">
        <f t="shared" si="49"/>
        <v>850</v>
      </c>
      <c r="AH25">
        <f t="shared" si="49"/>
        <v>850</v>
      </c>
      <c r="AI25" s="41">
        <f t="shared" si="49"/>
        <v>850</v>
      </c>
    </row>
    <row r="26" spans="1:35" x14ac:dyDescent="0.25">
      <c r="A26" t="s">
        <v>96</v>
      </c>
      <c r="B26" t="s">
        <v>19</v>
      </c>
      <c r="C26">
        <f t="shared" si="44"/>
        <v>-850</v>
      </c>
      <c r="D26">
        <f t="shared" si="44"/>
        <v>-1700</v>
      </c>
      <c r="E26">
        <f t="shared" si="44"/>
        <v>-850</v>
      </c>
      <c r="F26">
        <f t="shared" si="44"/>
        <v>-850</v>
      </c>
      <c r="G26">
        <f t="shared" si="44"/>
        <v>-1700</v>
      </c>
      <c r="H26">
        <f t="shared" si="44"/>
        <v>-1700</v>
      </c>
      <c r="I26">
        <f t="shared" si="44"/>
        <v>-1700</v>
      </c>
      <c r="J26">
        <f t="shared" si="44"/>
        <v>-850</v>
      </c>
      <c r="K26">
        <f t="shared" si="45"/>
        <v>-850</v>
      </c>
      <c r="L26">
        <f t="shared" si="45"/>
        <v>-850</v>
      </c>
      <c r="M26">
        <f>M$20*M23</f>
        <v>-850</v>
      </c>
      <c r="N26">
        <f t="shared" si="45"/>
        <v>-1700</v>
      </c>
      <c r="O26">
        <f t="shared" ref="O26:Z26" si="50">O$20*O23</f>
        <v>17000</v>
      </c>
      <c r="P26">
        <f t="shared" si="50"/>
        <v>-1700</v>
      </c>
      <c r="Q26">
        <f t="shared" si="50"/>
        <v>-1700</v>
      </c>
      <c r="R26">
        <f t="shared" si="50"/>
        <v>-1700</v>
      </c>
      <c r="S26">
        <f t="shared" si="50"/>
        <v>-1700</v>
      </c>
      <c r="T26" s="41">
        <f t="shared" si="50"/>
        <v>-1700</v>
      </c>
      <c r="U26">
        <f t="shared" si="50"/>
        <v>-1700</v>
      </c>
      <c r="V26">
        <f t="shared" si="50"/>
        <v>-1700</v>
      </c>
      <c r="W26">
        <f t="shared" si="50"/>
        <v>-1700</v>
      </c>
      <c r="X26">
        <f t="shared" si="50"/>
        <v>-1700</v>
      </c>
      <c r="Y26" s="41">
        <f t="shared" si="50"/>
        <v>-1700</v>
      </c>
      <c r="Z26">
        <f t="shared" si="50"/>
        <v>-1700</v>
      </c>
      <c r="AA26">
        <f t="shared" ref="AA26:AI26" si="51">AA$20*AA23</f>
        <v>-1700</v>
      </c>
      <c r="AB26">
        <f t="shared" si="51"/>
        <v>-1700</v>
      </c>
      <c r="AC26">
        <f t="shared" si="51"/>
        <v>-1700</v>
      </c>
      <c r="AD26" s="41">
        <f t="shared" si="51"/>
        <v>-1700</v>
      </c>
      <c r="AE26">
        <f t="shared" si="51"/>
        <v>-1700</v>
      </c>
      <c r="AF26">
        <f t="shared" si="51"/>
        <v>-1700</v>
      </c>
      <c r="AG26">
        <f t="shared" si="51"/>
        <v>-1700</v>
      </c>
      <c r="AH26">
        <f t="shared" si="51"/>
        <v>-1700</v>
      </c>
      <c r="AI26" s="41">
        <f t="shared" si="51"/>
        <v>-1700</v>
      </c>
    </row>
    <row r="27" spans="1:35" x14ac:dyDescent="0.25">
      <c r="A27" t="s">
        <v>92</v>
      </c>
      <c r="B27" t="s">
        <v>19</v>
      </c>
      <c r="C27" s="6"/>
      <c r="D27" s="6"/>
      <c r="E27" s="6"/>
      <c r="F27" s="6"/>
      <c r="G27" s="6"/>
      <c r="H27" s="6"/>
      <c r="I27" s="6">
        <v>-2500</v>
      </c>
      <c r="J27" s="9"/>
      <c r="K27" s="9">
        <f>-1*'Axis Sizing'!C46</f>
        <v>-5340.7075111026479</v>
      </c>
      <c r="L27" s="6"/>
      <c r="M27" s="9">
        <f>N27</f>
        <v>-5340.7075111026479</v>
      </c>
      <c r="N27" s="9">
        <f>K27</f>
        <v>-5340.7075111026479</v>
      </c>
      <c r="O27" s="9">
        <f>N27</f>
        <v>-5340.7075111026479</v>
      </c>
      <c r="P27" s="93">
        <f>$N27</f>
        <v>-5340.7075111026479</v>
      </c>
      <c r="Q27" s="93">
        <f t="shared" ref="Q27:T29" si="52">P27</f>
        <v>-5340.7075111026479</v>
      </c>
      <c r="R27" s="93">
        <f t="shared" si="52"/>
        <v>-5340.7075111026479</v>
      </c>
      <c r="S27" s="93">
        <f t="shared" si="52"/>
        <v>-5340.7075111026479</v>
      </c>
      <c r="T27" s="87">
        <f t="shared" si="52"/>
        <v>-5340.7075111026479</v>
      </c>
      <c r="U27" s="93">
        <f>$N27</f>
        <v>-5340.7075111026479</v>
      </c>
      <c r="V27" s="93">
        <f t="shared" ref="V27:Y29" si="53">U27</f>
        <v>-5340.7075111026479</v>
      </c>
      <c r="W27" s="93">
        <f t="shared" si="53"/>
        <v>-5340.7075111026479</v>
      </c>
      <c r="X27" s="93">
        <f t="shared" si="53"/>
        <v>-5340.7075111026479</v>
      </c>
      <c r="Y27" s="87">
        <f t="shared" si="53"/>
        <v>-5340.7075111026479</v>
      </c>
      <c r="Z27" s="93">
        <f>$N27</f>
        <v>-5340.7075111026479</v>
      </c>
      <c r="AA27" s="93">
        <f t="shared" ref="AA27:AD29" si="54">Z27</f>
        <v>-5340.7075111026479</v>
      </c>
      <c r="AB27" s="93">
        <f t="shared" si="54"/>
        <v>-5340.7075111026479</v>
      </c>
      <c r="AC27" s="93">
        <f t="shared" si="54"/>
        <v>-5340.7075111026479</v>
      </c>
      <c r="AD27" s="87">
        <f t="shared" si="54"/>
        <v>-5340.7075111026479</v>
      </c>
      <c r="AE27" s="93">
        <f>$N27</f>
        <v>-5340.7075111026479</v>
      </c>
      <c r="AF27" s="93">
        <f t="shared" ref="AF27:AI29" si="55">AE27</f>
        <v>-5340.7075111026479</v>
      </c>
      <c r="AG27" s="93">
        <f t="shared" si="55"/>
        <v>-5340.7075111026479</v>
      </c>
      <c r="AH27" s="93">
        <f t="shared" si="55"/>
        <v>-5340.7075111026479</v>
      </c>
      <c r="AI27" s="87">
        <f t="shared" si="55"/>
        <v>-5340.7075111026479</v>
      </c>
    </row>
    <row r="28" spans="1:35" x14ac:dyDescent="0.25">
      <c r="A28" t="s">
        <v>93</v>
      </c>
      <c r="B28" t="s">
        <v>19</v>
      </c>
      <c r="C28" s="6"/>
      <c r="D28" s="6"/>
      <c r="E28" s="6"/>
      <c r="F28" s="6"/>
      <c r="G28" s="6"/>
      <c r="H28" s="6">
        <v>-2500</v>
      </c>
      <c r="I28" s="6"/>
      <c r="J28" s="9"/>
      <c r="K28" s="9"/>
      <c r="L28" s="9">
        <f>2*'Axis Sizing'!D46</f>
        <v>8011.0612666539719</v>
      </c>
      <c r="M28" s="9">
        <f>N28</f>
        <v>8011.0612666539719</v>
      </c>
      <c r="N28" s="9">
        <f>L28</f>
        <v>8011.0612666539719</v>
      </c>
      <c r="O28" s="9">
        <f>N28</f>
        <v>8011.0612666539719</v>
      </c>
      <c r="P28" s="93">
        <f>$N28</f>
        <v>8011.0612666539719</v>
      </c>
      <c r="Q28" s="93">
        <f t="shared" si="52"/>
        <v>8011.0612666539719</v>
      </c>
      <c r="R28" s="93">
        <f t="shared" si="52"/>
        <v>8011.0612666539719</v>
      </c>
      <c r="S28" s="93">
        <f t="shared" si="52"/>
        <v>8011.0612666539719</v>
      </c>
      <c r="T28" s="87">
        <f t="shared" si="52"/>
        <v>8011.0612666539719</v>
      </c>
      <c r="U28" s="93">
        <f>$N28</f>
        <v>8011.0612666539719</v>
      </c>
      <c r="V28" s="93">
        <f t="shared" si="53"/>
        <v>8011.0612666539719</v>
      </c>
      <c r="W28" s="93">
        <f t="shared" si="53"/>
        <v>8011.0612666539719</v>
      </c>
      <c r="X28" s="93">
        <f t="shared" si="53"/>
        <v>8011.0612666539719</v>
      </c>
      <c r="Y28" s="87">
        <f t="shared" si="53"/>
        <v>8011.0612666539719</v>
      </c>
      <c r="Z28" s="93">
        <f>$N28</f>
        <v>8011.0612666539719</v>
      </c>
      <c r="AA28" s="93">
        <f t="shared" si="54"/>
        <v>8011.0612666539719</v>
      </c>
      <c r="AB28" s="93">
        <f t="shared" si="54"/>
        <v>8011.0612666539719</v>
      </c>
      <c r="AC28" s="93">
        <f t="shared" si="54"/>
        <v>8011.0612666539719</v>
      </c>
      <c r="AD28" s="87">
        <f t="shared" si="54"/>
        <v>8011.0612666539719</v>
      </c>
      <c r="AE28" s="93">
        <f>$N28</f>
        <v>8011.0612666539719</v>
      </c>
      <c r="AF28" s="93">
        <f t="shared" si="55"/>
        <v>8011.0612666539719</v>
      </c>
      <c r="AG28" s="93">
        <f t="shared" si="55"/>
        <v>8011.0612666539719</v>
      </c>
      <c r="AH28" s="93">
        <f t="shared" si="55"/>
        <v>8011.0612666539719</v>
      </c>
      <c r="AI28" s="87">
        <f t="shared" si="55"/>
        <v>8011.0612666539719</v>
      </c>
    </row>
    <row r="29" spans="1:35" x14ac:dyDescent="0.25">
      <c r="A29" t="s">
        <v>94</v>
      </c>
      <c r="B29" t="s">
        <v>19</v>
      </c>
      <c r="C29" s="6"/>
      <c r="D29" s="6"/>
      <c r="E29" s="6"/>
      <c r="F29" s="6"/>
      <c r="G29" s="6"/>
      <c r="H29" s="6"/>
      <c r="I29" s="6"/>
      <c r="J29" s="9">
        <f>'Axis Sizing'!E46</f>
        <v>3141.5926535897929</v>
      </c>
      <c r="K29" s="6"/>
      <c r="L29" s="6"/>
      <c r="M29" s="9">
        <f>N29</f>
        <v>3141.5926535897929</v>
      </c>
      <c r="N29" s="9">
        <f>J29</f>
        <v>3141.5926535897929</v>
      </c>
      <c r="O29" s="9">
        <f>N29</f>
        <v>3141.5926535897929</v>
      </c>
      <c r="P29" s="93">
        <f>$N29</f>
        <v>3141.5926535897929</v>
      </c>
      <c r="Q29" s="93">
        <f t="shared" si="52"/>
        <v>3141.5926535897929</v>
      </c>
      <c r="R29" s="93">
        <f t="shared" si="52"/>
        <v>3141.5926535897929</v>
      </c>
      <c r="S29" s="93">
        <f t="shared" si="52"/>
        <v>3141.5926535897929</v>
      </c>
      <c r="T29" s="87">
        <f t="shared" si="52"/>
        <v>3141.5926535897929</v>
      </c>
      <c r="U29" s="93">
        <f>$N29</f>
        <v>3141.5926535897929</v>
      </c>
      <c r="V29" s="93">
        <f t="shared" si="53"/>
        <v>3141.5926535897929</v>
      </c>
      <c r="W29" s="93">
        <f t="shared" si="53"/>
        <v>3141.5926535897929</v>
      </c>
      <c r="X29" s="93">
        <f t="shared" si="53"/>
        <v>3141.5926535897929</v>
      </c>
      <c r="Y29" s="87">
        <f t="shared" si="53"/>
        <v>3141.5926535897929</v>
      </c>
      <c r="Z29" s="93">
        <f>$N29</f>
        <v>3141.5926535897929</v>
      </c>
      <c r="AA29" s="93">
        <f t="shared" si="54"/>
        <v>3141.5926535897929</v>
      </c>
      <c r="AB29" s="93">
        <f t="shared" si="54"/>
        <v>3141.5926535897929</v>
      </c>
      <c r="AC29" s="93">
        <f t="shared" si="54"/>
        <v>3141.5926535897929</v>
      </c>
      <c r="AD29" s="87">
        <f t="shared" si="54"/>
        <v>3141.5926535897929</v>
      </c>
      <c r="AE29" s="93">
        <f>$N29</f>
        <v>3141.5926535897929</v>
      </c>
      <c r="AF29" s="93">
        <f t="shared" si="55"/>
        <v>3141.5926535897929</v>
      </c>
      <c r="AG29" s="93">
        <f t="shared" si="55"/>
        <v>3141.5926535897929</v>
      </c>
      <c r="AH29" s="93">
        <f t="shared" si="55"/>
        <v>3141.5926535897929</v>
      </c>
      <c r="AI29" s="87">
        <f t="shared" si="55"/>
        <v>3141.5926535897929</v>
      </c>
    </row>
    <row r="30" spans="1:35" hidden="1" outlineLevel="2" x14ac:dyDescent="0.25">
      <c r="A30" t="s">
        <v>110</v>
      </c>
      <c r="B30" t="s">
        <v>4</v>
      </c>
      <c r="C30">
        <f>C25*C16/1000</f>
        <v>0</v>
      </c>
      <c r="D30">
        <f t="shared" ref="D30:N30" si="56">D25*D16/1000</f>
        <v>0</v>
      </c>
      <c r="E30">
        <f t="shared" si="56"/>
        <v>258.5</v>
      </c>
      <c r="F30">
        <f t="shared" si="56"/>
        <v>0</v>
      </c>
      <c r="G30">
        <f t="shared" si="56"/>
        <v>258.5</v>
      </c>
      <c r="H30">
        <f t="shared" si="56"/>
        <v>258.5</v>
      </c>
      <c r="I30">
        <f t="shared" si="56"/>
        <v>258.5</v>
      </c>
      <c r="J30">
        <f t="shared" si="56"/>
        <v>0</v>
      </c>
      <c r="K30">
        <f t="shared" si="56"/>
        <v>0</v>
      </c>
      <c r="L30">
        <f t="shared" si="56"/>
        <v>0</v>
      </c>
      <c r="M30">
        <f>M25*M16/1000</f>
        <v>0</v>
      </c>
      <c r="N30">
        <f t="shared" si="56"/>
        <v>258.5</v>
      </c>
      <c r="O30">
        <f t="shared" ref="O30:AA30" si="57">O25*O16/1000</f>
        <v>5170</v>
      </c>
      <c r="P30">
        <f t="shared" si="57"/>
        <v>258.5</v>
      </c>
      <c r="Q30">
        <f t="shared" si="57"/>
        <v>258.5</v>
      </c>
      <c r="R30">
        <f t="shared" si="57"/>
        <v>258.5</v>
      </c>
      <c r="S30">
        <f t="shared" si="57"/>
        <v>258.5</v>
      </c>
      <c r="T30" s="41">
        <f t="shared" si="57"/>
        <v>258.5</v>
      </c>
      <c r="U30">
        <f t="shared" si="57"/>
        <v>258.5</v>
      </c>
      <c r="V30">
        <f t="shared" si="57"/>
        <v>258.5</v>
      </c>
      <c r="W30">
        <f t="shared" si="57"/>
        <v>258.5</v>
      </c>
      <c r="X30">
        <f t="shared" si="57"/>
        <v>258.5</v>
      </c>
      <c r="Y30" s="41">
        <f t="shared" si="57"/>
        <v>258.5</v>
      </c>
      <c r="Z30">
        <f t="shared" si="57"/>
        <v>258.5</v>
      </c>
      <c r="AA30">
        <f t="shared" si="57"/>
        <v>258.5</v>
      </c>
      <c r="AB30">
        <f t="shared" ref="AB30:AI30" si="58">AB25*AB16/1000</f>
        <v>258.5</v>
      </c>
      <c r="AC30">
        <f t="shared" si="58"/>
        <v>258.5</v>
      </c>
      <c r="AD30" s="41">
        <f t="shared" si="58"/>
        <v>258.5</v>
      </c>
      <c r="AE30">
        <f t="shared" si="58"/>
        <v>552.5</v>
      </c>
      <c r="AF30">
        <f t="shared" si="58"/>
        <v>356.5</v>
      </c>
      <c r="AG30">
        <f t="shared" si="58"/>
        <v>258.5</v>
      </c>
      <c r="AH30">
        <f t="shared" si="58"/>
        <v>209.50000000000003</v>
      </c>
      <c r="AI30" s="41">
        <f t="shared" si="58"/>
        <v>185</v>
      </c>
    </row>
    <row r="31" spans="1:35" hidden="1" outlineLevel="2" x14ac:dyDescent="0.25">
      <c r="A31" t="s">
        <v>111</v>
      </c>
      <c r="B31" t="s">
        <v>4</v>
      </c>
      <c r="C31">
        <f>C28*C19/1000</f>
        <v>0</v>
      </c>
      <c r="D31">
        <f t="shared" ref="D31:N31" si="59">D28*D19/1000</f>
        <v>0</v>
      </c>
      <c r="E31">
        <f t="shared" si="59"/>
        <v>0</v>
      </c>
      <c r="F31">
        <f t="shared" si="59"/>
        <v>0</v>
      </c>
      <c r="G31">
        <f t="shared" si="59"/>
        <v>0</v>
      </c>
      <c r="H31">
        <f t="shared" si="59"/>
        <v>-250</v>
      </c>
      <c r="I31">
        <f t="shared" si="59"/>
        <v>0</v>
      </c>
      <c r="J31">
        <f t="shared" si="59"/>
        <v>0</v>
      </c>
      <c r="K31">
        <f t="shared" si="59"/>
        <v>0</v>
      </c>
      <c r="L31">
        <f t="shared" si="59"/>
        <v>801.10612666539714</v>
      </c>
      <c r="M31">
        <f>M28*M19/1000</f>
        <v>801.10612666539714</v>
      </c>
      <c r="N31">
        <f t="shared" si="59"/>
        <v>801.10612666539714</v>
      </c>
      <c r="O31">
        <f t="shared" ref="O31:AA31" si="60">O28*O19/1000</f>
        <v>801.10612666539714</v>
      </c>
      <c r="P31">
        <f t="shared" si="60"/>
        <v>801.10612666539714</v>
      </c>
      <c r="Q31">
        <f t="shared" si="60"/>
        <v>801.10612666539714</v>
      </c>
      <c r="R31">
        <f t="shared" si="60"/>
        <v>801.10612666539714</v>
      </c>
      <c r="S31">
        <f t="shared" si="60"/>
        <v>801.10612666539714</v>
      </c>
      <c r="T31" s="41">
        <f t="shared" si="60"/>
        <v>801.10612666539714</v>
      </c>
      <c r="U31">
        <f t="shared" si="60"/>
        <v>801.10612666539714</v>
      </c>
      <c r="V31">
        <f t="shared" si="60"/>
        <v>801.10612666539714</v>
      </c>
      <c r="W31">
        <f t="shared" si="60"/>
        <v>801.10612666539714</v>
      </c>
      <c r="X31">
        <f t="shared" si="60"/>
        <v>801.10612666539714</v>
      </c>
      <c r="Y31" s="41">
        <f t="shared" si="60"/>
        <v>801.10612666539714</v>
      </c>
      <c r="Z31">
        <f t="shared" si="60"/>
        <v>801.10612666539714</v>
      </c>
      <c r="AA31">
        <f t="shared" si="60"/>
        <v>801.10612666539714</v>
      </c>
      <c r="AB31">
        <f t="shared" ref="AB31:AI31" si="61">AB28*AB19/1000</f>
        <v>801.10612666539714</v>
      </c>
      <c r="AC31">
        <f t="shared" si="61"/>
        <v>801.10612666539714</v>
      </c>
      <c r="AD31" s="41">
        <f t="shared" si="61"/>
        <v>801.10612666539714</v>
      </c>
      <c r="AE31">
        <f t="shared" si="61"/>
        <v>801.10612666539714</v>
      </c>
      <c r="AF31">
        <f t="shared" si="61"/>
        <v>801.10612666539714</v>
      </c>
      <c r="AG31">
        <f t="shared" si="61"/>
        <v>801.10612666539714</v>
      </c>
      <c r="AH31">
        <f t="shared" si="61"/>
        <v>801.10612666539714</v>
      </c>
      <c r="AI31" s="41">
        <f t="shared" si="61"/>
        <v>801.10612666539714</v>
      </c>
    </row>
    <row r="32" spans="1:35" hidden="1" outlineLevel="2" x14ac:dyDescent="0.25">
      <c r="A32" t="s">
        <v>112</v>
      </c>
      <c r="B32" t="s">
        <v>4</v>
      </c>
      <c r="C32">
        <f>-C26*C12/1000</f>
        <v>105</v>
      </c>
      <c r="D32">
        <f t="shared" ref="D32:N32" si="62">-D26*D12/1000</f>
        <v>210</v>
      </c>
      <c r="E32">
        <f t="shared" si="62"/>
        <v>105</v>
      </c>
      <c r="F32">
        <f t="shared" si="62"/>
        <v>105</v>
      </c>
      <c r="G32">
        <f t="shared" si="62"/>
        <v>210</v>
      </c>
      <c r="H32">
        <f t="shared" si="62"/>
        <v>210</v>
      </c>
      <c r="I32">
        <f t="shared" si="62"/>
        <v>210</v>
      </c>
      <c r="J32">
        <f t="shared" si="62"/>
        <v>105</v>
      </c>
      <c r="K32">
        <f t="shared" si="62"/>
        <v>105</v>
      </c>
      <c r="L32">
        <f t="shared" si="62"/>
        <v>105</v>
      </c>
      <c r="M32">
        <f>-M26*M12/1000</f>
        <v>105</v>
      </c>
      <c r="N32">
        <f t="shared" si="62"/>
        <v>210</v>
      </c>
      <c r="O32">
        <f t="shared" ref="O32:AA32" si="63">-O26*O12/1000</f>
        <v>-2100</v>
      </c>
      <c r="P32">
        <f t="shared" si="63"/>
        <v>210</v>
      </c>
      <c r="Q32">
        <f t="shared" si="63"/>
        <v>210</v>
      </c>
      <c r="R32">
        <f t="shared" si="63"/>
        <v>210</v>
      </c>
      <c r="S32">
        <f t="shared" si="63"/>
        <v>210</v>
      </c>
      <c r="T32" s="41">
        <f t="shared" si="63"/>
        <v>210</v>
      </c>
      <c r="U32">
        <f t="shared" si="63"/>
        <v>210</v>
      </c>
      <c r="V32">
        <f t="shared" si="63"/>
        <v>210</v>
      </c>
      <c r="W32">
        <f t="shared" si="63"/>
        <v>210</v>
      </c>
      <c r="X32">
        <f t="shared" si="63"/>
        <v>210</v>
      </c>
      <c r="Y32" s="41">
        <f t="shared" si="63"/>
        <v>210</v>
      </c>
      <c r="Z32">
        <f t="shared" si="63"/>
        <v>152.25</v>
      </c>
      <c r="AA32">
        <f t="shared" si="63"/>
        <v>171.5</v>
      </c>
      <c r="AB32">
        <f t="shared" ref="AB32:AI32" si="64">-AB26*AB12/1000</f>
        <v>210</v>
      </c>
      <c r="AC32">
        <f t="shared" si="64"/>
        <v>287</v>
      </c>
      <c r="AD32" s="41">
        <f t="shared" si="64"/>
        <v>441.00000000000006</v>
      </c>
      <c r="AE32">
        <f t="shared" si="64"/>
        <v>210</v>
      </c>
      <c r="AF32">
        <f t="shared" si="64"/>
        <v>210</v>
      </c>
      <c r="AG32">
        <f t="shared" si="64"/>
        <v>210</v>
      </c>
      <c r="AH32">
        <f t="shared" si="64"/>
        <v>210</v>
      </c>
      <c r="AI32" s="41">
        <f t="shared" si="64"/>
        <v>210</v>
      </c>
    </row>
    <row r="33" spans="1:35" hidden="1" outlineLevel="2" x14ac:dyDescent="0.25">
      <c r="A33" t="s">
        <v>113</v>
      </c>
      <c r="B33" t="s">
        <v>4</v>
      </c>
      <c r="C33">
        <f>-C29*C18/1000</f>
        <v>0</v>
      </c>
      <c r="D33">
        <f t="shared" ref="D33:N33" si="65">-D29*D18/1000</f>
        <v>0</v>
      </c>
      <c r="E33">
        <f t="shared" si="65"/>
        <v>0</v>
      </c>
      <c r="F33">
        <f t="shared" si="65"/>
        <v>0</v>
      </c>
      <c r="G33">
        <f t="shared" si="65"/>
        <v>0</v>
      </c>
      <c r="H33">
        <f t="shared" si="65"/>
        <v>0</v>
      </c>
      <c r="I33">
        <f t="shared" si="65"/>
        <v>0</v>
      </c>
      <c r="J33">
        <f t="shared" si="65"/>
        <v>-47.123889803846893</v>
      </c>
      <c r="K33">
        <f t="shared" si="65"/>
        <v>0</v>
      </c>
      <c r="L33">
        <f t="shared" si="65"/>
        <v>0</v>
      </c>
      <c r="M33">
        <f>-M29*M18/1000</f>
        <v>-47.123889803846893</v>
      </c>
      <c r="N33">
        <f t="shared" si="65"/>
        <v>-47.123889803846893</v>
      </c>
      <c r="O33">
        <f t="shared" ref="O33:AA33" si="66">-O29*O18/1000</f>
        <v>-47.123889803846893</v>
      </c>
      <c r="P33">
        <f t="shared" si="66"/>
        <v>-47.123889803846893</v>
      </c>
      <c r="Q33">
        <f t="shared" si="66"/>
        <v>-47.123889803846893</v>
      </c>
      <c r="R33">
        <f t="shared" si="66"/>
        <v>-47.123889803846893</v>
      </c>
      <c r="S33">
        <f t="shared" si="66"/>
        <v>-47.123889803846893</v>
      </c>
      <c r="T33" s="41">
        <f t="shared" si="66"/>
        <v>-47.123889803846893</v>
      </c>
      <c r="U33">
        <f t="shared" si="66"/>
        <v>-47.123889803846893</v>
      </c>
      <c r="V33">
        <f t="shared" si="66"/>
        <v>-47.123889803846893</v>
      </c>
      <c r="W33">
        <f t="shared" si="66"/>
        <v>-47.123889803846893</v>
      </c>
      <c r="X33">
        <f t="shared" si="66"/>
        <v>-47.123889803846893</v>
      </c>
      <c r="Y33" s="41">
        <f t="shared" si="66"/>
        <v>-47.123889803846893</v>
      </c>
      <c r="Z33">
        <f t="shared" si="66"/>
        <v>212.057504117311</v>
      </c>
      <c r="AA33">
        <f t="shared" si="66"/>
        <v>125.66370614359171</v>
      </c>
      <c r="AB33">
        <f t="shared" ref="AB33:AI33" si="67">-AB29*AB18/1000</f>
        <v>-47.123889803846893</v>
      </c>
      <c r="AC33">
        <f t="shared" si="67"/>
        <v>-392.69908169872411</v>
      </c>
      <c r="AD33" s="41">
        <f t="shared" si="67"/>
        <v>-1083.8494654884785</v>
      </c>
      <c r="AE33">
        <f t="shared" si="67"/>
        <v>-47.123889803846893</v>
      </c>
      <c r="AF33">
        <f t="shared" si="67"/>
        <v>-47.123889803846893</v>
      </c>
      <c r="AG33">
        <f t="shared" si="67"/>
        <v>-47.123889803846893</v>
      </c>
      <c r="AH33">
        <f t="shared" si="67"/>
        <v>-47.123889803846893</v>
      </c>
      <c r="AI33" s="41">
        <f t="shared" si="67"/>
        <v>-47.123889803846893</v>
      </c>
    </row>
    <row r="34" spans="1:35" collapsed="1" x14ac:dyDescent="0.25">
      <c r="A34" t="s">
        <v>82</v>
      </c>
      <c r="B34" t="s">
        <v>4</v>
      </c>
      <c r="C34" s="3">
        <f>SUM(C30:C33)</f>
        <v>105</v>
      </c>
      <c r="D34" s="3">
        <f t="shared" ref="D34:O34" si="68">SUM(D30:D33)</f>
        <v>210</v>
      </c>
      <c r="E34" s="3">
        <f t="shared" si="68"/>
        <v>363.5</v>
      </c>
      <c r="F34" s="3">
        <f t="shared" si="68"/>
        <v>105</v>
      </c>
      <c r="G34" s="3">
        <f t="shared" si="68"/>
        <v>468.5</v>
      </c>
      <c r="H34" s="3">
        <f t="shared" si="68"/>
        <v>218.5</v>
      </c>
      <c r="I34" s="3">
        <f t="shared" si="68"/>
        <v>468.5</v>
      </c>
      <c r="J34" s="3">
        <f t="shared" si="68"/>
        <v>57.876110196153107</v>
      </c>
      <c r="K34" s="3">
        <f t="shared" si="68"/>
        <v>105</v>
      </c>
      <c r="L34" s="3">
        <f t="shared" si="68"/>
        <v>906.10612666539714</v>
      </c>
      <c r="M34" s="3">
        <f>SUM(M30:M33)</f>
        <v>858.98223686155029</v>
      </c>
      <c r="N34" s="3">
        <f t="shared" si="68"/>
        <v>1222.4822368615503</v>
      </c>
      <c r="O34" s="3">
        <f t="shared" si="68"/>
        <v>3823.9822368615501</v>
      </c>
      <c r="P34" s="3">
        <f t="shared" ref="P34:AA34" si="69">SUM(P30:P33)</f>
        <v>1222.4822368615503</v>
      </c>
      <c r="Q34" s="3">
        <f t="shared" si="69"/>
        <v>1222.4822368615503</v>
      </c>
      <c r="R34" s="3">
        <f t="shared" si="69"/>
        <v>1222.4822368615503</v>
      </c>
      <c r="S34" s="3">
        <f t="shared" si="69"/>
        <v>1222.4822368615503</v>
      </c>
      <c r="T34" s="43">
        <f t="shared" si="69"/>
        <v>1222.4822368615503</v>
      </c>
      <c r="U34" s="3">
        <f t="shared" si="69"/>
        <v>1222.4822368615503</v>
      </c>
      <c r="V34" s="3">
        <f t="shared" si="69"/>
        <v>1222.4822368615503</v>
      </c>
      <c r="W34" s="3">
        <f t="shared" si="69"/>
        <v>1222.4822368615503</v>
      </c>
      <c r="X34" s="3">
        <f t="shared" si="69"/>
        <v>1222.4822368615503</v>
      </c>
      <c r="Y34" s="43">
        <f t="shared" si="69"/>
        <v>1222.4822368615503</v>
      </c>
      <c r="Z34" s="3">
        <f t="shared" si="69"/>
        <v>1423.9136307827082</v>
      </c>
      <c r="AA34" s="3">
        <f t="shared" si="69"/>
        <v>1356.7698328089889</v>
      </c>
      <c r="AB34" s="3">
        <f t="shared" ref="AB34:AI34" si="70">SUM(AB30:AB33)</f>
        <v>1222.4822368615503</v>
      </c>
      <c r="AC34" s="3">
        <f t="shared" si="70"/>
        <v>953.90704496667308</v>
      </c>
      <c r="AD34" s="43">
        <f t="shared" si="70"/>
        <v>416.75666117691867</v>
      </c>
      <c r="AE34" s="3">
        <f t="shared" si="70"/>
        <v>1516.4822368615503</v>
      </c>
      <c r="AF34" s="3">
        <f t="shared" si="70"/>
        <v>1320.4822368615503</v>
      </c>
      <c r="AG34" s="3">
        <f t="shared" si="70"/>
        <v>1222.4822368615503</v>
      </c>
      <c r="AH34" s="3">
        <f t="shared" si="70"/>
        <v>1173.4822368615503</v>
      </c>
      <c r="AI34" s="43">
        <f t="shared" si="70"/>
        <v>1148.9822368615503</v>
      </c>
    </row>
    <row r="35" spans="1:35" hidden="1" outlineLevel="2" x14ac:dyDescent="0.25">
      <c r="A35" t="s">
        <v>115</v>
      </c>
      <c r="B35" t="s">
        <v>4</v>
      </c>
      <c r="C35" s="3">
        <f t="shared" ref="C35:O35" si="71">-C24*C16/1000</f>
        <v>0</v>
      </c>
      <c r="D35" s="3">
        <f t="shared" si="71"/>
        <v>0</v>
      </c>
      <c r="E35" s="3">
        <f t="shared" si="71"/>
        <v>0</v>
      </c>
      <c r="F35" s="3">
        <f t="shared" si="71"/>
        <v>258.5</v>
      </c>
      <c r="G35" s="3">
        <f t="shared" si="71"/>
        <v>258.5</v>
      </c>
      <c r="H35" s="3">
        <f t="shared" si="71"/>
        <v>258.5</v>
      </c>
      <c r="I35" s="3">
        <f t="shared" si="71"/>
        <v>258.5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>-M24*M16/1000</f>
        <v>0</v>
      </c>
      <c r="N35" s="3">
        <f t="shared" si="71"/>
        <v>258.5</v>
      </c>
      <c r="O35" s="3">
        <f t="shared" si="71"/>
        <v>5170</v>
      </c>
      <c r="P35" s="3">
        <f t="shared" ref="P35:AA35" si="72">-P24*P16/1000</f>
        <v>258.5</v>
      </c>
      <c r="Q35" s="3">
        <f t="shared" si="72"/>
        <v>258.5</v>
      </c>
      <c r="R35" s="3">
        <f t="shared" si="72"/>
        <v>258.5</v>
      </c>
      <c r="S35" s="3">
        <f t="shared" si="72"/>
        <v>258.5</v>
      </c>
      <c r="T35" s="43">
        <f t="shared" si="72"/>
        <v>258.5</v>
      </c>
      <c r="U35" s="3">
        <f t="shared" si="72"/>
        <v>258.5</v>
      </c>
      <c r="V35" s="3">
        <f t="shared" si="72"/>
        <v>258.5</v>
      </c>
      <c r="W35" s="3">
        <f t="shared" si="72"/>
        <v>258.5</v>
      </c>
      <c r="X35" s="3">
        <f t="shared" si="72"/>
        <v>258.5</v>
      </c>
      <c r="Y35" s="43">
        <f t="shared" si="72"/>
        <v>258.5</v>
      </c>
      <c r="Z35" s="3">
        <f t="shared" si="72"/>
        <v>258.5</v>
      </c>
      <c r="AA35" s="3">
        <f t="shared" si="72"/>
        <v>258.5</v>
      </c>
      <c r="AB35" s="3">
        <f t="shared" ref="AB35:AI35" si="73">-AB24*AB16/1000</f>
        <v>258.5</v>
      </c>
      <c r="AC35" s="3">
        <f t="shared" si="73"/>
        <v>258.5</v>
      </c>
      <c r="AD35" s="43">
        <f t="shared" si="73"/>
        <v>258.5</v>
      </c>
      <c r="AE35" s="3">
        <f t="shared" si="73"/>
        <v>552.5</v>
      </c>
      <c r="AF35" s="3">
        <f t="shared" si="73"/>
        <v>356.5</v>
      </c>
      <c r="AG35" s="3">
        <f t="shared" si="73"/>
        <v>258.5</v>
      </c>
      <c r="AH35" s="3">
        <f t="shared" si="73"/>
        <v>209.50000000000003</v>
      </c>
      <c r="AI35" s="43">
        <f t="shared" si="73"/>
        <v>185</v>
      </c>
    </row>
    <row r="36" spans="1:35" hidden="1" outlineLevel="2" x14ac:dyDescent="0.25">
      <c r="A36" t="s">
        <v>116</v>
      </c>
      <c r="B36" t="s">
        <v>4</v>
      </c>
      <c r="C36" s="3">
        <f t="shared" ref="C36:O36" si="74">-C27*C19/1000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250</v>
      </c>
      <c r="J36" s="3">
        <f t="shared" si="74"/>
        <v>0</v>
      </c>
      <c r="K36" s="3">
        <f t="shared" si="74"/>
        <v>534.07075111026484</v>
      </c>
      <c r="L36" s="3">
        <f t="shared" si="74"/>
        <v>0</v>
      </c>
      <c r="M36" s="3">
        <f>-M27*M19/1000</f>
        <v>534.07075111026484</v>
      </c>
      <c r="N36" s="3">
        <f t="shared" si="74"/>
        <v>534.07075111026484</v>
      </c>
      <c r="O36" s="3">
        <f t="shared" si="74"/>
        <v>534.07075111026484</v>
      </c>
      <c r="P36" s="3">
        <f t="shared" ref="P36:AA36" si="75">-P27*P19/1000</f>
        <v>534.07075111026484</v>
      </c>
      <c r="Q36" s="3">
        <f t="shared" si="75"/>
        <v>534.07075111026484</v>
      </c>
      <c r="R36" s="3">
        <f t="shared" si="75"/>
        <v>534.07075111026484</v>
      </c>
      <c r="S36" s="3">
        <f t="shared" si="75"/>
        <v>534.07075111026484</v>
      </c>
      <c r="T36" s="43">
        <f t="shared" si="75"/>
        <v>534.07075111026484</v>
      </c>
      <c r="U36" s="3">
        <f t="shared" si="75"/>
        <v>534.07075111026484</v>
      </c>
      <c r="V36" s="3">
        <f t="shared" si="75"/>
        <v>534.07075111026484</v>
      </c>
      <c r="W36" s="3">
        <f t="shared" si="75"/>
        <v>534.07075111026484</v>
      </c>
      <c r="X36" s="3">
        <f t="shared" si="75"/>
        <v>534.07075111026484</v>
      </c>
      <c r="Y36" s="43">
        <f t="shared" si="75"/>
        <v>534.07075111026484</v>
      </c>
      <c r="Z36" s="3">
        <f t="shared" si="75"/>
        <v>534.07075111026484</v>
      </c>
      <c r="AA36" s="3">
        <f t="shared" si="75"/>
        <v>534.07075111026484</v>
      </c>
      <c r="AB36" s="3">
        <f t="shared" ref="AB36:AI36" si="76">-AB27*AB19/1000</f>
        <v>534.07075111026484</v>
      </c>
      <c r="AC36" s="3">
        <f t="shared" si="76"/>
        <v>534.07075111026484</v>
      </c>
      <c r="AD36" s="43">
        <f t="shared" si="76"/>
        <v>534.07075111026484</v>
      </c>
      <c r="AE36" s="3">
        <f t="shared" si="76"/>
        <v>534.07075111026484</v>
      </c>
      <c r="AF36" s="3">
        <f t="shared" si="76"/>
        <v>534.07075111026484</v>
      </c>
      <c r="AG36" s="3">
        <f t="shared" si="76"/>
        <v>534.07075111026484</v>
      </c>
      <c r="AH36" s="3">
        <f t="shared" si="76"/>
        <v>534.07075111026484</v>
      </c>
      <c r="AI36" s="43">
        <f t="shared" si="76"/>
        <v>534.07075111026484</v>
      </c>
    </row>
    <row r="37" spans="1:35" hidden="1" outlineLevel="2" x14ac:dyDescent="0.25">
      <c r="A37" t="s">
        <v>117</v>
      </c>
      <c r="B37" t="s">
        <v>4</v>
      </c>
      <c r="C37" s="3">
        <f t="shared" ref="C37:O37" si="77">C26*C11/1000</f>
        <v>227.49999999999997</v>
      </c>
      <c r="D37" s="3">
        <f t="shared" si="77"/>
        <v>454.99999999999994</v>
      </c>
      <c r="E37" s="3">
        <f t="shared" si="77"/>
        <v>227.49999999999997</v>
      </c>
      <c r="F37" s="3">
        <f t="shared" si="77"/>
        <v>227.49999999999997</v>
      </c>
      <c r="G37" s="3">
        <f t="shared" si="77"/>
        <v>454.99999999999994</v>
      </c>
      <c r="H37" s="3">
        <f t="shared" si="77"/>
        <v>454.99999999999994</v>
      </c>
      <c r="I37" s="3">
        <f t="shared" si="77"/>
        <v>454.99999999999994</v>
      </c>
      <c r="J37" s="3">
        <f t="shared" si="77"/>
        <v>227.49999999999997</v>
      </c>
      <c r="K37" s="3">
        <f t="shared" si="77"/>
        <v>227.49999999999997</v>
      </c>
      <c r="L37" s="3">
        <f t="shared" si="77"/>
        <v>227.49999999999997</v>
      </c>
      <c r="M37" s="3">
        <f>M26*M11/1000</f>
        <v>227.49999999999997</v>
      </c>
      <c r="N37" s="3">
        <f t="shared" si="77"/>
        <v>454.99999999999994</v>
      </c>
      <c r="O37" s="3">
        <f t="shared" si="77"/>
        <v>-4550</v>
      </c>
      <c r="P37" s="3">
        <f t="shared" ref="P37:AA37" si="78">P26*P11/1000</f>
        <v>454.99999999999994</v>
      </c>
      <c r="Q37" s="3">
        <f t="shared" si="78"/>
        <v>454.99999999999994</v>
      </c>
      <c r="R37" s="3">
        <f t="shared" si="78"/>
        <v>454.99999999999994</v>
      </c>
      <c r="S37" s="3">
        <f t="shared" si="78"/>
        <v>454.99999999999994</v>
      </c>
      <c r="T37" s="43">
        <f t="shared" si="78"/>
        <v>454.99999999999994</v>
      </c>
      <c r="U37" s="3">
        <f t="shared" si="78"/>
        <v>454.99999999999994</v>
      </c>
      <c r="V37" s="3">
        <f t="shared" si="78"/>
        <v>454.99999999999994</v>
      </c>
      <c r="W37" s="3">
        <f t="shared" si="78"/>
        <v>454.99999999999994</v>
      </c>
      <c r="X37" s="3">
        <f t="shared" si="78"/>
        <v>454.99999999999994</v>
      </c>
      <c r="Y37" s="43">
        <f t="shared" si="78"/>
        <v>454.99999999999994</v>
      </c>
      <c r="Z37" s="3">
        <f t="shared" si="78"/>
        <v>454.99999999999994</v>
      </c>
      <c r="AA37" s="3">
        <f t="shared" si="78"/>
        <v>454.99999999999994</v>
      </c>
      <c r="AB37" s="3">
        <f t="shared" ref="AB37:AI37" si="79">AB26*AB11/1000</f>
        <v>454.99999999999994</v>
      </c>
      <c r="AC37" s="3">
        <f t="shared" si="79"/>
        <v>454.99999999999994</v>
      </c>
      <c r="AD37" s="43">
        <f t="shared" si="79"/>
        <v>454.99999999999994</v>
      </c>
      <c r="AE37" s="3">
        <f t="shared" si="79"/>
        <v>454.99999999999994</v>
      </c>
      <c r="AF37" s="3">
        <f t="shared" si="79"/>
        <v>454.99999999999994</v>
      </c>
      <c r="AG37" s="3">
        <f t="shared" si="79"/>
        <v>454.99999999999994</v>
      </c>
      <c r="AH37" s="3">
        <f t="shared" si="79"/>
        <v>454.99999999999994</v>
      </c>
      <c r="AI37" s="43">
        <f t="shared" si="79"/>
        <v>454.99999999999994</v>
      </c>
    </row>
    <row r="38" spans="1:35" hidden="1" outlineLevel="2" x14ac:dyDescent="0.25">
      <c r="A38" t="s">
        <v>118</v>
      </c>
      <c r="B38" t="s">
        <v>4</v>
      </c>
      <c r="C38" s="3">
        <f t="shared" ref="C38:O38" si="80">C29*C17/1000</f>
        <v>0</v>
      </c>
      <c r="D38" s="3">
        <f t="shared" si="80"/>
        <v>0</v>
      </c>
      <c r="E38" s="3">
        <f t="shared" si="80"/>
        <v>0</v>
      </c>
      <c r="F38" s="3">
        <f t="shared" si="80"/>
        <v>0</v>
      </c>
      <c r="G38" s="3">
        <f t="shared" si="80"/>
        <v>0</v>
      </c>
      <c r="H38" s="3">
        <f t="shared" si="80"/>
        <v>0</v>
      </c>
      <c r="I38" s="3">
        <f t="shared" si="80"/>
        <v>0</v>
      </c>
      <c r="J38" s="3">
        <f t="shared" si="80"/>
        <v>-2042.0352248333652</v>
      </c>
      <c r="K38" s="3">
        <f t="shared" si="80"/>
        <v>0</v>
      </c>
      <c r="L38" s="3">
        <f t="shared" si="80"/>
        <v>0</v>
      </c>
      <c r="M38" s="3">
        <f>M29*M17/1000</f>
        <v>-2042.0352248333652</v>
      </c>
      <c r="N38" s="3">
        <f t="shared" si="80"/>
        <v>-2042.0352248333652</v>
      </c>
      <c r="O38" s="3">
        <f t="shared" si="80"/>
        <v>-2042.0352248333652</v>
      </c>
      <c r="P38" s="3">
        <f t="shared" ref="P38:AA38" si="81">P29*P17/1000</f>
        <v>-2042.0352248333652</v>
      </c>
      <c r="Q38" s="3">
        <f t="shared" si="81"/>
        <v>-2042.0352248333652</v>
      </c>
      <c r="R38" s="3">
        <f t="shared" si="81"/>
        <v>-2042.0352248333652</v>
      </c>
      <c r="S38" s="3">
        <f t="shared" si="81"/>
        <v>-2042.0352248333652</v>
      </c>
      <c r="T38" s="43">
        <f t="shared" si="81"/>
        <v>-2042.0352248333652</v>
      </c>
      <c r="U38" s="3">
        <f t="shared" si="81"/>
        <v>-2042.0352248333652</v>
      </c>
      <c r="V38" s="3">
        <f t="shared" si="81"/>
        <v>-2042.0352248333652</v>
      </c>
      <c r="W38" s="3">
        <f t="shared" si="81"/>
        <v>-2042.0352248333652</v>
      </c>
      <c r="X38" s="3">
        <f t="shared" si="81"/>
        <v>-2042.0352248333652</v>
      </c>
      <c r="Y38" s="43">
        <f t="shared" si="81"/>
        <v>-2042.0352248333652</v>
      </c>
      <c r="Z38" s="3">
        <f t="shared" si="81"/>
        <v>-2042.0352248333652</v>
      </c>
      <c r="AA38" s="3">
        <f t="shared" si="81"/>
        <v>-2042.0352248333652</v>
      </c>
      <c r="AB38" s="3">
        <f t="shared" ref="AB38:AI38" si="82">AB29*AB17/1000</f>
        <v>-2042.0352248333652</v>
      </c>
      <c r="AC38" s="3">
        <f t="shared" si="82"/>
        <v>-2042.0352248333652</v>
      </c>
      <c r="AD38" s="43">
        <f t="shared" si="82"/>
        <v>-2042.0352248333652</v>
      </c>
      <c r="AE38" s="3">
        <f t="shared" si="82"/>
        <v>-2042.0352248333652</v>
      </c>
      <c r="AF38" s="3">
        <f t="shared" si="82"/>
        <v>-2042.0352248333652</v>
      </c>
      <c r="AG38" s="3">
        <f t="shared" si="82"/>
        <v>-2042.0352248333652</v>
      </c>
      <c r="AH38" s="3">
        <f t="shared" si="82"/>
        <v>-2042.0352248333652</v>
      </c>
      <c r="AI38" s="43">
        <f t="shared" si="82"/>
        <v>-2042.0352248333652</v>
      </c>
    </row>
    <row r="39" spans="1:35" collapsed="1" x14ac:dyDescent="0.25">
      <c r="A39" t="s">
        <v>84</v>
      </c>
      <c r="B39" t="s">
        <v>4</v>
      </c>
      <c r="C39" s="3">
        <f>SUM(C35:C38)</f>
        <v>227.49999999999997</v>
      </c>
      <c r="D39" s="3">
        <f t="shared" ref="D39:O39" si="83">SUM(D35:D38)</f>
        <v>454.99999999999994</v>
      </c>
      <c r="E39" s="3">
        <f t="shared" si="83"/>
        <v>227.49999999999997</v>
      </c>
      <c r="F39" s="3">
        <f t="shared" si="83"/>
        <v>486</v>
      </c>
      <c r="G39" s="3">
        <f t="shared" si="83"/>
        <v>713.5</v>
      </c>
      <c r="H39" s="3">
        <f t="shared" si="83"/>
        <v>713.5</v>
      </c>
      <c r="I39" s="3">
        <f t="shared" si="83"/>
        <v>963.5</v>
      </c>
      <c r="J39" s="3">
        <f t="shared" si="83"/>
        <v>-1814.5352248333652</v>
      </c>
      <c r="K39" s="3">
        <f t="shared" si="83"/>
        <v>761.57075111026484</v>
      </c>
      <c r="L39" s="3">
        <f t="shared" si="83"/>
        <v>227.49999999999997</v>
      </c>
      <c r="M39" s="3">
        <f>SUM(M35:M38)</f>
        <v>-1280.4644737231004</v>
      </c>
      <c r="N39" s="3">
        <f t="shared" si="83"/>
        <v>-794.46447372310035</v>
      </c>
      <c r="O39" s="3">
        <f t="shared" si="83"/>
        <v>-887.96447372310058</v>
      </c>
      <c r="P39" s="3">
        <f t="shared" ref="P39:AA39" si="84">SUM(P35:P38)</f>
        <v>-794.46447372310035</v>
      </c>
      <c r="Q39" s="3">
        <f t="shared" si="84"/>
        <v>-794.46447372310035</v>
      </c>
      <c r="R39" s="3">
        <f t="shared" si="84"/>
        <v>-794.46447372310035</v>
      </c>
      <c r="S39" s="3">
        <f t="shared" si="84"/>
        <v>-794.46447372310035</v>
      </c>
      <c r="T39" s="43">
        <f t="shared" si="84"/>
        <v>-794.46447372310035</v>
      </c>
      <c r="U39" s="3">
        <f t="shared" si="84"/>
        <v>-794.46447372310035</v>
      </c>
      <c r="V39" s="3">
        <f t="shared" si="84"/>
        <v>-794.46447372310035</v>
      </c>
      <c r="W39" s="3">
        <f t="shared" si="84"/>
        <v>-794.46447372310035</v>
      </c>
      <c r="X39" s="3">
        <f t="shared" si="84"/>
        <v>-794.46447372310035</v>
      </c>
      <c r="Y39" s="43">
        <f t="shared" si="84"/>
        <v>-794.46447372310035</v>
      </c>
      <c r="Z39" s="3">
        <f t="shared" si="84"/>
        <v>-794.46447372310035</v>
      </c>
      <c r="AA39" s="3">
        <f t="shared" si="84"/>
        <v>-794.46447372310035</v>
      </c>
      <c r="AB39" s="3">
        <f t="shared" ref="AB39:AI39" si="85">SUM(AB35:AB38)</f>
        <v>-794.46447372310035</v>
      </c>
      <c r="AC39" s="3">
        <f t="shared" si="85"/>
        <v>-794.46447372310035</v>
      </c>
      <c r="AD39" s="43">
        <f t="shared" si="85"/>
        <v>-794.46447372310035</v>
      </c>
      <c r="AE39" s="3">
        <f t="shared" si="85"/>
        <v>-500.46447372310035</v>
      </c>
      <c r="AF39" s="3">
        <f t="shared" si="85"/>
        <v>-696.46447372310035</v>
      </c>
      <c r="AG39" s="3">
        <f t="shared" si="85"/>
        <v>-794.46447372310035</v>
      </c>
      <c r="AH39" s="3">
        <f t="shared" si="85"/>
        <v>-843.46447372310035</v>
      </c>
      <c r="AI39" s="43">
        <f t="shared" si="85"/>
        <v>-867.96447372310035</v>
      </c>
    </row>
    <row r="40" spans="1:35" hidden="1" outlineLevel="2" x14ac:dyDescent="0.25">
      <c r="A40" t="s">
        <v>119</v>
      </c>
      <c r="B40" t="s">
        <v>4</v>
      </c>
      <c r="C40" s="3">
        <f t="shared" ref="C40:O40" si="86">C24*C12/1000</f>
        <v>0</v>
      </c>
      <c r="D40" s="3">
        <f t="shared" si="86"/>
        <v>0</v>
      </c>
      <c r="E40" s="3">
        <f t="shared" si="86"/>
        <v>0</v>
      </c>
      <c r="F40" s="3">
        <f t="shared" si="86"/>
        <v>-105</v>
      </c>
      <c r="G40" s="3">
        <f t="shared" si="86"/>
        <v>-105</v>
      </c>
      <c r="H40" s="3">
        <f t="shared" si="86"/>
        <v>-105</v>
      </c>
      <c r="I40" s="3">
        <f t="shared" si="86"/>
        <v>-105</v>
      </c>
      <c r="J40" s="3">
        <f t="shared" si="86"/>
        <v>0</v>
      </c>
      <c r="K40" s="3">
        <f t="shared" si="86"/>
        <v>0</v>
      </c>
      <c r="L40" s="3">
        <f t="shared" si="86"/>
        <v>0</v>
      </c>
      <c r="M40" s="3">
        <f>M24*M12/1000</f>
        <v>0</v>
      </c>
      <c r="N40" s="3">
        <f t="shared" si="86"/>
        <v>-105</v>
      </c>
      <c r="O40" s="3">
        <f t="shared" si="86"/>
        <v>-2100</v>
      </c>
      <c r="P40" s="3">
        <f t="shared" ref="P40:AA40" si="87">P24*P12/1000</f>
        <v>-105</v>
      </c>
      <c r="Q40" s="3">
        <f t="shared" si="87"/>
        <v>-105</v>
      </c>
      <c r="R40" s="3">
        <f t="shared" si="87"/>
        <v>-105</v>
      </c>
      <c r="S40" s="3">
        <f t="shared" si="87"/>
        <v>-105</v>
      </c>
      <c r="T40" s="43">
        <f t="shared" si="87"/>
        <v>-105</v>
      </c>
      <c r="U40" s="3">
        <f t="shared" si="87"/>
        <v>-105</v>
      </c>
      <c r="V40" s="3">
        <f t="shared" si="87"/>
        <v>-105</v>
      </c>
      <c r="W40" s="3">
        <f t="shared" si="87"/>
        <v>-105</v>
      </c>
      <c r="X40" s="3">
        <f t="shared" si="87"/>
        <v>-105</v>
      </c>
      <c r="Y40" s="43">
        <f t="shared" si="87"/>
        <v>-105</v>
      </c>
      <c r="Z40" s="3">
        <f t="shared" si="87"/>
        <v>-76.125</v>
      </c>
      <c r="AA40" s="3">
        <f t="shared" si="87"/>
        <v>-85.75</v>
      </c>
      <c r="AB40" s="3">
        <f t="shared" ref="AB40:AI40" si="88">AB24*AB12/1000</f>
        <v>-105</v>
      </c>
      <c r="AC40" s="3">
        <f t="shared" si="88"/>
        <v>-143.5</v>
      </c>
      <c r="AD40" s="43">
        <f t="shared" si="88"/>
        <v>-220.50000000000003</v>
      </c>
      <c r="AE40" s="3">
        <f t="shared" si="88"/>
        <v>-105</v>
      </c>
      <c r="AF40" s="3">
        <f t="shared" si="88"/>
        <v>-105</v>
      </c>
      <c r="AG40" s="3">
        <f t="shared" si="88"/>
        <v>-105</v>
      </c>
      <c r="AH40" s="3">
        <f t="shared" si="88"/>
        <v>-105</v>
      </c>
      <c r="AI40" s="43">
        <f t="shared" si="88"/>
        <v>-105</v>
      </c>
    </row>
    <row r="41" spans="1:35" hidden="1" outlineLevel="2" x14ac:dyDescent="0.25">
      <c r="A41" t="s">
        <v>120</v>
      </c>
      <c r="B41" t="s">
        <v>4</v>
      </c>
      <c r="C41" s="3">
        <f t="shared" ref="C41:O41" si="89">C27*C18/1000</f>
        <v>0</v>
      </c>
      <c r="D41" s="3">
        <f t="shared" si="89"/>
        <v>0</v>
      </c>
      <c r="E41" s="3">
        <f t="shared" si="89"/>
        <v>0</v>
      </c>
      <c r="F41" s="3">
        <f t="shared" si="89"/>
        <v>0</v>
      </c>
      <c r="G41" s="3">
        <f t="shared" si="89"/>
        <v>0</v>
      </c>
      <c r="H41" s="3">
        <f t="shared" si="89"/>
        <v>0</v>
      </c>
      <c r="I41" s="3">
        <f t="shared" si="89"/>
        <v>-37.5</v>
      </c>
      <c r="J41" s="3">
        <f t="shared" si="89"/>
        <v>0</v>
      </c>
      <c r="K41" s="3">
        <f t="shared" si="89"/>
        <v>-80.110612666539723</v>
      </c>
      <c r="L41" s="3">
        <f t="shared" si="89"/>
        <v>0</v>
      </c>
      <c r="M41" s="3">
        <f>M27*M18/1000</f>
        <v>-80.110612666539723</v>
      </c>
      <c r="N41" s="3">
        <f t="shared" si="89"/>
        <v>-80.110612666539723</v>
      </c>
      <c r="O41" s="3">
        <f t="shared" si="89"/>
        <v>-80.110612666539723</v>
      </c>
      <c r="P41" s="3">
        <f t="shared" ref="P41:AA41" si="90">P27*P18/1000</f>
        <v>-80.110612666539723</v>
      </c>
      <c r="Q41" s="3">
        <f t="shared" si="90"/>
        <v>-80.110612666539723</v>
      </c>
      <c r="R41" s="3">
        <f t="shared" si="90"/>
        <v>-80.110612666539723</v>
      </c>
      <c r="S41" s="3">
        <f t="shared" si="90"/>
        <v>-80.110612666539723</v>
      </c>
      <c r="T41" s="43">
        <f t="shared" si="90"/>
        <v>-80.110612666539723</v>
      </c>
      <c r="U41" s="3">
        <f t="shared" si="90"/>
        <v>-80.110612666539723</v>
      </c>
      <c r="V41" s="3">
        <f t="shared" si="90"/>
        <v>-80.110612666539723</v>
      </c>
      <c r="W41" s="3">
        <f t="shared" si="90"/>
        <v>-80.110612666539723</v>
      </c>
      <c r="X41" s="3">
        <f t="shared" si="90"/>
        <v>-80.110612666539723</v>
      </c>
      <c r="Y41" s="43">
        <f t="shared" si="90"/>
        <v>-80.110612666539723</v>
      </c>
      <c r="Z41" s="3">
        <f t="shared" si="90"/>
        <v>360.49775699942876</v>
      </c>
      <c r="AA41" s="3">
        <f t="shared" si="90"/>
        <v>213.62830044410592</v>
      </c>
      <c r="AB41" s="3">
        <f t="shared" ref="AB41:AI41" si="91">AB27*AB18/1000</f>
        <v>-80.110612666539723</v>
      </c>
      <c r="AC41" s="3">
        <f t="shared" si="91"/>
        <v>-667.58843888783099</v>
      </c>
      <c r="AD41" s="43">
        <f t="shared" si="91"/>
        <v>-1842.5440913304135</v>
      </c>
      <c r="AE41" s="3">
        <f t="shared" si="91"/>
        <v>-80.110612666539723</v>
      </c>
      <c r="AF41" s="3">
        <f t="shared" si="91"/>
        <v>-80.110612666539723</v>
      </c>
      <c r="AG41" s="3">
        <f t="shared" si="91"/>
        <v>-80.110612666539723</v>
      </c>
      <c r="AH41" s="3">
        <f t="shared" si="91"/>
        <v>-80.110612666539723</v>
      </c>
      <c r="AI41" s="43">
        <f t="shared" si="91"/>
        <v>-80.110612666539723</v>
      </c>
    </row>
    <row r="42" spans="1:35" hidden="1" outlineLevel="2" x14ac:dyDescent="0.25">
      <c r="A42" t="s">
        <v>121</v>
      </c>
      <c r="B42" t="s">
        <v>4</v>
      </c>
      <c r="C42" s="3">
        <f t="shared" ref="C42:O42" si="92">-C25*C11/1000</f>
        <v>0</v>
      </c>
      <c r="D42" s="3">
        <f t="shared" si="92"/>
        <v>0</v>
      </c>
      <c r="E42" s="3">
        <f t="shared" si="92"/>
        <v>227.49999999999997</v>
      </c>
      <c r="F42" s="3">
        <f t="shared" si="92"/>
        <v>0</v>
      </c>
      <c r="G42" s="3">
        <f t="shared" si="92"/>
        <v>227.49999999999997</v>
      </c>
      <c r="H42" s="3">
        <f t="shared" si="92"/>
        <v>227.49999999999997</v>
      </c>
      <c r="I42" s="3">
        <f t="shared" si="92"/>
        <v>227.49999999999997</v>
      </c>
      <c r="J42" s="3">
        <f t="shared" si="92"/>
        <v>0</v>
      </c>
      <c r="K42" s="3">
        <f t="shared" si="92"/>
        <v>0</v>
      </c>
      <c r="L42" s="3">
        <f t="shared" si="92"/>
        <v>0</v>
      </c>
      <c r="M42" s="3">
        <f>-M25*M11/1000</f>
        <v>0</v>
      </c>
      <c r="N42" s="3">
        <f t="shared" si="92"/>
        <v>227.49999999999997</v>
      </c>
      <c r="O42" s="3">
        <f t="shared" si="92"/>
        <v>4550</v>
      </c>
      <c r="P42" s="3">
        <f t="shared" ref="P42:AA42" si="93">-P25*P11/1000</f>
        <v>227.49999999999997</v>
      </c>
      <c r="Q42" s="3">
        <f t="shared" si="93"/>
        <v>227.49999999999997</v>
      </c>
      <c r="R42" s="3">
        <f t="shared" si="93"/>
        <v>227.49999999999997</v>
      </c>
      <c r="S42" s="3">
        <f t="shared" si="93"/>
        <v>227.49999999999997</v>
      </c>
      <c r="T42" s="43">
        <f t="shared" si="93"/>
        <v>227.49999999999997</v>
      </c>
      <c r="U42" s="3">
        <f t="shared" si="93"/>
        <v>227.49999999999997</v>
      </c>
      <c r="V42" s="3">
        <f t="shared" si="93"/>
        <v>227.49999999999997</v>
      </c>
      <c r="W42" s="3">
        <f t="shared" si="93"/>
        <v>227.49999999999997</v>
      </c>
      <c r="X42" s="3">
        <f t="shared" si="93"/>
        <v>227.49999999999997</v>
      </c>
      <c r="Y42" s="43">
        <f t="shared" si="93"/>
        <v>227.49999999999997</v>
      </c>
      <c r="Z42" s="3">
        <f t="shared" si="93"/>
        <v>227.49999999999997</v>
      </c>
      <c r="AA42" s="3">
        <f t="shared" si="93"/>
        <v>227.49999999999997</v>
      </c>
      <c r="AB42" s="3">
        <f t="shared" ref="AB42:AI42" si="94">-AB25*AB11/1000</f>
        <v>227.49999999999997</v>
      </c>
      <c r="AC42" s="3">
        <f t="shared" si="94"/>
        <v>227.49999999999997</v>
      </c>
      <c r="AD42" s="43">
        <f t="shared" si="94"/>
        <v>227.49999999999997</v>
      </c>
      <c r="AE42" s="3">
        <f t="shared" si="94"/>
        <v>227.49999999999997</v>
      </c>
      <c r="AF42" s="3">
        <f t="shared" si="94"/>
        <v>227.49999999999997</v>
      </c>
      <c r="AG42" s="3">
        <f t="shared" si="94"/>
        <v>227.49999999999997</v>
      </c>
      <c r="AH42" s="3">
        <f t="shared" si="94"/>
        <v>227.49999999999997</v>
      </c>
      <c r="AI42" s="43">
        <f t="shared" si="94"/>
        <v>227.49999999999997</v>
      </c>
    </row>
    <row r="43" spans="1:35" hidden="1" outlineLevel="2" x14ac:dyDescent="0.25">
      <c r="A43" t="s">
        <v>122</v>
      </c>
      <c r="B43" t="s">
        <v>4</v>
      </c>
      <c r="C43" s="3">
        <f t="shared" ref="C43:O43" si="95">-C28*C17/1000</f>
        <v>0</v>
      </c>
      <c r="D43" s="3">
        <f t="shared" si="95"/>
        <v>0</v>
      </c>
      <c r="E43" s="3">
        <f t="shared" si="95"/>
        <v>0</v>
      </c>
      <c r="F43" s="3">
        <f t="shared" si="95"/>
        <v>0</v>
      </c>
      <c r="G43" s="3">
        <f t="shared" si="95"/>
        <v>0</v>
      </c>
      <c r="H43" s="3">
        <f t="shared" si="95"/>
        <v>-1625</v>
      </c>
      <c r="I43" s="3">
        <f t="shared" si="95"/>
        <v>0</v>
      </c>
      <c r="J43" s="3">
        <f t="shared" si="95"/>
        <v>0</v>
      </c>
      <c r="K43" s="3">
        <f t="shared" si="95"/>
        <v>0</v>
      </c>
      <c r="L43" s="3">
        <f t="shared" si="95"/>
        <v>5207.1898233250813</v>
      </c>
      <c r="M43" s="3">
        <f>-M28*M17/1000</f>
        <v>5207.1898233250813</v>
      </c>
      <c r="N43" s="3">
        <f t="shared" si="95"/>
        <v>5207.1898233250813</v>
      </c>
      <c r="O43" s="3">
        <f t="shared" si="95"/>
        <v>5207.1898233250813</v>
      </c>
      <c r="P43" s="3">
        <f t="shared" ref="P43:AA43" si="96">-P28*P17/1000</f>
        <v>5207.1898233250813</v>
      </c>
      <c r="Q43" s="3">
        <f t="shared" si="96"/>
        <v>5207.1898233250813</v>
      </c>
      <c r="R43" s="3">
        <f t="shared" si="96"/>
        <v>5207.1898233250813</v>
      </c>
      <c r="S43" s="3">
        <f t="shared" si="96"/>
        <v>5207.1898233250813</v>
      </c>
      <c r="T43" s="43">
        <f t="shared" si="96"/>
        <v>5207.1898233250813</v>
      </c>
      <c r="U43" s="3">
        <f t="shared" si="96"/>
        <v>5207.1898233250813</v>
      </c>
      <c r="V43" s="3">
        <f t="shared" si="96"/>
        <v>5207.1898233250813</v>
      </c>
      <c r="W43" s="3">
        <f t="shared" si="96"/>
        <v>5207.1898233250813</v>
      </c>
      <c r="X43" s="3">
        <f t="shared" si="96"/>
        <v>5207.1898233250813</v>
      </c>
      <c r="Y43" s="43">
        <f t="shared" si="96"/>
        <v>5207.1898233250813</v>
      </c>
      <c r="Z43" s="3">
        <f t="shared" si="96"/>
        <v>5207.1898233250813</v>
      </c>
      <c r="AA43" s="3">
        <f t="shared" si="96"/>
        <v>5207.1898233250813</v>
      </c>
      <c r="AB43" s="3">
        <f t="shared" ref="AB43:AI43" si="97">-AB28*AB17/1000</f>
        <v>5207.1898233250813</v>
      </c>
      <c r="AC43" s="3">
        <f t="shared" si="97"/>
        <v>5207.1898233250813</v>
      </c>
      <c r="AD43" s="43">
        <f t="shared" si="97"/>
        <v>5207.1898233250813</v>
      </c>
      <c r="AE43" s="3">
        <f t="shared" si="97"/>
        <v>5207.1898233250813</v>
      </c>
      <c r="AF43" s="3">
        <f t="shared" si="97"/>
        <v>5207.1898233250813</v>
      </c>
      <c r="AG43" s="3">
        <f t="shared" si="97"/>
        <v>5207.1898233250813</v>
      </c>
      <c r="AH43" s="3">
        <f t="shared" si="97"/>
        <v>5207.1898233250813</v>
      </c>
      <c r="AI43" s="43">
        <f t="shared" si="97"/>
        <v>5207.1898233250813</v>
      </c>
    </row>
    <row r="44" spans="1:35" collapsed="1" x14ac:dyDescent="0.25">
      <c r="A44" t="s">
        <v>83</v>
      </c>
      <c r="B44" t="s">
        <v>4</v>
      </c>
      <c r="C44" s="3">
        <f>SUM(C40:C43)</f>
        <v>0</v>
      </c>
      <c r="D44" s="3">
        <f t="shared" ref="D44:O44" si="98">SUM(D40:D43)</f>
        <v>0</v>
      </c>
      <c r="E44" s="3">
        <f t="shared" si="98"/>
        <v>227.49999999999997</v>
      </c>
      <c r="F44" s="3">
        <f t="shared" si="98"/>
        <v>-105</v>
      </c>
      <c r="G44" s="3">
        <f t="shared" si="98"/>
        <v>122.49999999999997</v>
      </c>
      <c r="H44" s="3">
        <f t="shared" si="98"/>
        <v>-1502.5</v>
      </c>
      <c r="I44" s="3">
        <f t="shared" si="98"/>
        <v>84.999999999999972</v>
      </c>
      <c r="J44" s="3">
        <f t="shared" si="98"/>
        <v>0</v>
      </c>
      <c r="K44" s="3">
        <f t="shared" si="98"/>
        <v>-80.110612666539723</v>
      </c>
      <c r="L44" s="3">
        <f t="shared" si="98"/>
        <v>5207.1898233250813</v>
      </c>
      <c r="M44" s="3">
        <f>SUM(M40:M43)</f>
        <v>5127.0792106585413</v>
      </c>
      <c r="N44" s="3">
        <f t="shared" si="98"/>
        <v>5249.5792106585413</v>
      </c>
      <c r="O44" s="3">
        <f t="shared" si="98"/>
        <v>7577.0792106585413</v>
      </c>
      <c r="P44" s="3">
        <f t="shared" ref="P44:AA44" si="99">SUM(P40:P43)</f>
        <v>5249.5792106585413</v>
      </c>
      <c r="Q44" s="3">
        <f t="shared" si="99"/>
        <v>5249.5792106585413</v>
      </c>
      <c r="R44" s="3">
        <f t="shared" si="99"/>
        <v>5249.5792106585413</v>
      </c>
      <c r="S44" s="3">
        <f t="shared" si="99"/>
        <v>5249.5792106585413</v>
      </c>
      <c r="T44" s="43">
        <f t="shared" si="99"/>
        <v>5249.5792106585413</v>
      </c>
      <c r="U44" s="3">
        <f t="shared" si="99"/>
        <v>5249.5792106585413</v>
      </c>
      <c r="V44" s="3">
        <f t="shared" si="99"/>
        <v>5249.5792106585413</v>
      </c>
      <c r="W44" s="3">
        <f t="shared" si="99"/>
        <v>5249.5792106585413</v>
      </c>
      <c r="X44" s="3">
        <f t="shared" si="99"/>
        <v>5249.5792106585413</v>
      </c>
      <c r="Y44" s="43">
        <f t="shared" si="99"/>
        <v>5249.5792106585413</v>
      </c>
      <c r="Z44" s="3">
        <f t="shared" si="99"/>
        <v>5719.0625803245102</v>
      </c>
      <c r="AA44" s="3">
        <f t="shared" si="99"/>
        <v>5562.568123769187</v>
      </c>
      <c r="AB44" s="3">
        <f t="shared" ref="AB44:AI44" si="100">SUM(AB40:AB43)</f>
        <v>5249.5792106585413</v>
      </c>
      <c r="AC44" s="3">
        <f t="shared" si="100"/>
        <v>4623.6013844372501</v>
      </c>
      <c r="AD44" s="43">
        <f t="shared" si="100"/>
        <v>3371.6457319946676</v>
      </c>
      <c r="AE44" s="3">
        <f t="shared" si="100"/>
        <v>5249.5792106585413</v>
      </c>
      <c r="AF44" s="3">
        <f t="shared" si="100"/>
        <v>5249.5792106585413</v>
      </c>
      <c r="AG44" s="3">
        <f t="shared" si="100"/>
        <v>5249.5792106585413</v>
      </c>
      <c r="AH44" s="3">
        <f t="shared" si="100"/>
        <v>5249.5792106585413</v>
      </c>
      <c r="AI44" s="43">
        <f t="shared" si="100"/>
        <v>5249.5792106585413</v>
      </c>
    </row>
    <row r="45" spans="1:35" hidden="1" outlineLevel="2" x14ac:dyDescent="0.25">
      <c r="A45" t="s">
        <v>124</v>
      </c>
      <c r="B45" t="s">
        <v>19</v>
      </c>
      <c r="C45" s="3">
        <f>-(C$26+C$29)/4</f>
        <v>212.5</v>
      </c>
      <c r="D45" s="3">
        <f t="shared" ref="D45:AI45" si="101">-(D$26+D$29)/4</f>
        <v>425</v>
      </c>
      <c r="E45" s="3">
        <f t="shared" si="101"/>
        <v>212.5</v>
      </c>
      <c r="F45" s="3">
        <f t="shared" si="101"/>
        <v>212.5</v>
      </c>
      <c r="G45" s="3">
        <f t="shared" si="101"/>
        <v>425</v>
      </c>
      <c r="H45" s="3">
        <f t="shared" si="101"/>
        <v>425</v>
      </c>
      <c r="I45" s="3">
        <f t="shared" si="101"/>
        <v>425</v>
      </c>
      <c r="J45" s="3">
        <f t="shared" si="101"/>
        <v>-572.89816339744823</v>
      </c>
      <c r="K45" s="3">
        <f t="shared" si="101"/>
        <v>212.5</v>
      </c>
      <c r="L45" s="3">
        <f t="shared" si="101"/>
        <v>212.5</v>
      </c>
      <c r="M45" s="3">
        <f t="shared" si="101"/>
        <v>-572.89816339744823</v>
      </c>
      <c r="N45" s="3">
        <f t="shared" si="101"/>
        <v>-360.39816339744823</v>
      </c>
      <c r="O45" s="3">
        <f t="shared" si="101"/>
        <v>-5035.3981633974481</v>
      </c>
      <c r="P45" s="3">
        <f t="shared" si="101"/>
        <v>-360.39816339744823</v>
      </c>
      <c r="Q45" s="3">
        <f t="shared" si="101"/>
        <v>-360.39816339744823</v>
      </c>
      <c r="R45" s="3">
        <f t="shared" si="101"/>
        <v>-360.39816339744823</v>
      </c>
      <c r="S45" s="3">
        <f t="shared" si="101"/>
        <v>-360.39816339744823</v>
      </c>
      <c r="T45" s="43">
        <f t="shared" si="101"/>
        <v>-360.39816339744823</v>
      </c>
      <c r="U45" s="3">
        <f t="shared" si="101"/>
        <v>-360.39816339744823</v>
      </c>
      <c r="V45" s="3">
        <f t="shared" si="101"/>
        <v>-360.39816339744823</v>
      </c>
      <c r="W45" s="3">
        <f t="shared" si="101"/>
        <v>-360.39816339744823</v>
      </c>
      <c r="X45" s="3">
        <f t="shared" si="101"/>
        <v>-360.39816339744823</v>
      </c>
      <c r="Y45" s="43">
        <f t="shared" si="101"/>
        <v>-360.39816339744823</v>
      </c>
      <c r="Z45" s="3">
        <f t="shared" si="101"/>
        <v>-360.39816339744823</v>
      </c>
      <c r="AA45" s="3">
        <f t="shared" si="101"/>
        <v>-360.39816339744823</v>
      </c>
      <c r="AB45" s="3">
        <f t="shared" si="101"/>
        <v>-360.39816339744823</v>
      </c>
      <c r="AC45" s="3">
        <f t="shared" si="101"/>
        <v>-360.39816339744823</v>
      </c>
      <c r="AD45" s="43">
        <f t="shared" si="101"/>
        <v>-360.39816339744823</v>
      </c>
      <c r="AE45" s="3">
        <f t="shared" si="101"/>
        <v>-360.39816339744823</v>
      </c>
      <c r="AF45" s="3">
        <f t="shared" si="101"/>
        <v>-360.39816339744823</v>
      </c>
      <c r="AG45" s="3">
        <f t="shared" si="101"/>
        <v>-360.39816339744823</v>
      </c>
      <c r="AH45" s="3">
        <f t="shared" si="101"/>
        <v>-360.39816339744823</v>
      </c>
      <c r="AI45" s="43">
        <f t="shared" si="101"/>
        <v>-360.39816339744823</v>
      </c>
    </row>
    <row r="46" spans="1:35" hidden="1" outlineLevel="2" x14ac:dyDescent="0.25">
      <c r="A46" t="s">
        <v>125</v>
      </c>
      <c r="B46" t="s">
        <v>19</v>
      </c>
      <c r="C46" s="3">
        <f t="shared" ref="C46:Q46" si="102">C$34*1000/C$6/2</f>
        <v>181.0344827586207</v>
      </c>
      <c r="D46" s="3">
        <f t="shared" si="102"/>
        <v>362.06896551724139</v>
      </c>
      <c r="E46" s="3">
        <f t="shared" si="102"/>
        <v>626.72413793103453</v>
      </c>
      <c r="F46" s="3">
        <f t="shared" si="102"/>
        <v>181.0344827586207</v>
      </c>
      <c r="G46" s="3">
        <f t="shared" si="102"/>
        <v>807.75862068965512</v>
      </c>
      <c r="H46" s="3">
        <f t="shared" si="102"/>
        <v>376.72413793103448</v>
      </c>
      <c r="I46" s="3">
        <f t="shared" si="102"/>
        <v>807.75862068965512</v>
      </c>
      <c r="J46" s="3">
        <f t="shared" si="102"/>
        <v>99.78639688991916</v>
      </c>
      <c r="K46" s="3">
        <f t="shared" si="102"/>
        <v>181.0344827586207</v>
      </c>
      <c r="L46" s="3">
        <f t="shared" si="102"/>
        <v>1562.2519425265468</v>
      </c>
      <c r="M46" s="3">
        <f t="shared" si="102"/>
        <v>1481.0038566578453</v>
      </c>
      <c r="N46" s="3">
        <f t="shared" si="102"/>
        <v>2107.7279945888799</v>
      </c>
      <c r="O46" s="3">
        <f t="shared" si="102"/>
        <v>6593.0728221750869</v>
      </c>
      <c r="P46" s="3">
        <f t="shared" si="102"/>
        <v>2107.7279945888799</v>
      </c>
      <c r="Q46" s="3">
        <f t="shared" si="102"/>
        <v>2107.7279945888799</v>
      </c>
      <c r="R46" s="3">
        <f t="shared" ref="R46:AI46" si="103">R$34*1000/R$6/2</f>
        <v>2107.7279945888799</v>
      </c>
      <c r="S46" s="3">
        <f t="shared" si="103"/>
        <v>2107.7279945888799</v>
      </c>
      <c r="T46" s="43">
        <f t="shared" si="103"/>
        <v>2107.7279945888799</v>
      </c>
      <c r="U46" s="3">
        <f t="shared" si="103"/>
        <v>8430.9119783555198</v>
      </c>
      <c r="V46" s="3">
        <f t="shared" si="103"/>
        <v>4215.4559891777599</v>
      </c>
      <c r="W46" s="3">
        <f t="shared" si="103"/>
        <v>2107.7279945888799</v>
      </c>
      <c r="X46" s="3">
        <f t="shared" si="103"/>
        <v>1053.86399729444</v>
      </c>
      <c r="Y46" s="43">
        <f t="shared" si="103"/>
        <v>526.93199864721998</v>
      </c>
      <c r="Z46" s="3">
        <f t="shared" si="103"/>
        <v>2455.0235013494971</v>
      </c>
      <c r="AA46" s="3">
        <f t="shared" si="103"/>
        <v>2339.2583324292909</v>
      </c>
      <c r="AB46" s="3">
        <f t="shared" si="103"/>
        <v>2107.7279945888799</v>
      </c>
      <c r="AC46" s="3">
        <f t="shared" si="103"/>
        <v>1644.667318908057</v>
      </c>
      <c r="AD46" s="43">
        <f t="shared" si="103"/>
        <v>718.54596754641148</v>
      </c>
      <c r="AE46" s="3">
        <f t="shared" si="103"/>
        <v>2614.6245463130176</v>
      </c>
      <c r="AF46" s="3">
        <f t="shared" si="103"/>
        <v>2276.693511830259</v>
      </c>
      <c r="AG46" s="3">
        <f t="shared" si="103"/>
        <v>2107.7279945888799</v>
      </c>
      <c r="AH46" s="3">
        <f t="shared" si="103"/>
        <v>2023.2452359681902</v>
      </c>
      <c r="AI46" s="43">
        <f t="shared" si="103"/>
        <v>1981.0038566578453</v>
      </c>
    </row>
    <row r="47" spans="1:35" hidden="1" outlineLevel="2" x14ac:dyDescent="0.25">
      <c r="A47" t="s">
        <v>126</v>
      </c>
      <c r="B47" t="s">
        <v>19</v>
      </c>
      <c r="C47" s="3">
        <f t="shared" ref="C47:Q47" si="104">-C$39*1000/C$5/2</f>
        <v>-73.387096774193537</v>
      </c>
      <c r="D47" s="3">
        <f t="shared" si="104"/>
        <v>-146.77419354838707</v>
      </c>
      <c r="E47" s="3">
        <f t="shared" si="104"/>
        <v>-73.387096774193537</v>
      </c>
      <c r="F47" s="3">
        <f t="shared" si="104"/>
        <v>-156.7741935483871</v>
      </c>
      <c r="G47" s="3">
        <f t="shared" si="104"/>
        <v>-230.16129032258064</v>
      </c>
      <c r="H47" s="3">
        <f t="shared" si="104"/>
        <v>-230.16129032258064</v>
      </c>
      <c r="I47" s="3">
        <f t="shared" si="104"/>
        <v>-310.80645161290323</v>
      </c>
      <c r="J47" s="3">
        <f t="shared" si="104"/>
        <v>585.33394349463401</v>
      </c>
      <c r="K47" s="3">
        <f t="shared" si="104"/>
        <v>-245.66798422911768</v>
      </c>
      <c r="L47" s="3">
        <f t="shared" si="104"/>
        <v>-73.387096774193537</v>
      </c>
      <c r="M47" s="3">
        <f t="shared" si="104"/>
        <v>413.05305603970976</v>
      </c>
      <c r="N47" s="3">
        <f t="shared" si="104"/>
        <v>256.27886249132268</v>
      </c>
      <c r="O47" s="3">
        <f t="shared" si="104"/>
        <v>286.44015281390341</v>
      </c>
      <c r="P47" s="3">
        <f t="shared" si="104"/>
        <v>1025.1154499652907</v>
      </c>
      <c r="Q47" s="3">
        <f t="shared" si="104"/>
        <v>512.55772498264537</v>
      </c>
      <c r="R47" s="3">
        <f t="shared" ref="R47:AI47" si="105">-R$39*1000/R$5/2</f>
        <v>256.27886249132268</v>
      </c>
      <c r="S47" s="3">
        <f t="shared" si="105"/>
        <v>128.13943124566134</v>
      </c>
      <c r="T47" s="43">
        <f t="shared" si="105"/>
        <v>64.069715622830671</v>
      </c>
      <c r="U47" s="3">
        <f t="shared" si="105"/>
        <v>256.27886249132268</v>
      </c>
      <c r="V47" s="3">
        <f t="shared" si="105"/>
        <v>256.27886249132268</v>
      </c>
      <c r="W47" s="3">
        <f t="shared" si="105"/>
        <v>256.27886249132268</v>
      </c>
      <c r="X47" s="3">
        <f t="shared" si="105"/>
        <v>256.27886249132268</v>
      </c>
      <c r="Y47" s="43">
        <f t="shared" si="105"/>
        <v>256.27886249132268</v>
      </c>
      <c r="Z47" s="3">
        <f t="shared" si="105"/>
        <v>256.27886249132268</v>
      </c>
      <c r="AA47" s="3">
        <f t="shared" si="105"/>
        <v>256.27886249132268</v>
      </c>
      <c r="AB47" s="3">
        <f t="shared" si="105"/>
        <v>256.27886249132268</v>
      </c>
      <c r="AC47" s="3">
        <f t="shared" si="105"/>
        <v>256.27886249132268</v>
      </c>
      <c r="AD47" s="43">
        <f t="shared" si="105"/>
        <v>256.27886249132268</v>
      </c>
      <c r="AE47" s="3">
        <f t="shared" si="105"/>
        <v>161.44015281390335</v>
      </c>
      <c r="AF47" s="3">
        <f t="shared" si="105"/>
        <v>224.66595926551625</v>
      </c>
      <c r="AG47" s="3">
        <f t="shared" si="105"/>
        <v>256.27886249132268</v>
      </c>
      <c r="AH47" s="3">
        <f t="shared" si="105"/>
        <v>272.08531410422592</v>
      </c>
      <c r="AI47" s="43">
        <f t="shared" si="105"/>
        <v>279.98853991067756</v>
      </c>
    </row>
    <row r="48" spans="1:35" outlineLevel="1" collapsed="1" x14ac:dyDescent="0.25">
      <c r="A48" t="s">
        <v>123</v>
      </c>
      <c r="B48" t="s">
        <v>19</v>
      </c>
      <c r="C48" s="3">
        <f>SUM(C45:C47)</f>
        <v>320.14738598442716</v>
      </c>
      <c r="D48" s="3">
        <f t="shared" ref="D48:O48" si="106">SUM(D45:D47)</f>
        <v>640.29477196885432</v>
      </c>
      <c r="E48" s="3">
        <f t="shared" si="106"/>
        <v>765.837041156841</v>
      </c>
      <c r="F48" s="3">
        <f t="shared" si="106"/>
        <v>236.76028921023359</v>
      </c>
      <c r="G48" s="3">
        <f t="shared" si="106"/>
        <v>1002.5973303670745</v>
      </c>
      <c r="H48" s="3">
        <f t="shared" si="106"/>
        <v>571.56284760845381</v>
      </c>
      <c r="I48" s="3">
        <f t="shared" si="106"/>
        <v>921.95216907675194</v>
      </c>
      <c r="J48" s="3">
        <f t="shared" si="106"/>
        <v>112.22217698710494</v>
      </c>
      <c r="K48" s="3">
        <f t="shared" si="106"/>
        <v>147.86649852950302</v>
      </c>
      <c r="L48" s="3">
        <f t="shared" si="106"/>
        <v>1701.3648457523532</v>
      </c>
      <c r="M48" s="3">
        <f>SUM(M45:M47)</f>
        <v>1321.1587493001068</v>
      </c>
      <c r="N48" s="3">
        <f t="shared" si="106"/>
        <v>2003.6086936827546</v>
      </c>
      <c r="O48" s="3">
        <f t="shared" si="106"/>
        <v>1844.1148115915421</v>
      </c>
      <c r="P48" s="3">
        <f t="shared" ref="P48:AA48" si="107">SUM(P45:P47)</f>
        <v>2772.4452811567226</v>
      </c>
      <c r="Q48" s="3">
        <f t="shared" si="107"/>
        <v>2259.887556174077</v>
      </c>
      <c r="R48" s="3">
        <f t="shared" si="107"/>
        <v>2003.6086936827546</v>
      </c>
      <c r="S48" s="3">
        <f t="shared" si="107"/>
        <v>1875.4692624370932</v>
      </c>
      <c r="T48" s="43">
        <f t="shared" si="107"/>
        <v>1811.3995468142625</v>
      </c>
      <c r="U48" s="3">
        <f t="shared" si="107"/>
        <v>8326.7926774493935</v>
      </c>
      <c r="V48" s="3">
        <f t="shared" si="107"/>
        <v>4111.3366882716346</v>
      </c>
      <c r="W48" s="3">
        <f t="shared" si="107"/>
        <v>2003.6086936827546</v>
      </c>
      <c r="X48" s="3">
        <f t="shared" si="107"/>
        <v>949.74469638831442</v>
      </c>
      <c r="Y48" s="43">
        <f t="shared" si="107"/>
        <v>422.81269774109444</v>
      </c>
      <c r="Z48" s="3">
        <f t="shared" si="107"/>
        <v>2350.9042004433718</v>
      </c>
      <c r="AA48" s="3">
        <f t="shared" si="107"/>
        <v>2235.1390315231656</v>
      </c>
      <c r="AB48" s="3">
        <f t="shared" ref="AB48:AI48" si="108">SUM(AB45:AB47)</f>
        <v>2003.6086936827546</v>
      </c>
      <c r="AC48" s="3">
        <f t="shared" si="108"/>
        <v>1540.5480180019317</v>
      </c>
      <c r="AD48" s="43">
        <f t="shared" si="108"/>
        <v>614.42666664028593</v>
      </c>
      <c r="AE48" s="3">
        <f t="shared" si="108"/>
        <v>2415.6665357294728</v>
      </c>
      <c r="AF48" s="3">
        <f t="shared" si="108"/>
        <v>2140.9613076983273</v>
      </c>
      <c r="AG48" s="3">
        <f t="shared" si="108"/>
        <v>2003.6086936827546</v>
      </c>
      <c r="AH48" s="3">
        <f t="shared" si="108"/>
        <v>1934.932386674968</v>
      </c>
      <c r="AI48" s="43">
        <f t="shared" si="108"/>
        <v>1900.5942331710744</v>
      </c>
    </row>
    <row r="49" spans="1:35" hidden="1" outlineLevel="2" x14ac:dyDescent="0.25">
      <c r="A49" t="s">
        <v>127</v>
      </c>
      <c r="B49" t="s">
        <v>19</v>
      </c>
      <c r="C49" s="3">
        <f>-(C$26+C$29)/4</f>
        <v>212.5</v>
      </c>
      <c r="D49" s="3">
        <f t="shared" ref="D49:AI49" si="109">-(D$26+D$29)/4</f>
        <v>425</v>
      </c>
      <c r="E49" s="3">
        <f t="shared" si="109"/>
        <v>212.5</v>
      </c>
      <c r="F49" s="3">
        <f t="shared" si="109"/>
        <v>212.5</v>
      </c>
      <c r="G49" s="3">
        <f t="shared" si="109"/>
        <v>425</v>
      </c>
      <c r="H49" s="3">
        <f t="shared" si="109"/>
        <v>425</v>
      </c>
      <c r="I49" s="3">
        <f t="shared" si="109"/>
        <v>425</v>
      </c>
      <c r="J49" s="3">
        <f t="shared" si="109"/>
        <v>-572.89816339744823</v>
      </c>
      <c r="K49" s="3">
        <f t="shared" si="109"/>
        <v>212.5</v>
      </c>
      <c r="L49" s="3">
        <f t="shared" si="109"/>
        <v>212.5</v>
      </c>
      <c r="M49" s="3">
        <f t="shared" si="109"/>
        <v>-572.89816339744823</v>
      </c>
      <c r="N49" s="3">
        <f t="shared" si="109"/>
        <v>-360.39816339744823</v>
      </c>
      <c r="O49" s="3">
        <f t="shared" si="109"/>
        <v>-5035.3981633974481</v>
      </c>
      <c r="P49" s="3">
        <f t="shared" si="109"/>
        <v>-360.39816339744823</v>
      </c>
      <c r="Q49" s="3">
        <f t="shared" si="109"/>
        <v>-360.39816339744823</v>
      </c>
      <c r="R49" s="3">
        <f t="shared" si="109"/>
        <v>-360.39816339744823</v>
      </c>
      <c r="S49" s="3">
        <f t="shared" si="109"/>
        <v>-360.39816339744823</v>
      </c>
      <c r="T49" s="43">
        <f t="shared" si="109"/>
        <v>-360.39816339744823</v>
      </c>
      <c r="U49" s="3">
        <f t="shared" si="109"/>
        <v>-360.39816339744823</v>
      </c>
      <c r="V49" s="3">
        <f t="shared" si="109"/>
        <v>-360.39816339744823</v>
      </c>
      <c r="W49" s="3">
        <f t="shared" si="109"/>
        <v>-360.39816339744823</v>
      </c>
      <c r="X49" s="3">
        <f t="shared" si="109"/>
        <v>-360.39816339744823</v>
      </c>
      <c r="Y49" s="43">
        <f t="shared" si="109"/>
        <v>-360.39816339744823</v>
      </c>
      <c r="Z49" s="3">
        <f t="shared" si="109"/>
        <v>-360.39816339744823</v>
      </c>
      <c r="AA49" s="3">
        <f t="shared" si="109"/>
        <v>-360.39816339744823</v>
      </c>
      <c r="AB49" s="3">
        <f t="shared" si="109"/>
        <v>-360.39816339744823</v>
      </c>
      <c r="AC49" s="3">
        <f t="shared" si="109"/>
        <v>-360.39816339744823</v>
      </c>
      <c r="AD49" s="43">
        <f t="shared" si="109"/>
        <v>-360.39816339744823</v>
      </c>
      <c r="AE49" s="3">
        <f t="shared" si="109"/>
        <v>-360.39816339744823</v>
      </c>
      <c r="AF49" s="3">
        <f t="shared" si="109"/>
        <v>-360.39816339744823</v>
      </c>
      <c r="AG49" s="3">
        <f t="shared" si="109"/>
        <v>-360.39816339744823</v>
      </c>
      <c r="AH49" s="3">
        <f t="shared" si="109"/>
        <v>-360.39816339744823</v>
      </c>
      <c r="AI49" s="43">
        <f t="shared" si="109"/>
        <v>-360.39816339744823</v>
      </c>
    </row>
    <row r="50" spans="1:35" hidden="1" outlineLevel="2" x14ac:dyDescent="0.25">
      <c r="A50" t="s">
        <v>128</v>
      </c>
      <c r="B50" t="s">
        <v>19</v>
      </c>
      <c r="C50" s="3">
        <f t="shared" ref="C50:Q50" si="110">C$34*1000/C$6/2</f>
        <v>181.0344827586207</v>
      </c>
      <c r="D50" s="3">
        <f t="shared" si="110"/>
        <v>362.06896551724139</v>
      </c>
      <c r="E50" s="3">
        <f t="shared" si="110"/>
        <v>626.72413793103453</v>
      </c>
      <c r="F50" s="3">
        <f t="shared" si="110"/>
        <v>181.0344827586207</v>
      </c>
      <c r="G50" s="3">
        <f t="shared" si="110"/>
        <v>807.75862068965512</v>
      </c>
      <c r="H50" s="3">
        <f t="shared" si="110"/>
        <v>376.72413793103448</v>
      </c>
      <c r="I50" s="3">
        <f t="shared" si="110"/>
        <v>807.75862068965512</v>
      </c>
      <c r="J50" s="3">
        <f t="shared" si="110"/>
        <v>99.78639688991916</v>
      </c>
      <c r="K50" s="3">
        <f t="shared" si="110"/>
        <v>181.0344827586207</v>
      </c>
      <c r="L50" s="3">
        <f t="shared" si="110"/>
        <v>1562.2519425265468</v>
      </c>
      <c r="M50" s="3">
        <f t="shared" si="110"/>
        <v>1481.0038566578453</v>
      </c>
      <c r="N50" s="3">
        <f t="shared" si="110"/>
        <v>2107.7279945888799</v>
      </c>
      <c r="O50" s="3">
        <f t="shared" si="110"/>
        <v>6593.0728221750869</v>
      </c>
      <c r="P50" s="3">
        <f t="shared" si="110"/>
        <v>2107.7279945888799</v>
      </c>
      <c r="Q50" s="3">
        <f t="shared" si="110"/>
        <v>2107.7279945888799</v>
      </c>
      <c r="R50" s="3">
        <f t="shared" ref="R50:AI50" si="111">R$34*1000/R$6/2</f>
        <v>2107.7279945888799</v>
      </c>
      <c r="S50" s="3">
        <f t="shared" si="111"/>
        <v>2107.7279945888799</v>
      </c>
      <c r="T50" s="43">
        <f t="shared" si="111"/>
        <v>2107.7279945888799</v>
      </c>
      <c r="U50" s="3">
        <f t="shared" si="111"/>
        <v>8430.9119783555198</v>
      </c>
      <c r="V50" s="3">
        <f t="shared" si="111"/>
        <v>4215.4559891777599</v>
      </c>
      <c r="W50" s="3">
        <f t="shared" si="111"/>
        <v>2107.7279945888799</v>
      </c>
      <c r="X50" s="3">
        <f t="shared" si="111"/>
        <v>1053.86399729444</v>
      </c>
      <c r="Y50" s="43">
        <f t="shared" si="111"/>
        <v>526.93199864721998</v>
      </c>
      <c r="Z50" s="3">
        <f t="shared" si="111"/>
        <v>2455.0235013494971</v>
      </c>
      <c r="AA50" s="3">
        <f t="shared" si="111"/>
        <v>2339.2583324292909</v>
      </c>
      <c r="AB50" s="3">
        <f t="shared" si="111"/>
        <v>2107.7279945888799</v>
      </c>
      <c r="AC50" s="3">
        <f t="shared" si="111"/>
        <v>1644.667318908057</v>
      </c>
      <c r="AD50" s="43">
        <f t="shared" si="111"/>
        <v>718.54596754641148</v>
      </c>
      <c r="AE50" s="3">
        <f t="shared" si="111"/>
        <v>2614.6245463130176</v>
      </c>
      <c r="AF50" s="3">
        <f t="shared" si="111"/>
        <v>2276.693511830259</v>
      </c>
      <c r="AG50" s="3">
        <f t="shared" si="111"/>
        <v>2107.7279945888799</v>
      </c>
      <c r="AH50" s="3">
        <f t="shared" si="111"/>
        <v>2023.2452359681902</v>
      </c>
      <c r="AI50" s="43">
        <f t="shared" si="111"/>
        <v>1981.0038566578453</v>
      </c>
    </row>
    <row r="51" spans="1:35" hidden="1" outlineLevel="2" x14ac:dyDescent="0.25">
      <c r="A51" t="s">
        <v>129</v>
      </c>
      <c r="B51" t="s">
        <v>19</v>
      </c>
      <c r="C51" s="3">
        <f t="shared" ref="C51:Q51" si="112">C$39*1000/C$5/2</f>
        <v>73.387096774193537</v>
      </c>
      <c r="D51" s="3">
        <f t="shared" si="112"/>
        <v>146.77419354838707</v>
      </c>
      <c r="E51" s="3">
        <f t="shared" si="112"/>
        <v>73.387096774193537</v>
      </c>
      <c r="F51" s="3">
        <f t="shared" si="112"/>
        <v>156.7741935483871</v>
      </c>
      <c r="G51" s="3">
        <f t="shared" si="112"/>
        <v>230.16129032258064</v>
      </c>
      <c r="H51" s="3">
        <f t="shared" si="112"/>
        <v>230.16129032258064</v>
      </c>
      <c r="I51" s="3">
        <f t="shared" si="112"/>
        <v>310.80645161290323</v>
      </c>
      <c r="J51" s="3">
        <f t="shared" si="112"/>
        <v>-585.33394349463401</v>
      </c>
      <c r="K51" s="3">
        <f t="shared" si="112"/>
        <v>245.66798422911768</v>
      </c>
      <c r="L51" s="3">
        <f t="shared" si="112"/>
        <v>73.387096774193537</v>
      </c>
      <c r="M51" s="3">
        <f t="shared" si="112"/>
        <v>-413.05305603970976</v>
      </c>
      <c r="N51" s="3">
        <f t="shared" si="112"/>
        <v>-256.27886249132268</v>
      </c>
      <c r="O51" s="3">
        <f t="shared" si="112"/>
        <v>-286.44015281390341</v>
      </c>
      <c r="P51" s="3">
        <f t="shared" si="112"/>
        <v>-1025.1154499652907</v>
      </c>
      <c r="Q51" s="3">
        <f t="shared" si="112"/>
        <v>-512.55772498264537</v>
      </c>
      <c r="R51" s="3">
        <f t="shared" ref="R51:AI51" si="113">R$39*1000/R$5/2</f>
        <v>-256.27886249132268</v>
      </c>
      <c r="S51" s="3">
        <f t="shared" si="113"/>
        <v>-128.13943124566134</v>
      </c>
      <c r="T51" s="43">
        <f t="shared" si="113"/>
        <v>-64.069715622830671</v>
      </c>
      <c r="U51" s="3">
        <f t="shared" si="113"/>
        <v>-256.27886249132268</v>
      </c>
      <c r="V51" s="3">
        <f t="shared" si="113"/>
        <v>-256.27886249132268</v>
      </c>
      <c r="W51" s="3">
        <f t="shared" si="113"/>
        <v>-256.27886249132268</v>
      </c>
      <c r="X51" s="3">
        <f t="shared" si="113"/>
        <v>-256.27886249132268</v>
      </c>
      <c r="Y51" s="43">
        <f t="shared" si="113"/>
        <v>-256.27886249132268</v>
      </c>
      <c r="Z51" s="3">
        <f t="shared" si="113"/>
        <v>-256.27886249132268</v>
      </c>
      <c r="AA51" s="3">
        <f t="shared" si="113"/>
        <v>-256.27886249132268</v>
      </c>
      <c r="AB51" s="3">
        <f t="shared" si="113"/>
        <v>-256.27886249132268</v>
      </c>
      <c r="AC51" s="3">
        <f t="shared" si="113"/>
        <v>-256.27886249132268</v>
      </c>
      <c r="AD51" s="43">
        <f t="shared" si="113"/>
        <v>-256.27886249132268</v>
      </c>
      <c r="AE51" s="3">
        <f t="shared" si="113"/>
        <v>-161.44015281390335</v>
      </c>
      <c r="AF51" s="3">
        <f t="shared" si="113"/>
        <v>-224.66595926551625</v>
      </c>
      <c r="AG51" s="3">
        <f t="shared" si="113"/>
        <v>-256.27886249132268</v>
      </c>
      <c r="AH51" s="3">
        <f t="shared" si="113"/>
        <v>-272.08531410422592</v>
      </c>
      <c r="AI51" s="43">
        <f t="shared" si="113"/>
        <v>-279.98853991067756</v>
      </c>
    </row>
    <row r="52" spans="1:35" outlineLevel="1" collapsed="1" x14ac:dyDescent="0.25">
      <c r="A52" t="s">
        <v>98</v>
      </c>
      <c r="B52" t="s">
        <v>19</v>
      </c>
      <c r="C52" s="3">
        <f>SUM(C49:C51)</f>
        <v>466.92157953281423</v>
      </c>
      <c r="D52" s="3">
        <f t="shared" ref="D52:O52" si="114">SUM(D49:D51)</f>
        <v>933.84315906562847</v>
      </c>
      <c r="E52" s="3">
        <f t="shared" si="114"/>
        <v>912.61123470522807</v>
      </c>
      <c r="F52" s="3">
        <f t="shared" si="114"/>
        <v>550.30867630700777</v>
      </c>
      <c r="G52" s="3">
        <f t="shared" si="114"/>
        <v>1462.9199110122358</v>
      </c>
      <c r="H52" s="3">
        <f t="shared" si="114"/>
        <v>1031.8854282536151</v>
      </c>
      <c r="I52" s="3">
        <f t="shared" si="114"/>
        <v>1543.5650723025583</v>
      </c>
      <c r="J52" s="3">
        <f t="shared" si="114"/>
        <v>-1058.4457100021632</v>
      </c>
      <c r="K52" s="3">
        <f t="shared" si="114"/>
        <v>639.20246698773838</v>
      </c>
      <c r="L52" s="3">
        <f t="shared" si="114"/>
        <v>1848.1390393007405</v>
      </c>
      <c r="M52" s="3">
        <f>SUM(M49:M51)</f>
        <v>495.0526372206873</v>
      </c>
      <c r="N52" s="3">
        <f t="shared" si="114"/>
        <v>1491.050968700109</v>
      </c>
      <c r="O52" s="3">
        <f t="shared" si="114"/>
        <v>1271.2345059637355</v>
      </c>
      <c r="P52" s="3">
        <f t="shared" ref="P52:AA52" si="115">SUM(P49:P51)</f>
        <v>722.21438122614109</v>
      </c>
      <c r="Q52" s="3">
        <f t="shared" si="115"/>
        <v>1234.7721062087865</v>
      </c>
      <c r="R52" s="3">
        <f t="shared" si="115"/>
        <v>1491.050968700109</v>
      </c>
      <c r="S52" s="3">
        <f t="shared" si="115"/>
        <v>1619.1903999457704</v>
      </c>
      <c r="T52" s="43">
        <f t="shared" si="115"/>
        <v>1683.2601155686011</v>
      </c>
      <c r="U52" s="3">
        <f t="shared" si="115"/>
        <v>7814.2349524667488</v>
      </c>
      <c r="V52" s="3">
        <f t="shared" si="115"/>
        <v>3598.778963288989</v>
      </c>
      <c r="W52" s="3">
        <f t="shared" si="115"/>
        <v>1491.050968700109</v>
      </c>
      <c r="X52" s="3">
        <f t="shared" si="115"/>
        <v>437.18697140566906</v>
      </c>
      <c r="Y52" s="43">
        <f t="shared" si="115"/>
        <v>-89.745027241550929</v>
      </c>
      <c r="Z52" s="3">
        <f t="shared" si="115"/>
        <v>1838.3464754607262</v>
      </c>
      <c r="AA52" s="3">
        <f t="shared" si="115"/>
        <v>1722.58130654052</v>
      </c>
      <c r="AB52" s="3">
        <f t="shared" ref="AB52:AI52" si="116">SUM(AB49:AB51)</f>
        <v>1491.050968700109</v>
      </c>
      <c r="AC52" s="3">
        <f t="shared" si="116"/>
        <v>1027.9902930192861</v>
      </c>
      <c r="AD52" s="43">
        <f t="shared" si="116"/>
        <v>101.86894165764056</v>
      </c>
      <c r="AE52" s="3">
        <f t="shared" si="116"/>
        <v>2092.7862301016662</v>
      </c>
      <c r="AF52" s="3">
        <f t="shared" si="116"/>
        <v>1691.6293891672947</v>
      </c>
      <c r="AG52" s="3">
        <f t="shared" si="116"/>
        <v>1491.050968700109</v>
      </c>
      <c r="AH52" s="3">
        <f t="shared" si="116"/>
        <v>1390.7617584665161</v>
      </c>
      <c r="AI52" s="43">
        <f t="shared" si="116"/>
        <v>1340.6171533497195</v>
      </c>
    </row>
    <row r="53" spans="1:35" hidden="1" outlineLevel="2" x14ac:dyDescent="0.25">
      <c r="A53" t="s">
        <v>130</v>
      </c>
      <c r="B53" t="s">
        <v>19</v>
      </c>
      <c r="C53" s="3">
        <f>-(C$26+C$29)/4</f>
        <v>212.5</v>
      </c>
      <c r="D53" s="3">
        <f t="shared" ref="D53:AI53" si="117">-(D$26+D$29)/4</f>
        <v>425</v>
      </c>
      <c r="E53" s="3">
        <f t="shared" si="117"/>
        <v>212.5</v>
      </c>
      <c r="F53" s="3">
        <f t="shared" si="117"/>
        <v>212.5</v>
      </c>
      <c r="G53" s="3">
        <f t="shared" si="117"/>
        <v>425</v>
      </c>
      <c r="H53" s="3">
        <f t="shared" si="117"/>
        <v>425</v>
      </c>
      <c r="I53" s="3">
        <f t="shared" si="117"/>
        <v>425</v>
      </c>
      <c r="J53" s="3">
        <f t="shared" si="117"/>
        <v>-572.89816339744823</v>
      </c>
      <c r="K53" s="3">
        <f t="shared" si="117"/>
        <v>212.5</v>
      </c>
      <c r="L53" s="3">
        <f t="shared" si="117"/>
        <v>212.5</v>
      </c>
      <c r="M53" s="3">
        <f t="shared" si="117"/>
        <v>-572.89816339744823</v>
      </c>
      <c r="N53" s="3">
        <f t="shared" si="117"/>
        <v>-360.39816339744823</v>
      </c>
      <c r="O53" s="3">
        <f t="shared" si="117"/>
        <v>-5035.3981633974481</v>
      </c>
      <c r="P53" s="3">
        <f t="shared" si="117"/>
        <v>-360.39816339744823</v>
      </c>
      <c r="Q53" s="3">
        <f t="shared" si="117"/>
        <v>-360.39816339744823</v>
      </c>
      <c r="R53" s="3">
        <f t="shared" si="117"/>
        <v>-360.39816339744823</v>
      </c>
      <c r="S53" s="3">
        <f t="shared" si="117"/>
        <v>-360.39816339744823</v>
      </c>
      <c r="T53" s="43">
        <f t="shared" si="117"/>
        <v>-360.39816339744823</v>
      </c>
      <c r="U53" s="3">
        <f t="shared" si="117"/>
        <v>-360.39816339744823</v>
      </c>
      <c r="V53" s="3">
        <f t="shared" si="117"/>
        <v>-360.39816339744823</v>
      </c>
      <c r="W53" s="3">
        <f t="shared" si="117"/>
        <v>-360.39816339744823</v>
      </c>
      <c r="X53" s="3">
        <f t="shared" si="117"/>
        <v>-360.39816339744823</v>
      </c>
      <c r="Y53" s="43">
        <f t="shared" si="117"/>
        <v>-360.39816339744823</v>
      </c>
      <c r="Z53" s="3">
        <f t="shared" si="117"/>
        <v>-360.39816339744823</v>
      </c>
      <c r="AA53" s="3">
        <f t="shared" si="117"/>
        <v>-360.39816339744823</v>
      </c>
      <c r="AB53" s="3">
        <f t="shared" si="117"/>
        <v>-360.39816339744823</v>
      </c>
      <c r="AC53" s="3">
        <f t="shared" si="117"/>
        <v>-360.39816339744823</v>
      </c>
      <c r="AD53" s="43">
        <f t="shared" si="117"/>
        <v>-360.39816339744823</v>
      </c>
      <c r="AE53" s="3">
        <f t="shared" si="117"/>
        <v>-360.39816339744823</v>
      </c>
      <c r="AF53" s="3">
        <f t="shared" si="117"/>
        <v>-360.39816339744823</v>
      </c>
      <c r="AG53" s="3">
        <f t="shared" si="117"/>
        <v>-360.39816339744823</v>
      </c>
      <c r="AH53" s="3">
        <f t="shared" si="117"/>
        <v>-360.39816339744823</v>
      </c>
      <c r="AI53" s="43">
        <f t="shared" si="117"/>
        <v>-360.39816339744823</v>
      </c>
    </row>
    <row r="54" spans="1:35" hidden="1" outlineLevel="2" x14ac:dyDescent="0.25">
      <c r="A54" t="s">
        <v>131</v>
      </c>
      <c r="B54" t="s">
        <v>19</v>
      </c>
      <c r="C54" s="3">
        <f t="shared" ref="C54:Q54" si="118">-C$34*1000/C$6/2</f>
        <v>-181.0344827586207</v>
      </c>
      <c r="D54" s="3">
        <f t="shared" si="118"/>
        <v>-362.06896551724139</v>
      </c>
      <c r="E54" s="3">
        <f t="shared" si="118"/>
        <v>-626.72413793103453</v>
      </c>
      <c r="F54" s="3">
        <f t="shared" si="118"/>
        <v>-181.0344827586207</v>
      </c>
      <c r="G54" s="3">
        <f t="shared" si="118"/>
        <v>-807.75862068965512</v>
      </c>
      <c r="H54" s="3">
        <f t="shared" si="118"/>
        <v>-376.72413793103448</v>
      </c>
      <c r="I54" s="3">
        <f t="shared" si="118"/>
        <v>-807.75862068965512</v>
      </c>
      <c r="J54" s="3">
        <f t="shared" si="118"/>
        <v>-99.78639688991916</v>
      </c>
      <c r="K54" s="3">
        <f t="shared" si="118"/>
        <v>-181.0344827586207</v>
      </c>
      <c r="L54" s="3">
        <f t="shared" si="118"/>
        <v>-1562.2519425265468</v>
      </c>
      <c r="M54" s="3">
        <f t="shared" si="118"/>
        <v>-1481.0038566578453</v>
      </c>
      <c r="N54" s="3">
        <f t="shared" si="118"/>
        <v>-2107.7279945888799</v>
      </c>
      <c r="O54" s="3">
        <f t="shared" si="118"/>
        <v>-6593.0728221750869</v>
      </c>
      <c r="P54" s="3">
        <f t="shared" si="118"/>
        <v>-2107.7279945888799</v>
      </c>
      <c r="Q54" s="3">
        <f t="shared" si="118"/>
        <v>-2107.7279945888799</v>
      </c>
      <c r="R54" s="3">
        <f t="shared" ref="R54:AI54" si="119">-R$34*1000/R$6/2</f>
        <v>-2107.7279945888799</v>
      </c>
      <c r="S54" s="3">
        <f t="shared" si="119"/>
        <v>-2107.7279945888799</v>
      </c>
      <c r="T54" s="43">
        <f t="shared" si="119"/>
        <v>-2107.7279945888799</v>
      </c>
      <c r="U54" s="3">
        <f t="shared" si="119"/>
        <v>-8430.9119783555198</v>
      </c>
      <c r="V54" s="3">
        <f t="shared" si="119"/>
        <v>-4215.4559891777599</v>
      </c>
      <c r="W54" s="3">
        <f t="shared" si="119"/>
        <v>-2107.7279945888799</v>
      </c>
      <c r="X54" s="3">
        <f t="shared" si="119"/>
        <v>-1053.86399729444</v>
      </c>
      <c r="Y54" s="43">
        <f t="shared" si="119"/>
        <v>-526.93199864721998</v>
      </c>
      <c r="Z54" s="3">
        <f t="shared" si="119"/>
        <v>-2455.0235013494971</v>
      </c>
      <c r="AA54" s="3">
        <f t="shared" si="119"/>
        <v>-2339.2583324292909</v>
      </c>
      <c r="AB54" s="3">
        <f t="shared" si="119"/>
        <v>-2107.7279945888799</v>
      </c>
      <c r="AC54" s="3">
        <f t="shared" si="119"/>
        <v>-1644.667318908057</v>
      </c>
      <c r="AD54" s="43">
        <f t="shared" si="119"/>
        <v>-718.54596754641148</v>
      </c>
      <c r="AE54" s="3">
        <f t="shared" si="119"/>
        <v>-2614.6245463130176</v>
      </c>
      <c r="AF54" s="3">
        <f t="shared" si="119"/>
        <v>-2276.693511830259</v>
      </c>
      <c r="AG54" s="3">
        <f t="shared" si="119"/>
        <v>-2107.7279945888799</v>
      </c>
      <c r="AH54" s="3">
        <f t="shared" si="119"/>
        <v>-2023.2452359681902</v>
      </c>
      <c r="AI54" s="43">
        <f t="shared" si="119"/>
        <v>-1981.0038566578453</v>
      </c>
    </row>
    <row r="55" spans="1:35" hidden="1" outlineLevel="2" x14ac:dyDescent="0.25">
      <c r="A55" t="s">
        <v>132</v>
      </c>
      <c r="B55" t="s">
        <v>19</v>
      </c>
      <c r="C55" s="3">
        <f t="shared" ref="C55:Q55" si="120">C$39*1000/C$5/2</f>
        <v>73.387096774193537</v>
      </c>
      <c r="D55" s="3">
        <f t="shared" si="120"/>
        <v>146.77419354838707</v>
      </c>
      <c r="E55" s="3">
        <f t="shared" si="120"/>
        <v>73.387096774193537</v>
      </c>
      <c r="F55" s="3">
        <f t="shared" si="120"/>
        <v>156.7741935483871</v>
      </c>
      <c r="G55" s="3">
        <f t="shared" si="120"/>
        <v>230.16129032258064</v>
      </c>
      <c r="H55" s="3">
        <f t="shared" si="120"/>
        <v>230.16129032258064</v>
      </c>
      <c r="I55" s="3">
        <f t="shared" si="120"/>
        <v>310.80645161290323</v>
      </c>
      <c r="J55" s="3">
        <f t="shared" si="120"/>
        <v>-585.33394349463401</v>
      </c>
      <c r="K55" s="3">
        <f t="shared" si="120"/>
        <v>245.66798422911768</v>
      </c>
      <c r="L55" s="3">
        <f t="shared" si="120"/>
        <v>73.387096774193537</v>
      </c>
      <c r="M55" s="3">
        <f t="shared" si="120"/>
        <v>-413.05305603970976</v>
      </c>
      <c r="N55" s="3">
        <f t="shared" si="120"/>
        <v>-256.27886249132268</v>
      </c>
      <c r="O55" s="3">
        <f t="shared" si="120"/>
        <v>-286.44015281390341</v>
      </c>
      <c r="P55" s="3">
        <f t="shared" si="120"/>
        <v>-1025.1154499652907</v>
      </c>
      <c r="Q55" s="3">
        <f t="shared" si="120"/>
        <v>-512.55772498264537</v>
      </c>
      <c r="R55" s="3">
        <f t="shared" ref="R55:AI55" si="121">R$39*1000/R$5/2</f>
        <v>-256.27886249132268</v>
      </c>
      <c r="S55" s="3">
        <f t="shared" si="121"/>
        <v>-128.13943124566134</v>
      </c>
      <c r="T55" s="43">
        <f t="shared" si="121"/>
        <v>-64.069715622830671</v>
      </c>
      <c r="U55" s="3">
        <f t="shared" si="121"/>
        <v>-256.27886249132268</v>
      </c>
      <c r="V55" s="3">
        <f t="shared" si="121"/>
        <v>-256.27886249132268</v>
      </c>
      <c r="W55" s="3">
        <f t="shared" si="121"/>
        <v>-256.27886249132268</v>
      </c>
      <c r="X55" s="3">
        <f t="shared" si="121"/>
        <v>-256.27886249132268</v>
      </c>
      <c r="Y55" s="43">
        <f t="shared" si="121"/>
        <v>-256.27886249132268</v>
      </c>
      <c r="Z55" s="3">
        <f t="shared" si="121"/>
        <v>-256.27886249132268</v>
      </c>
      <c r="AA55" s="3">
        <f t="shared" si="121"/>
        <v>-256.27886249132268</v>
      </c>
      <c r="AB55" s="3">
        <f t="shared" si="121"/>
        <v>-256.27886249132268</v>
      </c>
      <c r="AC55" s="3">
        <f t="shared" si="121"/>
        <v>-256.27886249132268</v>
      </c>
      <c r="AD55" s="43">
        <f t="shared" si="121"/>
        <v>-256.27886249132268</v>
      </c>
      <c r="AE55" s="3">
        <f t="shared" si="121"/>
        <v>-161.44015281390335</v>
      </c>
      <c r="AF55" s="3">
        <f t="shared" si="121"/>
        <v>-224.66595926551625</v>
      </c>
      <c r="AG55" s="3">
        <f t="shared" si="121"/>
        <v>-256.27886249132268</v>
      </c>
      <c r="AH55" s="3">
        <f t="shared" si="121"/>
        <v>-272.08531410422592</v>
      </c>
      <c r="AI55" s="43">
        <f t="shared" si="121"/>
        <v>-279.98853991067756</v>
      </c>
    </row>
    <row r="56" spans="1:35" outlineLevel="1" collapsed="1" x14ac:dyDescent="0.25">
      <c r="A56" t="s">
        <v>99</v>
      </c>
      <c r="B56" t="s">
        <v>19</v>
      </c>
      <c r="C56" s="3">
        <f>SUM(C53:C55)</f>
        <v>104.85261401557284</v>
      </c>
      <c r="D56" s="3">
        <f t="shared" ref="D56:O56" si="122">SUM(D53:D55)</f>
        <v>209.70522803114568</v>
      </c>
      <c r="E56" s="3">
        <f t="shared" si="122"/>
        <v>-340.837041156841</v>
      </c>
      <c r="F56" s="3">
        <f t="shared" si="122"/>
        <v>188.23971078976641</v>
      </c>
      <c r="G56" s="3">
        <f t="shared" si="122"/>
        <v>-152.59733036707448</v>
      </c>
      <c r="H56" s="3">
        <f t="shared" si="122"/>
        <v>278.43715239154619</v>
      </c>
      <c r="I56" s="3">
        <f t="shared" si="122"/>
        <v>-71.952169076751886</v>
      </c>
      <c r="J56" s="3">
        <f t="shared" si="122"/>
        <v>-1258.0185037820015</v>
      </c>
      <c r="K56" s="3">
        <f t="shared" si="122"/>
        <v>277.13350147049698</v>
      </c>
      <c r="L56" s="3">
        <f t="shared" si="122"/>
        <v>-1276.3648457523532</v>
      </c>
      <c r="M56" s="3">
        <f>SUM(M53:M55)</f>
        <v>-2466.9550760950033</v>
      </c>
      <c r="N56" s="3">
        <f t="shared" si="122"/>
        <v>-2724.4050204776509</v>
      </c>
      <c r="O56" s="3">
        <f t="shared" si="122"/>
        <v>-11914.911138386438</v>
      </c>
      <c r="P56" s="3">
        <f t="shared" ref="P56:AA56" si="123">SUM(P53:P55)</f>
        <v>-3493.2416079516188</v>
      </c>
      <c r="Q56" s="3">
        <f t="shared" si="123"/>
        <v>-2980.6838829689732</v>
      </c>
      <c r="R56" s="3">
        <f t="shared" si="123"/>
        <v>-2724.4050204776509</v>
      </c>
      <c r="S56" s="3">
        <f t="shared" si="123"/>
        <v>-2596.2655892319895</v>
      </c>
      <c r="T56" s="43">
        <f t="shared" si="123"/>
        <v>-2532.1958736091588</v>
      </c>
      <c r="U56" s="3">
        <f t="shared" si="123"/>
        <v>-9047.5890042442916</v>
      </c>
      <c r="V56" s="3">
        <f t="shared" si="123"/>
        <v>-4832.1330150665308</v>
      </c>
      <c r="W56" s="3">
        <f t="shared" si="123"/>
        <v>-2724.4050204776509</v>
      </c>
      <c r="X56" s="3">
        <f t="shared" si="123"/>
        <v>-1670.5410231832111</v>
      </c>
      <c r="Y56" s="43">
        <f t="shared" si="123"/>
        <v>-1143.609024535991</v>
      </c>
      <c r="Z56" s="3">
        <f t="shared" si="123"/>
        <v>-3071.700527238268</v>
      </c>
      <c r="AA56" s="3">
        <f t="shared" si="123"/>
        <v>-2955.9353583180618</v>
      </c>
      <c r="AB56" s="3">
        <f t="shared" ref="AB56:AI56" si="124">SUM(AB53:AB55)</f>
        <v>-2724.4050204776509</v>
      </c>
      <c r="AC56" s="3">
        <f t="shared" si="124"/>
        <v>-2261.344344796828</v>
      </c>
      <c r="AD56" s="43">
        <f t="shared" si="124"/>
        <v>-1335.2229934351826</v>
      </c>
      <c r="AE56" s="3">
        <f t="shared" si="124"/>
        <v>-3136.462862524369</v>
      </c>
      <c r="AF56" s="3">
        <f t="shared" si="124"/>
        <v>-2861.7576344932236</v>
      </c>
      <c r="AG56" s="3">
        <f t="shared" si="124"/>
        <v>-2724.4050204776509</v>
      </c>
      <c r="AH56" s="3">
        <f t="shared" si="124"/>
        <v>-2655.728713469864</v>
      </c>
      <c r="AI56" s="43">
        <f t="shared" si="124"/>
        <v>-2621.3905599659711</v>
      </c>
    </row>
    <row r="57" spans="1:35" hidden="1" outlineLevel="2" x14ac:dyDescent="0.25">
      <c r="A57" t="s">
        <v>133</v>
      </c>
      <c r="B57" t="s">
        <v>19</v>
      </c>
      <c r="C57" s="3">
        <f>-(C$26+C$29)/4</f>
        <v>212.5</v>
      </c>
      <c r="D57" s="3">
        <f t="shared" ref="D57:AI57" si="125">-(D$26+D$29)/4</f>
        <v>425</v>
      </c>
      <c r="E57" s="3">
        <f t="shared" si="125"/>
        <v>212.5</v>
      </c>
      <c r="F57" s="3">
        <f t="shared" si="125"/>
        <v>212.5</v>
      </c>
      <c r="G57" s="3">
        <f t="shared" si="125"/>
        <v>425</v>
      </c>
      <c r="H57" s="3">
        <f t="shared" si="125"/>
        <v>425</v>
      </c>
      <c r="I57" s="3">
        <f t="shared" si="125"/>
        <v>425</v>
      </c>
      <c r="J57" s="3">
        <f t="shared" si="125"/>
        <v>-572.89816339744823</v>
      </c>
      <c r="K57" s="3">
        <f t="shared" si="125"/>
        <v>212.5</v>
      </c>
      <c r="L57" s="3">
        <f t="shared" si="125"/>
        <v>212.5</v>
      </c>
      <c r="M57" s="3">
        <f t="shared" si="125"/>
        <v>-572.89816339744823</v>
      </c>
      <c r="N57" s="3">
        <f t="shared" si="125"/>
        <v>-360.39816339744823</v>
      </c>
      <c r="O57" s="3">
        <f t="shared" si="125"/>
        <v>-5035.3981633974481</v>
      </c>
      <c r="P57" s="3">
        <f t="shared" si="125"/>
        <v>-360.39816339744823</v>
      </c>
      <c r="Q57" s="3">
        <f t="shared" si="125"/>
        <v>-360.39816339744823</v>
      </c>
      <c r="R57" s="3">
        <f t="shared" si="125"/>
        <v>-360.39816339744823</v>
      </c>
      <c r="S57" s="3">
        <f t="shared" si="125"/>
        <v>-360.39816339744823</v>
      </c>
      <c r="T57" s="43">
        <f t="shared" si="125"/>
        <v>-360.39816339744823</v>
      </c>
      <c r="U57" s="3">
        <f t="shared" si="125"/>
        <v>-360.39816339744823</v>
      </c>
      <c r="V57" s="3">
        <f t="shared" si="125"/>
        <v>-360.39816339744823</v>
      </c>
      <c r="W57" s="3">
        <f t="shared" si="125"/>
        <v>-360.39816339744823</v>
      </c>
      <c r="X57" s="3">
        <f t="shared" si="125"/>
        <v>-360.39816339744823</v>
      </c>
      <c r="Y57" s="43">
        <f t="shared" si="125"/>
        <v>-360.39816339744823</v>
      </c>
      <c r="Z57" s="3">
        <f t="shared" si="125"/>
        <v>-360.39816339744823</v>
      </c>
      <c r="AA57" s="3">
        <f t="shared" si="125"/>
        <v>-360.39816339744823</v>
      </c>
      <c r="AB57" s="3">
        <f t="shared" si="125"/>
        <v>-360.39816339744823</v>
      </c>
      <c r="AC57" s="3">
        <f t="shared" si="125"/>
        <v>-360.39816339744823</v>
      </c>
      <c r="AD57" s="43">
        <f t="shared" si="125"/>
        <v>-360.39816339744823</v>
      </c>
      <c r="AE57" s="3">
        <f t="shared" si="125"/>
        <v>-360.39816339744823</v>
      </c>
      <c r="AF57" s="3">
        <f t="shared" si="125"/>
        <v>-360.39816339744823</v>
      </c>
      <c r="AG57" s="3">
        <f t="shared" si="125"/>
        <v>-360.39816339744823</v>
      </c>
      <c r="AH57" s="3">
        <f t="shared" si="125"/>
        <v>-360.39816339744823</v>
      </c>
      <c r="AI57" s="43">
        <f t="shared" si="125"/>
        <v>-360.39816339744823</v>
      </c>
    </row>
    <row r="58" spans="1:35" hidden="1" outlineLevel="2" x14ac:dyDescent="0.25">
      <c r="A58" t="s">
        <v>134</v>
      </c>
      <c r="B58" t="s">
        <v>19</v>
      </c>
      <c r="C58" s="3">
        <f t="shared" ref="C58:Q58" si="126">-C$34*1000/C$6/2</f>
        <v>-181.0344827586207</v>
      </c>
      <c r="D58" s="3">
        <f t="shared" si="126"/>
        <v>-362.06896551724139</v>
      </c>
      <c r="E58" s="3">
        <f t="shared" si="126"/>
        <v>-626.72413793103453</v>
      </c>
      <c r="F58" s="3">
        <f t="shared" si="126"/>
        <v>-181.0344827586207</v>
      </c>
      <c r="G58" s="3">
        <f t="shared" si="126"/>
        <v>-807.75862068965512</v>
      </c>
      <c r="H58" s="3">
        <f t="shared" si="126"/>
        <v>-376.72413793103448</v>
      </c>
      <c r="I58" s="3">
        <f t="shared" si="126"/>
        <v>-807.75862068965512</v>
      </c>
      <c r="J58" s="3">
        <f t="shared" si="126"/>
        <v>-99.78639688991916</v>
      </c>
      <c r="K58" s="3">
        <f t="shared" si="126"/>
        <v>-181.0344827586207</v>
      </c>
      <c r="L58" s="3">
        <f t="shared" si="126"/>
        <v>-1562.2519425265468</v>
      </c>
      <c r="M58" s="3">
        <f t="shared" si="126"/>
        <v>-1481.0038566578453</v>
      </c>
      <c r="N58" s="3">
        <f t="shared" si="126"/>
        <v>-2107.7279945888799</v>
      </c>
      <c r="O58" s="3">
        <f t="shared" si="126"/>
        <v>-6593.0728221750869</v>
      </c>
      <c r="P58" s="3">
        <f t="shared" si="126"/>
        <v>-2107.7279945888799</v>
      </c>
      <c r="Q58" s="3">
        <f t="shared" si="126"/>
        <v>-2107.7279945888799</v>
      </c>
      <c r="R58" s="3">
        <f t="shared" ref="R58:AI58" si="127">-R$34*1000/R$6/2</f>
        <v>-2107.7279945888799</v>
      </c>
      <c r="S58" s="3">
        <f t="shared" si="127"/>
        <v>-2107.7279945888799</v>
      </c>
      <c r="T58" s="43">
        <f t="shared" si="127"/>
        <v>-2107.7279945888799</v>
      </c>
      <c r="U58" s="3">
        <f t="shared" si="127"/>
        <v>-8430.9119783555198</v>
      </c>
      <c r="V58" s="3">
        <f t="shared" si="127"/>
        <v>-4215.4559891777599</v>
      </c>
      <c r="W58" s="3">
        <f t="shared" si="127"/>
        <v>-2107.7279945888799</v>
      </c>
      <c r="X58" s="3">
        <f t="shared" si="127"/>
        <v>-1053.86399729444</v>
      </c>
      <c r="Y58" s="43">
        <f t="shared" si="127"/>
        <v>-526.93199864721998</v>
      </c>
      <c r="Z58" s="3">
        <f t="shared" si="127"/>
        <v>-2455.0235013494971</v>
      </c>
      <c r="AA58" s="3">
        <f t="shared" si="127"/>
        <v>-2339.2583324292909</v>
      </c>
      <c r="AB58" s="3">
        <f t="shared" si="127"/>
        <v>-2107.7279945888799</v>
      </c>
      <c r="AC58" s="3">
        <f t="shared" si="127"/>
        <v>-1644.667318908057</v>
      </c>
      <c r="AD58" s="43">
        <f t="shared" si="127"/>
        <v>-718.54596754641148</v>
      </c>
      <c r="AE58" s="3">
        <f t="shared" si="127"/>
        <v>-2614.6245463130176</v>
      </c>
      <c r="AF58" s="3">
        <f t="shared" si="127"/>
        <v>-2276.693511830259</v>
      </c>
      <c r="AG58" s="3">
        <f t="shared" si="127"/>
        <v>-2107.7279945888799</v>
      </c>
      <c r="AH58" s="3">
        <f t="shared" si="127"/>
        <v>-2023.2452359681902</v>
      </c>
      <c r="AI58" s="43">
        <f t="shared" si="127"/>
        <v>-1981.0038566578453</v>
      </c>
    </row>
    <row r="59" spans="1:35" hidden="1" outlineLevel="2" x14ac:dyDescent="0.25">
      <c r="A59" t="s">
        <v>135</v>
      </c>
      <c r="B59" t="s">
        <v>19</v>
      </c>
      <c r="C59" s="3">
        <f t="shared" ref="C59:Q59" si="128">-C$39*1000/C$5/2</f>
        <v>-73.387096774193537</v>
      </c>
      <c r="D59" s="3">
        <f t="shared" si="128"/>
        <v>-146.77419354838707</v>
      </c>
      <c r="E59" s="3">
        <f t="shared" si="128"/>
        <v>-73.387096774193537</v>
      </c>
      <c r="F59" s="3">
        <f t="shared" si="128"/>
        <v>-156.7741935483871</v>
      </c>
      <c r="G59" s="3">
        <f t="shared" si="128"/>
        <v>-230.16129032258064</v>
      </c>
      <c r="H59" s="3">
        <f t="shared" si="128"/>
        <v>-230.16129032258064</v>
      </c>
      <c r="I59" s="3">
        <f t="shared" si="128"/>
        <v>-310.80645161290323</v>
      </c>
      <c r="J59" s="3">
        <f t="shared" si="128"/>
        <v>585.33394349463401</v>
      </c>
      <c r="K59" s="3">
        <f t="shared" si="128"/>
        <v>-245.66798422911768</v>
      </c>
      <c r="L59" s="3">
        <f t="shared" si="128"/>
        <v>-73.387096774193537</v>
      </c>
      <c r="M59" s="3">
        <f t="shared" si="128"/>
        <v>413.05305603970976</v>
      </c>
      <c r="N59" s="3">
        <f t="shared" si="128"/>
        <v>256.27886249132268</v>
      </c>
      <c r="O59" s="3">
        <f t="shared" si="128"/>
        <v>286.44015281390341</v>
      </c>
      <c r="P59" s="3">
        <f t="shared" si="128"/>
        <v>1025.1154499652907</v>
      </c>
      <c r="Q59" s="3">
        <f t="shared" si="128"/>
        <v>512.55772498264537</v>
      </c>
      <c r="R59" s="3">
        <f t="shared" ref="R59:AI59" si="129">-R$39*1000/R$5/2</f>
        <v>256.27886249132268</v>
      </c>
      <c r="S59" s="3">
        <f t="shared" si="129"/>
        <v>128.13943124566134</v>
      </c>
      <c r="T59" s="43">
        <f t="shared" si="129"/>
        <v>64.069715622830671</v>
      </c>
      <c r="U59" s="3">
        <f t="shared" si="129"/>
        <v>256.27886249132268</v>
      </c>
      <c r="V59" s="3">
        <f t="shared" si="129"/>
        <v>256.27886249132268</v>
      </c>
      <c r="W59" s="3">
        <f t="shared" si="129"/>
        <v>256.27886249132268</v>
      </c>
      <c r="X59" s="3">
        <f t="shared" si="129"/>
        <v>256.27886249132268</v>
      </c>
      <c r="Y59" s="43">
        <f t="shared" si="129"/>
        <v>256.27886249132268</v>
      </c>
      <c r="Z59" s="3">
        <f t="shared" si="129"/>
        <v>256.27886249132268</v>
      </c>
      <c r="AA59" s="3">
        <f t="shared" si="129"/>
        <v>256.27886249132268</v>
      </c>
      <c r="AB59" s="3">
        <f t="shared" si="129"/>
        <v>256.27886249132268</v>
      </c>
      <c r="AC59" s="3">
        <f t="shared" si="129"/>
        <v>256.27886249132268</v>
      </c>
      <c r="AD59" s="43">
        <f t="shared" si="129"/>
        <v>256.27886249132268</v>
      </c>
      <c r="AE59" s="3">
        <f t="shared" si="129"/>
        <v>161.44015281390335</v>
      </c>
      <c r="AF59" s="3">
        <f t="shared" si="129"/>
        <v>224.66595926551625</v>
      </c>
      <c r="AG59" s="3">
        <f t="shared" si="129"/>
        <v>256.27886249132268</v>
      </c>
      <c r="AH59" s="3">
        <f t="shared" si="129"/>
        <v>272.08531410422592</v>
      </c>
      <c r="AI59" s="43">
        <f t="shared" si="129"/>
        <v>279.98853991067756</v>
      </c>
    </row>
    <row r="60" spans="1:35" outlineLevel="1" collapsed="1" x14ac:dyDescent="0.25">
      <c r="A60" t="s">
        <v>100</v>
      </c>
      <c r="B60" t="s">
        <v>19</v>
      </c>
      <c r="C60" s="3">
        <f>SUM(C57:C59)</f>
        <v>-41.921579532814235</v>
      </c>
      <c r="D60" s="3">
        <f t="shared" ref="D60:O60" si="130">SUM(D57:D59)</f>
        <v>-83.84315906562847</v>
      </c>
      <c r="E60" s="3">
        <f t="shared" si="130"/>
        <v>-487.61123470522807</v>
      </c>
      <c r="F60" s="3">
        <f t="shared" si="130"/>
        <v>-125.3086763070078</v>
      </c>
      <c r="G60" s="3">
        <f t="shared" si="130"/>
        <v>-612.91991101223573</v>
      </c>
      <c r="H60" s="3">
        <f t="shared" si="130"/>
        <v>-181.88542825361512</v>
      </c>
      <c r="I60" s="3">
        <f t="shared" si="130"/>
        <v>-693.56507230255829</v>
      </c>
      <c r="J60" s="3">
        <f t="shared" si="130"/>
        <v>-87.350616792733376</v>
      </c>
      <c r="K60" s="3">
        <f t="shared" si="130"/>
        <v>-214.20246698773838</v>
      </c>
      <c r="L60" s="3">
        <f t="shared" si="130"/>
        <v>-1423.1390393007405</v>
      </c>
      <c r="M60" s="3">
        <f>SUM(M57:M59)</f>
        <v>-1640.848964015584</v>
      </c>
      <c r="N60" s="3">
        <f t="shared" si="130"/>
        <v>-2211.8472954950053</v>
      </c>
      <c r="O60" s="3">
        <f t="shared" si="130"/>
        <v>-11342.03083275863</v>
      </c>
      <c r="P60" s="3">
        <f t="shared" ref="P60:AA60" si="131">SUM(P57:P59)</f>
        <v>-1443.0107080210373</v>
      </c>
      <c r="Q60" s="3">
        <f t="shared" si="131"/>
        <v>-1955.5684330036827</v>
      </c>
      <c r="R60" s="3">
        <f t="shared" si="131"/>
        <v>-2211.8472954950053</v>
      </c>
      <c r="S60" s="3">
        <f t="shared" si="131"/>
        <v>-2339.9867267406667</v>
      </c>
      <c r="T60" s="43">
        <f t="shared" si="131"/>
        <v>-2404.0564423634974</v>
      </c>
      <c r="U60" s="3">
        <f t="shared" si="131"/>
        <v>-8535.031279261646</v>
      </c>
      <c r="V60" s="3">
        <f t="shared" si="131"/>
        <v>-4319.5752900838852</v>
      </c>
      <c r="W60" s="3">
        <f t="shared" si="131"/>
        <v>-2211.8472954950053</v>
      </c>
      <c r="X60" s="3">
        <f t="shared" si="131"/>
        <v>-1157.9832982005655</v>
      </c>
      <c r="Y60" s="43">
        <f t="shared" si="131"/>
        <v>-631.05129955334553</v>
      </c>
      <c r="Z60" s="3">
        <f t="shared" si="131"/>
        <v>-2559.1428022556224</v>
      </c>
      <c r="AA60" s="3">
        <f t="shared" si="131"/>
        <v>-2443.3776333354162</v>
      </c>
      <c r="AB60" s="3">
        <f t="shared" ref="AB60:AI60" si="132">SUM(AB57:AB59)</f>
        <v>-2211.8472954950053</v>
      </c>
      <c r="AC60" s="3">
        <f t="shared" si="132"/>
        <v>-1748.7866198141824</v>
      </c>
      <c r="AD60" s="43">
        <f t="shared" si="132"/>
        <v>-822.66526845253713</v>
      </c>
      <c r="AE60" s="3">
        <f t="shared" si="132"/>
        <v>-2813.5825568965624</v>
      </c>
      <c r="AF60" s="3">
        <f t="shared" si="132"/>
        <v>-2412.4257159621907</v>
      </c>
      <c r="AG60" s="3">
        <f t="shared" si="132"/>
        <v>-2211.8472954950053</v>
      </c>
      <c r="AH60" s="3">
        <f t="shared" si="132"/>
        <v>-2111.5580852614125</v>
      </c>
      <c r="AI60" s="43">
        <f t="shared" si="132"/>
        <v>-2061.4134801446162</v>
      </c>
    </row>
    <row r="61" spans="1:35" hidden="1" outlineLevel="2" x14ac:dyDescent="0.25">
      <c r="A61" t="s">
        <v>136</v>
      </c>
      <c r="B61" t="s">
        <v>19</v>
      </c>
      <c r="C61" s="3">
        <f>-(C$24+C$27)/4</f>
        <v>0</v>
      </c>
      <c r="D61" s="3">
        <f t="shared" ref="D61:AI61" si="133">-(D$24+D$27)/4</f>
        <v>0</v>
      </c>
      <c r="E61" s="3">
        <f t="shared" si="133"/>
        <v>0</v>
      </c>
      <c r="F61" s="3">
        <f t="shared" si="133"/>
        <v>212.5</v>
      </c>
      <c r="G61" s="3">
        <f t="shared" si="133"/>
        <v>212.5</v>
      </c>
      <c r="H61" s="3">
        <f t="shared" si="133"/>
        <v>212.5</v>
      </c>
      <c r="I61" s="3">
        <f t="shared" si="133"/>
        <v>837.5</v>
      </c>
      <c r="J61" s="3">
        <f t="shared" si="133"/>
        <v>0</v>
      </c>
      <c r="K61" s="3">
        <f t="shared" si="133"/>
        <v>1335.176877775662</v>
      </c>
      <c r="L61" s="3">
        <f t="shared" si="133"/>
        <v>0</v>
      </c>
      <c r="M61" s="3">
        <f t="shared" si="133"/>
        <v>1335.176877775662</v>
      </c>
      <c r="N61" s="3">
        <f t="shared" si="133"/>
        <v>1547.676877775662</v>
      </c>
      <c r="O61" s="3">
        <f t="shared" si="133"/>
        <v>5585.1768777756624</v>
      </c>
      <c r="P61" s="3">
        <f t="shared" si="133"/>
        <v>1547.676877775662</v>
      </c>
      <c r="Q61" s="3">
        <f t="shared" si="133"/>
        <v>1547.676877775662</v>
      </c>
      <c r="R61" s="3">
        <f t="shared" si="133"/>
        <v>1547.676877775662</v>
      </c>
      <c r="S61" s="3">
        <f t="shared" si="133"/>
        <v>1547.676877775662</v>
      </c>
      <c r="T61" s="43">
        <f t="shared" si="133"/>
        <v>1547.676877775662</v>
      </c>
      <c r="U61" s="3">
        <f t="shared" si="133"/>
        <v>1547.676877775662</v>
      </c>
      <c r="V61" s="3">
        <f t="shared" si="133"/>
        <v>1547.676877775662</v>
      </c>
      <c r="W61" s="3">
        <f t="shared" si="133"/>
        <v>1547.676877775662</v>
      </c>
      <c r="X61" s="3">
        <f t="shared" si="133"/>
        <v>1547.676877775662</v>
      </c>
      <c r="Y61" s="43">
        <f t="shared" si="133"/>
        <v>1547.676877775662</v>
      </c>
      <c r="Z61" s="3">
        <f t="shared" si="133"/>
        <v>1547.676877775662</v>
      </c>
      <c r="AA61" s="3">
        <f t="shared" si="133"/>
        <v>1547.676877775662</v>
      </c>
      <c r="AB61" s="3">
        <f t="shared" si="133"/>
        <v>1547.676877775662</v>
      </c>
      <c r="AC61" s="3">
        <f t="shared" si="133"/>
        <v>1547.676877775662</v>
      </c>
      <c r="AD61" s="43">
        <f t="shared" si="133"/>
        <v>1547.676877775662</v>
      </c>
      <c r="AE61" s="3">
        <f t="shared" si="133"/>
        <v>1547.676877775662</v>
      </c>
      <c r="AF61" s="3">
        <f t="shared" si="133"/>
        <v>1547.676877775662</v>
      </c>
      <c r="AG61" s="3">
        <f t="shared" si="133"/>
        <v>1547.676877775662</v>
      </c>
      <c r="AH61" s="3">
        <f t="shared" si="133"/>
        <v>1547.676877775662</v>
      </c>
      <c r="AI61" s="43">
        <f t="shared" si="133"/>
        <v>1547.676877775662</v>
      </c>
    </row>
    <row r="62" spans="1:35" hidden="1" outlineLevel="2" x14ac:dyDescent="0.25">
      <c r="A62" t="s">
        <v>137</v>
      </c>
      <c r="B62" t="s">
        <v>19</v>
      </c>
      <c r="C62" s="3">
        <f t="shared" ref="C62:Q62" si="134">-C$44*1000/C$6/2</f>
        <v>0</v>
      </c>
      <c r="D62" s="3">
        <f t="shared" si="134"/>
        <v>0</v>
      </c>
      <c r="E62" s="3">
        <f t="shared" si="134"/>
        <v>-392.24137931034477</v>
      </c>
      <c r="F62" s="3">
        <f t="shared" si="134"/>
        <v>181.0344827586207</v>
      </c>
      <c r="G62" s="3">
        <f t="shared" si="134"/>
        <v>-211.2068965517241</v>
      </c>
      <c r="H62" s="3">
        <f t="shared" si="134"/>
        <v>2590.5172413793102</v>
      </c>
      <c r="I62" s="3">
        <f t="shared" si="134"/>
        <v>-146.55172413793099</v>
      </c>
      <c r="J62" s="3">
        <f t="shared" si="134"/>
        <v>0</v>
      </c>
      <c r="K62" s="3">
        <f t="shared" si="134"/>
        <v>138.12174597679262</v>
      </c>
      <c r="L62" s="3">
        <f t="shared" si="134"/>
        <v>-8977.9134884915202</v>
      </c>
      <c r="M62" s="3">
        <f t="shared" si="134"/>
        <v>-8839.7917425147261</v>
      </c>
      <c r="N62" s="3">
        <f t="shared" si="134"/>
        <v>-9050.9986390664508</v>
      </c>
      <c r="O62" s="3">
        <f t="shared" si="134"/>
        <v>-13063.929673549208</v>
      </c>
      <c r="P62" s="3">
        <f t="shared" si="134"/>
        <v>-9050.9986390664508</v>
      </c>
      <c r="Q62" s="3">
        <f t="shared" si="134"/>
        <v>-9050.9986390664508</v>
      </c>
      <c r="R62" s="3">
        <f t="shared" ref="R62:AI62" si="135">-R$44*1000/R$6/2</f>
        <v>-9050.9986390664508</v>
      </c>
      <c r="S62" s="3">
        <f t="shared" si="135"/>
        <v>-9050.9986390664508</v>
      </c>
      <c r="T62" s="43">
        <f t="shared" si="135"/>
        <v>-9050.9986390664508</v>
      </c>
      <c r="U62" s="3">
        <f t="shared" si="135"/>
        <v>-36203.994556265803</v>
      </c>
      <c r="V62" s="3">
        <f t="shared" si="135"/>
        <v>-18101.997278132902</v>
      </c>
      <c r="W62" s="3">
        <f t="shared" si="135"/>
        <v>-9050.9986390664508</v>
      </c>
      <c r="X62" s="3">
        <f t="shared" si="135"/>
        <v>-4525.4993195332254</v>
      </c>
      <c r="Y62" s="43">
        <f t="shared" si="135"/>
        <v>-2262.7496597666127</v>
      </c>
      <c r="Z62" s="3">
        <f t="shared" si="135"/>
        <v>-9860.4527246974321</v>
      </c>
      <c r="AA62" s="3">
        <f t="shared" si="135"/>
        <v>-9590.6346961537711</v>
      </c>
      <c r="AB62" s="3">
        <f t="shared" si="135"/>
        <v>-9050.9986390664508</v>
      </c>
      <c r="AC62" s="3">
        <f t="shared" si="135"/>
        <v>-7971.7265248918102</v>
      </c>
      <c r="AD62" s="43">
        <f t="shared" si="135"/>
        <v>-5813.1822965425299</v>
      </c>
      <c r="AE62" s="3">
        <f t="shared" si="135"/>
        <v>-9050.9986390664508</v>
      </c>
      <c r="AF62" s="3">
        <f t="shared" si="135"/>
        <v>-9050.9986390664508</v>
      </c>
      <c r="AG62" s="3">
        <f t="shared" si="135"/>
        <v>-9050.9986390664508</v>
      </c>
      <c r="AH62" s="3">
        <f t="shared" si="135"/>
        <v>-9050.9986390664508</v>
      </c>
      <c r="AI62" s="43">
        <f t="shared" si="135"/>
        <v>-9050.9986390664508</v>
      </c>
    </row>
    <row r="63" spans="1:35" outlineLevel="1" collapsed="1" x14ac:dyDescent="0.25">
      <c r="A63" t="s">
        <v>101</v>
      </c>
      <c r="B63" t="s">
        <v>19</v>
      </c>
      <c r="C63" s="3">
        <f>SUM(C61:C62)</f>
        <v>0</v>
      </c>
      <c r="D63" s="3">
        <f t="shared" ref="D63:O63" si="136">SUM(D61:D62)</f>
        <v>0</v>
      </c>
      <c r="E63" s="3">
        <f t="shared" si="136"/>
        <v>-392.24137931034477</v>
      </c>
      <c r="F63" s="3">
        <f t="shared" si="136"/>
        <v>393.5344827586207</v>
      </c>
      <c r="G63" s="3">
        <f t="shared" si="136"/>
        <v>1.2931034482759003</v>
      </c>
      <c r="H63" s="3">
        <f t="shared" si="136"/>
        <v>2803.0172413793102</v>
      </c>
      <c r="I63" s="3">
        <f t="shared" si="136"/>
        <v>690.94827586206907</v>
      </c>
      <c r="J63" s="3">
        <f t="shared" si="136"/>
        <v>0</v>
      </c>
      <c r="K63" s="3">
        <f t="shared" si="136"/>
        <v>1473.2986237524547</v>
      </c>
      <c r="L63" s="3">
        <f t="shared" si="136"/>
        <v>-8977.9134884915202</v>
      </c>
      <c r="M63" s="3">
        <f>SUM(M61:M62)</f>
        <v>-7504.6148647390637</v>
      </c>
      <c r="N63" s="3">
        <f t="shared" si="136"/>
        <v>-7503.3217612907883</v>
      </c>
      <c r="O63" s="3">
        <f t="shared" si="136"/>
        <v>-7478.7527957735456</v>
      </c>
      <c r="P63" s="3">
        <f t="shared" ref="P63:AA63" si="137">SUM(P61:P62)</f>
        <v>-7503.3217612907883</v>
      </c>
      <c r="Q63" s="3">
        <f t="shared" si="137"/>
        <v>-7503.3217612907883</v>
      </c>
      <c r="R63" s="3">
        <f t="shared" si="137"/>
        <v>-7503.3217612907883</v>
      </c>
      <c r="S63" s="3">
        <f t="shared" si="137"/>
        <v>-7503.3217612907883</v>
      </c>
      <c r="T63" s="43">
        <f t="shared" si="137"/>
        <v>-7503.3217612907883</v>
      </c>
      <c r="U63" s="3">
        <f t="shared" si="137"/>
        <v>-34656.317678490144</v>
      </c>
      <c r="V63" s="3">
        <f t="shared" si="137"/>
        <v>-16554.320400357239</v>
      </c>
      <c r="W63" s="3">
        <f t="shared" si="137"/>
        <v>-7503.3217612907883</v>
      </c>
      <c r="X63" s="3">
        <f t="shared" si="137"/>
        <v>-2977.8224417575634</v>
      </c>
      <c r="Y63" s="43">
        <f t="shared" si="137"/>
        <v>-715.07278199095072</v>
      </c>
      <c r="Z63" s="3">
        <f t="shared" si="137"/>
        <v>-8312.7758469217697</v>
      </c>
      <c r="AA63" s="3">
        <f t="shared" si="137"/>
        <v>-8042.9578183781086</v>
      </c>
      <c r="AB63" s="3">
        <f t="shared" ref="AB63:AI63" si="138">SUM(AB61:AB62)</f>
        <v>-7503.3217612907883</v>
      </c>
      <c r="AC63" s="3">
        <f t="shared" si="138"/>
        <v>-6424.0496471161478</v>
      </c>
      <c r="AD63" s="43">
        <f t="shared" si="138"/>
        <v>-4265.5054187668684</v>
      </c>
      <c r="AE63" s="3">
        <f t="shared" si="138"/>
        <v>-7503.3217612907883</v>
      </c>
      <c r="AF63" s="3">
        <f t="shared" si="138"/>
        <v>-7503.3217612907883</v>
      </c>
      <c r="AG63" s="3">
        <f t="shared" si="138"/>
        <v>-7503.3217612907883</v>
      </c>
      <c r="AH63" s="3">
        <f t="shared" si="138"/>
        <v>-7503.3217612907883</v>
      </c>
      <c r="AI63" s="43">
        <f t="shared" si="138"/>
        <v>-7503.3217612907883</v>
      </c>
    </row>
    <row r="64" spans="1:35" hidden="1" outlineLevel="2" x14ac:dyDescent="0.25">
      <c r="A64" t="s">
        <v>136</v>
      </c>
      <c r="B64" t="s">
        <v>19</v>
      </c>
      <c r="C64" s="3">
        <f>-(C$24+C$27)/4</f>
        <v>0</v>
      </c>
      <c r="D64" s="3">
        <f t="shared" ref="D64:AI64" si="139">-(D$24+D$27)/4</f>
        <v>0</v>
      </c>
      <c r="E64" s="3">
        <f t="shared" si="139"/>
        <v>0</v>
      </c>
      <c r="F64" s="3">
        <f t="shared" si="139"/>
        <v>212.5</v>
      </c>
      <c r="G64" s="3">
        <f t="shared" si="139"/>
        <v>212.5</v>
      </c>
      <c r="H64" s="3">
        <f t="shared" si="139"/>
        <v>212.5</v>
      </c>
      <c r="I64" s="3">
        <f t="shared" si="139"/>
        <v>837.5</v>
      </c>
      <c r="J64" s="3">
        <f t="shared" si="139"/>
        <v>0</v>
      </c>
      <c r="K64" s="3">
        <f t="shared" si="139"/>
        <v>1335.176877775662</v>
      </c>
      <c r="L64" s="3">
        <f t="shared" si="139"/>
        <v>0</v>
      </c>
      <c r="M64" s="3">
        <f t="shared" si="139"/>
        <v>1335.176877775662</v>
      </c>
      <c r="N64" s="3">
        <f t="shared" si="139"/>
        <v>1547.676877775662</v>
      </c>
      <c r="O64" s="3">
        <f t="shared" si="139"/>
        <v>5585.1768777756624</v>
      </c>
      <c r="P64" s="3">
        <f t="shared" si="139"/>
        <v>1547.676877775662</v>
      </c>
      <c r="Q64" s="3">
        <f t="shared" si="139"/>
        <v>1547.676877775662</v>
      </c>
      <c r="R64" s="3">
        <f t="shared" si="139"/>
        <v>1547.676877775662</v>
      </c>
      <c r="S64" s="3">
        <f t="shared" si="139"/>
        <v>1547.676877775662</v>
      </c>
      <c r="T64" s="43">
        <f t="shared" si="139"/>
        <v>1547.676877775662</v>
      </c>
      <c r="U64" s="3">
        <f t="shared" si="139"/>
        <v>1547.676877775662</v>
      </c>
      <c r="V64" s="3">
        <f t="shared" si="139"/>
        <v>1547.676877775662</v>
      </c>
      <c r="W64" s="3">
        <f t="shared" si="139"/>
        <v>1547.676877775662</v>
      </c>
      <c r="X64" s="3">
        <f t="shared" si="139"/>
        <v>1547.676877775662</v>
      </c>
      <c r="Y64" s="43">
        <f t="shared" si="139"/>
        <v>1547.676877775662</v>
      </c>
      <c r="Z64" s="3">
        <f t="shared" si="139"/>
        <v>1547.676877775662</v>
      </c>
      <c r="AA64" s="3">
        <f t="shared" si="139"/>
        <v>1547.676877775662</v>
      </c>
      <c r="AB64" s="3">
        <f t="shared" si="139"/>
        <v>1547.676877775662</v>
      </c>
      <c r="AC64" s="3">
        <f t="shared" si="139"/>
        <v>1547.676877775662</v>
      </c>
      <c r="AD64" s="43">
        <f t="shared" si="139"/>
        <v>1547.676877775662</v>
      </c>
      <c r="AE64" s="3">
        <f t="shared" si="139"/>
        <v>1547.676877775662</v>
      </c>
      <c r="AF64" s="3">
        <f t="shared" si="139"/>
        <v>1547.676877775662</v>
      </c>
      <c r="AG64" s="3">
        <f t="shared" si="139"/>
        <v>1547.676877775662</v>
      </c>
      <c r="AH64" s="3">
        <f t="shared" si="139"/>
        <v>1547.676877775662</v>
      </c>
      <c r="AI64" s="43">
        <f t="shared" si="139"/>
        <v>1547.676877775662</v>
      </c>
    </row>
    <row r="65" spans="1:35" hidden="1" outlineLevel="2" x14ac:dyDescent="0.25">
      <c r="A65" t="s">
        <v>137</v>
      </c>
      <c r="B65" t="s">
        <v>19</v>
      </c>
      <c r="C65" s="3">
        <f t="shared" ref="C65:Q65" si="140">-C$44*1000/C$6/2</f>
        <v>0</v>
      </c>
      <c r="D65" s="3">
        <f t="shared" si="140"/>
        <v>0</v>
      </c>
      <c r="E65" s="3">
        <f t="shared" si="140"/>
        <v>-392.24137931034477</v>
      </c>
      <c r="F65" s="3">
        <f t="shared" si="140"/>
        <v>181.0344827586207</v>
      </c>
      <c r="G65" s="3">
        <f t="shared" si="140"/>
        <v>-211.2068965517241</v>
      </c>
      <c r="H65" s="3">
        <f t="shared" si="140"/>
        <v>2590.5172413793102</v>
      </c>
      <c r="I65" s="3">
        <f t="shared" si="140"/>
        <v>-146.55172413793099</v>
      </c>
      <c r="J65" s="3">
        <f t="shared" si="140"/>
        <v>0</v>
      </c>
      <c r="K65" s="3">
        <f t="shared" si="140"/>
        <v>138.12174597679262</v>
      </c>
      <c r="L65" s="3">
        <f t="shared" si="140"/>
        <v>-8977.9134884915202</v>
      </c>
      <c r="M65" s="3">
        <f t="shared" si="140"/>
        <v>-8839.7917425147261</v>
      </c>
      <c r="N65" s="3">
        <f t="shared" si="140"/>
        <v>-9050.9986390664508</v>
      </c>
      <c r="O65" s="3">
        <f t="shared" si="140"/>
        <v>-13063.929673549208</v>
      </c>
      <c r="P65" s="3">
        <f t="shared" si="140"/>
        <v>-9050.9986390664508</v>
      </c>
      <c r="Q65" s="3">
        <f t="shared" si="140"/>
        <v>-9050.9986390664508</v>
      </c>
      <c r="R65" s="3">
        <f t="shared" ref="R65:AI65" si="141">-R$44*1000/R$6/2</f>
        <v>-9050.9986390664508</v>
      </c>
      <c r="S65" s="3">
        <f t="shared" si="141"/>
        <v>-9050.9986390664508</v>
      </c>
      <c r="T65" s="43">
        <f t="shared" si="141"/>
        <v>-9050.9986390664508</v>
      </c>
      <c r="U65" s="3">
        <f t="shared" si="141"/>
        <v>-36203.994556265803</v>
      </c>
      <c r="V65" s="3">
        <f t="shared" si="141"/>
        <v>-18101.997278132902</v>
      </c>
      <c r="W65" s="3">
        <f t="shared" si="141"/>
        <v>-9050.9986390664508</v>
      </c>
      <c r="X65" s="3">
        <f t="shared" si="141"/>
        <v>-4525.4993195332254</v>
      </c>
      <c r="Y65" s="43">
        <f t="shared" si="141"/>
        <v>-2262.7496597666127</v>
      </c>
      <c r="Z65" s="3">
        <f t="shared" si="141"/>
        <v>-9860.4527246974321</v>
      </c>
      <c r="AA65" s="3">
        <f t="shared" si="141"/>
        <v>-9590.6346961537711</v>
      </c>
      <c r="AB65" s="3">
        <f t="shared" si="141"/>
        <v>-9050.9986390664508</v>
      </c>
      <c r="AC65" s="3">
        <f t="shared" si="141"/>
        <v>-7971.7265248918102</v>
      </c>
      <c r="AD65" s="43">
        <f t="shared" si="141"/>
        <v>-5813.1822965425299</v>
      </c>
      <c r="AE65" s="3">
        <f t="shared" si="141"/>
        <v>-9050.9986390664508</v>
      </c>
      <c r="AF65" s="3">
        <f t="shared" si="141"/>
        <v>-9050.9986390664508</v>
      </c>
      <c r="AG65" s="3">
        <f t="shared" si="141"/>
        <v>-9050.9986390664508</v>
      </c>
      <c r="AH65" s="3">
        <f t="shared" si="141"/>
        <v>-9050.9986390664508</v>
      </c>
      <c r="AI65" s="43">
        <f t="shared" si="141"/>
        <v>-9050.9986390664508</v>
      </c>
    </row>
    <row r="66" spans="1:35" outlineLevel="1" collapsed="1" x14ac:dyDescent="0.25">
      <c r="A66" t="s">
        <v>102</v>
      </c>
      <c r="B66" t="s">
        <v>19</v>
      </c>
      <c r="C66" s="3">
        <f>SUM(C64:C65)</f>
        <v>0</v>
      </c>
      <c r="D66" s="3">
        <f t="shared" ref="D66:O66" si="142">SUM(D64:D65)</f>
        <v>0</v>
      </c>
      <c r="E66" s="3">
        <f t="shared" si="142"/>
        <v>-392.24137931034477</v>
      </c>
      <c r="F66" s="3">
        <f t="shared" si="142"/>
        <v>393.5344827586207</v>
      </c>
      <c r="G66" s="3">
        <f t="shared" si="142"/>
        <v>1.2931034482759003</v>
      </c>
      <c r="H66" s="3">
        <f t="shared" si="142"/>
        <v>2803.0172413793102</v>
      </c>
      <c r="I66" s="3">
        <f t="shared" si="142"/>
        <v>690.94827586206907</v>
      </c>
      <c r="J66" s="3">
        <f t="shared" si="142"/>
        <v>0</v>
      </c>
      <c r="K66" s="3">
        <f t="shared" si="142"/>
        <v>1473.2986237524547</v>
      </c>
      <c r="L66" s="3">
        <f t="shared" si="142"/>
        <v>-8977.9134884915202</v>
      </c>
      <c r="M66" s="3">
        <f>SUM(M64:M65)</f>
        <v>-7504.6148647390637</v>
      </c>
      <c r="N66" s="3">
        <f t="shared" si="142"/>
        <v>-7503.3217612907883</v>
      </c>
      <c r="O66" s="3">
        <f t="shared" si="142"/>
        <v>-7478.7527957735456</v>
      </c>
      <c r="P66" s="3">
        <f t="shared" ref="P66:AA66" si="143">SUM(P64:P65)</f>
        <v>-7503.3217612907883</v>
      </c>
      <c r="Q66" s="3">
        <f t="shared" si="143"/>
        <v>-7503.3217612907883</v>
      </c>
      <c r="R66" s="3">
        <f t="shared" si="143"/>
        <v>-7503.3217612907883</v>
      </c>
      <c r="S66" s="3">
        <f t="shared" si="143"/>
        <v>-7503.3217612907883</v>
      </c>
      <c r="T66" s="43">
        <f t="shared" si="143"/>
        <v>-7503.3217612907883</v>
      </c>
      <c r="U66" s="3">
        <f t="shared" si="143"/>
        <v>-34656.317678490144</v>
      </c>
      <c r="V66" s="3">
        <f t="shared" si="143"/>
        <v>-16554.320400357239</v>
      </c>
      <c r="W66" s="3">
        <f t="shared" si="143"/>
        <v>-7503.3217612907883</v>
      </c>
      <c r="X66" s="3">
        <f t="shared" si="143"/>
        <v>-2977.8224417575634</v>
      </c>
      <c r="Y66" s="43">
        <f t="shared" si="143"/>
        <v>-715.07278199095072</v>
      </c>
      <c r="Z66" s="3">
        <f t="shared" si="143"/>
        <v>-8312.7758469217697</v>
      </c>
      <c r="AA66" s="3">
        <f t="shared" si="143"/>
        <v>-8042.9578183781086</v>
      </c>
      <c r="AB66" s="3">
        <f t="shared" ref="AB66:AI66" si="144">SUM(AB64:AB65)</f>
        <v>-7503.3217612907883</v>
      </c>
      <c r="AC66" s="3">
        <f t="shared" si="144"/>
        <v>-6424.0496471161478</v>
      </c>
      <c r="AD66" s="43">
        <f t="shared" si="144"/>
        <v>-4265.5054187668684</v>
      </c>
      <c r="AE66" s="3">
        <f t="shared" si="144"/>
        <v>-7503.3217612907883</v>
      </c>
      <c r="AF66" s="3">
        <f t="shared" si="144"/>
        <v>-7503.3217612907883</v>
      </c>
      <c r="AG66" s="3">
        <f t="shared" si="144"/>
        <v>-7503.3217612907883</v>
      </c>
      <c r="AH66" s="3">
        <f t="shared" si="144"/>
        <v>-7503.3217612907883</v>
      </c>
      <c r="AI66" s="43">
        <f t="shared" si="144"/>
        <v>-7503.3217612907883</v>
      </c>
    </row>
    <row r="67" spans="1:35" hidden="1" outlineLevel="2" x14ac:dyDescent="0.25">
      <c r="A67" t="s">
        <v>136</v>
      </c>
      <c r="B67" t="s">
        <v>19</v>
      </c>
      <c r="C67" s="3">
        <f>-(C$24+C$27)/4</f>
        <v>0</v>
      </c>
      <c r="D67" s="3">
        <f t="shared" ref="D67:AI67" si="145">-(D$24+D$27)/4</f>
        <v>0</v>
      </c>
      <c r="E67" s="3">
        <f t="shared" si="145"/>
        <v>0</v>
      </c>
      <c r="F67" s="3">
        <f t="shared" si="145"/>
        <v>212.5</v>
      </c>
      <c r="G67" s="3">
        <f t="shared" si="145"/>
        <v>212.5</v>
      </c>
      <c r="H67" s="3">
        <f t="shared" si="145"/>
        <v>212.5</v>
      </c>
      <c r="I67" s="3">
        <f t="shared" si="145"/>
        <v>837.5</v>
      </c>
      <c r="J67" s="3">
        <f t="shared" si="145"/>
        <v>0</v>
      </c>
      <c r="K67" s="3">
        <f t="shared" si="145"/>
        <v>1335.176877775662</v>
      </c>
      <c r="L67" s="3">
        <f t="shared" si="145"/>
        <v>0</v>
      </c>
      <c r="M67" s="3">
        <f t="shared" si="145"/>
        <v>1335.176877775662</v>
      </c>
      <c r="N67" s="3">
        <f t="shared" si="145"/>
        <v>1547.676877775662</v>
      </c>
      <c r="O67" s="3">
        <f t="shared" si="145"/>
        <v>5585.1768777756624</v>
      </c>
      <c r="P67" s="3">
        <f t="shared" si="145"/>
        <v>1547.676877775662</v>
      </c>
      <c r="Q67" s="3">
        <f t="shared" si="145"/>
        <v>1547.676877775662</v>
      </c>
      <c r="R67" s="3">
        <f t="shared" si="145"/>
        <v>1547.676877775662</v>
      </c>
      <c r="S67" s="3">
        <f t="shared" si="145"/>
        <v>1547.676877775662</v>
      </c>
      <c r="T67" s="43">
        <f t="shared" si="145"/>
        <v>1547.676877775662</v>
      </c>
      <c r="U67" s="3">
        <f t="shared" si="145"/>
        <v>1547.676877775662</v>
      </c>
      <c r="V67" s="3">
        <f t="shared" si="145"/>
        <v>1547.676877775662</v>
      </c>
      <c r="W67" s="3">
        <f t="shared" si="145"/>
        <v>1547.676877775662</v>
      </c>
      <c r="X67" s="3">
        <f t="shared" si="145"/>
        <v>1547.676877775662</v>
      </c>
      <c r="Y67" s="43">
        <f t="shared" si="145"/>
        <v>1547.676877775662</v>
      </c>
      <c r="Z67" s="3">
        <f t="shared" si="145"/>
        <v>1547.676877775662</v>
      </c>
      <c r="AA67" s="3">
        <f t="shared" si="145"/>
        <v>1547.676877775662</v>
      </c>
      <c r="AB67" s="3">
        <f t="shared" si="145"/>
        <v>1547.676877775662</v>
      </c>
      <c r="AC67" s="3">
        <f t="shared" si="145"/>
        <v>1547.676877775662</v>
      </c>
      <c r="AD67" s="43">
        <f t="shared" si="145"/>
        <v>1547.676877775662</v>
      </c>
      <c r="AE67" s="3">
        <f t="shared" si="145"/>
        <v>1547.676877775662</v>
      </c>
      <c r="AF67" s="3">
        <f t="shared" si="145"/>
        <v>1547.676877775662</v>
      </c>
      <c r="AG67" s="3">
        <f t="shared" si="145"/>
        <v>1547.676877775662</v>
      </c>
      <c r="AH67" s="3">
        <f t="shared" si="145"/>
        <v>1547.676877775662</v>
      </c>
      <c r="AI67" s="43">
        <f t="shared" si="145"/>
        <v>1547.676877775662</v>
      </c>
    </row>
    <row r="68" spans="1:35" hidden="1" outlineLevel="2" x14ac:dyDescent="0.25">
      <c r="A68" t="s">
        <v>137</v>
      </c>
      <c r="B68" t="s">
        <v>19</v>
      </c>
      <c r="C68" s="3">
        <f t="shared" ref="C68:Q68" si="146">C$44*1000/C$6/2</f>
        <v>0</v>
      </c>
      <c r="D68" s="3">
        <f t="shared" si="146"/>
        <v>0</v>
      </c>
      <c r="E68" s="3">
        <f t="shared" si="146"/>
        <v>392.24137931034477</v>
      </c>
      <c r="F68" s="3">
        <f t="shared" si="146"/>
        <v>-181.0344827586207</v>
      </c>
      <c r="G68" s="3">
        <f t="shared" si="146"/>
        <v>211.2068965517241</v>
      </c>
      <c r="H68" s="3">
        <f t="shared" si="146"/>
        <v>-2590.5172413793102</v>
      </c>
      <c r="I68" s="3">
        <f t="shared" si="146"/>
        <v>146.55172413793099</v>
      </c>
      <c r="J68" s="3">
        <f t="shared" si="146"/>
        <v>0</v>
      </c>
      <c r="K68" s="3">
        <f t="shared" si="146"/>
        <v>-138.12174597679262</v>
      </c>
      <c r="L68" s="3">
        <f t="shared" si="146"/>
        <v>8977.9134884915202</v>
      </c>
      <c r="M68" s="3">
        <f t="shared" si="146"/>
        <v>8839.7917425147261</v>
      </c>
      <c r="N68" s="3">
        <f t="shared" si="146"/>
        <v>9050.9986390664508</v>
      </c>
      <c r="O68" s="3">
        <f t="shared" si="146"/>
        <v>13063.929673549208</v>
      </c>
      <c r="P68" s="3">
        <f t="shared" si="146"/>
        <v>9050.9986390664508</v>
      </c>
      <c r="Q68" s="3">
        <f t="shared" si="146"/>
        <v>9050.9986390664508</v>
      </c>
      <c r="R68" s="3">
        <f t="shared" ref="R68:AI68" si="147">R$44*1000/R$6/2</f>
        <v>9050.9986390664508</v>
      </c>
      <c r="S68" s="3">
        <f t="shared" si="147"/>
        <v>9050.9986390664508</v>
      </c>
      <c r="T68" s="43">
        <f t="shared" si="147"/>
        <v>9050.9986390664508</v>
      </c>
      <c r="U68" s="3">
        <f t="shared" si="147"/>
        <v>36203.994556265803</v>
      </c>
      <c r="V68" s="3">
        <f t="shared" si="147"/>
        <v>18101.997278132902</v>
      </c>
      <c r="W68" s="3">
        <f t="shared" si="147"/>
        <v>9050.9986390664508</v>
      </c>
      <c r="X68" s="3">
        <f t="shared" si="147"/>
        <v>4525.4993195332254</v>
      </c>
      <c r="Y68" s="43">
        <f t="shared" si="147"/>
        <v>2262.7496597666127</v>
      </c>
      <c r="Z68" s="3">
        <f t="shared" si="147"/>
        <v>9860.4527246974321</v>
      </c>
      <c r="AA68" s="3">
        <f t="shared" si="147"/>
        <v>9590.6346961537711</v>
      </c>
      <c r="AB68" s="3">
        <f t="shared" si="147"/>
        <v>9050.9986390664508</v>
      </c>
      <c r="AC68" s="3">
        <f t="shared" si="147"/>
        <v>7971.7265248918102</v>
      </c>
      <c r="AD68" s="43">
        <f t="shared" si="147"/>
        <v>5813.1822965425299</v>
      </c>
      <c r="AE68" s="3">
        <f t="shared" si="147"/>
        <v>9050.9986390664508</v>
      </c>
      <c r="AF68" s="3">
        <f t="shared" si="147"/>
        <v>9050.9986390664508</v>
      </c>
      <c r="AG68" s="3">
        <f t="shared" si="147"/>
        <v>9050.9986390664508</v>
      </c>
      <c r="AH68" s="3">
        <f t="shared" si="147"/>
        <v>9050.9986390664508</v>
      </c>
      <c r="AI68" s="43">
        <f t="shared" si="147"/>
        <v>9050.9986390664508</v>
      </c>
    </row>
    <row r="69" spans="1:35" outlineLevel="1" collapsed="1" x14ac:dyDescent="0.25">
      <c r="A69" t="s">
        <v>103</v>
      </c>
      <c r="B69" t="s">
        <v>19</v>
      </c>
      <c r="C69" s="3">
        <f>SUM(C67:C68)</f>
        <v>0</v>
      </c>
      <c r="D69" s="3">
        <f t="shared" ref="D69:O69" si="148">SUM(D67:D68)</f>
        <v>0</v>
      </c>
      <c r="E69" s="3">
        <f t="shared" si="148"/>
        <v>392.24137931034477</v>
      </c>
      <c r="F69" s="3">
        <f t="shared" si="148"/>
        <v>31.465517241379303</v>
      </c>
      <c r="G69" s="3">
        <f t="shared" si="148"/>
        <v>423.70689655172407</v>
      </c>
      <c r="H69" s="3">
        <f t="shared" si="148"/>
        <v>-2378.0172413793102</v>
      </c>
      <c r="I69" s="3">
        <f t="shared" si="148"/>
        <v>984.05172413793093</v>
      </c>
      <c r="J69" s="3">
        <f t="shared" si="148"/>
        <v>0</v>
      </c>
      <c r="K69" s="3">
        <f t="shared" si="148"/>
        <v>1197.0551317988693</v>
      </c>
      <c r="L69" s="3">
        <f t="shared" si="148"/>
        <v>8977.9134884915202</v>
      </c>
      <c r="M69" s="3">
        <f>SUM(M67:M68)</f>
        <v>10174.968620290389</v>
      </c>
      <c r="N69" s="3">
        <f t="shared" si="148"/>
        <v>10598.675516842113</v>
      </c>
      <c r="O69" s="3">
        <f t="shared" si="148"/>
        <v>18649.106551324869</v>
      </c>
      <c r="P69" s="3">
        <f t="shared" ref="P69:AA69" si="149">SUM(P67:P68)</f>
        <v>10598.675516842113</v>
      </c>
      <c r="Q69" s="3">
        <f t="shared" si="149"/>
        <v>10598.675516842113</v>
      </c>
      <c r="R69" s="3">
        <f t="shared" si="149"/>
        <v>10598.675516842113</v>
      </c>
      <c r="S69" s="3">
        <f t="shared" si="149"/>
        <v>10598.675516842113</v>
      </c>
      <c r="T69" s="43">
        <f t="shared" si="149"/>
        <v>10598.675516842113</v>
      </c>
      <c r="U69" s="3">
        <f t="shared" si="149"/>
        <v>37751.671434041462</v>
      </c>
      <c r="V69" s="3">
        <f t="shared" si="149"/>
        <v>19649.674155908564</v>
      </c>
      <c r="W69" s="3">
        <f t="shared" si="149"/>
        <v>10598.675516842113</v>
      </c>
      <c r="X69" s="3">
        <f t="shared" si="149"/>
        <v>6073.1761973088869</v>
      </c>
      <c r="Y69" s="43">
        <f t="shared" si="149"/>
        <v>3810.4265375422747</v>
      </c>
      <c r="Z69" s="3">
        <f t="shared" si="149"/>
        <v>11408.129602473095</v>
      </c>
      <c r="AA69" s="3">
        <f t="shared" si="149"/>
        <v>11138.311573929434</v>
      </c>
      <c r="AB69" s="3">
        <f t="shared" ref="AB69:AI69" si="150">SUM(AB67:AB68)</f>
        <v>10598.675516842113</v>
      </c>
      <c r="AC69" s="3">
        <f t="shared" si="150"/>
        <v>9519.4034026674726</v>
      </c>
      <c r="AD69" s="43">
        <f t="shared" si="150"/>
        <v>7360.8591743181914</v>
      </c>
      <c r="AE69" s="3">
        <f t="shared" si="150"/>
        <v>10598.675516842113</v>
      </c>
      <c r="AF69" s="3">
        <f t="shared" si="150"/>
        <v>10598.675516842113</v>
      </c>
      <c r="AG69" s="3">
        <f t="shared" si="150"/>
        <v>10598.675516842113</v>
      </c>
      <c r="AH69" s="3">
        <f t="shared" si="150"/>
        <v>10598.675516842113</v>
      </c>
      <c r="AI69" s="43">
        <f t="shared" si="150"/>
        <v>10598.675516842113</v>
      </c>
    </row>
    <row r="70" spans="1:35" outlineLevel="2" x14ac:dyDescent="0.25">
      <c r="A70" t="s">
        <v>136</v>
      </c>
      <c r="B70" t="s">
        <v>19</v>
      </c>
      <c r="C70" s="3">
        <f>-(C$24+C$27)/4</f>
        <v>0</v>
      </c>
      <c r="D70" s="3">
        <f t="shared" ref="D70:AI70" si="151">-(D$24+D$27)/4</f>
        <v>0</v>
      </c>
      <c r="E70" s="3">
        <f t="shared" si="151"/>
        <v>0</v>
      </c>
      <c r="F70" s="3">
        <f t="shared" si="151"/>
        <v>212.5</v>
      </c>
      <c r="G70" s="3">
        <f t="shared" si="151"/>
        <v>212.5</v>
      </c>
      <c r="H70" s="3">
        <f t="shared" si="151"/>
        <v>212.5</v>
      </c>
      <c r="I70" s="3">
        <f t="shared" si="151"/>
        <v>837.5</v>
      </c>
      <c r="J70" s="3">
        <f t="shared" si="151"/>
        <v>0</v>
      </c>
      <c r="K70" s="3">
        <f t="shared" si="151"/>
        <v>1335.176877775662</v>
      </c>
      <c r="L70" s="3">
        <f t="shared" si="151"/>
        <v>0</v>
      </c>
      <c r="M70" s="3">
        <f t="shared" si="151"/>
        <v>1335.176877775662</v>
      </c>
      <c r="N70" s="3">
        <f t="shared" si="151"/>
        <v>1547.676877775662</v>
      </c>
      <c r="O70" s="3">
        <f t="shared" si="151"/>
        <v>5585.1768777756624</v>
      </c>
      <c r="P70" s="3">
        <f t="shared" si="151"/>
        <v>1547.676877775662</v>
      </c>
      <c r="Q70" s="3">
        <f t="shared" si="151"/>
        <v>1547.676877775662</v>
      </c>
      <c r="R70" s="3">
        <f t="shared" si="151"/>
        <v>1547.676877775662</v>
      </c>
      <c r="S70" s="3">
        <f t="shared" si="151"/>
        <v>1547.676877775662</v>
      </c>
      <c r="T70" s="43">
        <f t="shared" si="151"/>
        <v>1547.676877775662</v>
      </c>
      <c r="U70" s="3">
        <f t="shared" si="151"/>
        <v>1547.676877775662</v>
      </c>
      <c r="V70" s="3">
        <f t="shared" si="151"/>
        <v>1547.676877775662</v>
      </c>
      <c r="W70" s="3">
        <f t="shared" si="151"/>
        <v>1547.676877775662</v>
      </c>
      <c r="X70" s="3">
        <f t="shared" si="151"/>
        <v>1547.676877775662</v>
      </c>
      <c r="Y70" s="43">
        <f t="shared" si="151"/>
        <v>1547.676877775662</v>
      </c>
      <c r="Z70" s="3">
        <f t="shared" si="151"/>
        <v>1547.676877775662</v>
      </c>
      <c r="AA70" s="3">
        <f t="shared" si="151"/>
        <v>1547.676877775662</v>
      </c>
      <c r="AB70" s="3">
        <f t="shared" si="151"/>
        <v>1547.676877775662</v>
      </c>
      <c r="AC70" s="3">
        <f t="shared" si="151"/>
        <v>1547.676877775662</v>
      </c>
      <c r="AD70" s="43">
        <f t="shared" si="151"/>
        <v>1547.676877775662</v>
      </c>
      <c r="AE70" s="3">
        <f t="shared" si="151"/>
        <v>1547.676877775662</v>
      </c>
      <c r="AF70" s="3">
        <f t="shared" si="151"/>
        <v>1547.676877775662</v>
      </c>
      <c r="AG70" s="3">
        <f t="shared" si="151"/>
        <v>1547.676877775662</v>
      </c>
      <c r="AH70" s="3">
        <f t="shared" si="151"/>
        <v>1547.676877775662</v>
      </c>
      <c r="AI70" s="43">
        <f t="shared" si="151"/>
        <v>1547.676877775662</v>
      </c>
    </row>
    <row r="71" spans="1:35" outlineLevel="2" x14ac:dyDescent="0.25">
      <c r="A71" t="s">
        <v>137</v>
      </c>
      <c r="B71" t="s">
        <v>19</v>
      </c>
      <c r="C71" s="3">
        <f t="shared" ref="C71:Q71" si="152">C$44*1000/C$6/2</f>
        <v>0</v>
      </c>
      <c r="D71" s="3">
        <f t="shared" si="152"/>
        <v>0</v>
      </c>
      <c r="E71" s="3">
        <f t="shared" si="152"/>
        <v>392.24137931034477</v>
      </c>
      <c r="F71" s="3">
        <f t="shared" si="152"/>
        <v>-181.0344827586207</v>
      </c>
      <c r="G71" s="3">
        <f t="shared" si="152"/>
        <v>211.2068965517241</v>
      </c>
      <c r="H71" s="3">
        <f t="shared" si="152"/>
        <v>-2590.5172413793102</v>
      </c>
      <c r="I71" s="3">
        <f t="shared" si="152"/>
        <v>146.55172413793099</v>
      </c>
      <c r="J71" s="3">
        <f t="shared" si="152"/>
        <v>0</v>
      </c>
      <c r="K71" s="3">
        <f t="shared" si="152"/>
        <v>-138.12174597679262</v>
      </c>
      <c r="L71" s="3">
        <f t="shared" si="152"/>
        <v>8977.9134884915202</v>
      </c>
      <c r="M71" s="3">
        <f t="shared" si="152"/>
        <v>8839.7917425147261</v>
      </c>
      <c r="N71" s="3">
        <f t="shared" si="152"/>
        <v>9050.9986390664508</v>
      </c>
      <c r="O71" s="3">
        <f t="shared" si="152"/>
        <v>13063.929673549208</v>
      </c>
      <c r="P71" s="3">
        <f t="shared" si="152"/>
        <v>9050.9986390664508</v>
      </c>
      <c r="Q71" s="3">
        <f t="shared" si="152"/>
        <v>9050.9986390664508</v>
      </c>
      <c r="R71" s="3">
        <f t="shared" ref="R71:AI71" si="153">R$44*1000/R$6/2</f>
        <v>9050.9986390664508</v>
      </c>
      <c r="S71" s="3">
        <f t="shared" si="153"/>
        <v>9050.9986390664508</v>
      </c>
      <c r="T71" s="43">
        <f t="shared" si="153"/>
        <v>9050.9986390664508</v>
      </c>
      <c r="U71" s="3">
        <f t="shared" si="153"/>
        <v>36203.994556265803</v>
      </c>
      <c r="V71" s="3">
        <f t="shared" si="153"/>
        <v>18101.997278132902</v>
      </c>
      <c r="W71" s="3">
        <f t="shared" si="153"/>
        <v>9050.9986390664508</v>
      </c>
      <c r="X71" s="3">
        <f t="shared" si="153"/>
        <v>4525.4993195332254</v>
      </c>
      <c r="Y71" s="43">
        <f t="shared" si="153"/>
        <v>2262.7496597666127</v>
      </c>
      <c r="Z71" s="3">
        <f t="shared" si="153"/>
        <v>9860.4527246974321</v>
      </c>
      <c r="AA71" s="3">
        <f t="shared" si="153"/>
        <v>9590.6346961537711</v>
      </c>
      <c r="AB71" s="3">
        <f t="shared" si="153"/>
        <v>9050.9986390664508</v>
      </c>
      <c r="AC71" s="3">
        <f t="shared" si="153"/>
        <v>7971.7265248918102</v>
      </c>
      <c r="AD71" s="43">
        <f t="shared" si="153"/>
        <v>5813.1822965425299</v>
      </c>
      <c r="AE71" s="3">
        <f t="shared" si="153"/>
        <v>9050.9986390664508</v>
      </c>
      <c r="AF71" s="3">
        <f t="shared" si="153"/>
        <v>9050.9986390664508</v>
      </c>
      <c r="AG71" s="3">
        <f t="shared" si="153"/>
        <v>9050.9986390664508</v>
      </c>
      <c r="AH71" s="3">
        <f t="shared" si="153"/>
        <v>9050.9986390664508</v>
      </c>
      <c r="AI71" s="43">
        <f t="shared" si="153"/>
        <v>9050.9986390664508</v>
      </c>
    </row>
    <row r="72" spans="1:35" outlineLevel="1" x14ac:dyDescent="0.25">
      <c r="A72" t="s">
        <v>104</v>
      </c>
      <c r="B72" t="s">
        <v>19</v>
      </c>
      <c r="C72" s="3">
        <f>SUM(C70:C71)</f>
        <v>0</v>
      </c>
      <c r="D72" s="3">
        <f t="shared" ref="D72:O72" si="154">SUM(D70:D71)</f>
        <v>0</v>
      </c>
      <c r="E72" s="3">
        <f t="shared" si="154"/>
        <v>392.24137931034477</v>
      </c>
      <c r="F72" s="3">
        <f t="shared" si="154"/>
        <v>31.465517241379303</v>
      </c>
      <c r="G72" s="3">
        <f t="shared" si="154"/>
        <v>423.70689655172407</v>
      </c>
      <c r="H72" s="3">
        <f t="shared" si="154"/>
        <v>-2378.0172413793102</v>
      </c>
      <c r="I72" s="3">
        <f t="shared" si="154"/>
        <v>984.05172413793093</v>
      </c>
      <c r="J72" s="3">
        <f t="shared" si="154"/>
        <v>0</v>
      </c>
      <c r="K72" s="3">
        <f t="shared" si="154"/>
        <v>1197.0551317988693</v>
      </c>
      <c r="L72" s="3">
        <f t="shared" si="154"/>
        <v>8977.9134884915202</v>
      </c>
      <c r="M72" s="3">
        <f>SUM(M70:M71)</f>
        <v>10174.968620290389</v>
      </c>
      <c r="N72" s="3">
        <f t="shared" si="154"/>
        <v>10598.675516842113</v>
      </c>
      <c r="O72" s="3">
        <f t="shared" si="154"/>
        <v>18649.106551324869</v>
      </c>
      <c r="P72" s="3">
        <f t="shared" ref="P72:AA72" si="155">SUM(P70:P71)</f>
        <v>10598.675516842113</v>
      </c>
      <c r="Q72" s="3">
        <f t="shared" si="155"/>
        <v>10598.675516842113</v>
      </c>
      <c r="R72" s="3">
        <f t="shared" si="155"/>
        <v>10598.675516842113</v>
      </c>
      <c r="S72" s="3">
        <f t="shared" si="155"/>
        <v>10598.675516842113</v>
      </c>
      <c r="T72" s="43">
        <f t="shared" si="155"/>
        <v>10598.675516842113</v>
      </c>
      <c r="U72" s="3">
        <f t="shared" si="155"/>
        <v>37751.671434041462</v>
      </c>
      <c r="V72" s="3">
        <f t="shared" si="155"/>
        <v>19649.674155908564</v>
      </c>
      <c r="W72" s="3">
        <f t="shared" si="155"/>
        <v>10598.675516842113</v>
      </c>
      <c r="X72" s="3">
        <f t="shared" si="155"/>
        <v>6073.1761973088869</v>
      </c>
      <c r="Y72" s="43">
        <f t="shared" si="155"/>
        <v>3810.4265375422747</v>
      </c>
      <c r="Z72" s="3">
        <f t="shared" si="155"/>
        <v>11408.129602473095</v>
      </c>
      <c r="AA72" s="3">
        <f t="shared" si="155"/>
        <v>11138.311573929434</v>
      </c>
      <c r="AB72" s="3">
        <f t="shared" ref="AB72:AI72" si="156">SUM(AB70:AB71)</f>
        <v>10598.675516842113</v>
      </c>
      <c r="AC72" s="3">
        <f t="shared" si="156"/>
        <v>9519.4034026674726</v>
      </c>
      <c r="AD72" s="43">
        <f t="shared" si="156"/>
        <v>7360.8591743181914</v>
      </c>
      <c r="AE72" s="3">
        <f t="shared" si="156"/>
        <v>10598.675516842113</v>
      </c>
      <c r="AF72" s="3">
        <f t="shared" si="156"/>
        <v>10598.675516842113</v>
      </c>
      <c r="AG72" s="3">
        <f t="shared" si="156"/>
        <v>10598.675516842113</v>
      </c>
      <c r="AH72" s="3">
        <f t="shared" si="156"/>
        <v>10598.675516842113</v>
      </c>
      <c r="AI72" s="43">
        <f t="shared" si="156"/>
        <v>10598.675516842113</v>
      </c>
    </row>
    <row r="73" spans="1:35" outlineLevel="1" x14ac:dyDescent="0.25">
      <c r="A73" t="s">
        <v>105</v>
      </c>
      <c r="B73" t="s">
        <v>19</v>
      </c>
      <c r="C73" s="3">
        <f>SQRT(C48^2+C63^2)</f>
        <v>320.14738598442716</v>
      </c>
      <c r="D73" s="3">
        <f t="shared" ref="D73:O73" si="157">SQRT(D48^2+D63^2)</f>
        <v>640.29477196885432</v>
      </c>
      <c r="E73" s="3">
        <f t="shared" si="157"/>
        <v>860.4415571386279</v>
      </c>
      <c r="F73" s="3">
        <f t="shared" si="157"/>
        <v>459.26552632111259</v>
      </c>
      <c r="G73" s="3">
        <f t="shared" si="157"/>
        <v>1002.5981642590976</v>
      </c>
      <c r="H73" s="3">
        <f t="shared" si="157"/>
        <v>2860.6974226988709</v>
      </c>
      <c r="I73" s="3">
        <f t="shared" si="157"/>
        <v>1152.1307746875325</v>
      </c>
      <c r="J73" s="3">
        <f t="shared" si="157"/>
        <v>112.22217698710494</v>
      </c>
      <c r="K73" s="3">
        <f t="shared" si="157"/>
        <v>1480.7002857223511</v>
      </c>
      <c r="L73" s="3">
        <f t="shared" si="157"/>
        <v>9137.7006377534562</v>
      </c>
      <c r="M73" s="3">
        <f>SQRT(M48^2+M63^2)</f>
        <v>7620.0199939970462</v>
      </c>
      <c r="N73" s="3">
        <f t="shared" si="157"/>
        <v>7766.2272211712307</v>
      </c>
      <c r="O73" s="3">
        <f t="shared" si="157"/>
        <v>7702.7594288424934</v>
      </c>
      <c r="P73" s="3">
        <f t="shared" ref="P73:AA73" si="158">SQRT(P48^2+P63^2)</f>
        <v>7999.1430972616108</v>
      </c>
      <c r="Q73" s="3">
        <f t="shared" si="158"/>
        <v>7836.2573477400765</v>
      </c>
      <c r="R73" s="3">
        <f t="shared" si="158"/>
        <v>7766.2272211712307</v>
      </c>
      <c r="S73" s="3">
        <f t="shared" si="158"/>
        <v>7734.1594506323845</v>
      </c>
      <c r="T73" s="43">
        <f t="shared" si="158"/>
        <v>7718.8733485955581</v>
      </c>
      <c r="U73" s="3">
        <f t="shared" si="158"/>
        <v>35642.61257716181</v>
      </c>
      <c r="V73" s="3">
        <f t="shared" si="158"/>
        <v>17057.215871355213</v>
      </c>
      <c r="W73" s="3">
        <f t="shared" si="158"/>
        <v>7766.2272211712307</v>
      </c>
      <c r="X73" s="3">
        <f t="shared" si="158"/>
        <v>3125.6105776236277</v>
      </c>
      <c r="Y73" s="43">
        <f t="shared" si="158"/>
        <v>830.7223729474124</v>
      </c>
      <c r="Z73" s="3">
        <f t="shared" si="158"/>
        <v>8638.8073737541017</v>
      </c>
      <c r="AA73" s="3">
        <f t="shared" si="158"/>
        <v>8347.7552047510271</v>
      </c>
      <c r="AB73" s="3">
        <f t="shared" ref="AB73:AI73" si="159">SQRT(AB48^2+AB63^2)</f>
        <v>7766.2272211712307</v>
      </c>
      <c r="AC73" s="3">
        <f t="shared" si="159"/>
        <v>6606.1866507375335</v>
      </c>
      <c r="AD73" s="43">
        <f t="shared" si="159"/>
        <v>4309.5309032664118</v>
      </c>
      <c r="AE73" s="3">
        <f t="shared" si="159"/>
        <v>7882.5936255336119</v>
      </c>
      <c r="AF73" s="3">
        <f t="shared" si="159"/>
        <v>7802.7913450585893</v>
      </c>
      <c r="AG73" s="3">
        <f t="shared" si="159"/>
        <v>7766.2272211712307</v>
      </c>
      <c r="AH73" s="3">
        <f t="shared" si="159"/>
        <v>7748.7935057313007</v>
      </c>
      <c r="AI73" s="43">
        <f t="shared" si="159"/>
        <v>7740.2904268911661</v>
      </c>
    </row>
    <row r="74" spans="1:35" outlineLevel="1" x14ac:dyDescent="0.25">
      <c r="A74" t="s">
        <v>106</v>
      </c>
      <c r="B74" t="s">
        <v>19</v>
      </c>
      <c r="C74" s="3">
        <f>SQRT(C52^2+C66^2)</f>
        <v>466.92157953281423</v>
      </c>
      <c r="D74" s="3">
        <f t="shared" ref="D74:O74" si="160">SQRT(D52^2+D66^2)</f>
        <v>933.84315906562847</v>
      </c>
      <c r="E74" s="3">
        <f t="shared" si="160"/>
        <v>993.33406533425728</v>
      </c>
      <c r="F74" s="3">
        <f t="shared" si="160"/>
        <v>676.54196347223444</v>
      </c>
      <c r="G74" s="3">
        <f t="shared" si="160"/>
        <v>1462.9204825118061</v>
      </c>
      <c r="H74" s="3">
        <f t="shared" si="160"/>
        <v>2986.92035255576</v>
      </c>
      <c r="I74" s="3">
        <f t="shared" si="160"/>
        <v>1691.1542367120653</v>
      </c>
      <c r="J74" s="3">
        <f t="shared" si="160"/>
        <v>1058.4457100021632</v>
      </c>
      <c r="K74" s="3">
        <f t="shared" si="160"/>
        <v>1605.985251661449</v>
      </c>
      <c r="L74" s="3">
        <f t="shared" si="160"/>
        <v>9166.1632385325447</v>
      </c>
      <c r="M74" s="3">
        <f>SQRT(M52^2+M66^2)</f>
        <v>7520.9255668223223</v>
      </c>
      <c r="N74" s="3">
        <f t="shared" si="160"/>
        <v>7650.0372838778658</v>
      </c>
      <c r="O74" s="3">
        <f t="shared" si="160"/>
        <v>7586.0253459531423</v>
      </c>
      <c r="P74" s="3">
        <f t="shared" ref="P74:AA74" si="161">SQRT(P52^2+P66^2)</f>
        <v>7537.9991420740926</v>
      </c>
      <c r="Q74" s="3">
        <f t="shared" si="161"/>
        <v>7604.2422112746499</v>
      </c>
      <c r="R74" s="3">
        <f t="shared" si="161"/>
        <v>7650.0372838778658</v>
      </c>
      <c r="S74" s="3">
        <f t="shared" si="161"/>
        <v>7676.0416234369413</v>
      </c>
      <c r="T74" s="43">
        <f t="shared" si="161"/>
        <v>7689.8115757230307</v>
      </c>
      <c r="U74" s="3">
        <f t="shared" si="161"/>
        <v>35526.365180310546</v>
      </c>
      <c r="V74" s="3">
        <f t="shared" si="161"/>
        <v>16940.977951236913</v>
      </c>
      <c r="W74" s="3">
        <f t="shared" si="161"/>
        <v>7650.0372838778658</v>
      </c>
      <c r="X74" s="3">
        <f t="shared" si="161"/>
        <v>3009.743999512556</v>
      </c>
      <c r="Y74" s="43">
        <f t="shared" si="161"/>
        <v>720.68249143354694</v>
      </c>
      <c r="Z74" s="3">
        <f t="shared" si="161"/>
        <v>8513.6220285495892</v>
      </c>
      <c r="AA74" s="3">
        <f t="shared" si="161"/>
        <v>8225.3545106489109</v>
      </c>
      <c r="AB74" s="3">
        <f t="shared" ref="AB74:AI74" si="162">SQRT(AB52^2+AB66^2)</f>
        <v>7650.0372838778658</v>
      </c>
      <c r="AC74" s="3">
        <f t="shared" si="162"/>
        <v>6505.7803460580326</v>
      </c>
      <c r="AD74" s="43">
        <f t="shared" si="162"/>
        <v>4266.7216640887145</v>
      </c>
      <c r="AE74" s="3">
        <f t="shared" si="162"/>
        <v>7789.7106273829613</v>
      </c>
      <c r="AF74" s="3">
        <f t="shared" si="162"/>
        <v>7691.6479017018464</v>
      </c>
      <c r="AG74" s="3">
        <f t="shared" si="162"/>
        <v>7650.0372838778658</v>
      </c>
      <c r="AH74" s="3">
        <f t="shared" si="162"/>
        <v>7631.1241453846606</v>
      </c>
      <c r="AI74" s="43">
        <f t="shared" si="162"/>
        <v>7622.1448297257775</v>
      </c>
    </row>
    <row r="75" spans="1:35" outlineLevel="1" x14ac:dyDescent="0.25">
      <c r="A75" t="s">
        <v>107</v>
      </c>
      <c r="B75" t="s">
        <v>19</v>
      </c>
      <c r="C75" s="3">
        <f>SQRT(C56^2+C69^2)</f>
        <v>104.85261401557284</v>
      </c>
      <c r="D75" s="3">
        <f t="shared" ref="D75:O75" si="163">SQRT(D56^2+D69^2)</f>
        <v>209.70522803114568</v>
      </c>
      <c r="E75" s="3">
        <f t="shared" si="163"/>
        <v>519.63755471273612</v>
      </c>
      <c r="F75" s="3">
        <f t="shared" si="163"/>
        <v>190.85142780048159</v>
      </c>
      <c r="G75" s="3">
        <f t="shared" si="163"/>
        <v>450.34817577142627</v>
      </c>
      <c r="H75" s="3">
        <f t="shared" si="163"/>
        <v>2394.2625687524701</v>
      </c>
      <c r="I75" s="3">
        <f t="shared" si="163"/>
        <v>986.67872705034233</v>
      </c>
      <c r="J75" s="3">
        <f t="shared" si="163"/>
        <v>1258.0185037820015</v>
      </c>
      <c r="K75" s="3">
        <f t="shared" si="163"/>
        <v>1228.716389653571</v>
      </c>
      <c r="L75" s="3">
        <f t="shared" si="163"/>
        <v>9068.1882328451029</v>
      </c>
      <c r="M75" s="3">
        <f>SQRT(M56^2+M69^2)</f>
        <v>10469.759012095981</v>
      </c>
      <c r="N75" s="3">
        <f t="shared" si="163"/>
        <v>10943.231032328262</v>
      </c>
      <c r="O75" s="3">
        <f t="shared" si="163"/>
        <v>22130.392734841225</v>
      </c>
      <c r="P75" s="3">
        <f t="shared" ref="P75:AA75" si="164">SQRT(P56^2+P69^2)</f>
        <v>11159.509829864071</v>
      </c>
      <c r="Q75" s="3">
        <f t="shared" si="164"/>
        <v>11009.831929757122</v>
      </c>
      <c r="R75" s="3">
        <f t="shared" si="164"/>
        <v>10943.231032328262</v>
      </c>
      <c r="S75" s="3">
        <f t="shared" si="164"/>
        <v>10912.035452707189</v>
      </c>
      <c r="T75" s="43">
        <f t="shared" si="164"/>
        <v>10896.969241657594</v>
      </c>
      <c r="U75" s="3">
        <f t="shared" si="164"/>
        <v>38820.710488778335</v>
      </c>
      <c r="V75" s="3">
        <f t="shared" si="164"/>
        <v>20235.098317247608</v>
      </c>
      <c r="W75" s="3">
        <f t="shared" si="164"/>
        <v>10943.231032328262</v>
      </c>
      <c r="X75" s="3">
        <f t="shared" si="164"/>
        <v>6298.7440362104917</v>
      </c>
      <c r="Y75" s="43">
        <f t="shared" si="164"/>
        <v>3978.3403573609144</v>
      </c>
      <c r="Z75" s="3">
        <f t="shared" si="164"/>
        <v>11814.430377968241</v>
      </c>
      <c r="AA75" s="3">
        <f t="shared" si="164"/>
        <v>11523.868211693733</v>
      </c>
      <c r="AB75" s="3">
        <f t="shared" ref="AB75:AI75" si="165">SQRT(AB56^2+AB69^2)</f>
        <v>10943.231032328262</v>
      </c>
      <c r="AC75" s="3">
        <f t="shared" si="165"/>
        <v>9784.3098575454806</v>
      </c>
      <c r="AD75" s="43">
        <f t="shared" si="165"/>
        <v>7480.9804321587617</v>
      </c>
      <c r="AE75" s="3">
        <f t="shared" si="165"/>
        <v>11053.023206313421</v>
      </c>
      <c r="AF75" s="3">
        <f t="shared" si="165"/>
        <v>10978.232073967496</v>
      </c>
      <c r="AG75" s="3">
        <f t="shared" si="165"/>
        <v>10943.231032328262</v>
      </c>
      <c r="AH75" s="3">
        <f t="shared" si="165"/>
        <v>10926.335969155292</v>
      </c>
      <c r="AI75" s="43">
        <f t="shared" si="165"/>
        <v>10918.040629123301</v>
      </c>
    </row>
    <row r="76" spans="1:35" outlineLevel="1" x14ac:dyDescent="0.25">
      <c r="A76" t="s">
        <v>108</v>
      </c>
      <c r="B76" t="s">
        <v>19</v>
      </c>
      <c r="C76" s="3">
        <f>SQRT(C60^2+C72^2)</f>
        <v>41.921579532814235</v>
      </c>
      <c r="D76" s="3">
        <f t="shared" ref="D76:O76" si="166">SQRT(D60^2+D72^2)</f>
        <v>83.84315906562847</v>
      </c>
      <c r="E76" s="3">
        <f t="shared" si="166"/>
        <v>625.79390845072851</v>
      </c>
      <c r="F76" s="3">
        <f t="shared" si="166"/>
        <v>129.19885112911027</v>
      </c>
      <c r="G76" s="3">
        <f t="shared" si="166"/>
        <v>745.11633420610258</v>
      </c>
      <c r="H76" s="3">
        <f t="shared" si="166"/>
        <v>2384.9629576386014</v>
      </c>
      <c r="I76" s="3">
        <f t="shared" si="166"/>
        <v>1203.9062693153846</v>
      </c>
      <c r="J76" s="3">
        <f t="shared" si="166"/>
        <v>87.350616792733376</v>
      </c>
      <c r="K76" s="3">
        <f t="shared" si="166"/>
        <v>1216.0689476463256</v>
      </c>
      <c r="L76" s="3">
        <f t="shared" si="166"/>
        <v>9090.0085441114861</v>
      </c>
      <c r="M76" s="3">
        <f>SQRT(M60^2+M72^2)</f>
        <v>10306.42380977054</v>
      </c>
      <c r="N76" s="3">
        <f t="shared" si="166"/>
        <v>10827.012107220395</v>
      </c>
      <c r="O76" s="3">
        <f t="shared" si="166"/>
        <v>21827.295722876792</v>
      </c>
      <c r="P76" s="3">
        <f t="shared" ref="P76:AA76" si="167">SQRT(P60^2+P72^2)</f>
        <v>10696.457479687928</v>
      </c>
      <c r="Q76" s="3">
        <f t="shared" si="167"/>
        <v>10777.577214173365</v>
      </c>
      <c r="R76" s="3">
        <f t="shared" si="167"/>
        <v>10827.012107220395</v>
      </c>
      <c r="S76" s="3">
        <f t="shared" si="167"/>
        <v>10853.914528529831</v>
      </c>
      <c r="T76" s="43">
        <f t="shared" si="167"/>
        <v>10867.907346374364</v>
      </c>
      <c r="U76" s="3">
        <f t="shared" si="167"/>
        <v>38704.462985575665</v>
      </c>
      <c r="V76" s="3">
        <f t="shared" si="167"/>
        <v>20118.857450662654</v>
      </c>
      <c r="W76" s="3">
        <f t="shared" si="167"/>
        <v>10827.012107220395</v>
      </c>
      <c r="X76" s="3">
        <f t="shared" si="167"/>
        <v>6182.5880052345956</v>
      </c>
      <c r="Y76" s="43">
        <f t="shared" si="167"/>
        <v>3862.3278137250823</v>
      </c>
      <c r="Z76" s="3">
        <f t="shared" si="167"/>
        <v>11691.647998000954</v>
      </c>
      <c r="AA76" s="3">
        <f t="shared" si="167"/>
        <v>11403.160920420887</v>
      </c>
      <c r="AB76" s="3">
        <f t="shared" ref="AB76:AI76" si="168">SQRT(AB60^2+AB72^2)</f>
        <v>10827.012107220395</v>
      </c>
      <c r="AC76" s="3">
        <f t="shared" si="168"/>
        <v>9678.7032077834774</v>
      </c>
      <c r="AD76" s="43">
        <f t="shared" si="168"/>
        <v>7406.6879189056135</v>
      </c>
      <c r="AE76" s="3">
        <f t="shared" si="168"/>
        <v>10965.772636516818</v>
      </c>
      <c r="AF76" s="3">
        <f t="shared" si="168"/>
        <v>10869.761752050692</v>
      </c>
      <c r="AG76" s="3">
        <f t="shared" si="168"/>
        <v>10827.012107220395</v>
      </c>
      <c r="AH76" s="3">
        <f t="shared" si="168"/>
        <v>10806.969985094864</v>
      </c>
      <c r="AI76" s="43">
        <f t="shared" si="168"/>
        <v>10797.28429964824</v>
      </c>
    </row>
    <row r="77" spans="1:35" x14ac:dyDescent="0.25">
      <c r="A77" t="s">
        <v>140</v>
      </c>
      <c r="B77" t="s">
        <v>19</v>
      </c>
      <c r="C77" s="3" cm="1">
        <f t="array" ref="C77">MAX(ABS(C48:C60))</f>
        <v>466.92157953281423</v>
      </c>
      <c r="D77" s="3" cm="1">
        <f t="array" ref="D77">MAX(ABS(D48:D60))</f>
        <v>933.84315906562847</v>
      </c>
      <c r="E77" s="3" cm="1">
        <f t="array" ref="E77">MAX(ABS(E48:E60))</f>
        <v>912.61123470522807</v>
      </c>
      <c r="F77" s="3" cm="1">
        <f t="array" ref="F77">MAX(ABS(F48:F60))</f>
        <v>550.30867630700777</v>
      </c>
      <c r="G77" s="3" cm="1">
        <f t="array" ref="G77">MAX(ABS(G48:G60))</f>
        <v>1462.9199110122358</v>
      </c>
      <c r="H77" s="3" cm="1">
        <f t="array" ref="H77">MAX(ABS(H48:H60))</f>
        <v>1031.8854282536151</v>
      </c>
      <c r="I77" s="3" cm="1">
        <f t="array" ref="I77">MAX(ABS(I48:I60))</f>
        <v>1543.5650723025583</v>
      </c>
      <c r="J77" s="3" cm="1">
        <f t="array" ref="J77">MAX(ABS(J48:J60))</f>
        <v>1258.0185037820015</v>
      </c>
      <c r="K77" s="3" cm="1">
        <f t="array" ref="K77">MAX(ABS(K48:K60))</f>
        <v>639.20246698773838</v>
      </c>
      <c r="L77" s="3" cm="1">
        <f t="array" ref="L77">MAX(ABS(L48:L60))</f>
        <v>1848.1390393007405</v>
      </c>
      <c r="M77" s="3" cm="1">
        <f t="array" ref="M77">MAX(ABS(M48:M60))</f>
        <v>2466.9550760950033</v>
      </c>
      <c r="N77" s="3" cm="1">
        <f t="array" ref="N77">MAX(ABS(N48:N60))</f>
        <v>2724.4050204776509</v>
      </c>
      <c r="O77" s="3" cm="1">
        <f t="array" ref="O77">MAX(ABS(O48:O60))</f>
        <v>11914.911138386438</v>
      </c>
      <c r="P77" s="3" cm="1">
        <f t="array" ref="P77">MAX(ABS(P48:P60))</f>
        <v>3493.2416079516188</v>
      </c>
      <c r="Q77" s="3" cm="1">
        <f t="array" ref="Q77">MAX(ABS(Q48:Q60))</f>
        <v>2980.6838829689732</v>
      </c>
      <c r="R77" s="3" cm="1">
        <f t="array" ref="R77">MAX(ABS(R48:R60))</f>
        <v>2724.4050204776509</v>
      </c>
      <c r="S77" s="3" cm="1">
        <f t="array" ref="S77">MAX(ABS(S48:S60))</f>
        <v>2596.2655892319895</v>
      </c>
      <c r="T77" s="43" cm="1">
        <f t="array" ref="T77">MAX(ABS(T48:T60))</f>
        <v>2532.1958736091588</v>
      </c>
      <c r="U77" s="3" cm="1">
        <f t="array" ref="U77">MAX(ABS(U48:U60))</f>
        <v>9047.5890042442916</v>
      </c>
      <c r="V77" s="3" cm="1">
        <f t="array" ref="V77">MAX(ABS(V48:V60))</f>
        <v>4832.1330150665308</v>
      </c>
      <c r="W77" s="3" cm="1">
        <f t="array" ref="W77">MAX(ABS(W48:W60))</f>
        <v>2724.4050204776509</v>
      </c>
      <c r="X77" s="3" cm="1">
        <f t="array" ref="X77">MAX(ABS(X48:X60))</f>
        <v>1670.5410231832111</v>
      </c>
      <c r="Y77" s="43" cm="1">
        <f t="array" ref="Y77">MAX(ABS(Y48:Y60))</f>
        <v>1143.609024535991</v>
      </c>
      <c r="Z77" s="3" cm="1">
        <f t="array" ref="Z77">MAX(ABS(Z48:Z60))</f>
        <v>3071.700527238268</v>
      </c>
      <c r="AA77" s="3" cm="1">
        <f t="array" ref="AA77">MAX(ABS(AA48:AA60))</f>
        <v>2955.9353583180618</v>
      </c>
      <c r="AB77" s="3" cm="1">
        <f t="array" ref="AB77">MAX(ABS(AB48:AB60))</f>
        <v>2724.4050204776509</v>
      </c>
      <c r="AC77" s="3" cm="1">
        <f t="array" ref="AC77">MAX(ABS(AC48:AC60))</f>
        <v>2261.344344796828</v>
      </c>
      <c r="AD77" s="43" cm="1">
        <f t="array" ref="AD77">MAX(ABS(AD48:AD60))</f>
        <v>1335.2229934351826</v>
      </c>
      <c r="AE77" s="3" cm="1">
        <f t="array" ref="AE77">MAX(ABS(AE48:AE60))</f>
        <v>3136.462862524369</v>
      </c>
      <c r="AF77" s="3" cm="1">
        <f t="array" ref="AF77">MAX(ABS(AF48:AF60))</f>
        <v>2861.7576344932236</v>
      </c>
      <c r="AG77" s="3" cm="1">
        <f t="array" ref="AG77">MAX(ABS(AG48:AG60))</f>
        <v>2724.4050204776509</v>
      </c>
      <c r="AH77" s="3" cm="1">
        <f t="array" ref="AH77">MAX(ABS(AH48:AH60))</f>
        <v>2655.728713469864</v>
      </c>
      <c r="AI77" s="43" cm="1">
        <f t="array" ref="AI77">MAX(ABS(AI48:AI60))</f>
        <v>2621.3905599659711</v>
      </c>
    </row>
    <row r="78" spans="1:35" x14ac:dyDescent="0.25">
      <c r="A78" t="s">
        <v>141</v>
      </c>
      <c r="B78" t="s">
        <v>19</v>
      </c>
      <c r="C78" s="3" cm="1">
        <f t="array" ref="C78">MAX(ABS(C63:C72))</f>
        <v>0</v>
      </c>
      <c r="D78" s="3" cm="1">
        <f t="array" ref="D78">MAX(ABS(D63:D72))</f>
        <v>0</v>
      </c>
      <c r="E78" s="3" cm="1">
        <f t="array" ref="E78">MAX(ABS(E63:E72))</f>
        <v>392.24137931034477</v>
      </c>
      <c r="F78" s="3" cm="1">
        <f t="array" ref="F78">MAX(ABS(F63:F72))</f>
        <v>393.5344827586207</v>
      </c>
      <c r="G78" s="3" cm="1">
        <f t="array" ref="G78">MAX(ABS(G63:G72))</f>
        <v>423.70689655172407</v>
      </c>
      <c r="H78" s="3" cm="1">
        <f t="array" ref="H78">MAX(ABS(H63:H72))</f>
        <v>2803.0172413793102</v>
      </c>
      <c r="I78" s="3" cm="1">
        <f t="array" ref="I78">MAX(ABS(I63:I72))</f>
        <v>984.05172413793093</v>
      </c>
      <c r="J78" s="3" cm="1">
        <f t="array" ref="J78">MAX(ABS(J63:J72))</f>
        <v>0</v>
      </c>
      <c r="K78" s="3" cm="1">
        <f t="array" ref="K78">MAX(ABS(K63:K72))</f>
        <v>1473.2986237524547</v>
      </c>
      <c r="L78" s="3" cm="1">
        <f t="array" ref="L78">MAX(ABS(L63:L72))</f>
        <v>8977.9134884915202</v>
      </c>
      <c r="M78" s="3" cm="1">
        <f t="array" ref="M78">MAX(ABS(M63:M72))</f>
        <v>10174.968620290389</v>
      </c>
      <c r="N78" s="3" cm="1">
        <f t="array" ref="N78">MAX(ABS(N63:N72))</f>
        <v>10598.675516842113</v>
      </c>
      <c r="O78" s="3" cm="1">
        <f t="array" ref="O78">MAX(ABS(O63:O72))</f>
        <v>18649.106551324869</v>
      </c>
      <c r="P78" s="3" cm="1">
        <f t="array" ref="P78">MAX(ABS(P63:P72))</f>
        <v>10598.675516842113</v>
      </c>
      <c r="Q78" s="3" cm="1">
        <f t="array" ref="Q78">MAX(ABS(Q63:Q72))</f>
        <v>10598.675516842113</v>
      </c>
      <c r="R78" s="3" cm="1">
        <f t="array" ref="R78">MAX(ABS(R63:R72))</f>
        <v>10598.675516842113</v>
      </c>
      <c r="S78" s="3" cm="1">
        <f t="array" ref="S78">MAX(ABS(S63:S72))</f>
        <v>10598.675516842113</v>
      </c>
      <c r="T78" s="43" cm="1">
        <f t="array" ref="T78">MAX(ABS(T63:T72))</f>
        <v>10598.675516842113</v>
      </c>
      <c r="U78" s="3" cm="1">
        <f t="array" ref="U78">MAX(ABS(U63:U72))</f>
        <v>37751.671434041462</v>
      </c>
      <c r="V78" s="3" cm="1">
        <f t="array" ref="V78">MAX(ABS(V63:V72))</f>
        <v>19649.674155908564</v>
      </c>
      <c r="W78" s="3" cm="1">
        <f t="array" ref="W78">MAX(ABS(W63:W72))</f>
        <v>10598.675516842113</v>
      </c>
      <c r="X78" s="3" cm="1">
        <f t="array" ref="X78">MAX(ABS(X63:X72))</f>
        <v>6073.1761973088869</v>
      </c>
      <c r="Y78" s="43" cm="1">
        <f t="array" ref="Y78">MAX(ABS(Y63:Y72))</f>
        <v>3810.4265375422747</v>
      </c>
      <c r="Z78" s="3" cm="1">
        <f t="array" ref="Z78">MAX(ABS(Z63:Z72))</f>
        <v>11408.129602473095</v>
      </c>
      <c r="AA78" s="3" cm="1">
        <f t="array" ref="AA78">MAX(ABS(AA63:AA72))</f>
        <v>11138.311573929434</v>
      </c>
      <c r="AB78" s="3" cm="1">
        <f t="array" ref="AB78">MAX(ABS(AB63:AB72))</f>
        <v>10598.675516842113</v>
      </c>
      <c r="AC78" s="3" cm="1">
        <f t="array" ref="AC78">MAX(ABS(AC63:AC72))</f>
        <v>9519.4034026674726</v>
      </c>
      <c r="AD78" s="43" cm="1">
        <f t="array" ref="AD78">MAX(ABS(AD63:AD72))</f>
        <v>7360.8591743181914</v>
      </c>
      <c r="AE78" s="3" cm="1">
        <f t="array" ref="AE78">MAX(ABS(AE63:AE72))</f>
        <v>10598.675516842113</v>
      </c>
      <c r="AF78" s="3" cm="1">
        <f t="array" ref="AF78">MAX(ABS(AF63:AF72))</f>
        <v>10598.675516842113</v>
      </c>
      <c r="AG78" s="3" cm="1">
        <f t="array" ref="AG78">MAX(ABS(AG63:AG72))</f>
        <v>10598.675516842113</v>
      </c>
      <c r="AH78" s="3" cm="1">
        <f t="array" ref="AH78">MAX(ABS(AH63:AH72))</f>
        <v>10598.675516842113</v>
      </c>
      <c r="AI78" s="43" cm="1">
        <f t="array" ref="AI78">MAX(ABS(AI63:AI72))</f>
        <v>10598.675516842113</v>
      </c>
    </row>
    <row r="79" spans="1:35" x14ac:dyDescent="0.25">
      <c r="A79" t="s">
        <v>109</v>
      </c>
      <c r="B79" t="s">
        <v>19</v>
      </c>
      <c r="C79" s="56">
        <f>MAX(C73:C76)</f>
        <v>466.92157953281423</v>
      </c>
      <c r="D79" s="56">
        <f t="shared" ref="D79:O79" si="169">MAX(D73:D76)</f>
        <v>933.84315906562847</v>
      </c>
      <c r="E79" s="56">
        <f t="shared" si="169"/>
        <v>993.33406533425728</v>
      </c>
      <c r="F79" s="56">
        <f t="shared" si="169"/>
        <v>676.54196347223444</v>
      </c>
      <c r="G79" s="56">
        <f t="shared" si="169"/>
        <v>1462.9204825118061</v>
      </c>
      <c r="H79" s="56">
        <f t="shared" si="169"/>
        <v>2986.92035255576</v>
      </c>
      <c r="I79" s="56">
        <f t="shared" si="169"/>
        <v>1691.1542367120653</v>
      </c>
      <c r="J79" s="56">
        <f t="shared" si="169"/>
        <v>1258.0185037820015</v>
      </c>
      <c r="K79" s="56">
        <f t="shared" si="169"/>
        <v>1605.985251661449</v>
      </c>
      <c r="L79" s="56">
        <f t="shared" si="169"/>
        <v>9166.1632385325447</v>
      </c>
      <c r="M79" s="56">
        <f>MAX(M73:M76)</f>
        <v>10469.759012095981</v>
      </c>
      <c r="N79" s="56">
        <f t="shared" si="169"/>
        <v>10943.231032328262</v>
      </c>
      <c r="O79" s="56">
        <f t="shared" si="169"/>
        <v>22130.392734841225</v>
      </c>
      <c r="P79" s="56">
        <f t="shared" ref="P79:AA79" si="170">MAX(P73:P76)</f>
        <v>11159.509829864071</v>
      </c>
      <c r="Q79" s="56">
        <f t="shared" si="170"/>
        <v>11009.831929757122</v>
      </c>
      <c r="R79" s="56">
        <f t="shared" si="170"/>
        <v>10943.231032328262</v>
      </c>
      <c r="S79" s="56">
        <f t="shared" si="170"/>
        <v>10912.035452707189</v>
      </c>
      <c r="T79" s="64">
        <f t="shared" si="170"/>
        <v>10896.969241657594</v>
      </c>
      <c r="U79" s="56">
        <f t="shared" si="170"/>
        <v>38820.710488778335</v>
      </c>
      <c r="V79" s="56">
        <f t="shared" si="170"/>
        <v>20235.098317247608</v>
      </c>
      <c r="W79" s="56">
        <f t="shared" si="170"/>
        <v>10943.231032328262</v>
      </c>
      <c r="X79" s="56">
        <f t="shared" si="170"/>
        <v>6298.7440362104917</v>
      </c>
      <c r="Y79" s="64">
        <f t="shared" si="170"/>
        <v>3978.3403573609144</v>
      </c>
      <c r="Z79" s="56">
        <f t="shared" si="170"/>
        <v>11814.430377968241</v>
      </c>
      <c r="AA79" s="56">
        <f t="shared" si="170"/>
        <v>11523.868211693733</v>
      </c>
      <c r="AB79" s="56">
        <f t="shared" ref="AB79:AI79" si="171">MAX(AB73:AB76)</f>
        <v>10943.231032328262</v>
      </c>
      <c r="AC79" s="56">
        <f t="shared" si="171"/>
        <v>9784.3098575454806</v>
      </c>
      <c r="AD79" s="64">
        <f t="shared" si="171"/>
        <v>7480.9804321587617</v>
      </c>
      <c r="AE79" s="56">
        <f t="shared" si="171"/>
        <v>11053.023206313421</v>
      </c>
      <c r="AF79" s="56">
        <f t="shared" si="171"/>
        <v>10978.232073967496</v>
      </c>
      <c r="AG79" s="56">
        <f t="shared" si="171"/>
        <v>10943.231032328262</v>
      </c>
      <c r="AH79" s="56">
        <f t="shared" si="171"/>
        <v>10926.335969155292</v>
      </c>
      <c r="AI79" s="64">
        <f t="shared" si="171"/>
        <v>10918.040629123301</v>
      </c>
    </row>
    <row r="80" spans="1:35" x14ac:dyDescent="0.25">
      <c r="A80" t="s">
        <v>350</v>
      </c>
      <c r="B80" t="s">
        <v>26</v>
      </c>
      <c r="C80" s="82">
        <v>2</v>
      </c>
      <c r="D80" s="82">
        <v>2</v>
      </c>
      <c r="E80" s="82">
        <v>2</v>
      </c>
      <c r="F80" s="82">
        <v>2</v>
      </c>
      <c r="G80" s="82">
        <v>2</v>
      </c>
      <c r="H80" s="82">
        <v>2</v>
      </c>
      <c r="I80" s="82">
        <v>2</v>
      </c>
      <c r="J80" s="82">
        <v>2</v>
      </c>
      <c r="K80" s="82">
        <v>2</v>
      </c>
      <c r="L80" s="82">
        <v>2</v>
      </c>
      <c r="M80" s="82">
        <v>2</v>
      </c>
      <c r="N80" s="82">
        <v>2</v>
      </c>
      <c r="O80" s="84">
        <v>1.5</v>
      </c>
      <c r="P80" s="93">
        <f t="shared" ref="P80:AI80" si="172">$N80</f>
        <v>2</v>
      </c>
      <c r="Q80" s="93">
        <f t="shared" si="172"/>
        <v>2</v>
      </c>
      <c r="R80" s="93">
        <f t="shared" si="172"/>
        <v>2</v>
      </c>
      <c r="S80" s="93">
        <f t="shared" si="172"/>
        <v>2</v>
      </c>
      <c r="T80" s="87">
        <f t="shared" si="172"/>
        <v>2</v>
      </c>
      <c r="U80" s="93">
        <f t="shared" si="172"/>
        <v>2</v>
      </c>
      <c r="V80" s="93">
        <f t="shared" si="172"/>
        <v>2</v>
      </c>
      <c r="W80" s="93">
        <f t="shared" si="172"/>
        <v>2</v>
      </c>
      <c r="X80" s="93">
        <f t="shared" si="172"/>
        <v>2</v>
      </c>
      <c r="Y80" s="87">
        <f t="shared" si="172"/>
        <v>2</v>
      </c>
      <c r="Z80" s="93">
        <f t="shared" si="172"/>
        <v>2</v>
      </c>
      <c r="AA80" s="93">
        <f t="shared" si="172"/>
        <v>2</v>
      </c>
      <c r="AB80" s="93">
        <f t="shared" si="172"/>
        <v>2</v>
      </c>
      <c r="AC80" s="93">
        <f t="shared" si="172"/>
        <v>2</v>
      </c>
      <c r="AD80" s="87">
        <f t="shared" si="172"/>
        <v>2</v>
      </c>
      <c r="AE80" s="93">
        <f t="shared" si="172"/>
        <v>2</v>
      </c>
      <c r="AF80" s="93">
        <f t="shared" si="172"/>
        <v>2</v>
      </c>
      <c r="AG80" s="93">
        <f t="shared" si="172"/>
        <v>2</v>
      </c>
      <c r="AH80" s="93">
        <f t="shared" si="172"/>
        <v>2</v>
      </c>
      <c r="AI80" s="87">
        <f t="shared" si="172"/>
        <v>2</v>
      </c>
    </row>
    <row r="81" spans="1:35" x14ac:dyDescent="0.25">
      <c r="A81" t="s">
        <v>351</v>
      </c>
      <c r="B81" t="s">
        <v>19</v>
      </c>
      <c r="C81" s="83">
        <f>C79*C80</f>
        <v>933.84315906562847</v>
      </c>
      <c r="D81" s="83">
        <f t="shared" ref="D81:Q81" si="173">D79*D80</f>
        <v>1867.6863181312569</v>
      </c>
      <c r="E81" s="83">
        <f t="shared" si="173"/>
        <v>1986.6681306685146</v>
      </c>
      <c r="F81" s="83">
        <f t="shared" si="173"/>
        <v>1353.0839269444689</v>
      </c>
      <c r="G81" s="83">
        <f t="shared" si="173"/>
        <v>2925.8409650236122</v>
      </c>
      <c r="H81" s="83">
        <f t="shared" si="173"/>
        <v>5973.84070511152</v>
      </c>
      <c r="I81" s="83">
        <f t="shared" si="173"/>
        <v>3382.3084734241306</v>
      </c>
      <c r="J81" s="83">
        <f t="shared" si="173"/>
        <v>2516.037007564003</v>
      </c>
      <c r="K81" s="83">
        <f t="shared" si="173"/>
        <v>3211.9705033228979</v>
      </c>
      <c r="L81" s="83">
        <f t="shared" si="173"/>
        <v>18332.326477065089</v>
      </c>
      <c r="M81" s="83">
        <f t="shared" si="173"/>
        <v>20939.518024191962</v>
      </c>
      <c r="N81" s="83">
        <f t="shared" si="173"/>
        <v>21886.462064656524</v>
      </c>
      <c r="O81" s="83">
        <f t="shared" si="173"/>
        <v>33195.589102261838</v>
      </c>
      <c r="P81" s="56">
        <f t="shared" si="173"/>
        <v>22319.019659728143</v>
      </c>
      <c r="Q81" s="56">
        <f t="shared" si="173"/>
        <v>22019.663859514243</v>
      </c>
      <c r="R81" s="56">
        <f t="shared" ref="R81:AI81" si="174">R79*R80</f>
        <v>21886.462064656524</v>
      </c>
      <c r="S81" s="56">
        <f t="shared" si="174"/>
        <v>21824.070905414377</v>
      </c>
      <c r="T81" s="64">
        <f t="shared" si="174"/>
        <v>21793.938483315189</v>
      </c>
      <c r="U81" s="56">
        <f t="shared" si="174"/>
        <v>77641.420977556671</v>
      </c>
      <c r="V81" s="56">
        <f t="shared" si="174"/>
        <v>40470.196634495216</v>
      </c>
      <c r="W81" s="56">
        <f t="shared" si="174"/>
        <v>21886.462064656524</v>
      </c>
      <c r="X81" s="56">
        <f t="shared" si="174"/>
        <v>12597.488072420983</v>
      </c>
      <c r="Y81" s="64">
        <f t="shared" si="174"/>
        <v>7956.6807147218287</v>
      </c>
      <c r="Z81" s="56">
        <f t="shared" si="174"/>
        <v>23628.860755936483</v>
      </c>
      <c r="AA81" s="56">
        <f t="shared" si="174"/>
        <v>23047.736423387465</v>
      </c>
      <c r="AB81" s="56">
        <f t="shared" si="174"/>
        <v>21886.462064656524</v>
      </c>
      <c r="AC81" s="56">
        <f t="shared" si="174"/>
        <v>19568.619715090961</v>
      </c>
      <c r="AD81" s="64">
        <f t="shared" si="174"/>
        <v>14961.960864317523</v>
      </c>
      <c r="AE81" s="56">
        <f t="shared" si="174"/>
        <v>22106.046412626842</v>
      </c>
      <c r="AF81" s="56">
        <f t="shared" si="174"/>
        <v>21956.464147934992</v>
      </c>
      <c r="AG81" s="56">
        <f t="shared" si="174"/>
        <v>21886.462064656524</v>
      </c>
      <c r="AH81" s="56">
        <f t="shared" si="174"/>
        <v>21852.671938310585</v>
      </c>
      <c r="AI81" s="64">
        <f t="shared" si="174"/>
        <v>21836.081258246602</v>
      </c>
    </row>
    <row r="82" spans="1:35" x14ac:dyDescent="0.25">
      <c r="A82" t="s">
        <v>349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41"/>
      <c r="P82" s="77">
        <v>0.25</v>
      </c>
      <c r="Q82" s="57">
        <v>0.5</v>
      </c>
      <c r="R82" s="57">
        <v>1</v>
      </c>
      <c r="S82" s="57">
        <v>2</v>
      </c>
      <c r="T82" s="58">
        <v>4</v>
      </c>
      <c r="U82" s="77">
        <v>0.25</v>
      </c>
      <c r="V82" s="57">
        <v>0.5</v>
      </c>
      <c r="W82" s="57">
        <v>1</v>
      </c>
      <c r="X82" s="57">
        <v>2</v>
      </c>
      <c r="Y82" s="58">
        <v>4</v>
      </c>
      <c r="Z82" s="77">
        <v>0.25</v>
      </c>
      <c r="AA82" s="57">
        <v>0.5</v>
      </c>
      <c r="AB82" s="57">
        <v>1</v>
      </c>
      <c r="AC82" s="57">
        <v>2</v>
      </c>
      <c r="AD82" s="58">
        <v>4</v>
      </c>
      <c r="AE82" s="77">
        <v>0.25</v>
      </c>
      <c r="AF82" s="57">
        <v>0.5</v>
      </c>
      <c r="AG82" s="57">
        <v>1</v>
      </c>
      <c r="AH82" s="57">
        <v>2</v>
      </c>
      <c r="AI82" s="58">
        <v>4</v>
      </c>
    </row>
    <row r="83" spans="1:35" x14ac:dyDescent="0.25">
      <c r="A83" t="s">
        <v>348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41"/>
      <c r="P83" s="78">
        <f>P79/$N$79</f>
        <v>1.0197637057005269</v>
      </c>
      <c r="Q83" s="79">
        <f t="shared" ref="Q83:AI83" si="175">Q79/$N$79</f>
        <v>1.0060860359460664</v>
      </c>
      <c r="R83" s="79">
        <f t="shared" si="175"/>
        <v>1</v>
      </c>
      <c r="S83" s="79">
        <f t="shared" si="175"/>
        <v>0.99714932641658427</v>
      </c>
      <c r="T83" s="80">
        <f t="shared" si="175"/>
        <v>0.99577256565871619</v>
      </c>
      <c r="U83" s="78">
        <f t="shared" si="175"/>
        <v>3.5474633016606352</v>
      </c>
      <c r="V83" s="79">
        <f t="shared" si="175"/>
        <v>1.8490972417076372</v>
      </c>
      <c r="W83" s="79">
        <f t="shared" si="175"/>
        <v>1</v>
      </c>
      <c r="X83" s="79">
        <f t="shared" si="175"/>
        <v>0.57558357468675159</v>
      </c>
      <c r="Y83" s="80">
        <f t="shared" si="175"/>
        <v>0.36354348597851815</v>
      </c>
      <c r="Z83" s="78">
        <f t="shared" si="175"/>
        <v>1.079610797128042</v>
      </c>
      <c r="AA83" s="79">
        <f t="shared" si="175"/>
        <v>1.05305902595405</v>
      </c>
      <c r="AB83" s="79">
        <f t="shared" si="175"/>
        <v>1</v>
      </c>
      <c r="AC83" s="79">
        <f t="shared" si="175"/>
        <v>0.89409698366422852</v>
      </c>
      <c r="AD83" s="80">
        <f t="shared" si="175"/>
        <v>0.68361715201466622</v>
      </c>
      <c r="AE83" s="78">
        <f t="shared" si="175"/>
        <v>1.0100328845896438</v>
      </c>
      <c r="AF83" s="79">
        <f t="shared" si="175"/>
        <v>1.0031984193275125</v>
      </c>
      <c r="AG83" s="79">
        <f t="shared" si="175"/>
        <v>1</v>
      </c>
      <c r="AH83" s="79">
        <f t="shared" si="175"/>
        <v>0.99845611747361829</v>
      </c>
      <c r="AI83" s="80">
        <f t="shared" si="175"/>
        <v>0.99769808357965362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CCB3-CD7F-4838-9C86-8B8B5E68B13B}">
  <dimension ref="A1:O78"/>
  <sheetViews>
    <sheetView topLeftCell="A16" zoomScale="98" zoomScaleNormal="98" workbookViewId="0">
      <selection activeCell="L78" sqref="L78"/>
    </sheetView>
  </sheetViews>
  <sheetFormatPr defaultRowHeight="15" outlineLevelRow="2" x14ac:dyDescent="0.25"/>
  <cols>
    <col min="1" max="1" width="48.5703125" customWidth="1"/>
    <col min="2" max="2" width="9.140625" customWidth="1"/>
    <col min="3" max="4" width="14.28515625" bestFit="1" customWidth="1"/>
    <col min="5" max="5" width="14.28515625" customWidth="1"/>
    <col min="6" max="8" width="13.28515625" bestFit="1" customWidth="1"/>
    <col min="9" max="9" width="21.7109375" bestFit="1" customWidth="1"/>
    <col min="10" max="10" width="20" bestFit="1" customWidth="1"/>
    <col min="11" max="14" width="20" customWidth="1"/>
  </cols>
  <sheetData>
    <row r="1" spans="1:15" x14ac:dyDescent="0.25">
      <c r="C1" t="s">
        <v>481</v>
      </c>
      <c r="D1" t="s">
        <v>482</v>
      </c>
      <c r="E1" t="s">
        <v>503</v>
      </c>
      <c r="F1" t="s">
        <v>159</v>
      </c>
      <c r="G1" t="s">
        <v>333</v>
      </c>
      <c r="H1" t="s">
        <v>519</v>
      </c>
      <c r="I1" t="s">
        <v>522</v>
      </c>
      <c r="J1" t="s">
        <v>523</v>
      </c>
      <c r="K1" t="s">
        <v>531</v>
      </c>
      <c r="L1" t="s">
        <v>530</v>
      </c>
      <c r="M1" t="s">
        <v>532</v>
      </c>
      <c r="N1" t="s">
        <v>549</v>
      </c>
    </row>
    <row r="2" spans="1:15" x14ac:dyDescent="0.25">
      <c r="A2" t="s">
        <v>149</v>
      </c>
      <c r="B2" t="s">
        <v>19</v>
      </c>
      <c r="C2" s="9">
        <f>'X Axis Force'!P22+'X Axis Force'!P25</f>
        <v>350</v>
      </c>
      <c r="D2" s="9">
        <f>'X Axis Force'!Q22+'X Axis Force'!Q25</f>
        <v>350</v>
      </c>
      <c r="E2" s="9">
        <f>'X Axis Force'!R22+'X Axis Force'!R25</f>
        <v>350</v>
      </c>
      <c r="F2" s="9">
        <f>'X Axis Force'!S22+'X Axis Force'!S25</f>
        <v>350</v>
      </c>
      <c r="G2" s="6">
        <f>'X Axis Force'!$C$22</f>
        <v>350</v>
      </c>
      <c r="H2" s="6"/>
      <c r="I2" s="93">
        <f>D2</f>
        <v>350</v>
      </c>
      <c r="J2" s="93">
        <f>D2</f>
        <v>350</v>
      </c>
      <c r="K2" s="93">
        <f>C2</f>
        <v>350</v>
      </c>
      <c r="L2" s="93">
        <f>E2</f>
        <v>350</v>
      </c>
      <c r="M2" s="93">
        <f>F2</f>
        <v>350</v>
      </c>
      <c r="N2" s="93">
        <f>C2</f>
        <v>350</v>
      </c>
    </row>
    <row r="3" spans="1:15" x14ac:dyDescent="0.25">
      <c r="A3" t="s">
        <v>150</v>
      </c>
      <c r="B3" t="s">
        <v>19</v>
      </c>
      <c r="C3" s="9">
        <f>'X Axis Force'!P23+'X Axis Force'!P26</f>
        <v>300.78740157480314</v>
      </c>
      <c r="D3" s="9">
        <f>'X Axis Force'!Q23+'X Axis Force'!Q26</f>
        <v>0</v>
      </c>
      <c r="E3" s="9">
        <f>'X Axis Force'!R23+'X Axis Force'!R26</f>
        <v>212.68881134902452</v>
      </c>
      <c r="F3" s="9">
        <f>'X Axis Force'!S23+'X Axis Force'!S26</f>
        <v>42.537762269804901</v>
      </c>
      <c r="G3" s="9"/>
      <c r="H3" s="9"/>
      <c r="I3" s="93">
        <f t="shared" ref="I3:J10" si="0">D3</f>
        <v>0</v>
      </c>
      <c r="J3" s="93">
        <f t="shared" ref="J3:J7" si="1">D3</f>
        <v>0</v>
      </c>
      <c r="K3" s="93">
        <f t="shared" ref="K3:K11" si="2">C3</f>
        <v>300.78740157480314</v>
      </c>
      <c r="L3" s="93">
        <f t="shared" ref="L3:L7" si="3">E3</f>
        <v>212.68881134902452</v>
      </c>
      <c r="M3" s="93">
        <f t="shared" ref="M3:M11" si="4">F3</f>
        <v>42.537762269804901</v>
      </c>
      <c r="N3" s="93">
        <f t="shared" ref="N3:N11" si="5">C3</f>
        <v>300.78740157480314</v>
      </c>
    </row>
    <row r="4" spans="1:15" x14ac:dyDescent="0.25">
      <c r="A4" t="s">
        <v>151</v>
      </c>
      <c r="B4" t="s">
        <v>19</v>
      </c>
      <c r="C4" s="9">
        <f>'X Axis Force'!P24+'X Axis Force'!P27</f>
        <v>0</v>
      </c>
      <c r="D4" s="9">
        <f>'X Axis Force'!Q24+'X Axis Force'!Q27</f>
        <v>-300.78740157480314</v>
      </c>
      <c r="E4" s="9">
        <f>'X Axis Force'!R24+'X Axis Force'!R27</f>
        <v>-212.68881134902452</v>
      </c>
      <c r="F4" s="9">
        <f>'X Axis Force'!S24+'X Axis Force'!S27</f>
        <v>-42.537762269804901</v>
      </c>
      <c r="G4" s="9"/>
      <c r="H4" s="9"/>
      <c r="I4" s="93">
        <f t="shared" si="0"/>
        <v>-300.78740157480314</v>
      </c>
      <c r="J4" s="93">
        <f t="shared" si="1"/>
        <v>-300.78740157480314</v>
      </c>
      <c r="K4" s="93">
        <f t="shared" si="2"/>
        <v>0</v>
      </c>
      <c r="L4" s="93">
        <f t="shared" si="3"/>
        <v>-212.68881134902452</v>
      </c>
      <c r="M4" s="93">
        <f t="shared" si="4"/>
        <v>-42.537762269804901</v>
      </c>
      <c r="N4" s="93">
        <f t="shared" si="5"/>
        <v>0</v>
      </c>
    </row>
    <row r="5" spans="1:15" x14ac:dyDescent="0.25">
      <c r="A5" t="s">
        <v>145</v>
      </c>
      <c r="B5" t="s">
        <v>4</v>
      </c>
      <c r="C5" s="9">
        <f>'X Axis Force'!P32</f>
        <v>58.653543307086615</v>
      </c>
      <c r="D5" s="9">
        <f>'X Axis Force'!Q32</f>
        <v>0</v>
      </c>
      <c r="E5" s="9">
        <f>'X Axis Force'!R32</f>
        <v>41.474318213059775</v>
      </c>
      <c r="F5" s="9">
        <f>'X Axis Force'!S32</f>
        <v>8.294863642611956</v>
      </c>
      <c r="G5" s="9">
        <f>'X Axis Force'!C32</f>
        <v>0</v>
      </c>
      <c r="H5" s="9"/>
      <c r="I5" s="93">
        <f t="shared" si="0"/>
        <v>0</v>
      </c>
      <c r="J5" s="93">
        <f t="shared" si="1"/>
        <v>0</v>
      </c>
      <c r="K5" s="93">
        <f t="shared" si="2"/>
        <v>58.653543307086615</v>
      </c>
      <c r="L5" s="93">
        <f t="shared" si="3"/>
        <v>41.474318213059775</v>
      </c>
      <c r="M5" s="93">
        <f t="shared" si="4"/>
        <v>8.294863642611956</v>
      </c>
      <c r="N5" s="93">
        <f t="shared" si="5"/>
        <v>58.653543307086615</v>
      </c>
    </row>
    <row r="6" spans="1:15" x14ac:dyDescent="0.25">
      <c r="A6" t="s">
        <v>144</v>
      </c>
      <c r="B6" t="s">
        <v>4</v>
      </c>
      <c r="C6" s="9">
        <f>'X Axis Force'!P37</f>
        <v>-21.25</v>
      </c>
      <c r="D6" s="9">
        <f>'X Axis Force'!Q37</f>
        <v>102.07283464566927</v>
      </c>
      <c r="E6" s="9">
        <f>'X Axis Force'!R37</f>
        <v>65.952412653100055</v>
      </c>
      <c r="F6" s="9">
        <f>'X Axis Force'!S37</f>
        <v>-3.8095174693799905</v>
      </c>
      <c r="G6" s="9">
        <f>'X Axis Force'!C37</f>
        <v>-21.25</v>
      </c>
      <c r="H6" s="9"/>
      <c r="I6" s="93">
        <f t="shared" si="0"/>
        <v>102.07283464566927</v>
      </c>
      <c r="J6" s="93">
        <f t="shared" si="1"/>
        <v>102.07283464566927</v>
      </c>
      <c r="K6" s="93">
        <f t="shared" si="2"/>
        <v>-21.25</v>
      </c>
      <c r="L6" s="93">
        <f t="shared" si="3"/>
        <v>65.952412653100055</v>
      </c>
      <c r="M6" s="93">
        <f t="shared" si="4"/>
        <v>-3.8095174693799905</v>
      </c>
      <c r="N6" s="93">
        <f t="shared" si="5"/>
        <v>-21.25</v>
      </c>
    </row>
    <row r="7" spans="1:15" x14ac:dyDescent="0.25">
      <c r="A7" t="s">
        <v>146</v>
      </c>
      <c r="B7" t="s">
        <v>4</v>
      </c>
      <c r="C7" s="9">
        <f>'X Axis Force'!P42</f>
        <v>123.32283464566927</v>
      </c>
      <c r="D7" s="9">
        <f>'X Axis Force'!Q42</f>
        <v>0</v>
      </c>
      <c r="E7" s="9">
        <f>'X Axis Force'!R42</f>
        <v>87.202412653100055</v>
      </c>
      <c r="F7" s="9">
        <f>'X Axis Force'!S42</f>
        <v>17.44048253062001</v>
      </c>
      <c r="G7" s="9">
        <f>'X Axis Force'!C42</f>
        <v>0</v>
      </c>
      <c r="H7" s="9"/>
      <c r="I7" s="93">
        <f t="shared" si="0"/>
        <v>0</v>
      </c>
      <c r="J7" s="93">
        <f t="shared" si="1"/>
        <v>0</v>
      </c>
      <c r="K7" s="93">
        <f t="shared" si="2"/>
        <v>123.32283464566927</v>
      </c>
      <c r="L7" s="93">
        <f t="shared" si="3"/>
        <v>87.202412653100055</v>
      </c>
      <c r="M7" s="93">
        <f t="shared" si="4"/>
        <v>17.44048253062001</v>
      </c>
      <c r="N7" s="93">
        <f t="shared" si="5"/>
        <v>123.32283464566927</v>
      </c>
    </row>
    <row r="8" spans="1:15" ht="15.75" outlineLevel="1" thickBot="1" x14ac:dyDescent="0.3">
      <c r="A8" t="s">
        <v>147</v>
      </c>
      <c r="B8" t="s">
        <v>3</v>
      </c>
      <c r="C8" s="85">
        <f>'Axis Forces'!$C$5</f>
        <v>1600</v>
      </c>
      <c r="D8" s="12">
        <f>'Axis Forces'!$C$5</f>
        <v>1600</v>
      </c>
      <c r="E8" s="12">
        <f>'Axis Forces'!$C$5</f>
        <v>1600</v>
      </c>
      <c r="F8" s="12">
        <f>'Axis Forces'!$C$5</f>
        <v>1600</v>
      </c>
      <c r="G8" s="12">
        <f>'Axis Forces'!$C$5</f>
        <v>1600</v>
      </c>
      <c r="H8" s="12">
        <f>'Axis Forces'!$C$5</f>
        <v>1600</v>
      </c>
      <c r="I8" s="93">
        <f t="shared" si="0"/>
        <v>1600</v>
      </c>
      <c r="J8" s="93">
        <f t="shared" si="0"/>
        <v>1600</v>
      </c>
      <c r="K8" s="93">
        <f t="shared" si="2"/>
        <v>1600</v>
      </c>
      <c r="L8" s="93">
        <f>J8</f>
        <v>1600</v>
      </c>
      <c r="M8" s="93">
        <f t="shared" si="4"/>
        <v>1600</v>
      </c>
      <c r="N8" s="93">
        <f t="shared" si="5"/>
        <v>1600</v>
      </c>
      <c r="O8">
        <v>25</v>
      </c>
    </row>
    <row r="9" spans="1:15" ht="15.75" outlineLevel="1" thickTop="1" x14ac:dyDescent="0.25">
      <c r="A9" t="s">
        <v>491</v>
      </c>
      <c r="B9" t="s">
        <v>3</v>
      </c>
      <c r="C9" s="12">
        <v>80</v>
      </c>
      <c r="D9" s="12">
        <v>80</v>
      </c>
      <c r="E9" s="12">
        <v>80</v>
      </c>
      <c r="F9" s="12">
        <v>80</v>
      </c>
      <c r="G9" s="12">
        <v>80</v>
      </c>
      <c r="H9" s="12">
        <v>80</v>
      </c>
      <c r="I9" s="93">
        <f>3*25.4</f>
        <v>76.199999999999989</v>
      </c>
      <c r="J9" s="93">
        <f t="shared" si="0"/>
        <v>80</v>
      </c>
      <c r="K9" s="93">
        <f t="shared" si="2"/>
        <v>80</v>
      </c>
      <c r="L9" s="93">
        <f t="shared" ref="L9:L26" si="6">J9</f>
        <v>80</v>
      </c>
      <c r="M9" s="93">
        <f t="shared" si="4"/>
        <v>80</v>
      </c>
      <c r="N9" s="93">
        <f t="shared" si="5"/>
        <v>80</v>
      </c>
      <c r="O9" s="12">
        <f>4*25.4</f>
        <v>101.6</v>
      </c>
    </row>
    <row r="10" spans="1:15" outlineLevel="1" x14ac:dyDescent="0.25">
      <c r="A10" t="s">
        <v>492</v>
      </c>
      <c r="B10" t="s">
        <v>3</v>
      </c>
      <c r="C10" s="12">
        <v>160</v>
      </c>
      <c r="D10" s="12">
        <v>160</v>
      </c>
      <c r="E10" s="12">
        <v>160</v>
      </c>
      <c r="F10" s="12">
        <v>160</v>
      </c>
      <c r="G10" s="12">
        <v>160</v>
      </c>
      <c r="H10" s="12">
        <v>160</v>
      </c>
      <c r="I10" s="93">
        <f>6*25.4</f>
        <v>152.39999999999998</v>
      </c>
      <c r="J10" s="93">
        <f t="shared" si="0"/>
        <v>160</v>
      </c>
      <c r="K10" s="93">
        <f t="shared" si="2"/>
        <v>160</v>
      </c>
      <c r="L10" s="93">
        <f t="shared" si="6"/>
        <v>160</v>
      </c>
      <c r="M10" s="93">
        <f t="shared" si="4"/>
        <v>160</v>
      </c>
      <c r="N10" s="93">
        <f t="shared" si="5"/>
        <v>160</v>
      </c>
      <c r="O10" s="12">
        <f>4*25.4</f>
        <v>101.6</v>
      </c>
    </row>
    <row r="11" spans="1:15" outlineLevel="1" x14ac:dyDescent="0.25">
      <c r="A11" t="s">
        <v>493</v>
      </c>
      <c r="B11" t="s">
        <v>3</v>
      </c>
      <c r="C11" s="6">
        <v>6</v>
      </c>
      <c r="D11" s="12">
        <f>C11</f>
        <v>6</v>
      </c>
      <c r="E11" s="12">
        <f>D11</f>
        <v>6</v>
      </c>
      <c r="F11" s="12">
        <f>C11</f>
        <v>6</v>
      </c>
      <c r="G11" s="12">
        <f>D11</f>
        <v>6</v>
      </c>
      <c r="H11" s="12">
        <f>E11</f>
        <v>6</v>
      </c>
      <c r="I11" s="93">
        <f>25.4*3/16</f>
        <v>4.7624999999999993</v>
      </c>
      <c r="J11" s="93">
        <v>6</v>
      </c>
      <c r="K11" s="93">
        <f t="shared" si="2"/>
        <v>6</v>
      </c>
      <c r="L11" s="93">
        <f t="shared" si="6"/>
        <v>6</v>
      </c>
      <c r="M11" s="93">
        <f t="shared" si="4"/>
        <v>6</v>
      </c>
      <c r="N11" s="93">
        <f t="shared" si="5"/>
        <v>6</v>
      </c>
      <c r="O11">
        <f>25.4*1/8</f>
        <v>3.1749999999999998</v>
      </c>
    </row>
    <row r="12" spans="1:15" outlineLevel="1" x14ac:dyDescent="0.25">
      <c r="A12" t="s">
        <v>524</v>
      </c>
      <c r="B12" t="s">
        <v>383</v>
      </c>
      <c r="C12" s="16">
        <f>C10*C9-((C9-2*C11)*(C10-2*C11))</f>
        <v>2736</v>
      </c>
      <c r="D12" s="16">
        <f t="shared" ref="D12:O12" si="7">D10*D9-((D9-2*D11)*(D10-2*D11))</f>
        <v>2736</v>
      </c>
      <c r="E12" s="16">
        <f t="shared" si="7"/>
        <v>2736</v>
      </c>
      <c r="F12" s="16">
        <f t="shared" si="7"/>
        <v>2736</v>
      </c>
      <c r="G12" s="16">
        <f t="shared" si="7"/>
        <v>2736</v>
      </c>
      <c r="H12" s="16">
        <f t="shared" si="7"/>
        <v>2736</v>
      </c>
      <c r="I12" s="16">
        <f t="shared" si="7"/>
        <v>2086.6893750000017</v>
      </c>
      <c r="J12" s="16">
        <f>D12+O12</f>
        <v>3985.9974999999995</v>
      </c>
      <c r="K12" s="16">
        <f t="shared" ref="K12:K25" si="8">J12</f>
        <v>3985.9974999999995</v>
      </c>
      <c r="L12" s="7">
        <f t="shared" si="6"/>
        <v>3985.9974999999995</v>
      </c>
      <c r="M12" s="16">
        <f t="shared" ref="M12:N26" si="9">J12</f>
        <v>3985.9974999999995</v>
      </c>
      <c r="N12" s="16">
        <f t="shared" si="9"/>
        <v>3985.9974999999995</v>
      </c>
      <c r="O12" s="16">
        <f t="shared" si="7"/>
        <v>1249.9974999999995</v>
      </c>
    </row>
    <row r="13" spans="1:15" outlineLevel="1" x14ac:dyDescent="0.25">
      <c r="A13" t="s">
        <v>527</v>
      </c>
      <c r="B13" t="s">
        <v>528</v>
      </c>
      <c r="C13" s="16">
        <f>C8*C12/1000</f>
        <v>4377.6000000000004</v>
      </c>
      <c r="D13" s="16">
        <f t="shared" ref="D13:J13" si="10">D8*D12/1000</f>
        <v>4377.6000000000004</v>
      </c>
      <c r="E13" s="16">
        <f t="shared" si="10"/>
        <v>4377.6000000000004</v>
      </c>
      <c r="F13" s="16">
        <f t="shared" si="10"/>
        <v>4377.6000000000004</v>
      </c>
      <c r="G13" s="16">
        <f t="shared" si="10"/>
        <v>4377.6000000000004</v>
      </c>
      <c r="H13" s="16">
        <f t="shared" si="10"/>
        <v>4377.6000000000004</v>
      </c>
      <c r="I13" s="16">
        <f t="shared" si="10"/>
        <v>3338.7030000000027</v>
      </c>
      <c r="J13" s="16">
        <f t="shared" si="10"/>
        <v>6377.5959999999986</v>
      </c>
      <c r="K13" s="16">
        <f t="shared" si="8"/>
        <v>6377.5959999999986</v>
      </c>
      <c r="L13" s="7">
        <f t="shared" si="6"/>
        <v>6377.5959999999986</v>
      </c>
      <c r="M13" s="16">
        <f t="shared" si="9"/>
        <v>6377.5959999999986</v>
      </c>
      <c r="N13" s="16">
        <f t="shared" si="9"/>
        <v>6377.5959999999986</v>
      </c>
      <c r="O13" s="16">
        <f>J8*O12/1000</f>
        <v>1999.995999999999</v>
      </c>
    </row>
    <row r="14" spans="1:15" outlineLevel="1" x14ac:dyDescent="0.25">
      <c r="A14" t="s">
        <v>490</v>
      </c>
      <c r="B14" t="s">
        <v>148</v>
      </c>
      <c r="C14" s="81">
        <v>9038471</v>
      </c>
      <c r="D14" s="12">
        <f t="shared" ref="D14:E15" si="11">C14</f>
        <v>9038471</v>
      </c>
      <c r="E14" s="12">
        <f t="shared" si="11"/>
        <v>9038471</v>
      </c>
      <c r="F14" s="12">
        <f t="shared" ref="F14:H16" si="12">D14</f>
        <v>9038471</v>
      </c>
      <c r="G14" s="12">
        <f t="shared" si="12"/>
        <v>9038471</v>
      </c>
      <c r="H14" s="12">
        <f t="shared" si="12"/>
        <v>9038471</v>
      </c>
      <c r="I14" s="112">
        <f>(I9*I10^3 - (I9-2*I11)*(I10-2*I11)^3)/12</f>
        <v>6271442.0138575211</v>
      </c>
      <c r="J14" s="112">
        <f>D14+O14+O12*(O10/2)^2</f>
        <v>14284585.768166143</v>
      </c>
      <c r="K14" s="12">
        <f t="shared" si="8"/>
        <v>14284585.768166143</v>
      </c>
      <c r="L14" s="93">
        <f t="shared" si="6"/>
        <v>14284585.768166143</v>
      </c>
      <c r="M14" s="12">
        <f t="shared" si="9"/>
        <v>14284585.768166143</v>
      </c>
      <c r="N14" s="12">
        <f>K14</f>
        <v>14284585.768166143</v>
      </c>
      <c r="O14" s="112">
        <f>(O9*O10^3 - (O9-2*O11)*(O10-2*O11)^3)/12</f>
        <v>2020321.2197661449</v>
      </c>
    </row>
    <row r="15" spans="1:15" outlineLevel="1" x14ac:dyDescent="0.25">
      <c r="A15" t="s">
        <v>494</v>
      </c>
      <c r="B15" t="s">
        <v>148</v>
      </c>
      <c r="C15" s="81">
        <v>2660982</v>
      </c>
      <c r="D15" s="12">
        <f t="shared" si="11"/>
        <v>2660982</v>
      </c>
      <c r="E15" s="12">
        <f t="shared" si="11"/>
        <v>2660982</v>
      </c>
      <c r="F15" s="12">
        <f t="shared" si="12"/>
        <v>2660982</v>
      </c>
      <c r="G15" s="12">
        <f t="shared" si="12"/>
        <v>2660982</v>
      </c>
      <c r="H15" s="12">
        <f t="shared" si="12"/>
        <v>2660982</v>
      </c>
      <c r="I15" s="112">
        <f>(I10*I9^3 - (I10-2*I11)*(I9-2*I11)^3)/12</f>
        <v>2090023.3857840828</v>
      </c>
      <c r="J15" s="112">
        <f>D15+D12*(O8)^2+O15+O12*(D9/2+O9/2-O8)^2</f>
        <v>11803342.395666141</v>
      </c>
      <c r="K15" s="12">
        <f t="shared" si="8"/>
        <v>11803342.395666141</v>
      </c>
      <c r="L15" s="93">
        <f t="shared" si="6"/>
        <v>11803342.395666141</v>
      </c>
      <c r="M15" s="12">
        <f t="shared" si="9"/>
        <v>11803342.395666141</v>
      </c>
      <c r="N15" s="12">
        <f t="shared" si="9"/>
        <v>11803342.395666141</v>
      </c>
      <c r="O15" s="112">
        <f>(O10*O9^3 - (O10-2*O11)*(O9-2*O11)^3)/12</f>
        <v>2020321.2197661449</v>
      </c>
    </row>
    <row r="16" spans="1:15" x14ac:dyDescent="0.25">
      <c r="A16" t="s">
        <v>495</v>
      </c>
      <c r="B16" t="s">
        <v>148</v>
      </c>
      <c r="C16" s="81">
        <v>11699453</v>
      </c>
      <c r="D16" s="12">
        <f>C16</f>
        <v>11699453</v>
      </c>
      <c r="E16" s="12">
        <f>D16</f>
        <v>11699453</v>
      </c>
      <c r="F16" s="12">
        <f t="shared" si="12"/>
        <v>11699453</v>
      </c>
      <c r="G16" s="12">
        <f t="shared" si="12"/>
        <v>11699453</v>
      </c>
      <c r="H16" s="12">
        <f t="shared" si="12"/>
        <v>11699453</v>
      </c>
      <c r="I16" s="113">
        <f>((I9+I10-6*I11)*(I9+I10)^2+16*I11^2*(I9+I10-I11))*I11/6</f>
        <v>8361465.3996415967</v>
      </c>
      <c r="J16" s="112">
        <f>D16+O16</f>
        <v>15740095.439532291</v>
      </c>
      <c r="K16" s="12">
        <f t="shared" si="8"/>
        <v>15740095.439532291</v>
      </c>
      <c r="L16" s="93">
        <f t="shared" si="6"/>
        <v>15740095.439532291</v>
      </c>
      <c r="M16" s="12">
        <f t="shared" si="9"/>
        <v>15740095.439532291</v>
      </c>
      <c r="N16" s="12">
        <f t="shared" si="9"/>
        <v>15740095.439532291</v>
      </c>
      <c r="O16" s="113">
        <f>((O9+O10-6*O11)*(O9+O10)^2+16*O11^2*(O9+O10-O11))*O11/6</f>
        <v>4040642.4395322907</v>
      </c>
    </row>
    <row r="17" spans="1:15" x14ac:dyDescent="0.25">
      <c r="A17" t="s">
        <v>665</v>
      </c>
      <c r="B17" t="s">
        <v>148</v>
      </c>
      <c r="C17" s="81">
        <v>701600</v>
      </c>
      <c r="D17" s="12">
        <f t="shared" ref="D17:E26" si="13">C17</f>
        <v>701600</v>
      </c>
      <c r="E17" s="12">
        <f t="shared" ref="E17:E18" si="14">D17</f>
        <v>701600</v>
      </c>
      <c r="F17" s="12">
        <f t="shared" ref="F17:F18" si="15">E17</f>
        <v>701600</v>
      </c>
      <c r="G17" s="12">
        <f t="shared" ref="G17:G18" si="16">F17</f>
        <v>701600</v>
      </c>
      <c r="H17" s="12">
        <f t="shared" ref="H17:H18" si="17">G17</f>
        <v>701600</v>
      </c>
      <c r="I17" s="12">
        <f t="shared" ref="I17:I18" si="18">H17</f>
        <v>701600</v>
      </c>
      <c r="J17" s="12">
        <f t="shared" ref="J17:J18" si="19">I17</f>
        <v>701600</v>
      </c>
      <c r="K17" s="12">
        <f t="shared" si="8"/>
        <v>701600</v>
      </c>
      <c r="L17" s="12">
        <f t="shared" ref="L17:L18" si="20">K17</f>
        <v>701600</v>
      </c>
      <c r="M17" s="12">
        <f t="shared" ref="M17:M18" si="21">L17</f>
        <v>701600</v>
      </c>
      <c r="N17" s="12">
        <f t="shared" ref="N17:N18" si="22">M17</f>
        <v>701600</v>
      </c>
      <c r="O17" s="113"/>
    </row>
    <row r="18" spans="1:15" x14ac:dyDescent="0.25">
      <c r="A18" t="s">
        <v>666</v>
      </c>
      <c r="B18" t="s">
        <v>3</v>
      </c>
      <c r="C18" s="81">
        <v>1440</v>
      </c>
      <c r="D18" s="12">
        <f t="shared" si="13"/>
        <v>1440</v>
      </c>
      <c r="E18" s="12">
        <f t="shared" si="14"/>
        <v>1440</v>
      </c>
      <c r="F18" s="12">
        <f t="shared" si="15"/>
        <v>1440</v>
      </c>
      <c r="G18" s="12">
        <f t="shared" si="16"/>
        <v>1440</v>
      </c>
      <c r="H18" s="12">
        <f t="shared" si="17"/>
        <v>1440</v>
      </c>
      <c r="I18" s="12">
        <f t="shared" si="18"/>
        <v>1440</v>
      </c>
      <c r="J18" s="12">
        <f t="shared" si="19"/>
        <v>1440</v>
      </c>
      <c r="K18" s="12">
        <f t="shared" si="8"/>
        <v>1440</v>
      </c>
      <c r="L18" s="12">
        <f t="shared" si="20"/>
        <v>1440</v>
      </c>
      <c r="M18" s="12">
        <f t="shared" si="21"/>
        <v>1440</v>
      </c>
      <c r="N18" s="12">
        <f t="shared" si="22"/>
        <v>1440</v>
      </c>
      <c r="O18" s="113"/>
    </row>
    <row r="19" spans="1:15" ht="15.75" outlineLevel="1" thickBot="1" x14ac:dyDescent="0.3">
      <c r="A19" t="s">
        <v>515</v>
      </c>
      <c r="B19" t="s">
        <v>3</v>
      </c>
      <c r="C19" s="85">
        <f>'Y Axis Forces'!$C$8</f>
        <v>280</v>
      </c>
      <c r="D19" s="12">
        <f t="shared" si="13"/>
        <v>280</v>
      </c>
      <c r="E19" s="12">
        <f t="shared" si="13"/>
        <v>280</v>
      </c>
      <c r="F19" s="12">
        <f t="shared" ref="F19:H23" si="23">C19</f>
        <v>280</v>
      </c>
      <c r="G19" s="12">
        <f t="shared" si="23"/>
        <v>280</v>
      </c>
      <c r="H19" s="12">
        <f t="shared" si="23"/>
        <v>280</v>
      </c>
      <c r="I19" s="12">
        <f t="shared" ref="I19:J26" si="24">H19</f>
        <v>280</v>
      </c>
      <c r="J19" s="12">
        <f t="shared" si="24"/>
        <v>280</v>
      </c>
      <c r="K19" s="12">
        <f t="shared" si="8"/>
        <v>280</v>
      </c>
      <c r="L19" s="93">
        <f t="shared" si="6"/>
        <v>280</v>
      </c>
      <c r="M19" s="12">
        <f t="shared" si="9"/>
        <v>280</v>
      </c>
      <c r="N19" s="12">
        <f t="shared" si="9"/>
        <v>280</v>
      </c>
    </row>
    <row r="20" spans="1:15" ht="15.75" outlineLevel="1" thickTop="1" x14ac:dyDescent="0.25">
      <c r="A20" t="s">
        <v>496</v>
      </c>
      <c r="B20" t="s">
        <v>3</v>
      </c>
      <c r="C20" s="12">
        <v>160</v>
      </c>
      <c r="D20" s="12">
        <f t="shared" si="13"/>
        <v>160</v>
      </c>
      <c r="E20" s="12">
        <f t="shared" si="13"/>
        <v>160</v>
      </c>
      <c r="F20" s="12">
        <f t="shared" si="23"/>
        <v>160</v>
      </c>
      <c r="G20" s="12">
        <f t="shared" si="23"/>
        <v>160</v>
      </c>
      <c r="H20" s="12">
        <f t="shared" si="23"/>
        <v>160</v>
      </c>
      <c r="I20" s="12">
        <f t="shared" si="24"/>
        <v>160</v>
      </c>
      <c r="J20" s="12">
        <f t="shared" si="24"/>
        <v>160</v>
      </c>
      <c r="K20" s="12">
        <f t="shared" si="8"/>
        <v>160</v>
      </c>
      <c r="L20" s="93">
        <f t="shared" si="6"/>
        <v>160</v>
      </c>
      <c r="M20" s="12">
        <f t="shared" si="9"/>
        <v>160</v>
      </c>
      <c r="N20" s="12">
        <f>6*25.4</f>
        <v>152.39999999999998</v>
      </c>
    </row>
    <row r="21" spans="1:15" outlineLevel="1" x14ac:dyDescent="0.25">
      <c r="A21" t="s">
        <v>497</v>
      </c>
      <c r="B21" t="s">
        <v>3</v>
      </c>
      <c r="C21" s="12">
        <v>40</v>
      </c>
      <c r="D21" s="12">
        <f t="shared" si="13"/>
        <v>40</v>
      </c>
      <c r="E21" s="12">
        <f t="shared" si="13"/>
        <v>40</v>
      </c>
      <c r="F21" s="12">
        <f t="shared" si="23"/>
        <v>40</v>
      </c>
      <c r="G21" s="12">
        <f t="shared" si="23"/>
        <v>40</v>
      </c>
      <c r="H21" s="12">
        <f t="shared" si="23"/>
        <v>40</v>
      </c>
      <c r="I21" s="12">
        <f t="shared" si="24"/>
        <v>40</v>
      </c>
      <c r="J21" s="12">
        <f t="shared" si="24"/>
        <v>40</v>
      </c>
      <c r="K21" s="12">
        <f t="shared" si="8"/>
        <v>40</v>
      </c>
      <c r="L21" s="93">
        <f t="shared" si="6"/>
        <v>40</v>
      </c>
      <c r="M21" s="12">
        <f t="shared" si="9"/>
        <v>40</v>
      </c>
      <c r="N21" s="12">
        <f>2*25.4</f>
        <v>50.8</v>
      </c>
    </row>
    <row r="22" spans="1:15" outlineLevel="1" x14ac:dyDescent="0.25">
      <c r="A22" t="s">
        <v>498</v>
      </c>
      <c r="B22" t="s">
        <v>3</v>
      </c>
      <c r="C22" s="6">
        <v>3.5</v>
      </c>
      <c r="D22" s="12">
        <f t="shared" si="13"/>
        <v>3.5</v>
      </c>
      <c r="E22" s="12">
        <f t="shared" si="13"/>
        <v>3.5</v>
      </c>
      <c r="F22" s="12">
        <f t="shared" si="23"/>
        <v>3.5</v>
      </c>
      <c r="G22" s="12">
        <f t="shared" si="23"/>
        <v>3.5</v>
      </c>
      <c r="H22" s="12">
        <f t="shared" si="23"/>
        <v>3.5</v>
      </c>
      <c r="I22" s="12">
        <f t="shared" si="24"/>
        <v>3.5</v>
      </c>
      <c r="J22" s="12">
        <f t="shared" si="24"/>
        <v>3.5</v>
      </c>
      <c r="K22" s="12">
        <f t="shared" si="8"/>
        <v>3.5</v>
      </c>
      <c r="L22" s="93">
        <f t="shared" si="6"/>
        <v>3.5</v>
      </c>
      <c r="M22" s="12">
        <f t="shared" si="9"/>
        <v>3.5</v>
      </c>
      <c r="N22" s="12">
        <f>25.4/8</f>
        <v>3.1749999999999998</v>
      </c>
    </row>
    <row r="23" spans="1:15" outlineLevel="1" x14ac:dyDescent="0.25">
      <c r="A23" t="s">
        <v>500</v>
      </c>
      <c r="B23" t="s">
        <v>3</v>
      </c>
      <c r="C23" s="6">
        <v>19</v>
      </c>
      <c r="D23" s="12">
        <f t="shared" si="13"/>
        <v>19</v>
      </c>
      <c r="E23" s="12">
        <f t="shared" si="13"/>
        <v>19</v>
      </c>
      <c r="F23" s="12">
        <f t="shared" si="23"/>
        <v>19</v>
      </c>
      <c r="G23" s="12">
        <f t="shared" si="23"/>
        <v>19</v>
      </c>
      <c r="H23" s="12">
        <f t="shared" si="23"/>
        <v>19</v>
      </c>
      <c r="I23" s="12">
        <f t="shared" si="24"/>
        <v>19</v>
      </c>
      <c r="J23" s="12">
        <f t="shared" si="24"/>
        <v>19</v>
      </c>
      <c r="K23" s="12">
        <f t="shared" si="8"/>
        <v>19</v>
      </c>
      <c r="L23" s="93">
        <f t="shared" si="6"/>
        <v>19</v>
      </c>
      <c r="M23" s="12">
        <f t="shared" si="9"/>
        <v>19</v>
      </c>
      <c r="N23" s="12">
        <f t="shared" si="9"/>
        <v>19</v>
      </c>
    </row>
    <row r="24" spans="1:15" outlineLevel="1" x14ac:dyDescent="0.25">
      <c r="A24" t="s">
        <v>512</v>
      </c>
      <c r="B24" t="s">
        <v>148</v>
      </c>
      <c r="C24" s="81">
        <v>701577</v>
      </c>
      <c r="D24" s="12">
        <f t="shared" si="13"/>
        <v>701577</v>
      </c>
      <c r="E24" s="12">
        <f t="shared" si="13"/>
        <v>701577</v>
      </c>
      <c r="F24" s="12">
        <f t="shared" ref="F24:H26" si="25">D24</f>
        <v>701577</v>
      </c>
      <c r="G24" s="12">
        <f t="shared" si="25"/>
        <v>701577</v>
      </c>
      <c r="H24" s="12">
        <f t="shared" si="25"/>
        <v>701577</v>
      </c>
      <c r="I24" s="12">
        <f t="shared" si="24"/>
        <v>701577</v>
      </c>
      <c r="J24" s="12">
        <f t="shared" si="24"/>
        <v>701577</v>
      </c>
      <c r="K24" s="12">
        <f t="shared" si="8"/>
        <v>701577</v>
      </c>
      <c r="L24" s="93">
        <f t="shared" si="6"/>
        <v>701577</v>
      </c>
      <c r="M24" s="12">
        <f t="shared" si="9"/>
        <v>701577</v>
      </c>
      <c r="N24" s="12">
        <f t="shared" si="9"/>
        <v>701577</v>
      </c>
    </row>
    <row r="25" spans="1:15" outlineLevel="1" x14ac:dyDescent="0.25">
      <c r="A25" t="s">
        <v>499</v>
      </c>
      <c r="B25" t="s">
        <v>148</v>
      </c>
      <c r="C25" s="81">
        <v>169354</v>
      </c>
      <c r="D25" s="12">
        <f t="shared" si="13"/>
        <v>169354</v>
      </c>
      <c r="E25" s="12">
        <f t="shared" si="13"/>
        <v>169354</v>
      </c>
      <c r="F25" s="12">
        <f t="shared" si="25"/>
        <v>169354</v>
      </c>
      <c r="G25" s="12">
        <f t="shared" si="25"/>
        <v>169354</v>
      </c>
      <c r="H25" s="12">
        <f t="shared" si="25"/>
        <v>169354</v>
      </c>
      <c r="I25" s="12">
        <f t="shared" si="24"/>
        <v>169354</v>
      </c>
      <c r="J25" s="12">
        <f t="shared" si="24"/>
        <v>169354</v>
      </c>
      <c r="K25" s="12">
        <f t="shared" si="8"/>
        <v>169354</v>
      </c>
      <c r="L25" s="93">
        <f t="shared" si="6"/>
        <v>169354</v>
      </c>
      <c r="M25" s="12">
        <f t="shared" si="9"/>
        <v>169354</v>
      </c>
      <c r="N25" s="12">
        <f t="shared" si="9"/>
        <v>169354</v>
      </c>
    </row>
    <row r="26" spans="1:15" outlineLevel="1" x14ac:dyDescent="0.25">
      <c r="A26" t="s">
        <v>514</v>
      </c>
      <c r="B26" t="s">
        <v>3</v>
      </c>
      <c r="C26" s="81">
        <v>0</v>
      </c>
      <c r="D26" s="12">
        <f t="shared" si="13"/>
        <v>0</v>
      </c>
      <c r="E26" s="12">
        <f t="shared" si="13"/>
        <v>0</v>
      </c>
      <c r="F26" s="12">
        <f t="shared" si="25"/>
        <v>0</v>
      </c>
      <c r="G26" s="12">
        <f t="shared" si="25"/>
        <v>0</v>
      </c>
      <c r="H26" s="12">
        <f t="shared" si="25"/>
        <v>0</v>
      </c>
      <c r="I26" s="12">
        <f t="shared" si="24"/>
        <v>0</v>
      </c>
      <c r="J26" s="12">
        <f t="shared" si="24"/>
        <v>0</v>
      </c>
      <c r="K26" s="12">
        <f>J26</f>
        <v>0</v>
      </c>
      <c r="L26" s="93">
        <f t="shared" si="6"/>
        <v>0</v>
      </c>
      <c r="M26" s="12">
        <f t="shared" si="9"/>
        <v>0</v>
      </c>
      <c r="N26" s="12">
        <f t="shared" si="9"/>
        <v>0</v>
      </c>
    </row>
    <row r="27" spans="1:15" outlineLevel="1" x14ac:dyDescent="0.25">
      <c r="A27" t="s">
        <v>507</v>
      </c>
      <c r="B27" t="s">
        <v>148</v>
      </c>
      <c r="C27" s="56">
        <f>C25+((C21/2)-C26)^2*(C20*C21-(C20-2*C22)*(C21-2*C22))</f>
        <v>709754</v>
      </c>
      <c r="D27" s="56">
        <f t="shared" ref="D27:H27" si="26">D25+((D21/2)-D26)^2*(D20*D21-(D20-2*D22)*(D21-2*D22))</f>
        <v>709754</v>
      </c>
      <c r="E27" s="56">
        <f t="shared" si="26"/>
        <v>709754</v>
      </c>
      <c r="F27" s="56">
        <f t="shared" si="26"/>
        <v>709754</v>
      </c>
      <c r="G27" s="56">
        <f t="shared" si="26"/>
        <v>709754</v>
      </c>
      <c r="H27" s="56">
        <f t="shared" si="26"/>
        <v>709754</v>
      </c>
      <c r="I27" s="56">
        <f t="shared" ref="I27:J27" si="27">I25+((I21/2)-I26)^2*(I20*I21-(I20-2*I22)*(I21-2*I22))</f>
        <v>709754</v>
      </c>
      <c r="J27" s="56">
        <f t="shared" si="27"/>
        <v>709754</v>
      </c>
      <c r="K27" s="56">
        <f t="shared" ref="K27:L27" si="28">K25+((K21/2)-K26)^2*(K20*K21-(K20-2*K22)*(K21-2*K22))</f>
        <v>709754</v>
      </c>
      <c r="L27" s="56">
        <f t="shared" si="28"/>
        <v>709754</v>
      </c>
      <c r="M27" s="56">
        <f t="shared" ref="M27:N27" si="29">M25+((M21/2)-M26)^2*(M20*M21-(M20-2*M22)*(M21-2*M22))</f>
        <v>709754</v>
      </c>
      <c r="N27" s="56">
        <f t="shared" si="29"/>
        <v>975802.38709999959</v>
      </c>
    </row>
    <row r="28" spans="1:15" outlineLevel="1" x14ac:dyDescent="0.25">
      <c r="A28" t="s">
        <v>501</v>
      </c>
      <c r="B28" t="s">
        <v>148</v>
      </c>
      <c r="C28" s="56">
        <f>C23^3*C20/12</f>
        <v>91453.333333333328</v>
      </c>
      <c r="D28" s="56">
        <f t="shared" ref="D28:G28" si="30">D23^3*D20/12</f>
        <v>91453.333333333328</v>
      </c>
      <c r="E28" s="56">
        <f t="shared" si="30"/>
        <v>91453.333333333328</v>
      </c>
      <c r="F28" s="56">
        <f t="shared" ref="F28" si="31">F23^3*F20/12</f>
        <v>91453.333333333328</v>
      </c>
      <c r="G28" s="56">
        <f t="shared" si="30"/>
        <v>91453.333333333328</v>
      </c>
      <c r="H28" s="56">
        <f t="shared" ref="H28:I28" si="32">H23^3*H20/12</f>
        <v>91453.333333333328</v>
      </c>
      <c r="I28" s="56">
        <f t="shared" si="32"/>
        <v>91453.333333333328</v>
      </c>
      <c r="J28" s="56">
        <f t="shared" ref="J28:L28" si="33">J23^3*J20/12</f>
        <v>91453.333333333328</v>
      </c>
      <c r="K28" s="56">
        <f t="shared" ref="K28" si="34">K23^3*K20/12</f>
        <v>91453.333333333328</v>
      </c>
      <c r="L28" s="56">
        <f t="shared" si="33"/>
        <v>91453.333333333328</v>
      </c>
      <c r="M28" s="56">
        <f t="shared" ref="M28:N28" si="35">M23^3*M20/12</f>
        <v>91453.333333333328</v>
      </c>
      <c r="N28" s="56">
        <f t="shared" si="35"/>
        <v>87109.299999999988</v>
      </c>
    </row>
    <row r="29" spans="1:15" outlineLevel="1" x14ac:dyDescent="0.25">
      <c r="A29" t="s">
        <v>508</v>
      </c>
      <c r="B29" t="s">
        <v>148</v>
      </c>
      <c r="C29" s="56">
        <f>C28+((C23/2)+C26)^2*(C23*C20)</f>
        <v>365813.33333333331</v>
      </c>
      <c r="D29" s="56">
        <f t="shared" ref="D29:H29" si="36">D28+((D23/2)+D26)^2*(D23*D20)</f>
        <v>365813.33333333331</v>
      </c>
      <c r="E29" s="56">
        <f t="shared" si="36"/>
        <v>365813.33333333331</v>
      </c>
      <c r="F29" s="56">
        <f t="shared" si="36"/>
        <v>365813.33333333331</v>
      </c>
      <c r="G29" s="56">
        <f t="shared" si="36"/>
        <v>365813.33333333331</v>
      </c>
      <c r="H29" s="56">
        <f t="shared" si="36"/>
        <v>365813.33333333331</v>
      </c>
      <c r="I29" s="56">
        <f t="shared" ref="I29:J29" si="37">I28+((I23/2)+I26)^2*(I23*I20)</f>
        <v>365813.33333333331</v>
      </c>
      <c r="J29" s="56">
        <f t="shared" si="37"/>
        <v>365813.33333333331</v>
      </c>
      <c r="K29" s="56">
        <f t="shared" ref="K29:L29" si="38">K28+((K23/2)+K26)^2*(K23*K20)</f>
        <v>365813.33333333331</v>
      </c>
      <c r="L29" s="56">
        <f t="shared" si="38"/>
        <v>365813.33333333331</v>
      </c>
      <c r="M29" s="56">
        <f t="shared" ref="M29" si="39">M28+((M23/2)+M26)^2*(M23*M20)</f>
        <v>365813.33333333331</v>
      </c>
      <c r="N29" s="56">
        <f>N28+((N23/2)+N26)^2*(N23*N20)</f>
        <v>348437.19999999995</v>
      </c>
    </row>
    <row r="30" spans="1:15" x14ac:dyDescent="0.25">
      <c r="A30" t="s">
        <v>502</v>
      </c>
      <c r="B30" t="s">
        <v>148</v>
      </c>
      <c r="C30" s="56">
        <f>C27+C29</f>
        <v>1075567.3333333333</v>
      </c>
      <c r="D30" s="56">
        <f t="shared" ref="D30:H30" si="40">D27+D29</f>
        <v>1075567.3333333333</v>
      </c>
      <c r="E30" s="56">
        <f t="shared" si="40"/>
        <v>1075567.3333333333</v>
      </c>
      <c r="F30" s="56">
        <f t="shared" si="40"/>
        <v>1075567.3333333333</v>
      </c>
      <c r="G30" s="56">
        <f t="shared" si="40"/>
        <v>1075567.3333333333</v>
      </c>
      <c r="H30" s="56">
        <f t="shared" si="40"/>
        <v>1075567.3333333333</v>
      </c>
      <c r="I30" s="56">
        <f t="shared" ref="I30:J30" si="41">I27+I29</f>
        <v>1075567.3333333333</v>
      </c>
      <c r="J30" s="56">
        <f t="shared" si="41"/>
        <v>1075567.3333333333</v>
      </c>
      <c r="K30" s="56">
        <f t="shared" ref="K30:L30" si="42">K27+K29</f>
        <v>1075567.3333333333</v>
      </c>
      <c r="L30" s="56">
        <f t="shared" si="42"/>
        <v>1075567.3333333333</v>
      </c>
      <c r="M30" s="56">
        <f t="shared" ref="M30:N30" si="43">M27+M29</f>
        <v>1075567.3333333333</v>
      </c>
      <c r="N30" s="56">
        <f t="shared" si="43"/>
        <v>1324239.5870999997</v>
      </c>
    </row>
    <row r="31" spans="1:15" x14ac:dyDescent="0.25">
      <c r="A31" t="s">
        <v>544</v>
      </c>
      <c r="B31" t="s">
        <v>3</v>
      </c>
      <c r="C31" s="56">
        <v>192</v>
      </c>
      <c r="D31" s="56">
        <v>192</v>
      </c>
      <c r="E31" s="56">
        <v>192</v>
      </c>
      <c r="F31" s="56">
        <v>192</v>
      </c>
      <c r="G31" s="56">
        <v>192</v>
      </c>
      <c r="H31" s="56">
        <v>192</v>
      </c>
      <c r="I31" s="56">
        <v>192</v>
      </c>
      <c r="J31" s="56">
        <v>192</v>
      </c>
      <c r="K31" s="56">
        <v>192</v>
      </c>
      <c r="L31" s="56">
        <v>192</v>
      </c>
      <c r="M31" s="56">
        <v>192</v>
      </c>
      <c r="N31" s="56">
        <v>192</v>
      </c>
    </row>
    <row r="32" spans="1:15" x14ac:dyDescent="0.25">
      <c r="A32" t="s">
        <v>545</v>
      </c>
      <c r="B32" t="s">
        <v>3</v>
      </c>
      <c r="C32" s="56">
        <v>15</v>
      </c>
      <c r="D32" s="56">
        <v>15</v>
      </c>
      <c r="E32" s="56">
        <v>15</v>
      </c>
      <c r="F32" s="56">
        <v>15</v>
      </c>
      <c r="G32" s="56">
        <v>15</v>
      </c>
      <c r="H32" s="56">
        <v>15</v>
      </c>
      <c r="I32" s="56">
        <v>15</v>
      </c>
      <c r="J32" s="56">
        <v>15</v>
      </c>
      <c r="K32" s="56">
        <v>15</v>
      </c>
      <c r="L32" s="56">
        <v>15</v>
      </c>
      <c r="M32" s="56">
        <v>15</v>
      </c>
      <c r="N32" s="56">
        <v>15</v>
      </c>
    </row>
    <row r="33" spans="1:15" x14ac:dyDescent="0.25">
      <c r="A33" t="s">
        <v>546</v>
      </c>
      <c r="B33" t="s">
        <v>148</v>
      </c>
      <c r="C33" s="56">
        <f>C31*C32^3</f>
        <v>648000</v>
      </c>
      <c r="D33" s="56">
        <f t="shared" ref="D33:N33" si="44">D31*D32^3</f>
        <v>648000</v>
      </c>
      <c r="E33" s="56">
        <f t="shared" si="44"/>
        <v>648000</v>
      </c>
      <c r="F33" s="56">
        <f t="shared" si="44"/>
        <v>648000</v>
      </c>
      <c r="G33" s="56">
        <f t="shared" si="44"/>
        <v>648000</v>
      </c>
      <c r="H33" s="56">
        <f t="shared" si="44"/>
        <v>648000</v>
      </c>
      <c r="I33" s="56">
        <f t="shared" si="44"/>
        <v>648000</v>
      </c>
      <c r="J33" s="56">
        <f t="shared" si="44"/>
        <v>648000</v>
      </c>
      <c r="K33" s="56">
        <f t="shared" si="44"/>
        <v>648000</v>
      </c>
      <c r="L33" s="56">
        <f t="shared" si="44"/>
        <v>648000</v>
      </c>
      <c r="M33" s="56">
        <f t="shared" si="44"/>
        <v>648000</v>
      </c>
      <c r="N33" s="56">
        <f t="shared" si="44"/>
        <v>648000</v>
      </c>
    </row>
    <row r="34" spans="1:15" x14ac:dyDescent="0.25">
      <c r="A34" t="s">
        <v>152</v>
      </c>
      <c r="B34" t="s">
        <v>153</v>
      </c>
      <c r="C34" s="81">
        <v>68900</v>
      </c>
      <c r="D34" s="103">
        <f t="shared" ref="D34:E35" si="45">C34</f>
        <v>68900</v>
      </c>
      <c r="E34" s="103">
        <f t="shared" si="45"/>
        <v>68900</v>
      </c>
      <c r="F34" s="103">
        <f t="shared" ref="F34:H35" si="46">D34</f>
        <v>68900</v>
      </c>
      <c r="G34" s="103">
        <f t="shared" si="46"/>
        <v>68900</v>
      </c>
      <c r="H34" s="103">
        <f t="shared" si="46"/>
        <v>68900</v>
      </c>
      <c r="I34" s="111">
        <v>200000</v>
      </c>
      <c r="J34" s="103">
        <f>D34</f>
        <v>68900</v>
      </c>
      <c r="K34" s="103">
        <f t="shared" ref="K34:N35" si="47">D34</f>
        <v>68900</v>
      </c>
      <c r="L34" s="103">
        <f t="shared" si="47"/>
        <v>68900</v>
      </c>
      <c r="M34" s="103">
        <f t="shared" si="47"/>
        <v>68900</v>
      </c>
      <c r="N34" s="103">
        <f t="shared" si="47"/>
        <v>68900</v>
      </c>
    </row>
    <row r="35" spans="1:15" x14ac:dyDescent="0.25">
      <c r="A35" t="s">
        <v>160</v>
      </c>
      <c r="B35" t="s">
        <v>153</v>
      </c>
      <c r="C35" s="81">
        <v>25800</v>
      </c>
      <c r="D35" s="103">
        <f t="shared" si="45"/>
        <v>25800</v>
      </c>
      <c r="E35" s="103">
        <f t="shared" si="45"/>
        <v>25800</v>
      </c>
      <c r="F35" s="103">
        <f t="shared" si="46"/>
        <v>25800</v>
      </c>
      <c r="G35" s="103">
        <f t="shared" si="46"/>
        <v>25800</v>
      </c>
      <c r="H35" s="103">
        <f t="shared" si="46"/>
        <v>25800</v>
      </c>
      <c r="I35" s="111">
        <f>I34*0.3</f>
        <v>60000</v>
      </c>
      <c r="J35" s="103">
        <f>D35</f>
        <v>25800</v>
      </c>
      <c r="K35" s="103">
        <f t="shared" si="47"/>
        <v>25800</v>
      </c>
      <c r="L35" s="103">
        <f t="shared" si="47"/>
        <v>25800</v>
      </c>
      <c r="M35" s="103">
        <f t="shared" si="47"/>
        <v>25800</v>
      </c>
      <c r="N35" s="103">
        <f t="shared" si="47"/>
        <v>25800</v>
      </c>
    </row>
    <row r="36" spans="1:15" x14ac:dyDescent="0.25">
      <c r="A36" t="s">
        <v>525</v>
      </c>
      <c r="B36" t="s">
        <v>529</v>
      </c>
      <c r="C36" s="82">
        <v>2.7</v>
      </c>
      <c r="D36" s="12">
        <v>2.7</v>
      </c>
      <c r="E36" s="12">
        <v>2.7</v>
      </c>
      <c r="F36" s="12">
        <v>2.7</v>
      </c>
      <c r="G36" s="12">
        <v>2.7</v>
      </c>
      <c r="H36" s="12">
        <v>2.7</v>
      </c>
      <c r="I36" s="6">
        <v>7.7</v>
      </c>
      <c r="J36" s="12">
        <v>2.7</v>
      </c>
      <c r="K36" s="12">
        <v>2.7</v>
      </c>
      <c r="L36" s="12">
        <v>2.7</v>
      </c>
      <c r="M36" s="12">
        <v>2.7</v>
      </c>
      <c r="N36" s="12">
        <v>2.7</v>
      </c>
      <c r="O36" s="12">
        <v>2.7</v>
      </c>
    </row>
    <row r="37" spans="1:15" x14ac:dyDescent="0.25">
      <c r="A37" t="s">
        <v>526</v>
      </c>
      <c r="B37" t="s">
        <v>61</v>
      </c>
      <c r="C37" s="117">
        <f>C13*C36/1000</f>
        <v>11.819520000000002</v>
      </c>
      <c r="D37" s="117">
        <f t="shared" ref="D37:N37" si="48">D13*D36/1000</f>
        <v>11.819520000000002</v>
      </c>
      <c r="E37" s="117">
        <f t="shared" si="48"/>
        <v>11.819520000000002</v>
      </c>
      <c r="F37" s="117">
        <f t="shared" si="48"/>
        <v>11.819520000000002</v>
      </c>
      <c r="G37" s="117">
        <f t="shared" si="48"/>
        <v>11.819520000000002</v>
      </c>
      <c r="H37" s="117">
        <f t="shared" si="48"/>
        <v>11.819520000000002</v>
      </c>
      <c r="I37" s="117">
        <f t="shared" si="48"/>
        <v>25.708013100000024</v>
      </c>
      <c r="J37" s="117">
        <f t="shared" si="48"/>
        <v>17.219509199999997</v>
      </c>
      <c r="K37" s="117">
        <f t="shared" si="48"/>
        <v>17.219509199999997</v>
      </c>
      <c r="L37" s="117">
        <f t="shared" si="48"/>
        <v>17.219509199999997</v>
      </c>
      <c r="M37" s="117">
        <f t="shared" si="48"/>
        <v>17.219509199999997</v>
      </c>
      <c r="N37" s="117">
        <f t="shared" si="48"/>
        <v>17.219509199999997</v>
      </c>
      <c r="O37" s="83">
        <f>O13*O36/1000</f>
        <v>5.3999891999999976</v>
      </c>
    </row>
    <row r="38" spans="1:15" outlineLevel="2" x14ac:dyDescent="0.25">
      <c r="A38" s="107" t="s">
        <v>154</v>
      </c>
      <c r="B38" s="107" t="s">
        <v>3</v>
      </c>
      <c r="C38" s="108">
        <f>(C2*C8^3/(192*C34*C14))</f>
        <v>1.1989817503821174E-2</v>
      </c>
      <c r="D38" s="108">
        <f t="shared" ref="D38:G38" si="49">(D2*D8^3/(192*D34*D14))</f>
        <v>1.1989817503821174E-2</v>
      </c>
      <c r="E38" s="108">
        <f t="shared" si="49"/>
        <v>1.1989817503821174E-2</v>
      </c>
      <c r="F38" s="108">
        <f t="shared" si="49"/>
        <v>1.1989817503821174E-2</v>
      </c>
      <c r="G38" s="108">
        <f t="shared" si="49"/>
        <v>1.1989817503821174E-2</v>
      </c>
      <c r="H38" s="108">
        <f t="shared" ref="H38:I38" si="50">(H2*H8^3/(192*H34*H14))</f>
        <v>0</v>
      </c>
      <c r="I38" s="108">
        <f t="shared" si="50"/>
        <v>5.9529105508495097E-3</v>
      </c>
      <c r="J38" s="108">
        <f t="shared" ref="J38:L38" si="51">(J2*J8^3/(192*J34*J14))</f>
        <v>7.5864725489686053E-3</v>
      </c>
      <c r="K38" s="108">
        <f t="shared" ref="K38" si="52">(K2*K8^3/(192*K34*K14))</f>
        <v>7.5864725489686053E-3</v>
      </c>
      <c r="L38" s="108">
        <f t="shared" si="51"/>
        <v>7.5864725489686053E-3</v>
      </c>
      <c r="M38" s="108">
        <f t="shared" ref="M38:N38" si="53">(M2*M8^3/(192*M34*M14))</f>
        <v>7.5864725489686053E-3</v>
      </c>
      <c r="N38" s="108">
        <f t="shared" si="53"/>
        <v>7.5864725489686053E-3</v>
      </c>
    </row>
    <row r="39" spans="1:15" outlineLevel="2" x14ac:dyDescent="0.25">
      <c r="A39" t="s">
        <v>510</v>
      </c>
      <c r="B39" t="s">
        <v>3</v>
      </c>
      <c r="C39" s="15">
        <f>(C2*C8^3/(48*C34*C14))</f>
        <v>4.7959270015284695E-2</v>
      </c>
      <c r="D39" s="15">
        <f t="shared" ref="D39:G39" si="54">(D2*D8^3/(48*D34*D14))</f>
        <v>4.7959270015284695E-2</v>
      </c>
      <c r="E39" s="15">
        <f t="shared" si="54"/>
        <v>4.7959270015284695E-2</v>
      </c>
      <c r="F39" s="15">
        <f t="shared" si="54"/>
        <v>4.7959270015284695E-2</v>
      </c>
      <c r="G39" s="15">
        <f t="shared" si="54"/>
        <v>4.7959270015284695E-2</v>
      </c>
      <c r="H39" s="15">
        <f t="shared" ref="H39:I39" si="55">(H2*H8^3/(48*H34*H14))</f>
        <v>0</v>
      </c>
      <c r="I39" s="15">
        <f t="shared" si="55"/>
        <v>2.3811642203398039E-2</v>
      </c>
      <c r="J39" s="15">
        <f>(J2*J8^3/(48*J34*J14))</f>
        <v>3.0345890195874421E-2</v>
      </c>
      <c r="K39" s="15">
        <f>(K2*K8^3/(48*K34*K14))</f>
        <v>3.0345890195874421E-2</v>
      </c>
      <c r="L39" s="15">
        <f>(L2*L8^3/(48*L34*L14))</f>
        <v>3.0345890195874421E-2</v>
      </c>
      <c r="M39" s="15">
        <f>(M2*M8^3/(48*M34*M14))</f>
        <v>3.0345890195874421E-2</v>
      </c>
      <c r="N39" s="15">
        <f>(N2*N8^3/(48*N34*N14))</f>
        <v>3.0345890195874421E-2</v>
      </c>
    </row>
    <row r="40" spans="1:15" outlineLevel="1" x14ac:dyDescent="0.25">
      <c r="A40" t="s">
        <v>511</v>
      </c>
      <c r="B40" t="s">
        <v>3</v>
      </c>
      <c r="C40" s="15">
        <f>C38*2</f>
        <v>2.3979635007642348E-2</v>
      </c>
      <c r="D40" s="15">
        <f t="shared" ref="D40:G40" si="56">D38*2</f>
        <v>2.3979635007642348E-2</v>
      </c>
      <c r="E40" s="15">
        <f t="shared" si="56"/>
        <v>2.3979635007642348E-2</v>
      </c>
      <c r="F40" s="15">
        <f t="shared" ref="F40" si="57">F38*2</f>
        <v>2.3979635007642348E-2</v>
      </c>
      <c r="G40" s="15">
        <f t="shared" si="56"/>
        <v>2.3979635007642348E-2</v>
      </c>
      <c r="H40" s="15">
        <f t="shared" ref="H40:I40" si="58">H38*2</f>
        <v>0</v>
      </c>
      <c r="I40" s="15">
        <f t="shared" si="58"/>
        <v>1.1905821101699019E-2</v>
      </c>
      <c r="J40" s="15">
        <f t="shared" ref="J40:L40" si="59">J38*2</f>
        <v>1.5172945097937211E-2</v>
      </c>
      <c r="K40" s="15">
        <f t="shared" ref="K40" si="60">K38*2</f>
        <v>1.5172945097937211E-2</v>
      </c>
      <c r="L40" s="15">
        <f t="shared" si="59"/>
        <v>1.5172945097937211E-2</v>
      </c>
      <c r="M40" s="15">
        <f t="shared" ref="M40:N40" si="61">M38*2</f>
        <v>1.5172945097937211E-2</v>
      </c>
      <c r="N40" s="15">
        <f t="shared" si="61"/>
        <v>1.5172945097937211E-2</v>
      </c>
    </row>
    <row r="41" spans="1:15" outlineLevel="2" x14ac:dyDescent="0.25">
      <c r="A41" t="s">
        <v>155</v>
      </c>
      <c r="B41" t="s">
        <v>3</v>
      </c>
      <c r="C41" s="15">
        <f>(C4*C8^3/(192*C34*C15))</f>
        <v>0</v>
      </c>
      <c r="D41" s="15">
        <f t="shared" ref="D41:G41" si="62">(D4*D8^3/(192*D34*D15))</f>
        <v>-3.4999126261114316E-2</v>
      </c>
      <c r="E41" s="15">
        <f t="shared" si="62"/>
        <v>-2.4748119514838109E-2</v>
      </c>
      <c r="F41" s="15">
        <f t="shared" si="62"/>
        <v>-4.9496239029676219E-3</v>
      </c>
      <c r="G41" s="15">
        <f t="shared" si="62"/>
        <v>0</v>
      </c>
      <c r="H41" s="15">
        <f t="shared" ref="H41:I41" si="63">(H4*H8^3/(192*H34*H15))</f>
        <v>0</v>
      </c>
      <c r="I41" s="15">
        <f t="shared" si="63"/>
        <v>-1.5351019380711791E-2</v>
      </c>
      <c r="J41" s="15">
        <f t="shared" ref="J41:L41" si="64">(J4*J8^3/(192*J34*J15))</f>
        <v>-7.8903112249584482E-3</v>
      </c>
      <c r="K41" s="15">
        <f t="shared" ref="K41" si="65">(K4*K8^3/(192*K34*K15))</f>
        <v>0</v>
      </c>
      <c r="L41" s="15">
        <f t="shared" si="64"/>
        <v>-5.5792925728404526E-3</v>
      </c>
      <c r="M41" s="15">
        <f t="shared" ref="M41:N41" si="66">(M4*M8^3/(192*M34*M15))</f>
        <v>-1.1158585145680906E-3</v>
      </c>
      <c r="N41" s="15">
        <f t="shared" si="66"/>
        <v>0</v>
      </c>
    </row>
    <row r="42" spans="1:15" outlineLevel="2" x14ac:dyDescent="0.25">
      <c r="A42" t="s">
        <v>509</v>
      </c>
      <c r="B42" t="s">
        <v>3</v>
      </c>
      <c r="C42" s="15">
        <f>(C4*C8^3/(48*C34*C15))</f>
        <v>0</v>
      </c>
      <c r="D42" s="15">
        <f>(D4*D8^3/(48*D34*D15))</f>
        <v>-0.13999650504445726</v>
      </c>
      <c r="E42" s="15">
        <f>(E4*E8^3/(48*E34*E15))</f>
        <v>-9.8992478059352434E-2</v>
      </c>
      <c r="F42" s="15">
        <f>(F4*F8^3/(48*F34*F15))</f>
        <v>-1.9798495611870488E-2</v>
      </c>
      <c r="G42" s="15">
        <f>(G4*G8^3/(48*G34*G15))</f>
        <v>0</v>
      </c>
      <c r="H42" s="15">
        <f t="shared" ref="H42" si="67">(H4*H8^3/(48*H34*H15))</f>
        <v>0</v>
      </c>
      <c r="I42" s="15">
        <f t="shared" ref="I42:N42" si="68">(I4*I8^3/(48*I34*I15))</f>
        <v>-6.1404077522847163E-2</v>
      </c>
      <c r="J42" s="15">
        <f>(J4*J8^3/(48*J34*J15))</f>
        <v>-3.1561244899833793E-2</v>
      </c>
      <c r="K42" s="15">
        <f t="shared" si="68"/>
        <v>0</v>
      </c>
      <c r="L42" s="15">
        <f t="shared" si="68"/>
        <v>-2.231717029136181E-2</v>
      </c>
      <c r="M42" s="15">
        <f t="shared" si="68"/>
        <v>-4.4634340582723623E-3</v>
      </c>
      <c r="N42" s="15">
        <f t="shared" si="68"/>
        <v>0</v>
      </c>
    </row>
    <row r="43" spans="1:15" outlineLevel="1" x14ac:dyDescent="0.25">
      <c r="A43" t="s">
        <v>520</v>
      </c>
      <c r="B43" t="s">
        <v>3</v>
      </c>
      <c r="C43" s="15">
        <f>C41*2</f>
        <v>0</v>
      </c>
      <c r="D43" s="15">
        <f t="shared" ref="D43:G43" si="69">D41*2</f>
        <v>-6.9998252522228632E-2</v>
      </c>
      <c r="E43" s="15">
        <f t="shared" si="69"/>
        <v>-4.9496239029676217E-2</v>
      </c>
      <c r="F43" s="15">
        <f t="shared" ref="F43" si="70">F41*2</f>
        <v>-9.8992478059352438E-3</v>
      </c>
      <c r="G43" s="15">
        <f t="shared" si="69"/>
        <v>0</v>
      </c>
      <c r="H43" s="15">
        <f t="shared" ref="H43:I43" si="71">H41*2</f>
        <v>0</v>
      </c>
      <c r="I43" s="15">
        <f t="shared" si="71"/>
        <v>-3.0702038761423581E-2</v>
      </c>
      <c r="J43" s="15">
        <f>J41*2</f>
        <v>-1.5780622449916896E-2</v>
      </c>
      <c r="K43" s="15">
        <f>K41*2</f>
        <v>0</v>
      </c>
      <c r="L43" s="15">
        <f>L41*2</f>
        <v>-1.1158585145680905E-2</v>
      </c>
      <c r="M43" s="15">
        <f>M41*2</f>
        <v>-2.2317170291361811E-3</v>
      </c>
      <c r="N43" s="15">
        <f>N41*2</f>
        <v>0</v>
      </c>
    </row>
    <row r="44" spans="1:15" outlineLevel="1" x14ac:dyDescent="0.25">
      <c r="A44" t="s">
        <v>683</v>
      </c>
      <c r="B44" t="s">
        <v>3</v>
      </c>
      <c r="C44" s="15">
        <f>'Table Deflection'!C17</f>
        <v>2.1256609886169151E-2</v>
      </c>
      <c r="D44" s="12">
        <f>C44</f>
        <v>2.1256609886169151E-2</v>
      </c>
      <c r="E44" s="12">
        <f t="shared" ref="E44:N44" si="72">D44</f>
        <v>2.1256609886169151E-2</v>
      </c>
      <c r="F44" s="12">
        <f t="shared" si="72"/>
        <v>2.1256609886169151E-2</v>
      </c>
      <c r="G44" s="12">
        <f t="shared" si="72"/>
        <v>2.1256609886169151E-2</v>
      </c>
      <c r="H44" s="12">
        <f t="shared" si="72"/>
        <v>2.1256609886169151E-2</v>
      </c>
      <c r="I44" s="12">
        <f t="shared" si="72"/>
        <v>2.1256609886169151E-2</v>
      </c>
      <c r="J44" s="12">
        <f t="shared" si="72"/>
        <v>2.1256609886169151E-2</v>
      </c>
      <c r="K44" s="12">
        <f t="shared" si="72"/>
        <v>2.1256609886169151E-2</v>
      </c>
      <c r="L44" s="12">
        <f t="shared" si="72"/>
        <v>2.1256609886169151E-2</v>
      </c>
      <c r="M44" s="12">
        <f t="shared" si="72"/>
        <v>2.1256609886169151E-2</v>
      </c>
      <c r="N44" s="12">
        <f t="shared" si="72"/>
        <v>2.1256609886169151E-2</v>
      </c>
    </row>
    <row r="45" spans="1:15" outlineLevel="1" x14ac:dyDescent="0.25">
      <c r="A45" t="s">
        <v>521</v>
      </c>
      <c r="B45" t="s">
        <v>3</v>
      </c>
      <c r="C45" s="106">
        <f t="shared" ref="C45:H45" si="73">C3/2*(C19)^3/(3*C34*C30)</f>
        <v>1.4849972867257734E-2</v>
      </c>
      <c r="D45" s="106">
        <f t="shared" si="73"/>
        <v>0</v>
      </c>
      <c r="E45" s="106">
        <f t="shared" si="73"/>
        <v>1.0500516514874183E-2</v>
      </c>
      <c r="F45" s="106">
        <f t="shared" si="73"/>
        <v>2.1001033029748365E-3</v>
      </c>
      <c r="G45" s="106">
        <f t="shared" si="73"/>
        <v>0</v>
      </c>
      <c r="H45" s="106">
        <f t="shared" si="73"/>
        <v>0</v>
      </c>
      <c r="I45" s="106">
        <f t="shared" ref="I45:J45" si="74">I3/2*(I19)^3/(3*I34*I30)</f>
        <v>0</v>
      </c>
      <c r="J45" s="106">
        <f t="shared" si="74"/>
        <v>0</v>
      </c>
      <c r="K45" s="106">
        <f t="shared" ref="K45:L45" si="75">K3/2*(K19)^3/(3*K34*K30)</f>
        <v>1.4849972867257734E-2</v>
      </c>
      <c r="L45" s="106">
        <f t="shared" si="75"/>
        <v>1.0500516514874183E-2</v>
      </c>
      <c r="M45" s="106">
        <f>M3/2*(M19)^3/(3*M34*M30)</f>
        <v>2.1001033029748365E-3</v>
      </c>
      <c r="N45" s="106">
        <f>N3/2*(N19)^3/(3*N34*N30)</f>
        <v>1.2061371576941551E-2</v>
      </c>
    </row>
    <row r="46" spans="1:15" outlineLevel="1" x14ac:dyDescent="0.25">
      <c r="A46" s="107" t="s">
        <v>161</v>
      </c>
      <c r="B46" s="107" t="s">
        <v>162</v>
      </c>
      <c r="C46" s="109">
        <f t="shared" ref="C46:H46" si="76">C6*1000*C8/4/C16/C35</f>
        <v>-2.8160065632221034E-5</v>
      </c>
      <c r="D46" s="114">
        <f>D6*1000*D8/4/D16/D35</f>
        <v>1.3526483401830078E-4</v>
      </c>
      <c r="E46" s="109">
        <f t="shared" si="76"/>
        <v>8.7398789125393996E-5</v>
      </c>
      <c r="F46" s="109">
        <f t="shared" si="76"/>
        <v>-5.0482946806980295E-6</v>
      </c>
      <c r="G46" s="109">
        <f t="shared" si="76"/>
        <v>-2.8160065632221034E-5</v>
      </c>
      <c r="H46" s="109">
        <f t="shared" si="76"/>
        <v>0</v>
      </c>
      <c r="I46" s="109">
        <f t="shared" ref="I46:N46" si="77">I6*1000*I8/4/I16/I35</f>
        <v>8.1383529295430662E-5</v>
      </c>
      <c r="J46" s="114">
        <f t="shared" si="77"/>
        <v>1.005409766560434E-4</v>
      </c>
      <c r="K46" s="114">
        <f t="shared" si="77"/>
        <v>-2.0931090640888448E-5</v>
      </c>
      <c r="L46" s="114">
        <f t="shared" si="77"/>
        <v>6.4962631869520729E-5</v>
      </c>
      <c r="M46" s="114">
        <f t="shared" si="77"/>
        <v>-3.7523461388066146E-6</v>
      </c>
      <c r="N46" s="114">
        <f t="shared" si="77"/>
        <v>-2.0931090640888448E-5</v>
      </c>
    </row>
    <row r="47" spans="1:15" outlineLevel="1" x14ac:dyDescent="0.25">
      <c r="A47" t="s">
        <v>466</v>
      </c>
      <c r="B47" t="s">
        <v>162</v>
      </c>
      <c r="C47" s="16">
        <f t="shared" ref="C47:H47" si="78">C7*1000*C8/8/C14/C34</f>
        <v>3.9605846824700624E-5</v>
      </c>
      <c r="D47" s="16">
        <f t="shared" si="78"/>
        <v>0</v>
      </c>
      <c r="E47" s="16">
        <f t="shared" si="78"/>
        <v>2.8005562864381498E-5</v>
      </c>
      <c r="F47" s="16">
        <f t="shared" si="78"/>
        <v>5.6011125728763004E-6</v>
      </c>
      <c r="G47" s="16">
        <f t="shared" si="78"/>
        <v>0</v>
      </c>
      <c r="H47" s="16">
        <f t="shared" si="78"/>
        <v>0</v>
      </c>
      <c r="I47" s="16">
        <f t="shared" ref="I47:J47" si="79">I7*1000*I8/8/I14/I34</f>
        <v>0</v>
      </c>
      <c r="J47" s="16">
        <f t="shared" si="79"/>
        <v>0</v>
      </c>
      <c r="K47" s="16">
        <f t="shared" ref="K47:L47" si="80">K7*1000*K8/8/K14/K34</f>
        <v>2.5060320527688332E-5</v>
      </c>
      <c r="L47" s="16">
        <f t="shared" si="80"/>
        <v>1.7720322583836857E-5</v>
      </c>
      <c r="M47" s="16">
        <f t="shared" ref="M47:N47" si="81">M7*1000*M8/8/M14/M34</f>
        <v>3.5440645167673726E-6</v>
      </c>
      <c r="N47" s="16">
        <f t="shared" si="81"/>
        <v>2.5060320527688332E-5</v>
      </c>
    </row>
    <row r="48" spans="1:15" outlineLevel="1" x14ac:dyDescent="0.25">
      <c r="A48" t="s">
        <v>467</v>
      </c>
      <c r="B48" t="s">
        <v>162</v>
      </c>
      <c r="C48" s="16">
        <f>C5*1000*C8/8/C15/C34</f>
        <v>6.3982777696099615E-5</v>
      </c>
      <c r="D48" s="16">
        <f t="shared" ref="D48:H48" si="82">D5*1000*D8/8/D15/D34</f>
        <v>0</v>
      </c>
      <c r="E48" s="16">
        <f t="shared" si="82"/>
        <v>4.5242655988063415E-5</v>
      </c>
      <c r="F48" s="16">
        <f t="shared" si="82"/>
        <v>9.0485311976126829E-6</v>
      </c>
      <c r="G48" s="16">
        <f t="shared" si="82"/>
        <v>0</v>
      </c>
      <c r="H48" s="16">
        <f t="shared" si="82"/>
        <v>0</v>
      </c>
      <c r="I48" s="16">
        <f t="shared" ref="I48:J48" si="83">I5*1000*I8/8/I15/I34</f>
        <v>0</v>
      </c>
      <c r="J48" s="16">
        <f t="shared" si="83"/>
        <v>0</v>
      </c>
      <c r="K48" s="16">
        <f t="shared" ref="K48:L48" si="84">K5*1000*K8/8/K15/K34</f>
        <v>1.4424475208127163E-5</v>
      </c>
      <c r="L48" s="16">
        <f t="shared" si="84"/>
        <v>1.0199644234723953E-5</v>
      </c>
      <c r="M48" s="16">
        <f t="shared" ref="M48:N48" si="85">M5*1000*M8/8/M15/M34</f>
        <v>2.0399288469447907E-6</v>
      </c>
      <c r="N48" s="16">
        <f t="shared" si="85"/>
        <v>1.4424475208127163E-5</v>
      </c>
    </row>
    <row r="49" spans="1:14" outlineLevel="1" x14ac:dyDescent="0.25">
      <c r="A49" t="s">
        <v>86</v>
      </c>
      <c r="B49" t="s">
        <v>3</v>
      </c>
      <c r="C49" s="12">
        <f>ABS(MAX('X Axis Force'!$C$15:$S$15))</f>
        <v>410</v>
      </c>
      <c r="D49" s="12">
        <f>ABS(MAX('X Axis Force'!$C$15:$S$15))</f>
        <v>410</v>
      </c>
      <c r="E49" s="12">
        <f>ABS(MAX('X Axis Force'!$C$15:$S$15))</f>
        <v>410</v>
      </c>
      <c r="F49" s="12">
        <f>ABS(MAX('X Axis Force'!$C$15:$S$15))</f>
        <v>410</v>
      </c>
      <c r="G49" s="12">
        <f>ABS(MAX('X Axis Force'!$C$15:$S$15))</f>
        <v>410</v>
      </c>
      <c r="H49" s="12">
        <f>ABS(MAX('X Axis Force'!$C$15:$S$15))</f>
        <v>410</v>
      </c>
      <c r="I49" s="12">
        <f>ABS(MAX('X Axis Force'!$C$15:$S$15))</f>
        <v>410</v>
      </c>
      <c r="J49" s="12">
        <f>ABS(MAX('X Axis Force'!$C$15:$S$15))</f>
        <v>410</v>
      </c>
      <c r="K49" s="12">
        <f>ABS(MAX('X Axis Force'!$C$15:$S$15))</f>
        <v>410</v>
      </c>
      <c r="L49" s="12">
        <f>ABS(MAX('X Axis Force'!$C$15:$S$15))</f>
        <v>410</v>
      </c>
      <c r="M49" s="12">
        <f>ABS(MAX('X Axis Force'!$C$15:$S$15))</f>
        <v>410</v>
      </c>
      <c r="N49" s="12">
        <f>ABS(MAX('X Axis Force'!$C$15:$S$15))</f>
        <v>410</v>
      </c>
    </row>
    <row r="50" spans="1:14" outlineLevel="1" x14ac:dyDescent="0.25">
      <c r="A50" t="s">
        <v>88</v>
      </c>
      <c r="B50" t="s">
        <v>3</v>
      </c>
      <c r="C50" s="93">
        <f>MAX('X Axis Force'!C14:L14)+C9/2</f>
        <v>100.71428571428572</v>
      </c>
      <c r="D50" s="93">
        <f>MAX('X Axis Force'!D14:M14)+D9/2</f>
        <v>100.71428571428572</v>
      </c>
      <c r="E50" s="93">
        <f>MAX('X Axis Force'!E14:N14)+E9/2</f>
        <v>100.71428571428572</v>
      </c>
      <c r="F50" s="93">
        <f>MAX('X Axis Force'!E14:N14)+F9/2</f>
        <v>100.71428571428572</v>
      </c>
      <c r="G50" s="93">
        <f>MAX('X Axis Force'!F14:O14)+G9/2</f>
        <v>100.71428571428572</v>
      </c>
      <c r="H50" s="93">
        <f>MAX('X Axis Force'!G14:P14)+H9/2</f>
        <v>100.71428571428572</v>
      </c>
      <c r="I50" s="93">
        <f>MAX('X Axis Force'!I14:R14)+I9/2</f>
        <v>98.814285714285717</v>
      </c>
      <c r="J50" s="93">
        <f>MAX('X Axis Force'!J14:S14)+J9/2</f>
        <v>100.71428571428572</v>
      </c>
      <c r="K50" s="93">
        <f>MAX('X Axis Force'!J14:S14)+K9/2</f>
        <v>100.71428571428572</v>
      </c>
      <c r="L50" s="93">
        <f>MAX('X Axis Force'!K14:T14)+L9/2</f>
        <v>100.71428571428572</v>
      </c>
      <c r="M50" s="93">
        <f>MAX('X Axis Force'!L14:U14)+M9/2</f>
        <v>100.71428571428572</v>
      </c>
      <c r="N50" s="93">
        <f>MAX('X Axis Force'!M14:V14)+N9/2</f>
        <v>100.71428571428572</v>
      </c>
    </row>
    <row r="51" spans="1:14" outlineLevel="1" x14ac:dyDescent="0.25">
      <c r="A51" t="s">
        <v>468</v>
      </c>
      <c r="B51" t="s">
        <v>3</v>
      </c>
      <c r="C51" s="15">
        <f t="shared" ref="C51:H51" si="86">-1*(C46*C49)</f>
        <v>1.1545626909210623E-2</v>
      </c>
      <c r="D51" s="15">
        <f t="shared" si="86"/>
        <v>-5.5458581947503319E-2</v>
      </c>
      <c r="E51" s="15">
        <f>-1*(E46*E49)</f>
        <v>-3.5833503541411536E-2</v>
      </c>
      <c r="F51" s="15">
        <f t="shared" si="86"/>
        <v>2.0698008190861922E-3</v>
      </c>
      <c r="G51" s="15">
        <f t="shared" si="86"/>
        <v>1.1545626909210623E-2</v>
      </c>
      <c r="H51" s="15">
        <f t="shared" si="86"/>
        <v>0</v>
      </c>
      <c r="I51" s="15">
        <f t="shared" ref="I51" si="87">-1*(I46*I49)</f>
        <v>-3.3367247011126575E-2</v>
      </c>
      <c r="J51" s="15">
        <f>-1*(J46*J49)</f>
        <v>-4.1221800428977794E-2</v>
      </c>
      <c r="K51" s="15">
        <f>-1*(K46*K49)</f>
        <v>8.5817471627642628E-3</v>
      </c>
      <c r="L51" s="15">
        <f>-1*(L46*L49)</f>
        <v>-2.6634679066503499E-2</v>
      </c>
      <c r="M51" s="15">
        <f>-1*(M46*M49)</f>
        <v>1.5384619169107119E-3</v>
      </c>
      <c r="N51" s="15">
        <f>-1*(N46*N49)</f>
        <v>8.5817471627642628E-3</v>
      </c>
    </row>
    <row r="52" spans="1:14" outlineLevel="1" x14ac:dyDescent="0.25">
      <c r="A52" t="s">
        <v>513</v>
      </c>
      <c r="B52" t="s">
        <v>3</v>
      </c>
      <c r="C52" s="15">
        <f t="shared" ref="C52:H52" si="88">1*(C46*C50)</f>
        <v>-2.8361208958165474E-3</v>
      </c>
      <c r="D52" s="15">
        <f t="shared" si="88"/>
        <v>1.362310114041458E-2</v>
      </c>
      <c r="E52" s="15">
        <f t="shared" si="88"/>
        <v>8.8023066190575389E-3</v>
      </c>
      <c r="F52" s="15">
        <f t="shared" si="88"/>
        <v>-5.0843539284173018E-4</v>
      </c>
      <c r="G52" s="15">
        <f t="shared" si="88"/>
        <v>-2.8361208958165474E-3</v>
      </c>
      <c r="H52" s="15">
        <f t="shared" si="88"/>
        <v>0</v>
      </c>
      <c r="I52" s="15">
        <f t="shared" ref="I52:J52" si="89">1*(I46*I50)</f>
        <v>8.0418553162356268E-3</v>
      </c>
      <c r="J52" s="15">
        <f t="shared" si="89"/>
        <v>1.0125912648930086E-2</v>
      </c>
      <c r="K52" s="15">
        <f t="shared" ref="K52:L52" si="90">1*(K46*K50)</f>
        <v>-2.1080598431180509E-3</v>
      </c>
      <c r="L52" s="15">
        <f t="shared" si="90"/>
        <v>6.5426650668588739E-3</v>
      </c>
      <c r="M52" s="15">
        <f t="shared" ref="M52:N52" si="91">1*(M46*M50)</f>
        <v>-3.779148611226662E-4</v>
      </c>
      <c r="N52" s="15">
        <f t="shared" si="91"/>
        <v>-2.1080598431180509E-3</v>
      </c>
    </row>
    <row r="53" spans="1:14" outlineLevel="1" x14ac:dyDescent="0.25">
      <c r="A53" t="s">
        <v>469</v>
      </c>
      <c r="B53" t="s">
        <v>3</v>
      </c>
      <c r="C53" s="15">
        <f t="shared" ref="C53:H53" si="92">(C47*C49)</f>
        <v>1.6238397198127256E-2</v>
      </c>
      <c r="D53" s="15">
        <f t="shared" si="92"/>
        <v>0</v>
      </c>
      <c r="E53" s="15">
        <f t="shared" si="92"/>
        <v>1.1482280774396414E-2</v>
      </c>
      <c r="F53" s="15">
        <f t="shared" si="92"/>
        <v>2.2964561548792831E-3</v>
      </c>
      <c r="G53" s="15">
        <f t="shared" si="92"/>
        <v>0</v>
      </c>
      <c r="H53" s="15">
        <f t="shared" si="92"/>
        <v>0</v>
      </c>
      <c r="I53" s="15">
        <f t="shared" ref="I53:J53" si="93">(I47*I49)</f>
        <v>0</v>
      </c>
      <c r="J53" s="15">
        <f t="shared" si="93"/>
        <v>0</v>
      </c>
      <c r="K53" s="15">
        <f t="shared" ref="K53:L53" si="94">(K47*K49)</f>
        <v>1.0274731416352215E-2</v>
      </c>
      <c r="L53" s="15">
        <f t="shared" si="94"/>
        <v>7.2653322593731109E-3</v>
      </c>
      <c r="M53" s="15">
        <f t="shared" ref="M53:N53" si="95">(M47*M49)</f>
        <v>1.4530664518746228E-3</v>
      </c>
      <c r="N53" s="15">
        <f t="shared" si="95"/>
        <v>1.0274731416352215E-2</v>
      </c>
    </row>
    <row r="54" spans="1:14" outlineLevel="1" x14ac:dyDescent="0.25">
      <c r="A54" s="115" t="s">
        <v>470</v>
      </c>
      <c r="B54" s="115" t="s">
        <v>3</v>
      </c>
      <c r="C54" s="116">
        <f t="shared" ref="C54:H54" si="96">-1*(C48*C50)</f>
        <v>-6.4439797536786046E-3</v>
      </c>
      <c r="D54" s="116">
        <f t="shared" si="96"/>
        <v>0</v>
      </c>
      <c r="E54" s="116">
        <f t="shared" si="96"/>
        <v>-4.5565817816549583E-3</v>
      </c>
      <c r="F54" s="116">
        <f t="shared" si="96"/>
        <v>-9.1131635633099175E-4</v>
      </c>
      <c r="G54" s="116">
        <f t="shared" si="96"/>
        <v>0</v>
      </c>
      <c r="H54" s="116">
        <f t="shared" si="96"/>
        <v>0</v>
      </c>
      <c r="I54" s="116">
        <f t="shared" ref="I54:J54" si="97">-1*(I48*I50)</f>
        <v>0</v>
      </c>
      <c r="J54" s="116">
        <f t="shared" si="97"/>
        <v>0</v>
      </c>
      <c r="K54" s="116">
        <f t="shared" ref="K54:L54" si="98">-1*(K48*K50)</f>
        <v>-1.45275071738995E-3</v>
      </c>
      <c r="L54" s="116">
        <f t="shared" si="98"/>
        <v>-1.0272498836400553E-3</v>
      </c>
      <c r="M54" s="116">
        <f t="shared" ref="M54:N54" si="99">-1*(M48*M50)</f>
        <v>-2.0544997672801107E-4</v>
      </c>
      <c r="N54" s="116">
        <f t="shared" si="99"/>
        <v>-1.45275071738995E-3</v>
      </c>
    </row>
    <row r="55" spans="1:14" outlineLevel="1" x14ac:dyDescent="0.25">
      <c r="A55" s="91" t="s">
        <v>548</v>
      </c>
      <c r="B55" s="119" t="s">
        <v>162</v>
      </c>
      <c r="C55" s="118">
        <f>C4*25^2/(2*C33*C34)</f>
        <v>0</v>
      </c>
      <c r="D55" s="118">
        <f t="shared" ref="D55:M55" si="100">D4*25^2/(2*D33*D34)</f>
        <v>-2.1053070067580045E-6</v>
      </c>
      <c r="E55" s="118">
        <f t="shared" si="100"/>
        <v>-1.4886768609581378E-6</v>
      </c>
      <c r="F55" s="118">
        <f t="shared" si="100"/>
        <v>-2.977353721916275E-7</v>
      </c>
      <c r="G55" s="118">
        <f t="shared" si="100"/>
        <v>0</v>
      </c>
      <c r="H55" s="118">
        <f t="shared" si="100"/>
        <v>0</v>
      </c>
      <c r="I55" s="118">
        <f t="shared" si="100"/>
        <v>-7.2527826382813256E-7</v>
      </c>
      <c r="J55" s="118">
        <f t="shared" si="100"/>
        <v>-2.1053070067580045E-6</v>
      </c>
      <c r="K55" s="118">
        <f t="shared" si="100"/>
        <v>0</v>
      </c>
      <c r="L55" s="118">
        <f t="shared" si="100"/>
        <v>-1.4886768609581378E-6</v>
      </c>
      <c r="M55" s="118">
        <f t="shared" si="100"/>
        <v>-2.977353721916275E-7</v>
      </c>
      <c r="N55" s="118">
        <f t="shared" ref="N55" si="101">N4*25^2/(2*N33*N34)</f>
        <v>0</v>
      </c>
    </row>
    <row r="56" spans="1:14" outlineLevel="1" x14ac:dyDescent="0.25">
      <c r="A56" s="91" t="s">
        <v>547</v>
      </c>
      <c r="B56" s="119" t="s">
        <v>3</v>
      </c>
      <c r="C56" s="110">
        <f>C4*(C49-C10/2)^3/(3*C34*C33)</f>
        <v>0</v>
      </c>
      <c r="D56" s="110">
        <f t="shared" ref="D56:M56" si="102">D4*(D49-D10/2)^3/(3*D34*D33)</f>
        <v>-8.0702312428653236E-2</v>
      </c>
      <c r="E56" s="110">
        <f t="shared" si="102"/>
        <v>-5.7065152375736096E-2</v>
      </c>
      <c r="F56" s="110">
        <f t="shared" si="102"/>
        <v>-1.141303047514722E-2</v>
      </c>
      <c r="G56" s="110">
        <f t="shared" si="102"/>
        <v>0</v>
      </c>
      <c r="H56" s="110">
        <f t="shared" si="102"/>
        <v>0</v>
      </c>
      <c r="I56" s="110">
        <f t="shared" si="102"/>
        <v>-2.8773479473089014E-2</v>
      </c>
      <c r="J56" s="110">
        <f>J4*(J49-J10/2)^3/(3*J34*J33)</f>
        <v>-8.0702312428653236E-2</v>
      </c>
      <c r="K56" s="110">
        <f t="shared" si="102"/>
        <v>0</v>
      </c>
      <c r="L56" s="110">
        <f t="shared" si="102"/>
        <v>-5.7065152375736096E-2</v>
      </c>
      <c r="M56" s="110">
        <f t="shared" si="102"/>
        <v>-1.141303047514722E-2</v>
      </c>
      <c r="N56" s="110">
        <f t="shared" ref="N56" si="103">N4*(N49-N10/2)^3/(3*N34*N33)</f>
        <v>0</v>
      </c>
    </row>
    <row r="57" spans="1:14" x14ac:dyDescent="0.25">
      <c r="A57" s="107" t="s">
        <v>471</v>
      </c>
      <c r="B57" s="107" t="s">
        <v>3</v>
      </c>
      <c r="C57" s="108">
        <f>C40+C52+C44</f>
        <v>4.2400123997994948E-2</v>
      </c>
      <c r="D57" s="108">
        <f t="shared" ref="D57:M57" si="104">D40+D52+D44</f>
        <v>5.8859346034226073E-2</v>
      </c>
      <c r="E57" s="108">
        <f t="shared" si="104"/>
        <v>5.4038551512869043E-2</v>
      </c>
      <c r="F57" s="108">
        <f t="shared" si="104"/>
        <v>4.4727809500969773E-2</v>
      </c>
      <c r="G57" s="108">
        <f t="shared" si="104"/>
        <v>4.2400123997994948E-2</v>
      </c>
      <c r="H57" s="108">
        <f t="shared" si="104"/>
        <v>2.1256609886169151E-2</v>
      </c>
      <c r="I57" s="108">
        <f t="shared" si="104"/>
        <v>4.1204286304103797E-2</v>
      </c>
      <c r="J57" s="108">
        <f t="shared" si="104"/>
        <v>4.6555467633036446E-2</v>
      </c>
      <c r="K57" s="108">
        <f t="shared" si="104"/>
        <v>3.4321495140988312E-2</v>
      </c>
      <c r="L57" s="108">
        <f t="shared" si="104"/>
        <v>4.2972220050965237E-2</v>
      </c>
      <c r="M57" s="108">
        <f t="shared" si="104"/>
        <v>3.6051640122983696E-2</v>
      </c>
      <c r="N57" s="108">
        <f>N40+N52+N44</f>
        <v>3.4321495140988312E-2</v>
      </c>
    </row>
    <row r="58" spans="1:14" x14ac:dyDescent="0.25">
      <c r="A58" t="s">
        <v>472</v>
      </c>
      <c r="B58" t="s">
        <v>3</v>
      </c>
      <c r="C58" s="15">
        <f t="shared" ref="C58:N58" si="105">C43+C51</f>
        <v>1.1545626909210623E-2</v>
      </c>
      <c r="D58" s="15">
        <f t="shared" si="105"/>
        <v>-0.12545683446973194</v>
      </c>
      <c r="E58" s="15">
        <f t="shared" si="105"/>
        <v>-8.5329742571087747E-2</v>
      </c>
      <c r="F58" s="15">
        <f t="shared" si="105"/>
        <v>-7.8294469868490507E-3</v>
      </c>
      <c r="G58" s="15">
        <f t="shared" si="105"/>
        <v>1.1545626909210623E-2</v>
      </c>
      <c r="H58" s="15">
        <f t="shared" si="105"/>
        <v>0</v>
      </c>
      <c r="I58" s="15">
        <f t="shared" si="105"/>
        <v>-6.4069285772550152E-2</v>
      </c>
      <c r="J58" s="15">
        <f>J43+J51</f>
        <v>-5.700242287889469E-2</v>
      </c>
      <c r="K58" s="15">
        <f t="shared" si="105"/>
        <v>8.5817471627642628E-3</v>
      </c>
      <c r="L58" s="15">
        <f t="shared" si="105"/>
        <v>-3.7793264212184402E-2</v>
      </c>
      <c r="M58" s="15">
        <f t="shared" si="105"/>
        <v>-6.932551122254692E-4</v>
      </c>
      <c r="N58" s="15">
        <f t="shared" si="105"/>
        <v>8.5817471627642628E-3</v>
      </c>
    </row>
    <row r="59" spans="1:14" x14ac:dyDescent="0.25">
      <c r="A59" t="s">
        <v>473</v>
      </c>
      <c r="B59" t="s">
        <v>3</v>
      </c>
      <c r="C59" s="15">
        <f>C45+C53+C54</f>
        <v>2.4644390311706385E-2</v>
      </c>
      <c r="D59" s="15">
        <f t="shared" ref="D59:M59" si="106">D45+D53+D54</f>
        <v>0</v>
      </c>
      <c r="E59" s="15">
        <f t="shared" si="106"/>
        <v>1.7426215507615639E-2</v>
      </c>
      <c r="F59" s="15">
        <f t="shared" si="106"/>
        <v>3.4852431015231279E-3</v>
      </c>
      <c r="G59" s="15">
        <f t="shared" si="106"/>
        <v>0</v>
      </c>
      <c r="H59" s="15">
        <f t="shared" si="106"/>
        <v>0</v>
      </c>
      <c r="I59" s="15">
        <f t="shared" si="106"/>
        <v>0</v>
      </c>
      <c r="J59" s="15">
        <f t="shared" si="106"/>
        <v>0</v>
      </c>
      <c r="K59" s="15">
        <f t="shared" si="106"/>
        <v>2.367195356622E-2</v>
      </c>
      <c r="L59" s="15">
        <f t="shared" si="106"/>
        <v>1.6738598890607238E-2</v>
      </c>
      <c r="M59" s="15">
        <f t="shared" si="106"/>
        <v>3.3477197781214482E-3</v>
      </c>
      <c r="N59" s="15">
        <f>N45+N53+N54</f>
        <v>2.0883352275903818E-2</v>
      </c>
    </row>
    <row r="60" spans="1:14" x14ac:dyDescent="0.25">
      <c r="A60" t="s">
        <v>504</v>
      </c>
      <c r="B60" t="s">
        <v>3</v>
      </c>
      <c r="C60" s="4"/>
      <c r="D60">
        <v>0.121</v>
      </c>
    </row>
    <row r="61" spans="1:14" x14ac:dyDescent="0.25">
      <c r="A61" t="s">
        <v>506</v>
      </c>
      <c r="B61" t="s">
        <v>3</v>
      </c>
      <c r="C61" s="4"/>
      <c r="D61">
        <v>-0.20699999999999999</v>
      </c>
    </row>
    <row r="62" spans="1:14" x14ac:dyDescent="0.25">
      <c r="A62" t="s">
        <v>505</v>
      </c>
      <c r="B62" t="s">
        <v>3</v>
      </c>
      <c r="D62">
        <v>0</v>
      </c>
    </row>
    <row r="63" spans="1:14" ht="15.75" thickBot="1" x14ac:dyDescent="0.3">
      <c r="A63" t="s">
        <v>474</v>
      </c>
      <c r="B63" t="s">
        <v>3</v>
      </c>
      <c r="C63" s="15">
        <f t="shared" ref="C63:H63" si="107">SQRT(C58^2+C59^2)</f>
        <v>2.7214839234550259E-2</v>
      </c>
      <c r="D63" s="15">
        <f t="shared" si="107"/>
        <v>0.12545683446973194</v>
      </c>
      <c r="E63" s="15">
        <f t="shared" si="107"/>
        <v>8.7090975159117193E-2</v>
      </c>
      <c r="F63" s="15">
        <f t="shared" si="107"/>
        <v>8.5701318307593276E-3</v>
      </c>
      <c r="G63" s="15">
        <f t="shared" si="107"/>
        <v>1.1545626909210623E-2</v>
      </c>
      <c r="H63" s="15">
        <f t="shared" si="107"/>
        <v>0</v>
      </c>
      <c r="I63" s="15">
        <f t="shared" ref="I63:N63" si="108">SQRT(I58^2+I59^2)</f>
        <v>6.4069285772550152E-2</v>
      </c>
      <c r="J63" s="15">
        <f t="shared" si="108"/>
        <v>5.700242287889469E-2</v>
      </c>
      <c r="K63" s="15">
        <f t="shared" si="108"/>
        <v>2.5179510916753096E-2</v>
      </c>
      <c r="L63" s="15">
        <f t="shared" si="108"/>
        <v>4.1334144634099013E-2</v>
      </c>
      <c r="M63" s="15">
        <f t="shared" si="108"/>
        <v>3.4187468995894193E-3</v>
      </c>
      <c r="N63" s="15">
        <f t="shared" si="108"/>
        <v>2.2577882687380358E-2</v>
      </c>
    </row>
    <row r="64" spans="1:14" ht="16.5" thickTop="1" thickBot="1" x14ac:dyDescent="0.3">
      <c r="A64" t="s">
        <v>474</v>
      </c>
      <c r="B64" t="s">
        <v>25</v>
      </c>
      <c r="C64" s="104">
        <f t="shared" ref="C64:H64" si="109">C63/25.4</f>
        <v>1.0714503635649709E-3</v>
      </c>
      <c r="D64" s="104">
        <f t="shared" si="109"/>
        <v>4.9392454515642496E-3</v>
      </c>
      <c r="E64" s="104">
        <f t="shared" si="109"/>
        <v>3.4287785495715432E-3</v>
      </c>
      <c r="F64" s="104">
        <f t="shared" si="109"/>
        <v>3.374067649905247E-4</v>
      </c>
      <c r="G64" s="104">
        <f t="shared" si="109"/>
        <v>4.5455224052010329E-4</v>
      </c>
      <c r="H64" s="104">
        <f t="shared" si="109"/>
        <v>0</v>
      </c>
      <c r="I64" s="104">
        <f t="shared" ref="I64:J64" si="110">I63/25.4</f>
        <v>2.5224128256909509E-3</v>
      </c>
      <c r="J64" s="104">
        <f t="shared" si="110"/>
        <v>2.2441898771218384E-3</v>
      </c>
      <c r="K64" s="104">
        <f t="shared" ref="K64:L64" si="111">K63/25.4</f>
        <v>9.9131932743122433E-4</v>
      </c>
      <c r="L64" s="104">
        <f t="shared" si="111"/>
        <v>1.627328528901536E-3</v>
      </c>
      <c r="M64" s="104">
        <f t="shared" ref="M64:N64" si="112">M63/25.4</f>
        <v>1.345963346295047E-4</v>
      </c>
      <c r="N64" s="104">
        <f t="shared" si="112"/>
        <v>8.8889301918820308E-4</v>
      </c>
    </row>
    <row r="65" spans="1:15" ht="16.5" thickTop="1" thickBot="1" x14ac:dyDescent="0.3">
      <c r="A65" t="s">
        <v>473</v>
      </c>
      <c r="B65" t="s">
        <v>25</v>
      </c>
      <c r="C65" s="104">
        <f>C59/25.4</f>
        <v>9.7025158707505458E-4</v>
      </c>
      <c r="D65" s="104">
        <f t="shared" ref="D65:G65" si="113">D59/25.4</f>
        <v>0</v>
      </c>
      <c r="E65" s="104">
        <f t="shared" si="113"/>
        <v>6.8607147667778113E-4</v>
      </c>
      <c r="F65" s="104">
        <f t="shared" ref="F65" si="114">F59/25.4</f>
        <v>1.3721429533555623E-4</v>
      </c>
      <c r="G65" s="104">
        <f t="shared" si="113"/>
        <v>0</v>
      </c>
      <c r="H65" s="104">
        <f t="shared" ref="H65:I65" si="115">H59/25.4</f>
        <v>0</v>
      </c>
      <c r="I65" s="104">
        <f t="shared" si="115"/>
        <v>0</v>
      </c>
      <c r="J65" s="104">
        <f t="shared" ref="J65:L65" si="116">J59/25.4</f>
        <v>0</v>
      </c>
      <c r="K65" s="104">
        <f t="shared" ref="K65" si="117">K59/25.4</f>
        <v>9.3196667583543319E-4</v>
      </c>
      <c r="L65" s="104">
        <f t="shared" si="116"/>
        <v>6.5899995632311961E-4</v>
      </c>
      <c r="M65" s="104">
        <f t="shared" ref="M65:N65" si="118">M59/25.4</f>
        <v>1.3179999126462395E-4</v>
      </c>
      <c r="N65" s="104">
        <f t="shared" si="118"/>
        <v>8.2217922346078029E-4</v>
      </c>
    </row>
    <row r="66" spans="1:15" ht="15.75" thickTop="1" x14ac:dyDescent="0.25">
      <c r="A66" t="s">
        <v>483</v>
      </c>
      <c r="B66" t="s">
        <v>19</v>
      </c>
      <c r="C66" s="102">
        <f t="shared" ref="C66:N66" si="119">SQRT(C3^2+C4^2)</f>
        <v>300.78740157480314</v>
      </c>
      <c r="D66" s="102">
        <f t="shared" si="119"/>
        <v>300.78740157480314</v>
      </c>
      <c r="E66" s="102">
        <f t="shared" si="119"/>
        <v>300.78740157480314</v>
      </c>
      <c r="F66" s="102">
        <f t="shared" si="119"/>
        <v>60.157480314960623</v>
      </c>
      <c r="G66" s="102">
        <f t="shared" si="119"/>
        <v>0</v>
      </c>
      <c r="H66" s="102">
        <f t="shared" si="119"/>
        <v>0</v>
      </c>
      <c r="I66" s="102">
        <f t="shared" si="119"/>
        <v>300.78740157480314</v>
      </c>
      <c r="J66" s="102">
        <f t="shared" si="119"/>
        <v>300.78740157480314</v>
      </c>
      <c r="K66" s="102">
        <f t="shared" si="119"/>
        <v>300.78740157480314</v>
      </c>
      <c r="L66" s="102">
        <f t="shared" si="119"/>
        <v>300.78740157480314</v>
      </c>
      <c r="M66" s="102">
        <f t="shared" si="119"/>
        <v>60.157480314960623</v>
      </c>
      <c r="N66" s="102">
        <f t="shared" si="119"/>
        <v>300.78740157480314</v>
      </c>
    </row>
    <row r="67" spans="1:15" x14ac:dyDescent="0.25">
      <c r="A67" t="s">
        <v>484</v>
      </c>
      <c r="B67" t="s">
        <v>465</v>
      </c>
      <c r="C67" s="102">
        <f>C66/9.8/(C63*1000)</f>
        <v>1.1277888409667141</v>
      </c>
      <c r="D67" s="102">
        <f t="shared" ref="D67:N67" si="120">D66/9.8/(D63*1000)</f>
        <v>0.24464663186471414</v>
      </c>
      <c r="E67" s="102">
        <f t="shared" si="120"/>
        <v>0.35241989128440487</v>
      </c>
      <c r="F67" s="102">
        <f t="shared" si="120"/>
        <v>0.71626884168267158</v>
      </c>
      <c r="G67" s="102">
        <f t="shared" si="120"/>
        <v>0</v>
      </c>
      <c r="H67" s="102" t="e">
        <f t="shared" si="120"/>
        <v>#DIV/0!</v>
      </c>
      <c r="I67" s="102">
        <f t="shared" si="120"/>
        <v>0.47905313173599989</v>
      </c>
      <c r="J67" s="102">
        <f t="shared" si="120"/>
        <v>0.53844363883684854</v>
      </c>
      <c r="K67" s="102">
        <f t="shared" si="120"/>
        <v>1.2189510788713407</v>
      </c>
      <c r="L67" s="102">
        <f t="shared" si="120"/>
        <v>0.74254813469899972</v>
      </c>
      <c r="M67" s="102">
        <f t="shared" si="120"/>
        <v>1.7955463155880285</v>
      </c>
      <c r="N67" s="102">
        <f t="shared" si="120"/>
        <v>1.3594096675231708</v>
      </c>
    </row>
    <row r="68" spans="1:15" x14ac:dyDescent="0.25">
      <c r="A68" t="s">
        <v>475</v>
      </c>
      <c r="B68" t="s">
        <v>465</v>
      </c>
      <c r="C68" s="6">
        <v>18</v>
      </c>
      <c r="D68" s="12">
        <f>C68</f>
        <v>18</v>
      </c>
      <c r="E68" s="12">
        <f t="shared" ref="E68:F68" si="121">D68</f>
        <v>18</v>
      </c>
      <c r="F68" s="12">
        <f t="shared" si="121"/>
        <v>18</v>
      </c>
      <c r="G68" s="12">
        <f t="shared" ref="G68:J70" si="122">F68</f>
        <v>18</v>
      </c>
      <c r="H68" s="12">
        <f t="shared" si="122"/>
        <v>18</v>
      </c>
      <c r="I68" s="12">
        <f>H68</f>
        <v>18</v>
      </c>
      <c r="J68" s="12">
        <f>I68</f>
        <v>18</v>
      </c>
      <c r="K68" s="12">
        <f t="shared" ref="K68:N70" si="123">I68</f>
        <v>18</v>
      </c>
      <c r="L68" s="12">
        <f t="shared" si="123"/>
        <v>18</v>
      </c>
      <c r="M68" s="12">
        <f t="shared" si="123"/>
        <v>18</v>
      </c>
      <c r="N68" s="12">
        <f t="shared" si="123"/>
        <v>18</v>
      </c>
    </row>
    <row r="69" spans="1:15" x14ac:dyDescent="0.25">
      <c r="A69" t="s">
        <v>476</v>
      </c>
      <c r="B69" t="s">
        <v>465</v>
      </c>
      <c r="C69" s="6">
        <v>32</v>
      </c>
      <c r="D69" s="12">
        <f t="shared" ref="D69:F70" si="124">C69</f>
        <v>32</v>
      </c>
      <c r="E69" s="12">
        <f t="shared" si="124"/>
        <v>32</v>
      </c>
      <c r="F69" s="12">
        <f t="shared" si="124"/>
        <v>32</v>
      </c>
      <c r="G69" s="12">
        <f t="shared" si="122"/>
        <v>32</v>
      </c>
      <c r="H69" s="12">
        <f t="shared" si="122"/>
        <v>32</v>
      </c>
      <c r="I69" s="12">
        <f t="shared" si="122"/>
        <v>32</v>
      </c>
      <c r="J69" s="12">
        <f t="shared" si="122"/>
        <v>32</v>
      </c>
      <c r="K69" s="12">
        <f t="shared" si="123"/>
        <v>32</v>
      </c>
      <c r="L69" s="12">
        <f t="shared" si="123"/>
        <v>32</v>
      </c>
      <c r="M69" s="12">
        <f t="shared" si="123"/>
        <v>32</v>
      </c>
      <c r="N69" s="12">
        <f t="shared" si="123"/>
        <v>32</v>
      </c>
    </row>
    <row r="70" spans="1:15" x14ac:dyDescent="0.25">
      <c r="A70" t="s">
        <v>477</v>
      </c>
      <c r="B70" t="s">
        <v>465</v>
      </c>
      <c r="C70" s="6">
        <v>25</v>
      </c>
      <c r="D70" s="12">
        <f t="shared" si="124"/>
        <v>25</v>
      </c>
      <c r="E70" s="12">
        <f t="shared" si="124"/>
        <v>25</v>
      </c>
      <c r="F70" s="12">
        <f t="shared" si="124"/>
        <v>25</v>
      </c>
      <c r="G70" s="12">
        <f t="shared" si="122"/>
        <v>25</v>
      </c>
      <c r="H70" s="12">
        <f t="shared" si="122"/>
        <v>25</v>
      </c>
      <c r="I70" s="12">
        <f t="shared" si="122"/>
        <v>25</v>
      </c>
      <c r="J70" s="12">
        <f t="shared" si="122"/>
        <v>25</v>
      </c>
      <c r="K70" s="12">
        <f t="shared" si="123"/>
        <v>25</v>
      </c>
      <c r="L70" s="12">
        <f t="shared" si="123"/>
        <v>25</v>
      </c>
      <c r="M70" s="12">
        <f t="shared" si="123"/>
        <v>25</v>
      </c>
      <c r="N70" s="12">
        <f t="shared" si="123"/>
        <v>25</v>
      </c>
    </row>
    <row r="71" spans="1:15" x14ac:dyDescent="0.25">
      <c r="A71" t="s">
        <v>478</v>
      </c>
      <c r="B71" t="s">
        <v>3</v>
      </c>
      <c r="C71" s="16">
        <f t="shared" ref="C71:N71" si="125">C2/9.8/C68/1000</f>
        <v>1.9841269841269836E-3</v>
      </c>
      <c r="D71" s="16">
        <f t="shared" si="125"/>
        <v>1.9841269841269836E-3</v>
      </c>
      <c r="E71" s="16">
        <f t="shared" si="125"/>
        <v>1.9841269841269836E-3</v>
      </c>
      <c r="F71" s="16">
        <f t="shared" si="125"/>
        <v>1.9841269841269836E-3</v>
      </c>
      <c r="G71" s="16">
        <f t="shared" si="125"/>
        <v>1.9841269841269836E-3</v>
      </c>
      <c r="H71" s="16">
        <f t="shared" si="125"/>
        <v>0</v>
      </c>
      <c r="I71" s="16">
        <f t="shared" si="125"/>
        <v>1.9841269841269836E-3</v>
      </c>
      <c r="J71" s="16">
        <f t="shared" si="125"/>
        <v>1.9841269841269836E-3</v>
      </c>
      <c r="K71" s="16">
        <f t="shared" si="125"/>
        <v>1.9841269841269836E-3</v>
      </c>
      <c r="L71" s="16">
        <f t="shared" si="125"/>
        <v>1.9841269841269836E-3</v>
      </c>
      <c r="M71" s="16">
        <f t="shared" si="125"/>
        <v>1.9841269841269836E-3</v>
      </c>
      <c r="N71" s="16">
        <f t="shared" si="125"/>
        <v>1.9841269841269836E-3</v>
      </c>
    </row>
    <row r="72" spans="1:15" x14ac:dyDescent="0.25">
      <c r="A72" t="s">
        <v>479</v>
      </c>
      <c r="B72" t="s">
        <v>3</v>
      </c>
      <c r="C72" s="16">
        <f t="shared" ref="C72:N72" si="126">C3/9.8/C69/1000</f>
        <v>9.5914349991965274E-4</v>
      </c>
      <c r="D72" s="16">
        <f t="shared" si="126"/>
        <v>0</v>
      </c>
      <c r="E72" s="16">
        <f t="shared" si="126"/>
        <v>6.7821687292418534E-4</v>
      </c>
      <c r="F72" s="16">
        <f t="shared" si="126"/>
        <v>1.3564337458483704E-4</v>
      </c>
      <c r="G72" s="16">
        <f t="shared" si="126"/>
        <v>0</v>
      </c>
      <c r="H72" s="16">
        <f t="shared" si="126"/>
        <v>0</v>
      </c>
      <c r="I72" s="16">
        <f t="shared" si="126"/>
        <v>0</v>
      </c>
      <c r="J72" s="16">
        <f t="shared" si="126"/>
        <v>0</v>
      </c>
      <c r="K72" s="16">
        <f t="shared" si="126"/>
        <v>9.5914349991965274E-4</v>
      </c>
      <c r="L72" s="16">
        <f t="shared" si="126"/>
        <v>6.7821687292418534E-4</v>
      </c>
      <c r="M72" s="16">
        <f t="shared" si="126"/>
        <v>1.3564337458483704E-4</v>
      </c>
      <c r="N72" s="16">
        <f t="shared" si="126"/>
        <v>9.5914349991965274E-4</v>
      </c>
    </row>
    <row r="73" spans="1:15" x14ac:dyDescent="0.25">
      <c r="A73" t="s">
        <v>480</v>
      </c>
      <c r="B73" t="s">
        <v>3</v>
      </c>
      <c r="C73" s="16">
        <f t="shared" ref="C73:N73" si="127">C4/9.8/C70/1000</f>
        <v>0</v>
      </c>
      <c r="D73" s="16">
        <f t="shared" si="127"/>
        <v>-1.2277036798971554E-3</v>
      </c>
      <c r="E73" s="16">
        <f t="shared" si="127"/>
        <v>-8.6811759734295728E-4</v>
      </c>
      <c r="F73" s="16">
        <f t="shared" si="127"/>
        <v>-1.7362351946859141E-4</v>
      </c>
      <c r="G73" s="16">
        <f t="shared" si="127"/>
        <v>0</v>
      </c>
      <c r="H73" s="16">
        <f t="shared" si="127"/>
        <v>0</v>
      </c>
      <c r="I73" s="16">
        <f t="shared" si="127"/>
        <v>-1.2277036798971554E-3</v>
      </c>
      <c r="J73" s="16">
        <f t="shared" si="127"/>
        <v>-1.2277036798971554E-3</v>
      </c>
      <c r="K73" s="16">
        <f t="shared" si="127"/>
        <v>0</v>
      </c>
      <c r="L73" s="16">
        <f t="shared" si="127"/>
        <v>-8.6811759734295728E-4</v>
      </c>
      <c r="M73" s="16">
        <f t="shared" si="127"/>
        <v>-1.7362351946859141E-4</v>
      </c>
      <c r="N73" s="16">
        <f t="shared" si="127"/>
        <v>0</v>
      </c>
    </row>
    <row r="74" spans="1:15" ht="15.75" thickBot="1" x14ac:dyDescent="0.3">
      <c r="A74" t="s">
        <v>485</v>
      </c>
      <c r="B74" t="s">
        <v>61</v>
      </c>
      <c r="C74" s="12">
        <f>'Axis Sizing'!$E$2+'Axis Sizing'!$C$2</f>
        <v>35</v>
      </c>
      <c r="D74" s="12">
        <f>'Axis Sizing'!$E$2+'Axis Sizing'!$C$2</f>
        <v>35</v>
      </c>
      <c r="E74" s="12">
        <f>'Axis Sizing'!$E$2+'Axis Sizing'!$C$2</f>
        <v>35</v>
      </c>
      <c r="F74" s="12">
        <f>'Axis Sizing'!$E$2+'Axis Sizing'!$C$2</f>
        <v>35</v>
      </c>
      <c r="G74" s="12">
        <f>'Axis Sizing'!$E$2+'Axis Sizing'!$C$2</f>
        <v>35</v>
      </c>
      <c r="H74" s="12">
        <f>'Axis Sizing'!$E$2+'Axis Sizing'!$C$2</f>
        <v>35</v>
      </c>
      <c r="I74" s="12">
        <f>'Axis Sizing'!$E$2+'Axis Sizing'!$C$2</f>
        <v>35</v>
      </c>
      <c r="J74" s="12">
        <f>'Axis Sizing'!$E$2+'Axis Sizing'!$C$2</f>
        <v>35</v>
      </c>
      <c r="K74" s="12">
        <f>'Axis Sizing'!$E$2+'Axis Sizing'!$C$2</f>
        <v>35</v>
      </c>
      <c r="L74" s="12">
        <f>'Axis Sizing'!$E$2+'Axis Sizing'!$C$2</f>
        <v>35</v>
      </c>
      <c r="M74" s="12">
        <f>'Axis Sizing'!$E$2+'Axis Sizing'!$C$2</f>
        <v>35</v>
      </c>
      <c r="N74" s="12">
        <f>'Axis Sizing'!$E$2+'Axis Sizing'!$C$2</f>
        <v>35</v>
      </c>
    </row>
    <row r="75" spans="1:15" ht="16.5" thickTop="1" thickBot="1" x14ac:dyDescent="0.3">
      <c r="A75" t="s">
        <v>487</v>
      </c>
      <c r="B75" t="s">
        <v>486</v>
      </c>
      <c r="C75" s="105">
        <f>SQRT(C67*9800000/C74)/(2*PI())</f>
        <v>89.436139331792162</v>
      </c>
      <c r="D75" s="105">
        <f t="shared" ref="D75:N75" si="128">SQRT(D67*9800000/D74)/(2*PI())</f>
        <v>41.655156247757468</v>
      </c>
      <c r="E75" s="105">
        <f t="shared" si="128"/>
        <v>49.995320147817765</v>
      </c>
      <c r="F75" s="105">
        <f t="shared" si="128"/>
        <v>71.274991961970898</v>
      </c>
      <c r="G75" s="105">
        <f t="shared" si="128"/>
        <v>0</v>
      </c>
      <c r="H75" s="105" t="e">
        <f t="shared" si="128"/>
        <v>#DIV/0!</v>
      </c>
      <c r="I75" s="105">
        <f t="shared" si="128"/>
        <v>58.289588465301584</v>
      </c>
      <c r="J75" s="105">
        <f t="shared" si="128"/>
        <v>61.797267551361728</v>
      </c>
      <c r="K75" s="105">
        <f t="shared" si="128"/>
        <v>92.980587371420825</v>
      </c>
      <c r="L75" s="105">
        <f t="shared" si="128"/>
        <v>72.570723534617528</v>
      </c>
      <c r="M75" s="105">
        <f t="shared" si="128"/>
        <v>112.84893202242206</v>
      </c>
      <c r="N75" s="105">
        <f t="shared" si="128"/>
        <v>98.191597195380822</v>
      </c>
      <c r="O75" s="120">
        <v>60</v>
      </c>
    </row>
    <row r="76" spans="1:15" ht="15.75" thickTop="1" x14ac:dyDescent="0.25">
      <c r="A76" t="s">
        <v>488</v>
      </c>
      <c r="B76" t="s">
        <v>58</v>
      </c>
      <c r="C76" s="3">
        <f t="shared" ref="C76:H76" si="129">C75*60</f>
        <v>5366.1683599075295</v>
      </c>
      <c r="D76" s="3">
        <f t="shared" si="129"/>
        <v>2499.3093748654483</v>
      </c>
      <c r="E76" s="3">
        <f t="shared" si="129"/>
        <v>2999.7192088690658</v>
      </c>
      <c r="F76" s="3">
        <f t="shared" si="129"/>
        <v>4276.4995177182536</v>
      </c>
      <c r="G76" s="3">
        <f t="shared" si="129"/>
        <v>0</v>
      </c>
      <c r="H76" s="3" t="e">
        <f t="shared" si="129"/>
        <v>#DIV/0!</v>
      </c>
      <c r="I76" s="3">
        <f t="shared" ref="I76:J76" si="130">I75*60</f>
        <v>3497.3753079180951</v>
      </c>
      <c r="J76" s="3">
        <f t="shared" si="130"/>
        <v>3707.8360530817035</v>
      </c>
      <c r="K76" s="3">
        <f t="shared" ref="K76:L76" si="131">K75*60</f>
        <v>5578.8352422852495</v>
      </c>
      <c r="L76" s="3">
        <f t="shared" si="131"/>
        <v>4354.2434120770513</v>
      </c>
      <c r="M76" s="3">
        <f t="shared" ref="M76:N76" si="132">M75*60</f>
        <v>6770.9359213453235</v>
      </c>
      <c r="N76" s="3">
        <f t="shared" si="132"/>
        <v>5891.4958317228493</v>
      </c>
      <c r="O76" s="3">
        <f t="shared" ref="O76" si="133">O75*60</f>
        <v>3600</v>
      </c>
    </row>
    <row r="77" spans="1:15" x14ac:dyDescent="0.25">
      <c r="A77" t="s">
        <v>489</v>
      </c>
      <c r="B77" t="s">
        <v>58</v>
      </c>
      <c r="C77" s="3">
        <f t="shared" ref="C77:H77" si="134">C76/2</f>
        <v>2683.0841799537648</v>
      </c>
      <c r="D77" s="3">
        <f t="shared" si="134"/>
        <v>1249.6546874327241</v>
      </c>
      <c r="E77" s="3">
        <f t="shared" si="134"/>
        <v>1499.8596044345329</v>
      </c>
      <c r="F77" s="3">
        <f t="shared" si="134"/>
        <v>2138.2497588591268</v>
      </c>
      <c r="G77" s="3">
        <f t="shared" si="134"/>
        <v>0</v>
      </c>
      <c r="H77" s="3" t="e">
        <f t="shared" si="134"/>
        <v>#DIV/0!</v>
      </c>
      <c r="I77" s="3">
        <f t="shared" ref="I77:J77" si="135">I76/2</f>
        <v>1748.6876539590476</v>
      </c>
      <c r="J77" s="3">
        <f t="shared" si="135"/>
        <v>1853.9180265408518</v>
      </c>
      <c r="K77" s="3">
        <f t="shared" ref="K77:L77" si="136">K76/2</f>
        <v>2789.4176211426247</v>
      </c>
      <c r="L77" s="3">
        <f t="shared" si="136"/>
        <v>2177.1217060385256</v>
      </c>
      <c r="M77" s="3">
        <f t="shared" ref="M77:N77" si="137">M76/2</f>
        <v>3385.4679606726618</v>
      </c>
      <c r="N77" s="3">
        <f t="shared" si="137"/>
        <v>2945.7479158614246</v>
      </c>
      <c r="O77" s="3">
        <f t="shared" ref="O77" si="138">O76/2</f>
        <v>1800</v>
      </c>
    </row>
    <row r="78" spans="1:15" x14ac:dyDescent="0.25">
      <c r="A78" t="s">
        <v>713</v>
      </c>
      <c r="B78" t="s">
        <v>714</v>
      </c>
      <c r="C78">
        <f>9.8*C67</f>
        <v>11.052330641473798</v>
      </c>
      <c r="D78">
        <f t="shared" ref="D78:N78" si="139">9.8*D67</f>
        <v>2.3975369922741989</v>
      </c>
      <c r="E78">
        <f t="shared" si="139"/>
        <v>3.4537149345871678</v>
      </c>
      <c r="F78">
        <f t="shared" si="139"/>
        <v>7.0194346484901819</v>
      </c>
      <c r="G78">
        <f t="shared" si="139"/>
        <v>0</v>
      </c>
      <c r="H78" t="e">
        <f t="shared" si="139"/>
        <v>#DIV/0!</v>
      </c>
      <c r="I78">
        <f t="shared" si="139"/>
        <v>4.6947206910127992</v>
      </c>
      <c r="J78">
        <f t="shared" si="139"/>
        <v>5.2767476606011163</v>
      </c>
      <c r="K78">
        <f t="shared" si="139"/>
        <v>11.945720572939139</v>
      </c>
      <c r="L78">
        <f t="shared" si="139"/>
        <v>7.2769717200501978</v>
      </c>
      <c r="M78">
        <f t="shared" si="139"/>
        <v>17.596353892762679</v>
      </c>
      <c r="N78">
        <f t="shared" si="139"/>
        <v>13.322214741727075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E7E-89AE-4D62-BAC2-6EA122922701}">
  <dimension ref="A1:R62"/>
  <sheetViews>
    <sheetView workbookViewId="0">
      <selection activeCell="C60" sqref="C60"/>
    </sheetView>
  </sheetViews>
  <sheetFormatPr defaultRowHeight="15" x14ac:dyDescent="0.25"/>
  <cols>
    <col min="1" max="1" width="28.7109375" bestFit="1" customWidth="1"/>
    <col min="2" max="4" width="13.7109375" bestFit="1" customWidth="1"/>
    <col min="5" max="6" width="13.7109375" customWidth="1"/>
    <col min="10" max="10" width="25" bestFit="1" customWidth="1"/>
  </cols>
  <sheetData>
    <row r="1" spans="1:18" x14ac:dyDescent="0.25">
      <c r="B1" t="s">
        <v>182</v>
      </c>
      <c r="C1" t="s">
        <v>184</v>
      </c>
      <c r="D1" t="s">
        <v>183</v>
      </c>
      <c r="E1" t="s">
        <v>456</v>
      </c>
      <c r="F1" t="s">
        <v>457</v>
      </c>
      <c r="R1" s="54" t="s">
        <v>431</v>
      </c>
    </row>
    <row r="2" spans="1:18" ht="15.75" thickBot="1" x14ac:dyDescent="0.3">
      <c r="A2" t="s">
        <v>325</v>
      </c>
      <c r="B2" s="99">
        <f>'Axis Sizing'!C46</f>
        <v>5340.7075111026479</v>
      </c>
      <c r="C2" s="99">
        <f>'Axis Sizing'!D46/2</f>
        <v>2002.765316663493</v>
      </c>
      <c r="D2" s="99">
        <f>'Axis Sizing'!E46</f>
        <v>3141.5926535897929</v>
      </c>
      <c r="E2" s="99">
        <f>D2-D3*9.81</f>
        <v>2945.3926535897931</v>
      </c>
      <c r="F2" s="99">
        <f>D2+F3*9.81</f>
        <v>3337.7926535897927</v>
      </c>
      <c r="G2" t="s">
        <v>19</v>
      </c>
      <c r="J2" t="s">
        <v>418</v>
      </c>
      <c r="K2">
        <v>190</v>
      </c>
    </row>
    <row r="3" spans="1:18" ht="16.5" thickTop="1" thickBot="1" x14ac:dyDescent="0.3">
      <c r="A3" t="s">
        <v>380</v>
      </c>
      <c r="B3" s="85">
        <f>'Axis Sizing'!C3</f>
        <v>35</v>
      </c>
      <c r="C3" s="85">
        <f>'Axis Sizing'!D3/2</f>
        <v>50</v>
      </c>
      <c r="D3" s="85">
        <f>'Axis Sizing'!E3</f>
        <v>20</v>
      </c>
      <c r="E3" s="99">
        <f>D3</f>
        <v>20</v>
      </c>
      <c r="F3" s="99">
        <f>D3</f>
        <v>20</v>
      </c>
      <c r="G3" t="s">
        <v>61</v>
      </c>
      <c r="J3" t="s">
        <v>419</v>
      </c>
      <c r="K3">
        <v>220</v>
      </c>
    </row>
    <row r="4" spans="1:18" ht="16.5" thickTop="1" thickBot="1" x14ac:dyDescent="0.3">
      <c r="A4" t="s">
        <v>8</v>
      </c>
      <c r="B4" s="99">
        <f>'Axis Sizing'!C36*25.4/60</f>
        <v>187.5</v>
      </c>
      <c r="C4" s="99">
        <f>'Axis Sizing'!D36*25.4/60</f>
        <v>187.5</v>
      </c>
      <c r="D4" s="99">
        <f>'Axis Sizing'!E36*25.4/60</f>
        <v>100</v>
      </c>
      <c r="E4" s="99">
        <f>D4</f>
        <v>100</v>
      </c>
      <c r="F4" s="99">
        <f>D4</f>
        <v>100</v>
      </c>
      <c r="G4" t="s">
        <v>381</v>
      </c>
      <c r="J4" t="s">
        <v>420</v>
      </c>
      <c r="K4">
        <v>8</v>
      </c>
    </row>
    <row r="5" spans="1:18" ht="16.5" thickTop="1" thickBot="1" x14ac:dyDescent="0.3">
      <c r="A5" t="s">
        <v>425</v>
      </c>
      <c r="B5" s="99">
        <f>B4^2/(2*9810)</f>
        <v>1.7918577981651376</v>
      </c>
      <c r="C5" s="99">
        <f>C4^2/(2*9810)</f>
        <v>1.7918577981651376</v>
      </c>
      <c r="D5" s="99">
        <f>D4^2/(2*9810)</f>
        <v>0.509683995922528</v>
      </c>
      <c r="E5" s="99">
        <f>E4^2/(2*9810)</f>
        <v>0.509683995922528</v>
      </c>
      <c r="F5" s="99">
        <f>F4^2/(2*9810)</f>
        <v>0.509683995922528</v>
      </c>
    </row>
    <row r="6" spans="1:18" ht="15.75" thickTop="1" x14ac:dyDescent="0.25">
      <c r="A6" t="s">
        <v>382</v>
      </c>
      <c r="B6">
        <f>0.5*B3*(B4)^2/1000</f>
        <v>615.234375</v>
      </c>
      <c r="C6">
        <f>0.5*C3*(C4)^2/1000</f>
        <v>878.90625</v>
      </c>
      <c r="D6">
        <f>0.5*D3*(D4)^2/1000</f>
        <v>100</v>
      </c>
      <c r="E6">
        <f>0.5*E3*(E4)^2/1000</f>
        <v>100</v>
      </c>
      <c r="F6">
        <f>0.5*F3*(F4)^2/1000</f>
        <v>100</v>
      </c>
      <c r="G6" t="s">
        <v>384</v>
      </c>
      <c r="J6" t="s">
        <v>421</v>
      </c>
      <c r="K6" s="10">
        <v>0.5</v>
      </c>
    </row>
    <row r="7" spans="1:18" x14ac:dyDescent="0.25">
      <c r="A7" t="s">
        <v>390</v>
      </c>
      <c r="B7" s="6">
        <v>10</v>
      </c>
      <c r="C7" s="6">
        <f>B7</f>
        <v>10</v>
      </c>
      <c r="D7" s="6">
        <v>10</v>
      </c>
      <c r="E7" s="6">
        <f>C7</f>
        <v>10</v>
      </c>
      <c r="F7" s="6">
        <f>D7</f>
        <v>10</v>
      </c>
      <c r="G7" t="s">
        <v>64</v>
      </c>
      <c r="H7" s="54"/>
      <c r="J7" t="s">
        <v>422</v>
      </c>
      <c r="K7">
        <f>K3+(1-2*K6)*12</f>
        <v>220</v>
      </c>
    </row>
    <row r="8" spans="1:18" x14ac:dyDescent="0.25">
      <c r="A8" t="s">
        <v>390</v>
      </c>
      <c r="B8">
        <f>9.81*B7</f>
        <v>98.100000000000009</v>
      </c>
      <c r="C8">
        <f>9.81*C7</f>
        <v>98.100000000000009</v>
      </c>
      <c r="D8">
        <f>9.81*D7</f>
        <v>98.100000000000009</v>
      </c>
      <c r="E8">
        <f>9.81*E7</f>
        <v>98.100000000000009</v>
      </c>
      <c r="F8">
        <f>9.81*F7</f>
        <v>98.100000000000009</v>
      </c>
      <c r="G8" t="s">
        <v>79</v>
      </c>
      <c r="J8" t="s">
        <v>423</v>
      </c>
      <c r="K8">
        <v>5</v>
      </c>
    </row>
    <row r="9" spans="1:18" x14ac:dyDescent="0.25">
      <c r="A9" t="s">
        <v>392</v>
      </c>
      <c r="B9">
        <f>B8*B3</f>
        <v>3433.5000000000005</v>
      </c>
      <c r="C9">
        <f>C8*C3</f>
        <v>4905</v>
      </c>
      <c r="D9">
        <f>D8*D3</f>
        <v>1962.0000000000002</v>
      </c>
      <c r="E9">
        <f>E8*E3</f>
        <v>1962.0000000000002</v>
      </c>
      <c r="F9">
        <f>F8*F3</f>
        <v>1962.0000000000002</v>
      </c>
      <c r="G9" t="s">
        <v>19</v>
      </c>
      <c r="J9" t="s">
        <v>424</v>
      </c>
      <c r="K9">
        <f>K7-K2-2*K8</f>
        <v>20</v>
      </c>
    </row>
    <row r="10" spans="1:18" x14ac:dyDescent="0.25">
      <c r="A10" t="s">
        <v>387</v>
      </c>
      <c r="B10" s="3">
        <f>B9+B2</f>
        <v>8774.2075111026479</v>
      </c>
      <c r="C10" s="3">
        <f>C9+C2</f>
        <v>6907.7653166634927</v>
      </c>
      <c r="D10" s="3">
        <f>D9+D2</f>
        <v>5103.5926535897934</v>
      </c>
      <c r="E10" s="3">
        <f>E9+E2</f>
        <v>4907.3926535897936</v>
      </c>
      <c r="F10" s="3">
        <f>F9+F2</f>
        <v>5299.7926535897932</v>
      </c>
      <c r="G10" t="s">
        <v>19</v>
      </c>
    </row>
    <row r="11" spans="1:18" x14ac:dyDescent="0.25">
      <c r="A11" t="s">
        <v>427</v>
      </c>
      <c r="B11" s="1">
        <f>2*B6/B9</f>
        <v>0.35837155963302747</v>
      </c>
      <c r="C11" s="1">
        <f>2*C6/C9</f>
        <v>0.35837155963302753</v>
      </c>
      <c r="D11" s="1">
        <f>2*D6/D9</f>
        <v>0.1019367991845056</v>
      </c>
      <c r="E11" s="1">
        <f>2*E6/E9</f>
        <v>0.1019367991845056</v>
      </c>
      <c r="F11" s="1">
        <f>2*F6/F9</f>
        <v>0.1019367991845056</v>
      </c>
      <c r="G11" t="s">
        <v>3</v>
      </c>
    </row>
    <row r="12" spans="1:18" x14ac:dyDescent="0.25">
      <c r="A12" t="s">
        <v>428</v>
      </c>
      <c r="B12" s="3">
        <f>B9/B11</f>
        <v>9580.8384000000024</v>
      </c>
      <c r="C12" s="3">
        <f>C9/C11</f>
        <v>13686.912</v>
      </c>
      <c r="D12" s="3">
        <f>D9/D11</f>
        <v>19247.220000000005</v>
      </c>
      <c r="E12" s="3">
        <f>E9/E11</f>
        <v>19247.220000000005</v>
      </c>
      <c r="F12" s="3">
        <f>F9/F11</f>
        <v>19247.220000000005</v>
      </c>
      <c r="G12" t="s">
        <v>386</v>
      </c>
    </row>
    <row r="13" spans="1:18" x14ac:dyDescent="0.25">
      <c r="A13" t="s">
        <v>428</v>
      </c>
      <c r="B13" s="13">
        <f>5.71*B12</f>
        <v>54706.587264000016</v>
      </c>
      <c r="C13" s="13">
        <f>5.71*C12</f>
        <v>78152.267519999994</v>
      </c>
      <c r="D13" s="13">
        <f>5.71*D12</f>
        <v>109901.62620000003</v>
      </c>
      <c r="E13" s="13">
        <f>5.71*E12</f>
        <v>109901.62620000003</v>
      </c>
      <c r="F13" s="13">
        <f>5.71*F12</f>
        <v>109901.62620000003</v>
      </c>
      <c r="G13" t="s">
        <v>432</v>
      </c>
    </row>
    <row r="14" spans="1:18" x14ac:dyDescent="0.25">
      <c r="A14" t="s">
        <v>429</v>
      </c>
      <c r="B14" s="1">
        <f>B10/B12</f>
        <v>0.91580790164487547</v>
      </c>
      <c r="C14" s="1">
        <f>C10/C12</f>
        <v>0.50469859941113759</v>
      </c>
      <c r="D14" s="1">
        <f>D10/D12</f>
        <v>0.26515998952522973</v>
      </c>
      <c r="E14" s="1">
        <f>E10/E12</f>
        <v>0.25496630960677918</v>
      </c>
      <c r="F14" s="1">
        <f>F10/F12</f>
        <v>0.27535366944368028</v>
      </c>
      <c r="G14" t="s">
        <v>3</v>
      </c>
    </row>
    <row r="15" spans="1:18" x14ac:dyDescent="0.25">
      <c r="A15" t="s">
        <v>430</v>
      </c>
      <c r="B15" s="1">
        <v>50</v>
      </c>
      <c r="C15" s="1">
        <v>50</v>
      </c>
      <c r="D15" s="1">
        <v>50</v>
      </c>
      <c r="E15" s="1">
        <v>50</v>
      </c>
      <c r="F15" s="1">
        <v>50</v>
      </c>
    </row>
    <row r="16" spans="1:18" x14ac:dyDescent="0.25">
      <c r="A16" t="s">
        <v>434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</row>
    <row r="17" spans="1:10" x14ac:dyDescent="0.25">
      <c r="A17" t="s">
        <v>433</v>
      </c>
      <c r="B17" s="4">
        <f>B16*B$10/(B$12*B15)</f>
        <v>5.4948474098692524E-2</v>
      </c>
      <c r="C17" s="4">
        <f>C16*C$10/(C$12*C15)</f>
        <v>3.0281915964668261E-2</v>
      </c>
      <c r="D17" s="4">
        <f>D16*D$10/(D$12*D15)</f>
        <v>1.5909599371513785E-2</v>
      </c>
      <c r="E17" s="4">
        <f>E16*E$10/(E$12*E15)</f>
        <v>1.5297978576406751E-2</v>
      </c>
      <c r="F17" s="4">
        <f>F16*F$10/(F$12*F15)</f>
        <v>1.6521220166620817E-2</v>
      </c>
    </row>
    <row r="18" spans="1:10" x14ac:dyDescent="0.25">
      <c r="A18" t="s">
        <v>393</v>
      </c>
      <c r="B18" t="s">
        <v>394</v>
      </c>
      <c r="C18" t="s">
        <v>394</v>
      </c>
      <c r="D18" t="s">
        <v>394</v>
      </c>
      <c r="E18" t="s">
        <v>394</v>
      </c>
      <c r="F18" t="s">
        <v>394</v>
      </c>
      <c r="H18" s="54" t="s">
        <v>389</v>
      </c>
    </row>
    <row r="19" spans="1:10" x14ac:dyDescent="0.25">
      <c r="A19" t="s">
        <v>152</v>
      </c>
      <c r="B19" s="100">
        <f>5800*0.006894</f>
        <v>39.985199999999999</v>
      </c>
      <c r="C19">
        <f>B19</f>
        <v>39.985199999999999</v>
      </c>
      <c r="D19">
        <f>C19</f>
        <v>39.985199999999999</v>
      </c>
      <c r="E19">
        <f>C19</f>
        <v>39.985199999999999</v>
      </c>
      <c r="F19">
        <f>D19</f>
        <v>39.985199999999999</v>
      </c>
      <c r="G19" t="s">
        <v>388</v>
      </c>
      <c r="H19" s="54" t="s">
        <v>389</v>
      </c>
    </row>
    <row r="20" spans="1:10" x14ac:dyDescent="0.25">
      <c r="A20" t="s">
        <v>395</v>
      </c>
      <c r="B20" s="100">
        <v>0.1</v>
      </c>
      <c r="C20">
        <f>B20</f>
        <v>0.1</v>
      </c>
      <c r="D20">
        <f>C20</f>
        <v>0.1</v>
      </c>
      <c r="E20">
        <f>C20</f>
        <v>0.1</v>
      </c>
      <c r="F20">
        <f>D20</f>
        <v>0.1</v>
      </c>
    </row>
    <row r="21" spans="1:10" x14ac:dyDescent="0.25">
      <c r="A21" t="s">
        <v>396</v>
      </c>
      <c r="B21">
        <f>B20*B9/B10</f>
        <v>3.9131739198729247E-2</v>
      </c>
      <c r="C21">
        <f>C20*C9/C10</f>
        <v>7.1007044610617367E-2</v>
      </c>
      <c r="D21">
        <f>D20*D9/D10</f>
        <v>3.8443507018922407E-2</v>
      </c>
      <c r="E21">
        <f>E20*E9/E10</f>
        <v>3.9980497557389937E-2</v>
      </c>
      <c r="F21">
        <f>F20*F9/F10</f>
        <v>3.7020316232014239E-2</v>
      </c>
    </row>
    <row r="22" spans="1:10" x14ac:dyDescent="0.25">
      <c r="A22" t="s">
        <v>397</v>
      </c>
      <c r="B22" s="4">
        <f>B20*B2/B10</f>
        <v>6.0868260801270765E-2</v>
      </c>
      <c r="C22" s="4">
        <f>C20*C2/C10</f>
        <v>2.8992955389382645E-2</v>
      </c>
      <c r="D22" s="4">
        <f>D20*D2/D10</f>
        <v>6.1556492981077598E-2</v>
      </c>
      <c r="E22" s="4">
        <f>E20*E2/E10</f>
        <v>6.0019502442610069E-2</v>
      </c>
      <c r="F22" s="4">
        <f>F20*F2/F10</f>
        <v>6.2979683767985753E-2</v>
      </c>
    </row>
    <row r="23" spans="1:10" x14ac:dyDescent="0.25">
      <c r="A23" t="s">
        <v>398</v>
      </c>
      <c r="B23" s="3">
        <f>B2/(B19*B22)</f>
        <v>2194.3637923788419</v>
      </c>
      <c r="C23" s="3">
        <f>C2/(C19*C22)</f>
        <v>1727.5805339634396</v>
      </c>
      <c r="D23" s="3">
        <f>D2/(D19*D22)</f>
        <v>1276.3704204530159</v>
      </c>
      <c r="E23" s="3">
        <f>E2/(E19*E22)</f>
        <v>1227.3022652355855</v>
      </c>
      <c r="F23" s="3">
        <f>F2/(F19*F22)</f>
        <v>1325.4385756704467</v>
      </c>
      <c r="G23" t="s">
        <v>383</v>
      </c>
      <c r="H23" s="1">
        <f>2*B6/B9</f>
        <v>0.35837155963302747</v>
      </c>
      <c r="I23">
        <f>B9/H23</f>
        <v>9580.8384000000024</v>
      </c>
      <c r="J23">
        <f>5.7*I23</f>
        <v>54610.778880000013</v>
      </c>
    </row>
    <row r="24" spans="1:10" x14ac:dyDescent="0.25">
      <c r="A24" t="s">
        <v>444</v>
      </c>
      <c r="B24" s="6">
        <v>15</v>
      </c>
      <c r="C24" s="6">
        <v>15</v>
      </c>
      <c r="D24" s="6">
        <v>15</v>
      </c>
      <c r="E24" s="6">
        <f>D24</f>
        <v>15</v>
      </c>
      <c r="F24" s="6">
        <v>15</v>
      </c>
      <c r="G24" t="s">
        <v>3</v>
      </c>
      <c r="H24" t="s">
        <v>3</v>
      </c>
      <c r="I24" t="s">
        <v>386</v>
      </c>
      <c r="J24" t="s">
        <v>426</v>
      </c>
    </row>
    <row r="25" spans="1:10" x14ac:dyDescent="0.25">
      <c r="A25" t="s">
        <v>445</v>
      </c>
      <c r="B25" s="1">
        <f>B23/B24</f>
        <v>146.29091949192281</v>
      </c>
      <c r="C25" s="1">
        <f>C23/C24</f>
        <v>115.17203559756264</v>
      </c>
      <c r="D25" s="1">
        <f>D23/D24</f>
        <v>85.091361363534389</v>
      </c>
      <c r="E25" s="1">
        <f>E23/E24</f>
        <v>81.820151015705704</v>
      </c>
      <c r="F25" s="1">
        <f>F23/F24</f>
        <v>88.362571711363117</v>
      </c>
      <c r="G25" t="s">
        <v>3</v>
      </c>
    </row>
    <row r="26" spans="1:10" x14ac:dyDescent="0.25">
      <c r="A26" t="s">
        <v>446</v>
      </c>
      <c r="B26" s="1">
        <f>2*B6/(B19*B23*B21^2)</f>
        <v>9.1580790164487524</v>
      </c>
      <c r="C26" s="1">
        <f>2*C6/(C19*C23*C21^2)</f>
        <v>5.0469859941113766</v>
      </c>
      <c r="D26" s="1">
        <f>2*D6/(D19*D23*D21^2)</f>
        <v>2.6515998952522968</v>
      </c>
      <c r="E26" s="1">
        <f>2*E6/(E19*E23*E21^2)</f>
        <v>2.5496630960677908</v>
      </c>
      <c r="F26" s="1">
        <f>2*F6/(F19*F23*F21^2)</f>
        <v>2.7535366944368023</v>
      </c>
      <c r="G26" t="s">
        <v>3</v>
      </c>
    </row>
    <row r="27" spans="1:10" x14ac:dyDescent="0.25">
      <c r="A27" t="s">
        <v>401</v>
      </c>
      <c r="B27" s="6">
        <f>0.5*25.4</f>
        <v>12.7</v>
      </c>
      <c r="C27" s="6">
        <f>0.5*25.4</f>
        <v>12.7</v>
      </c>
      <c r="D27" s="6">
        <f>0.5*25.4</f>
        <v>12.7</v>
      </c>
      <c r="E27" s="6">
        <f>0.5*25.4</f>
        <v>12.7</v>
      </c>
      <c r="F27" s="6">
        <f>0.5*25.4</f>
        <v>12.7</v>
      </c>
      <c r="G27" t="s">
        <v>3</v>
      </c>
    </row>
    <row r="28" spans="1:10" x14ac:dyDescent="0.25">
      <c r="A28" t="s">
        <v>448</v>
      </c>
      <c r="B28">
        <f>B20*B27*B3/(B4^2)</f>
        <v>1.2643555555555555E-3</v>
      </c>
      <c r="C28">
        <f>C20*C27*C3/(C4^2)</f>
        <v>1.8062222222222223E-3</v>
      </c>
      <c r="D28">
        <f>D20*D27*D3/(D4^2)</f>
        <v>2.5399999999999997E-3</v>
      </c>
      <c r="E28">
        <f>E20*E27*E3/(E4^2)</f>
        <v>2.5399999999999997E-3</v>
      </c>
      <c r="F28">
        <f>F20*F27*F3/(F4^2)</f>
        <v>2.5399999999999997E-3</v>
      </c>
      <c r="G28" t="s">
        <v>452</v>
      </c>
    </row>
    <row r="29" spans="1:10" x14ac:dyDescent="0.25">
      <c r="A29" t="s">
        <v>449</v>
      </c>
      <c r="B29">
        <f>-1*B3</f>
        <v>-35</v>
      </c>
      <c r="C29">
        <f>-1*C3</f>
        <v>-50</v>
      </c>
      <c r="D29">
        <f>-1*D3</f>
        <v>-20</v>
      </c>
      <c r="E29">
        <f>-1*E3</f>
        <v>-20</v>
      </c>
      <c r="F29">
        <f>-1*F3</f>
        <v>-20</v>
      </c>
      <c r="G29" t="s">
        <v>61</v>
      </c>
    </row>
    <row r="30" spans="1:10" x14ac:dyDescent="0.25">
      <c r="A30" t="s">
        <v>450</v>
      </c>
      <c r="B30">
        <f>-1000*B2</f>
        <v>-5340707.5111026475</v>
      </c>
      <c r="C30">
        <f>-1000*C2</f>
        <v>-2002765.3166634929</v>
      </c>
      <c r="D30">
        <f>-1000*D2</f>
        <v>-3141592.653589793</v>
      </c>
      <c r="E30">
        <f>-1000*E2</f>
        <v>-2945392.653589793</v>
      </c>
      <c r="F30">
        <f>-1000*F2</f>
        <v>-3337792.6535897925</v>
      </c>
      <c r="G30" t="s">
        <v>451</v>
      </c>
    </row>
    <row r="31" spans="1:10" x14ac:dyDescent="0.25">
      <c r="B31">
        <f>(-1*B29+SQRT(B29^2-4*B28*B30))/(2*B28)</f>
        <v>80291.246939433244</v>
      </c>
      <c r="C31">
        <f>(-1*C29+SQRT(C29^2-4*C28*C30))/(2*C28)</f>
        <v>49901.949273291408</v>
      </c>
      <c r="D31">
        <f>(-1*D29+SQRT(D29^2-4*D28*D30))/(2*D28)</f>
        <v>39325.530482530601</v>
      </c>
      <c r="E31">
        <f>(-1*E29+SQRT(E29^2-4*E28*E30))/(2*E28)</f>
        <v>38216.789640024377</v>
      </c>
      <c r="F31">
        <f>(-1*F29+SQRT(F29^2-4*F28*F30))/(2*F28)</f>
        <v>40400.573619860668</v>
      </c>
      <c r="G31" t="s">
        <v>391</v>
      </c>
    </row>
    <row r="32" spans="1:10" x14ac:dyDescent="0.25">
      <c r="B32">
        <f>B31/1000/9.81</f>
        <v>8.184632715538557</v>
      </c>
      <c r="C32">
        <f>C31/1000/9.81</f>
        <v>5.0868449819868911</v>
      </c>
      <c r="D32">
        <f>D31/1000/9.81</f>
        <v>4.0087187036218754</v>
      </c>
      <c r="E32">
        <f>E31/1000/9.81</f>
        <v>3.8956972110116594</v>
      </c>
      <c r="F32">
        <f>F31/1000/9.81</f>
        <v>4.118305160026571</v>
      </c>
      <c r="G32" t="s">
        <v>64</v>
      </c>
    </row>
    <row r="33" spans="1:16" x14ac:dyDescent="0.25">
      <c r="A33" t="s">
        <v>453</v>
      </c>
      <c r="B33" s="3">
        <f>B3*B31^2/B4^2/1000</f>
        <v>6418.0324047108752</v>
      </c>
      <c r="C33" s="3">
        <f>C3*C31^2/C4^2/1000</f>
        <v>3541.6242364787895</v>
      </c>
      <c r="D33" s="3">
        <f>D3*D31^2/D4^2/1000</f>
        <v>3092.9946954648872</v>
      </c>
      <c r="E33" s="3">
        <f>E3*E31^2/E4^2/1000</f>
        <v>2921.0460207797487</v>
      </c>
      <c r="F33" s="3">
        <f>F3*F31^2/F4^2/1000</f>
        <v>3264.4126976275634</v>
      </c>
      <c r="G33" t="s">
        <v>386</v>
      </c>
    </row>
    <row r="34" spans="1:16" x14ac:dyDescent="0.25">
      <c r="A34" t="s">
        <v>447</v>
      </c>
      <c r="B34">
        <f>B33*B27/(B19*B24)</f>
        <v>135.89863506135288</v>
      </c>
      <c r="C34">
        <f>C33*C27/(C19*C24)</f>
        <v>74.992126759035216</v>
      </c>
      <c r="D34">
        <f>D33*D27/(D19*D24)</f>
        <v>65.49261999006977</v>
      </c>
      <c r="E34">
        <f>E33*E27/(E19*E24)</f>
        <v>61.851692566087458</v>
      </c>
      <c r="F34">
        <f>F33*F27/(F19*F24)</f>
        <v>69.122310688071337</v>
      </c>
      <c r="G34" t="s">
        <v>3</v>
      </c>
    </row>
    <row r="35" spans="1:16" x14ac:dyDescent="0.25">
      <c r="A35" t="s">
        <v>400</v>
      </c>
      <c r="B35" s="6">
        <v>100</v>
      </c>
      <c r="C35" s="6">
        <v>70</v>
      </c>
      <c r="D35" s="6">
        <v>80</v>
      </c>
      <c r="E35" s="6">
        <f>D35</f>
        <v>80</v>
      </c>
      <c r="F35" s="6">
        <f>D35</f>
        <v>80</v>
      </c>
      <c r="G35" t="s">
        <v>3</v>
      </c>
    </row>
    <row r="36" spans="1:16" x14ac:dyDescent="0.25">
      <c r="A36" t="s">
        <v>402</v>
      </c>
      <c r="B36" s="3">
        <f>B35*B24</f>
        <v>1500</v>
      </c>
      <c r="C36" s="3">
        <f>C35*C24</f>
        <v>1050</v>
      </c>
      <c r="D36" s="3">
        <f>D35*D24</f>
        <v>1200</v>
      </c>
      <c r="E36" s="3">
        <f>E35*E24</f>
        <v>1200</v>
      </c>
      <c r="F36" s="3">
        <f>F35*F24</f>
        <v>1200</v>
      </c>
      <c r="G36" t="s">
        <v>383</v>
      </c>
      <c r="H36" s="3"/>
    </row>
    <row r="37" spans="1:16" x14ac:dyDescent="0.25">
      <c r="A37" t="s">
        <v>454</v>
      </c>
      <c r="B37" s="3">
        <f>B19*B35*B24/B27</f>
        <v>4722.6614173228354</v>
      </c>
      <c r="C37" s="3">
        <f>C19*C35*C24/C27</f>
        <v>3305.8629921259844</v>
      </c>
      <c r="D37" s="3">
        <f>D19*D35*D24/D27</f>
        <v>3778.1291338582678</v>
      </c>
      <c r="E37" s="3">
        <f>E19*E35*E24/E27</f>
        <v>3778.1291338582678</v>
      </c>
      <c r="F37" s="3">
        <f>F19*F35*F24/F27</f>
        <v>3778.1291338582678</v>
      </c>
      <c r="H37" s="3"/>
    </row>
    <row r="38" spans="1:16" x14ac:dyDescent="0.25">
      <c r="A38" t="s">
        <v>403</v>
      </c>
      <c r="B38" s="4">
        <f>SQRT(2*B6/(B19*B36*B27))</f>
        <v>4.0191865827252683E-2</v>
      </c>
      <c r="C38" s="4">
        <f>SQRT(2*C6/(C19*C36*C27))</f>
        <v>5.7416951181789543E-2</v>
      </c>
      <c r="D38" s="4">
        <f>SQRT(2*D6/(D19*D36*D27))</f>
        <v>1.8116440751669478E-2</v>
      </c>
      <c r="E38" s="4">
        <f>SQRT(2*E6/(E19*E36*E27))</f>
        <v>1.8116440751669478E-2</v>
      </c>
      <c r="F38" s="4">
        <f>SQRT(2*F6/(F19*F36*F27))</f>
        <v>1.8116440751669478E-2</v>
      </c>
    </row>
    <row r="39" spans="1:16" x14ac:dyDescent="0.25">
      <c r="A39" t="s">
        <v>404</v>
      </c>
      <c r="B39" s="3">
        <f>B38*B36*B19</f>
        <v>2410.6196902137958</v>
      </c>
      <c r="C39" s="3">
        <f>C38*C36*C19</f>
        <v>2410.6196902137958</v>
      </c>
      <c r="D39" s="3">
        <f>D38*D36*D19</f>
        <v>869.26740809238527</v>
      </c>
      <c r="E39" s="3">
        <f>E38*E36*E19</f>
        <v>869.26740809238527</v>
      </c>
      <c r="F39" s="3">
        <f>F38*F36*F19</f>
        <v>869.26740809238527</v>
      </c>
      <c r="G39" t="s">
        <v>19</v>
      </c>
    </row>
    <row r="40" spans="1:16" x14ac:dyDescent="0.25">
      <c r="A40" t="s">
        <v>405</v>
      </c>
      <c r="B40" s="3">
        <f>B39/B3</f>
        <v>68.874848291822744</v>
      </c>
      <c r="C40" s="3">
        <f>C39/C3</f>
        <v>48.212393804275919</v>
      </c>
      <c r="D40" s="3">
        <f>D39/D3</f>
        <v>43.463370404619262</v>
      </c>
      <c r="E40" s="3">
        <f>E39/E3</f>
        <v>43.463370404619262</v>
      </c>
      <c r="F40" s="3">
        <f>F39/F3</f>
        <v>43.463370404619262</v>
      </c>
      <c r="G40" t="s">
        <v>79</v>
      </c>
    </row>
    <row r="41" spans="1:16" x14ac:dyDescent="0.25">
      <c r="A41" t="s">
        <v>405</v>
      </c>
      <c r="B41" s="101">
        <f>B40/9.81</f>
        <v>7.020881579186824</v>
      </c>
      <c r="C41" s="101">
        <f>C40/9.81</f>
        <v>4.9146171054307768</v>
      </c>
      <c r="D41" s="101">
        <f>D40/9.81</f>
        <v>4.4305168608174581</v>
      </c>
      <c r="E41" s="101">
        <f>E40/9.81</f>
        <v>4.4305168608174581</v>
      </c>
      <c r="F41" s="101">
        <f>F40/9.81</f>
        <v>4.4305168608174581</v>
      </c>
      <c r="G41" t="s">
        <v>64</v>
      </c>
    </row>
    <row r="42" spans="1:16" x14ac:dyDescent="0.25">
      <c r="A42" t="s">
        <v>406</v>
      </c>
      <c r="B42" s="4">
        <f>B2/(B19*B36)</f>
        <v>8.9044738404920623E-2</v>
      </c>
      <c r="C42" s="4">
        <f>C2/(C19*C36)</f>
        <v>4.7702538431207475E-2</v>
      </c>
      <c r="D42" s="4">
        <f>D2/(D19*D36)</f>
        <v>6.5474072356559276E-2</v>
      </c>
      <c r="E42" s="4">
        <f>E2/(E19*E36)</f>
        <v>6.1385059421773414E-2</v>
      </c>
      <c r="F42" s="4">
        <f>F2/(F19*F36)</f>
        <v>6.9563085291345153E-2</v>
      </c>
    </row>
    <row r="43" spans="1:16" x14ac:dyDescent="0.25">
      <c r="A43" t="s">
        <v>407</v>
      </c>
      <c r="B43" s="15">
        <f>B42+B38</f>
        <v>0.12923660423217331</v>
      </c>
      <c r="C43" s="15">
        <f>C42+C38</f>
        <v>0.10511948961299702</v>
      </c>
      <c r="D43" s="15">
        <f>D42+D38</f>
        <v>8.3590513108228751E-2</v>
      </c>
      <c r="E43" s="15">
        <f>E42+E38</f>
        <v>7.9501500173442888E-2</v>
      </c>
      <c r="F43" s="15">
        <f>F42+F38</f>
        <v>8.7679526043014627E-2</v>
      </c>
    </row>
    <row r="44" spans="1:16" x14ac:dyDescent="0.25">
      <c r="A44" t="s">
        <v>385</v>
      </c>
      <c r="B44" s="4">
        <f>B43*B19</f>
        <v>5.1675514675442962</v>
      </c>
      <c r="C44" s="4">
        <f>C43*C19</f>
        <v>4.2032238160736082</v>
      </c>
      <c r="D44" s="4">
        <f>D43*D19</f>
        <v>3.3423833847351481</v>
      </c>
      <c r="E44" s="4">
        <f>E43*E19</f>
        <v>3.1788833847351485</v>
      </c>
      <c r="F44" s="4">
        <f>F43*F19</f>
        <v>3.5058833847351485</v>
      </c>
      <c r="G44" t="s">
        <v>388</v>
      </c>
    </row>
    <row r="45" spans="1:16" x14ac:dyDescent="0.25">
      <c r="A45" t="s">
        <v>408</v>
      </c>
      <c r="B45" s="7">
        <f>B2+B39</f>
        <v>7751.3272013164442</v>
      </c>
      <c r="C45" s="7">
        <f>C2+C39</f>
        <v>4413.385006877289</v>
      </c>
      <c r="D45" s="7">
        <f>D2+D39</f>
        <v>4010.8600616821782</v>
      </c>
      <c r="E45" s="7">
        <f>E2+E39</f>
        <v>3814.6600616821784</v>
      </c>
      <c r="F45" s="7">
        <f>F2+F39</f>
        <v>4207.0600616821775</v>
      </c>
      <c r="G45" t="s">
        <v>19</v>
      </c>
    </row>
    <row r="46" spans="1:16" x14ac:dyDescent="0.25">
      <c r="A46" t="s">
        <v>409</v>
      </c>
      <c r="B46" s="6">
        <v>37.5</v>
      </c>
      <c r="C46" s="6">
        <v>37.5</v>
      </c>
      <c r="D46" s="6"/>
      <c r="E46" s="6">
        <v>47.024999999999999</v>
      </c>
      <c r="F46" s="6">
        <v>34.5</v>
      </c>
      <c r="G46" t="s">
        <v>3</v>
      </c>
    </row>
    <row r="47" spans="1:16" x14ac:dyDescent="0.25">
      <c r="A47" t="s">
        <v>410</v>
      </c>
      <c r="B47">
        <f>B45*B46</f>
        <v>290674.77004936663</v>
      </c>
      <c r="C47">
        <f>C45*C46</f>
        <v>165501.93775789833</v>
      </c>
      <c r="E47">
        <f>E45*E46</f>
        <v>179384.38940060444</v>
      </c>
      <c r="F47">
        <f>F45*F46</f>
        <v>145143.57212803513</v>
      </c>
      <c r="G47" t="s">
        <v>411</v>
      </c>
      <c r="L47" t="s">
        <v>442</v>
      </c>
      <c r="M47" t="s">
        <v>443</v>
      </c>
      <c r="N47" t="s">
        <v>440</v>
      </c>
      <c r="O47" t="s">
        <v>399</v>
      </c>
      <c r="P47" t="s">
        <v>441</v>
      </c>
    </row>
    <row r="48" spans="1:16" x14ac:dyDescent="0.25">
      <c r="A48" t="s">
        <v>455</v>
      </c>
      <c r="B48" s="3">
        <f>B54*6*(B45)*B46/(B53*B50^2)</f>
        <v>139.80603567945161</v>
      </c>
      <c r="C48" s="3">
        <f>C54*6*(C39+C2)*C46/(C53*C50^2)</f>
        <v>79.60157605446615</v>
      </c>
      <c r="D48" s="3"/>
      <c r="E48" s="3">
        <f>E54*6*(E39+E2)*E46/(E53*E50^2)</f>
        <v>86.278627968358805</v>
      </c>
      <c r="F48" s="3">
        <f>F54*6*(F39+F2)*F46/(F53*F50^2)</f>
        <v>69.80979952311948</v>
      </c>
    </row>
    <row r="49" spans="1:16" x14ac:dyDescent="0.25">
      <c r="A49" t="s">
        <v>414</v>
      </c>
      <c r="B49" s="6">
        <v>160</v>
      </c>
      <c r="C49" s="6">
        <v>80</v>
      </c>
      <c r="D49" s="6"/>
      <c r="E49" s="6">
        <v>120</v>
      </c>
      <c r="F49" s="6">
        <v>100</v>
      </c>
      <c r="K49" t="s">
        <v>435</v>
      </c>
      <c r="L49">
        <v>4500</v>
      </c>
      <c r="M49">
        <f>L49*0.006894</f>
        <v>31.023</v>
      </c>
      <c r="N49">
        <v>500</v>
      </c>
      <c r="O49">
        <f>N49*0.006894</f>
        <v>3.4470000000000001</v>
      </c>
      <c r="P49">
        <f t="shared" ref="P49:P54" si="0">L49/N49</f>
        <v>9</v>
      </c>
    </row>
    <row r="50" spans="1:16" x14ac:dyDescent="0.25">
      <c r="A50" t="s">
        <v>412</v>
      </c>
      <c r="B50">
        <f>0.375*25.4</f>
        <v>9.5249999999999986</v>
      </c>
      <c r="C50">
        <f>0.375*25.4</f>
        <v>9.5249999999999986</v>
      </c>
      <c r="E50">
        <f>0.375*25.4</f>
        <v>9.5249999999999986</v>
      </c>
      <c r="F50">
        <f>0.375*25.4</f>
        <v>9.5249999999999986</v>
      </c>
      <c r="G50" t="s">
        <v>3</v>
      </c>
      <c r="K50" t="s">
        <v>436</v>
      </c>
      <c r="L50">
        <v>5500</v>
      </c>
      <c r="M50">
        <f t="shared" ref="M50:O54" si="1">L50*0.006894</f>
        <v>37.917000000000002</v>
      </c>
      <c r="N50">
        <v>1500</v>
      </c>
      <c r="O50">
        <f t="shared" si="1"/>
        <v>10.340999999999999</v>
      </c>
      <c r="P50">
        <f t="shared" si="0"/>
        <v>3.6666666666666665</v>
      </c>
    </row>
    <row r="51" spans="1:16" x14ac:dyDescent="0.25">
      <c r="A51" t="s">
        <v>413</v>
      </c>
      <c r="B51">
        <f>B50^3*B49/12</f>
        <v>11522.154374999996</v>
      </c>
      <c r="C51">
        <f>C50^3*C49/12</f>
        <v>5761.0771874999982</v>
      </c>
      <c r="E51">
        <f>E50^3*E49/12</f>
        <v>8641.6157812499969</v>
      </c>
      <c r="F51">
        <f>F50^3*F49/12</f>
        <v>7201.3464843749971</v>
      </c>
      <c r="G51" t="s">
        <v>148</v>
      </c>
      <c r="K51" t="s">
        <v>437</v>
      </c>
      <c r="L51">
        <v>6000</v>
      </c>
      <c r="M51">
        <f t="shared" si="1"/>
        <v>41.363999999999997</v>
      </c>
      <c r="N51">
        <v>2800</v>
      </c>
      <c r="O51">
        <f t="shared" si="1"/>
        <v>19.3032</v>
      </c>
      <c r="P51">
        <f t="shared" si="0"/>
        <v>2.1428571428571428</v>
      </c>
    </row>
    <row r="52" spans="1:16" x14ac:dyDescent="0.25">
      <c r="A52" t="s">
        <v>385</v>
      </c>
      <c r="B52">
        <f>B47*B50/2/B51</f>
        <v>120.14581191202872</v>
      </c>
      <c r="C52">
        <f>C47*C50/2/C51</f>
        <v>136.81520884361365</v>
      </c>
      <c r="E52">
        <f>E47*E50/2/E51</f>
        <v>98.860927880411126</v>
      </c>
      <c r="F52">
        <f>F47*F50/2/F51</f>
        <v>95.988474344289273</v>
      </c>
      <c r="G52" t="s">
        <v>388</v>
      </c>
      <c r="K52" t="s">
        <v>394</v>
      </c>
      <c r="L52">
        <v>4500</v>
      </c>
      <c r="M52">
        <f t="shared" si="1"/>
        <v>31.023</v>
      </c>
      <c r="N52">
        <v>4400</v>
      </c>
      <c r="O52">
        <f t="shared" si="1"/>
        <v>30.333600000000001</v>
      </c>
      <c r="P52">
        <f t="shared" si="0"/>
        <v>1.0227272727272727</v>
      </c>
    </row>
    <row r="53" spans="1:16" x14ac:dyDescent="0.25">
      <c r="A53" t="s">
        <v>415</v>
      </c>
      <c r="B53">
        <v>275</v>
      </c>
      <c r="C53">
        <v>275</v>
      </c>
      <c r="E53">
        <v>275</v>
      </c>
      <c r="F53">
        <v>275</v>
      </c>
      <c r="G53" t="s">
        <v>388</v>
      </c>
      <c r="K53" t="s">
        <v>438</v>
      </c>
      <c r="L53">
        <v>5500</v>
      </c>
      <c r="M53">
        <f t="shared" si="1"/>
        <v>37.917000000000002</v>
      </c>
      <c r="N53">
        <v>8600</v>
      </c>
      <c r="O53">
        <f t="shared" si="1"/>
        <v>59.288400000000003</v>
      </c>
      <c r="P53">
        <f t="shared" si="0"/>
        <v>0.63953488372093026</v>
      </c>
    </row>
    <row r="54" spans="1:16" x14ac:dyDescent="0.25">
      <c r="A54" t="s">
        <v>416</v>
      </c>
      <c r="B54">
        <v>2</v>
      </c>
      <c r="C54">
        <v>2</v>
      </c>
      <c r="E54">
        <v>2</v>
      </c>
      <c r="F54">
        <v>2</v>
      </c>
      <c r="K54" t="s">
        <v>439</v>
      </c>
      <c r="L54">
        <v>6500</v>
      </c>
      <c r="M54">
        <f t="shared" si="1"/>
        <v>44.811</v>
      </c>
      <c r="N54">
        <v>12500</v>
      </c>
      <c r="O54">
        <f t="shared" si="1"/>
        <v>86.174999999999997</v>
      </c>
      <c r="P54">
        <f t="shared" si="0"/>
        <v>0.52</v>
      </c>
    </row>
    <row r="55" spans="1:16" x14ac:dyDescent="0.25">
      <c r="A55" t="s">
        <v>417</v>
      </c>
      <c r="B55">
        <f>1-B52*B54/B53</f>
        <v>0.12621227700342752</v>
      </c>
      <c r="C55">
        <f>1-C52*C54/C53</f>
        <v>4.9802993191734313E-3</v>
      </c>
      <c r="E55">
        <f>1-E52*E54/E53</f>
        <v>0.28101143359700997</v>
      </c>
      <c r="F55">
        <f>1-F52*F54/F53</f>
        <v>0.30190200476880524</v>
      </c>
    </row>
    <row r="56" spans="1:16" x14ac:dyDescent="0.25">
      <c r="A56" t="s">
        <v>458</v>
      </c>
      <c r="B56">
        <v>1654</v>
      </c>
      <c r="C56">
        <v>1194</v>
      </c>
      <c r="D56">
        <v>192</v>
      </c>
    </row>
    <row r="57" spans="1:16" x14ac:dyDescent="0.25">
      <c r="A57" t="s">
        <v>459</v>
      </c>
      <c r="B57">
        <v>300</v>
      </c>
      <c r="C57">
        <v>380</v>
      </c>
      <c r="D57">
        <v>12</v>
      </c>
    </row>
    <row r="58" spans="1:16" x14ac:dyDescent="0.25">
      <c r="A58" t="s">
        <v>460</v>
      </c>
      <c r="B58">
        <f>B56-B57</f>
        <v>1354</v>
      </c>
      <c r="C58">
        <f>C56-C57</f>
        <v>814</v>
      </c>
      <c r="D58">
        <f>D56-D57</f>
        <v>180</v>
      </c>
      <c r="E58">
        <f>B58/25.4</f>
        <v>53.30708661417323</v>
      </c>
      <c r="F58">
        <f>C58/25.4</f>
        <v>32.047244094488192</v>
      </c>
      <c r="G58">
        <f>D58/25.4</f>
        <v>7.0866141732283472</v>
      </c>
    </row>
    <row r="59" spans="1:16" x14ac:dyDescent="0.25">
      <c r="A59" t="s">
        <v>461</v>
      </c>
      <c r="B59" s="1">
        <f>B4^2/(2*9810)</f>
        <v>1.7918577981651376</v>
      </c>
      <c r="C59" s="1">
        <f>C4^2/(2*9810)</f>
        <v>1.7918577981651376</v>
      </c>
      <c r="D59" s="1">
        <f>D4^2/(2*9810)</f>
        <v>0.509683995922528</v>
      </c>
    </row>
    <row r="60" spans="1:16" x14ac:dyDescent="0.25">
      <c r="A60" t="s">
        <v>462</v>
      </c>
      <c r="B60">
        <v>8</v>
      </c>
      <c r="C60">
        <v>8</v>
      </c>
      <c r="D60">
        <v>6</v>
      </c>
    </row>
    <row r="61" spans="1:16" x14ac:dyDescent="0.25">
      <c r="A61" t="s">
        <v>463</v>
      </c>
      <c r="B61">
        <v>8</v>
      </c>
      <c r="C61">
        <v>5</v>
      </c>
      <c r="D61">
        <v>5</v>
      </c>
    </row>
    <row r="62" spans="1:16" x14ac:dyDescent="0.25">
      <c r="A62" t="s">
        <v>464</v>
      </c>
      <c r="B62">
        <f>B58-B60*2-B61*2</f>
        <v>1322</v>
      </c>
      <c r="C62">
        <f>C58-C60*2-C61*2</f>
        <v>788</v>
      </c>
      <c r="D62">
        <f>D58-D60*2-D61*2</f>
        <v>158</v>
      </c>
      <c r="E62">
        <f>B62/25.4</f>
        <v>52.047244094488192</v>
      </c>
      <c r="F62">
        <f>C62/25.4</f>
        <v>31.023622047244096</v>
      </c>
      <c r="G62">
        <f>D62/25.4</f>
        <v>6.2204724409448824</v>
      </c>
    </row>
  </sheetData>
  <hyperlinks>
    <hyperlink ref="H18" r:id="rId1" display="http://harknessindustries.com/wp-content/uploads/2013/10/Urethane-Product-Guide-Applications-RevJan2014.pdf" xr:uid="{79CDEBC1-A6EA-4869-B89F-A1416221912B}"/>
    <hyperlink ref="H19" r:id="rId2" display="http://harknessindustries.com/wp-content/uploads/2013/10/Urethane-Product-Guide-Applications-RevJan2014.pdf" xr:uid="{0F79536F-F4F6-4394-A56B-48141558B988}"/>
    <hyperlink ref="R1" r:id="rId3" display="https://www.researchgate.net/figure/Material-chart-generated-through-the-mapping-process-outline-by-Dr-Michael-Ashby-charts_fig113_313497501" xr:uid="{0A0C0938-D2FA-4DD8-84B8-F56FE851323F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AF43-3879-4B39-A00E-6E6AF4636155}">
  <dimension ref="A1:R75"/>
  <sheetViews>
    <sheetView zoomScale="93" zoomScaleNormal="93" workbookViewId="0">
      <selection activeCell="H33" sqref="H33"/>
    </sheetView>
  </sheetViews>
  <sheetFormatPr defaultRowHeight="15" x14ac:dyDescent="0.25"/>
  <cols>
    <col min="1" max="1" width="29.42578125" customWidth="1"/>
    <col min="3" max="3" width="9.140625" customWidth="1"/>
    <col min="6" max="7" width="13.85546875" customWidth="1"/>
    <col min="8" max="8" width="20.85546875" customWidth="1"/>
    <col min="9" max="9" width="13.85546875" customWidth="1"/>
    <col min="10" max="10" width="12.85546875" bestFit="1" customWidth="1"/>
    <col min="11" max="11" width="14" customWidth="1"/>
    <col min="12" max="12" width="13.140625" customWidth="1"/>
    <col min="13" max="13" width="12.85546875" bestFit="1" customWidth="1"/>
    <col min="16" max="16" width="14.85546875" customWidth="1"/>
  </cols>
  <sheetData>
    <row r="1" spans="1:17" x14ac:dyDescent="0.25">
      <c r="B1" s="47" t="s">
        <v>574</v>
      </c>
      <c r="C1" t="s">
        <v>583</v>
      </c>
      <c r="D1" t="s">
        <v>585</v>
      </c>
      <c r="E1" t="s">
        <v>575</v>
      </c>
      <c r="F1" t="s">
        <v>576</v>
      </c>
      <c r="G1" t="s">
        <v>576</v>
      </c>
      <c r="H1" t="s">
        <v>688</v>
      </c>
      <c r="I1" t="s">
        <v>577</v>
      </c>
      <c r="J1" s="122" t="s">
        <v>577</v>
      </c>
      <c r="K1" s="47" t="s">
        <v>580</v>
      </c>
      <c r="L1" s="47" t="s">
        <v>580</v>
      </c>
      <c r="M1" t="s">
        <v>579</v>
      </c>
      <c r="N1" s="122" t="s">
        <v>584</v>
      </c>
      <c r="O1" t="s">
        <v>586</v>
      </c>
    </row>
    <row r="2" spans="1:17" x14ac:dyDescent="0.25">
      <c r="A2" t="s">
        <v>550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 s="122">
        <v>820</v>
      </c>
      <c r="K2">
        <v>820</v>
      </c>
      <c r="L2">
        <v>820</v>
      </c>
      <c r="M2">
        <v>820</v>
      </c>
      <c r="N2" s="122">
        <v>820</v>
      </c>
      <c r="O2">
        <v>820</v>
      </c>
      <c r="P2" t="s">
        <v>3</v>
      </c>
      <c r="Q2" t="s">
        <v>551</v>
      </c>
    </row>
    <row r="3" spans="1:17" x14ac:dyDescent="0.25">
      <c r="A3" t="s">
        <v>553</v>
      </c>
      <c r="B3">
        <f>1*9.8</f>
        <v>9.8000000000000007</v>
      </c>
      <c r="C3">
        <v>9.8000000000000007</v>
      </c>
      <c r="D3">
        <v>9.8000000000000007</v>
      </c>
      <c r="E3">
        <v>9.8000000000000007</v>
      </c>
      <c r="F3">
        <v>9.8000000000000007</v>
      </c>
      <c r="G3">
        <v>9.8000000000000007</v>
      </c>
      <c r="H3">
        <v>9.8000000000000007</v>
      </c>
      <c r="I3">
        <v>9.8000000000000007</v>
      </c>
      <c r="J3" s="122">
        <v>9.8000000000000007</v>
      </c>
      <c r="K3">
        <v>9.8000000000000007</v>
      </c>
      <c r="L3">
        <v>9.8000000000000007</v>
      </c>
      <c r="M3">
        <v>9.8000000000000007</v>
      </c>
      <c r="N3" s="122">
        <v>9.8000000000000007</v>
      </c>
      <c r="O3">
        <v>9.8000000000000007</v>
      </c>
      <c r="P3" t="s">
        <v>79</v>
      </c>
    </row>
    <row r="4" spans="1:17" x14ac:dyDescent="0.25">
      <c r="A4" t="s">
        <v>592</v>
      </c>
      <c r="B4">
        <f>'Axis Sizing'!$C$3</f>
        <v>35</v>
      </c>
      <c r="C4">
        <f>'Axis Sizing'!$C$3</f>
        <v>35</v>
      </c>
      <c r="D4">
        <f>'Axis Sizing'!$C$3</f>
        <v>35</v>
      </c>
      <c r="E4">
        <f>'Axis Sizing'!$C$3</f>
        <v>35</v>
      </c>
      <c r="F4">
        <f>'Axis Sizing'!$C$3</f>
        <v>35</v>
      </c>
      <c r="G4">
        <f>'Axis Sizing'!$C$3</f>
        <v>35</v>
      </c>
      <c r="H4">
        <f>'Axis Sizing'!$C$3</f>
        <v>35</v>
      </c>
      <c r="I4">
        <f>'Axis Sizing'!$C$3</f>
        <v>35</v>
      </c>
      <c r="J4" s="122">
        <f>'Axis Sizing'!$C$3</f>
        <v>35</v>
      </c>
      <c r="K4">
        <f>'Axis Sizing'!$C$3</f>
        <v>35</v>
      </c>
      <c r="L4">
        <f>'Axis Sizing'!$C$3</f>
        <v>35</v>
      </c>
      <c r="M4">
        <f>'Axis Sizing'!$C$3</f>
        <v>35</v>
      </c>
      <c r="N4" s="122">
        <f>'Axis Sizing'!$C$3</f>
        <v>35</v>
      </c>
      <c r="O4">
        <f>'Axis Sizing'!$C$3</f>
        <v>35</v>
      </c>
      <c r="P4" t="s">
        <v>61</v>
      </c>
    </row>
    <row r="5" spans="1:17" x14ac:dyDescent="0.25">
      <c r="A5" t="s">
        <v>526</v>
      </c>
      <c r="B5">
        <f>'Axis Sizing'!$D$2</f>
        <v>65</v>
      </c>
      <c r="C5">
        <f>'Axis Sizing'!$D$2</f>
        <v>65</v>
      </c>
      <c r="D5">
        <f>'Axis Sizing'!$D$2</f>
        <v>65</v>
      </c>
      <c r="E5">
        <f>'Axis Sizing'!$D$2</f>
        <v>65</v>
      </c>
      <c r="F5">
        <f>'Axis Sizing'!$D$2</f>
        <v>65</v>
      </c>
      <c r="G5">
        <f>'Axis Sizing'!$D$2</f>
        <v>65</v>
      </c>
      <c r="H5">
        <f>'Axis Sizing'!$D$2</f>
        <v>65</v>
      </c>
      <c r="I5">
        <f>'Axis Sizing'!$D$2</f>
        <v>65</v>
      </c>
      <c r="J5" s="122">
        <f>'Axis Sizing'!$D$2</f>
        <v>65</v>
      </c>
      <c r="K5">
        <f>'Axis Sizing'!$D$2</f>
        <v>65</v>
      </c>
      <c r="L5">
        <f>'Axis Sizing'!$D$2</f>
        <v>65</v>
      </c>
      <c r="M5">
        <f>'Axis Sizing'!$D$2</f>
        <v>65</v>
      </c>
      <c r="N5" s="122">
        <f>'Axis Sizing'!$D$2</f>
        <v>65</v>
      </c>
      <c r="O5">
        <f>'Axis Sizing'!$D$2</f>
        <v>65</v>
      </c>
      <c r="P5" t="s">
        <v>61</v>
      </c>
    </row>
    <row r="6" spans="1:17" x14ac:dyDescent="0.25">
      <c r="A6" t="s">
        <v>597</v>
      </c>
      <c r="B6">
        <f>B4</f>
        <v>35</v>
      </c>
      <c r="C6">
        <f t="shared" ref="C6:O6" si="0">C4</f>
        <v>35</v>
      </c>
      <c r="D6">
        <f t="shared" si="0"/>
        <v>35</v>
      </c>
      <c r="E6">
        <f t="shared" si="0"/>
        <v>35</v>
      </c>
      <c r="F6">
        <f t="shared" si="0"/>
        <v>35</v>
      </c>
      <c r="G6">
        <f t="shared" si="0"/>
        <v>35</v>
      </c>
      <c r="H6">
        <f t="shared" ref="H6" si="1">H4</f>
        <v>35</v>
      </c>
      <c r="I6">
        <f t="shared" si="0"/>
        <v>35</v>
      </c>
      <c r="J6" s="122">
        <f t="shared" si="0"/>
        <v>35</v>
      </c>
      <c r="K6">
        <f t="shared" si="0"/>
        <v>35</v>
      </c>
      <c r="L6">
        <f t="shared" si="0"/>
        <v>35</v>
      </c>
      <c r="M6">
        <f t="shared" si="0"/>
        <v>35</v>
      </c>
      <c r="N6" s="122">
        <f t="shared" si="0"/>
        <v>35</v>
      </c>
      <c r="O6">
        <f t="shared" si="0"/>
        <v>35</v>
      </c>
      <c r="P6" t="s">
        <v>61</v>
      </c>
    </row>
    <row r="7" spans="1:17" x14ac:dyDescent="0.25">
      <c r="A7" t="s">
        <v>598</v>
      </c>
      <c r="B7">
        <f>B6*9.81</f>
        <v>343.35</v>
      </c>
      <c r="C7">
        <f t="shared" ref="C7:O7" si="2">C6*9.81</f>
        <v>343.35</v>
      </c>
      <c r="D7">
        <f t="shared" si="2"/>
        <v>343.35</v>
      </c>
      <c r="E7">
        <f t="shared" si="2"/>
        <v>343.35</v>
      </c>
      <c r="F7">
        <f t="shared" si="2"/>
        <v>343.35</v>
      </c>
      <c r="G7">
        <f t="shared" si="2"/>
        <v>343.35</v>
      </c>
      <c r="H7">
        <f t="shared" ref="H7" si="3">H6*9.81</f>
        <v>343.35</v>
      </c>
      <c r="I7">
        <f t="shared" si="2"/>
        <v>343.35</v>
      </c>
      <c r="J7" s="122">
        <f t="shared" si="2"/>
        <v>343.35</v>
      </c>
      <c r="K7">
        <f t="shared" si="2"/>
        <v>343.35</v>
      </c>
      <c r="L7">
        <f t="shared" si="2"/>
        <v>343.35</v>
      </c>
      <c r="M7">
        <f t="shared" si="2"/>
        <v>343.35</v>
      </c>
      <c r="N7" s="122">
        <f t="shared" si="2"/>
        <v>343.35</v>
      </c>
      <c r="O7">
        <f t="shared" si="2"/>
        <v>343.35</v>
      </c>
      <c r="P7" t="s">
        <v>19</v>
      </c>
    </row>
    <row r="8" spans="1:17" x14ac:dyDescent="0.25">
      <c r="A8" t="s">
        <v>593</v>
      </c>
      <c r="B8">
        <f>B5/2+B4</f>
        <v>67.5</v>
      </c>
      <c r="C8">
        <f t="shared" ref="C8:O8" si="4">C5/2+C4</f>
        <v>67.5</v>
      </c>
      <c r="D8">
        <f t="shared" si="4"/>
        <v>67.5</v>
      </c>
      <c r="E8">
        <f t="shared" si="4"/>
        <v>67.5</v>
      </c>
      <c r="F8">
        <f t="shared" si="4"/>
        <v>67.5</v>
      </c>
      <c r="G8">
        <f t="shared" si="4"/>
        <v>67.5</v>
      </c>
      <c r="H8">
        <f t="shared" ref="H8" si="5">H5/2+H4</f>
        <v>67.5</v>
      </c>
      <c r="I8">
        <f t="shared" si="4"/>
        <v>67.5</v>
      </c>
      <c r="J8" s="122">
        <f t="shared" si="4"/>
        <v>67.5</v>
      </c>
      <c r="K8">
        <f t="shared" si="4"/>
        <v>67.5</v>
      </c>
      <c r="L8">
        <f t="shared" si="4"/>
        <v>67.5</v>
      </c>
      <c r="M8">
        <f t="shared" si="4"/>
        <v>67.5</v>
      </c>
      <c r="N8" s="122">
        <f t="shared" si="4"/>
        <v>67.5</v>
      </c>
      <c r="O8">
        <f t="shared" si="4"/>
        <v>67.5</v>
      </c>
      <c r="P8" t="s">
        <v>61</v>
      </c>
      <c r="Q8" t="s">
        <v>552</v>
      </c>
    </row>
    <row r="9" spans="1:17" x14ac:dyDescent="0.25">
      <c r="A9" t="s">
        <v>594</v>
      </c>
      <c r="B9">
        <f>B8*B3</f>
        <v>661.5</v>
      </c>
      <c r="C9">
        <f>C8*C3</f>
        <v>661.5</v>
      </c>
      <c r="D9">
        <f>D8*D3</f>
        <v>661.5</v>
      </c>
      <c r="E9">
        <f t="shared" ref="E9:L9" si="6">E8*E3</f>
        <v>661.5</v>
      </c>
      <c r="F9">
        <f t="shared" si="6"/>
        <v>661.5</v>
      </c>
      <c r="G9">
        <f t="shared" si="6"/>
        <v>661.5</v>
      </c>
      <c r="H9">
        <f t="shared" ref="H9" si="7">H8*H3</f>
        <v>661.5</v>
      </c>
      <c r="I9">
        <f t="shared" si="6"/>
        <v>661.5</v>
      </c>
      <c r="J9" s="122">
        <f t="shared" si="6"/>
        <v>661.5</v>
      </c>
      <c r="K9">
        <f t="shared" si="6"/>
        <v>661.5</v>
      </c>
      <c r="L9">
        <f t="shared" si="6"/>
        <v>661.5</v>
      </c>
      <c r="M9">
        <f>M8*M3</f>
        <v>661.5</v>
      </c>
      <c r="N9" s="122">
        <f>N8*N3</f>
        <v>661.5</v>
      </c>
      <c r="O9">
        <f t="shared" ref="O9" si="8">O8*O3</f>
        <v>661.5</v>
      </c>
      <c r="P9" t="s">
        <v>19</v>
      </c>
    </row>
    <row r="10" spans="1:17" x14ac:dyDescent="0.25">
      <c r="A10" t="s">
        <v>595</v>
      </c>
      <c r="B10">
        <f>'Axis Sizing'!$D$3</f>
        <v>100</v>
      </c>
      <c r="C10">
        <f>'Axis Sizing'!$D$3</f>
        <v>100</v>
      </c>
      <c r="D10">
        <f>'Axis Sizing'!$D$3</f>
        <v>100</v>
      </c>
      <c r="E10">
        <f>'Axis Sizing'!$D$3</f>
        <v>100</v>
      </c>
      <c r="F10">
        <f>'Axis Sizing'!$D$3</f>
        <v>100</v>
      </c>
      <c r="G10">
        <f>'Axis Sizing'!$D$3</f>
        <v>100</v>
      </c>
      <c r="H10">
        <f>'Axis Sizing'!$D$3</f>
        <v>100</v>
      </c>
      <c r="I10">
        <f>'Axis Sizing'!$D$3</f>
        <v>100</v>
      </c>
      <c r="J10" s="122">
        <f>'Axis Sizing'!$D$3</f>
        <v>100</v>
      </c>
      <c r="K10">
        <f>'Axis Sizing'!$D$3</f>
        <v>100</v>
      </c>
      <c r="L10">
        <f>'Axis Sizing'!$D$3</f>
        <v>100</v>
      </c>
      <c r="M10">
        <f>'Axis Sizing'!$D$3</f>
        <v>100</v>
      </c>
      <c r="N10" s="122">
        <f>'Axis Sizing'!$D$3</f>
        <v>100</v>
      </c>
      <c r="O10">
        <f>'Axis Sizing'!$D$3</f>
        <v>100</v>
      </c>
      <c r="P10" t="s">
        <v>61</v>
      </c>
    </row>
    <row r="11" spans="1:17" x14ac:dyDescent="0.25">
      <c r="A11" t="s">
        <v>596</v>
      </c>
      <c r="B11">
        <f t="shared" ref="B11:O11" si="9">B10*B3</f>
        <v>980.00000000000011</v>
      </c>
      <c r="C11">
        <f t="shared" si="9"/>
        <v>980.00000000000011</v>
      </c>
      <c r="D11">
        <f t="shared" si="9"/>
        <v>980.00000000000011</v>
      </c>
      <c r="E11">
        <f t="shared" si="9"/>
        <v>980.00000000000011</v>
      </c>
      <c r="F11">
        <f t="shared" si="9"/>
        <v>980.00000000000011</v>
      </c>
      <c r="G11">
        <f t="shared" si="9"/>
        <v>980.00000000000011</v>
      </c>
      <c r="H11">
        <f t="shared" ref="H11" si="10">H10*H3</f>
        <v>980.00000000000011</v>
      </c>
      <c r="I11">
        <f t="shared" si="9"/>
        <v>980.00000000000011</v>
      </c>
      <c r="J11" s="122">
        <f t="shared" si="9"/>
        <v>980.00000000000011</v>
      </c>
      <c r="K11">
        <f t="shared" si="9"/>
        <v>980.00000000000011</v>
      </c>
      <c r="L11">
        <f t="shared" si="9"/>
        <v>980.00000000000011</v>
      </c>
      <c r="M11">
        <f t="shared" si="9"/>
        <v>980.00000000000011</v>
      </c>
      <c r="N11" s="122">
        <f t="shared" si="9"/>
        <v>980.00000000000011</v>
      </c>
      <c r="O11">
        <f t="shared" si="9"/>
        <v>980.00000000000011</v>
      </c>
      <c r="P11" t="s">
        <v>19</v>
      </c>
      <c r="Q11" t="s">
        <v>560</v>
      </c>
    </row>
    <row r="12" spans="1:17" x14ac:dyDescent="0.25">
      <c r="A12" t="s">
        <v>559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 s="122">
        <v>70</v>
      </c>
      <c r="K12">
        <v>70</v>
      </c>
      <c r="L12">
        <v>70</v>
      </c>
      <c r="M12">
        <v>70</v>
      </c>
      <c r="N12" s="122">
        <v>70</v>
      </c>
      <c r="O12">
        <v>70</v>
      </c>
      <c r="P12" t="s">
        <v>61</v>
      </c>
    </row>
    <row r="13" spans="1:17" x14ac:dyDescent="0.25">
      <c r="A13" t="s">
        <v>606</v>
      </c>
      <c r="B13">
        <f>80-80+220+50</f>
        <v>270</v>
      </c>
      <c r="C13">
        <f>B13</f>
        <v>270</v>
      </c>
      <c r="D13">
        <f t="shared" ref="D13:O13" si="11">C13</f>
        <v>270</v>
      </c>
      <c r="E13">
        <f t="shared" si="11"/>
        <v>270</v>
      </c>
      <c r="F13">
        <f t="shared" si="11"/>
        <v>270</v>
      </c>
      <c r="G13">
        <f t="shared" si="11"/>
        <v>270</v>
      </c>
      <c r="H13">
        <f t="shared" si="11"/>
        <v>270</v>
      </c>
      <c r="I13">
        <f>G13</f>
        <v>270</v>
      </c>
      <c r="J13">
        <f t="shared" si="11"/>
        <v>270</v>
      </c>
      <c r="K13">
        <f t="shared" si="11"/>
        <v>270</v>
      </c>
      <c r="L13">
        <f t="shared" si="11"/>
        <v>270</v>
      </c>
      <c r="M13">
        <f t="shared" si="11"/>
        <v>270</v>
      </c>
      <c r="N13">
        <f t="shared" si="11"/>
        <v>270</v>
      </c>
      <c r="O13">
        <f t="shared" si="11"/>
        <v>270</v>
      </c>
      <c r="P13" t="s">
        <v>61</v>
      </c>
    </row>
    <row r="14" spans="1:17" x14ac:dyDescent="0.25">
      <c r="A14" t="s">
        <v>587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24</v>
      </c>
      <c r="J14" s="122">
        <v>24</v>
      </c>
      <c r="K14">
        <v>24</v>
      </c>
      <c r="L14">
        <v>24</v>
      </c>
      <c r="M14">
        <v>24</v>
      </c>
      <c r="N14" s="122">
        <v>24</v>
      </c>
      <c r="O14">
        <v>24</v>
      </c>
      <c r="P14" t="s">
        <v>61</v>
      </c>
    </row>
    <row r="15" spans="1:17" x14ac:dyDescent="0.25">
      <c r="A15" t="s">
        <v>561</v>
      </c>
      <c r="B15">
        <f>B12+B10+B14</f>
        <v>194</v>
      </c>
      <c r="C15">
        <f t="shared" ref="C15:O15" si="12">C12+C10+C14</f>
        <v>194</v>
      </c>
      <c r="D15">
        <f t="shared" si="12"/>
        <v>194</v>
      </c>
      <c r="E15">
        <f t="shared" si="12"/>
        <v>194</v>
      </c>
      <c r="F15">
        <f t="shared" si="12"/>
        <v>194</v>
      </c>
      <c r="G15">
        <f t="shared" si="12"/>
        <v>194</v>
      </c>
      <c r="H15">
        <f t="shared" ref="H15" si="13">H12+H10+H14</f>
        <v>194</v>
      </c>
      <c r="I15">
        <f t="shared" si="12"/>
        <v>194</v>
      </c>
      <c r="J15" s="122">
        <f t="shared" si="12"/>
        <v>194</v>
      </c>
      <c r="K15">
        <f t="shared" si="12"/>
        <v>194</v>
      </c>
      <c r="L15">
        <f t="shared" si="12"/>
        <v>194</v>
      </c>
      <c r="M15">
        <f t="shared" si="12"/>
        <v>194</v>
      </c>
      <c r="N15" s="122">
        <f t="shared" si="12"/>
        <v>194</v>
      </c>
      <c r="O15">
        <f t="shared" si="12"/>
        <v>194</v>
      </c>
      <c r="P15" t="s">
        <v>61</v>
      </c>
    </row>
    <row r="16" spans="1:17" x14ac:dyDescent="0.25">
      <c r="A16" t="s">
        <v>562</v>
      </c>
      <c r="B16">
        <f>B15*9.8</f>
        <v>1901.2</v>
      </c>
      <c r="C16">
        <f t="shared" ref="C16:O16" si="14">C15*9.8</f>
        <v>1901.2</v>
      </c>
      <c r="D16">
        <f t="shared" si="14"/>
        <v>1901.2</v>
      </c>
      <c r="E16">
        <f t="shared" si="14"/>
        <v>1901.2</v>
      </c>
      <c r="F16">
        <f t="shared" si="14"/>
        <v>1901.2</v>
      </c>
      <c r="G16">
        <f t="shared" si="14"/>
        <v>1901.2</v>
      </c>
      <c r="H16">
        <f t="shared" ref="H16" si="15">H15*9.8</f>
        <v>1901.2</v>
      </c>
      <c r="I16">
        <f t="shared" si="14"/>
        <v>1901.2</v>
      </c>
      <c r="J16" s="122">
        <f t="shared" si="14"/>
        <v>1901.2</v>
      </c>
      <c r="K16">
        <f t="shared" si="14"/>
        <v>1901.2</v>
      </c>
      <c r="L16">
        <f t="shared" si="14"/>
        <v>1901.2</v>
      </c>
      <c r="M16">
        <f t="shared" si="14"/>
        <v>1901.2</v>
      </c>
      <c r="N16" s="122">
        <f t="shared" si="14"/>
        <v>1901.2</v>
      </c>
      <c r="O16">
        <f t="shared" si="14"/>
        <v>1901.2</v>
      </c>
      <c r="P16" t="s">
        <v>19</v>
      </c>
    </row>
    <row r="17" spans="1:17" x14ac:dyDescent="0.25">
      <c r="A17" t="s">
        <v>563</v>
      </c>
      <c r="B17">
        <f t="shared" ref="B17:O17" si="16">B11/B16</f>
        <v>0.51546391752577325</v>
      </c>
      <c r="C17">
        <f t="shared" si="16"/>
        <v>0.51546391752577325</v>
      </c>
      <c r="D17">
        <f t="shared" si="16"/>
        <v>0.51546391752577325</v>
      </c>
      <c r="E17">
        <f t="shared" si="16"/>
        <v>0.51546391752577325</v>
      </c>
      <c r="F17">
        <f t="shared" si="16"/>
        <v>0.51546391752577325</v>
      </c>
      <c r="G17">
        <f t="shared" si="16"/>
        <v>0.51546391752577325</v>
      </c>
      <c r="H17">
        <f t="shared" ref="H17" si="17">H11/H16</f>
        <v>0.51546391752577325</v>
      </c>
      <c r="I17">
        <f t="shared" si="16"/>
        <v>0.51546391752577325</v>
      </c>
      <c r="J17" s="122">
        <f t="shared" si="16"/>
        <v>0.51546391752577325</v>
      </c>
      <c r="K17">
        <f t="shared" si="16"/>
        <v>0.51546391752577325</v>
      </c>
      <c r="L17">
        <f t="shared" si="16"/>
        <v>0.51546391752577325</v>
      </c>
      <c r="M17">
        <f t="shared" si="16"/>
        <v>0.51546391752577325</v>
      </c>
      <c r="N17" s="122">
        <f t="shared" si="16"/>
        <v>0.51546391752577325</v>
      </c>
      <c r="O17">
        <f t="shared" si="16"/>
        <v>0.51546391752577325</v>
      </c>
      <c r="P17" t="s">
        <v>26</v>
      </c>
      <c r="Q17" t="s">
        <v>564</v>
      </c>
    </row>
    <row r="18" spans="1:17" x14ac:dyDescent="0.25">
      <c r="A18" t="s">
        <v>565</v>
      </c>
      <c r="B18">
        <f t="shared" ref="B18:O18" si="18">B9*B2</f>
        <v>542430</v>
      </c>
      <c r="C18">
        <f t="shared" si="18"/>
        <v>542430</v>
      </c>
      <c r="D18">
        <f t="shared" si="18"/>
        <v>542430</v>
      </c>
      <c r="E18">
        <f t="shared" si="18"/>
        <v>542430</v>
      </c>
      <c r="F18">
        <f t="shared" si="18"/>
        <v>542430</v>
      </c>
      <c r="G18">
        <f t="shared" si="18"/>
        <v>542430</v>
      </c>
      <c r="H18">
        <f t="shared" ref="H18" si="19">H9*H2</f>
        <v>542430</v>
      </c>
      <c r="I18">
        <f t="shared" si="18"/>
        <v>542430</v>
      </c>
      <c r="J18" s="122">
        <f t="shared" si="18"/>
        <v>542430</v>
      </c>
      <c r="K18">
        <f t="shared" si="18"/>
        <v>542430</v>
      </c>
      <c r="L18">
        <f t="shared" si="18"/>
        <v>542430</v>
      </c>
      <c r="M18">
        <f t="shared" si="18"/>
        <v>542430</v>
      </c>
      <c r="N18" s="122">
        <f t="shared" si="18"/>
        <v>542430</v>
      </c>
      <c r="O18">
        <f t="shared" si="18"/>
        <v>542430</v>
      </c>
      <c r="P18" t="s">
        <v>411</v>
      </c>
      <c r="Q18" t="s">
        <v>566</v>
      </c>
    </row>
    <row r="19" spans="1:17" x14ac:dyDescent="0.25">
      <c r="A19" t="s">
        <v>554</v>
      </c>
      <c r="B19">
        <v>125</v>
      </c>
      <c r="C19">
        <v>125</v>
      </c>
      <c r="D19">
        <v>225</v>
      </c>
      <c r="E19">
        <v>125</v>
      </c>
      <c r="F19">
        <v>100</v>
      </c>
      <c r="G19">
        <v>150</v>
      </c>
      <c r="H19">
        <v>250</v>
      </c>
      <c r="I19">
        <v>60</v>
      </c>
      <c r="J19" s="122">
        <v>100</v>
      </c>
      <c r="K19">
        <v>60</v>
      </c>
      <c r="L19">
        <v>100</v>
      </c>
      <c r="M19">
        <v>80</v>
      </c>
      <c r="N19" s="122">
        <v>150</v>
      </c>
      <c r="O19">
        <v>60</v>
      </c>
      <c r="P19" t="s">
        <v>3</v>
      </c>
      <c r="Q19" t="s">
        <v>555</v>
      </c>
    </row>
    <row r="20" spans="1:17" x14ac:dyDescent="0.25">
      <c r="A20" t="s">
        <v>557</v>
      </c>
      <c r="B20">
        <v>30</v>
      </c>
      <c r="C20">
        <v>30</v>
      </c>
      <c r="D20">
        <v>60</v>
      </c>
      <c r="E20">
        <v>45</v>
      </c>
      <c r="F20">
        <v>45</v>
      </c>
      <c r="G20">
        <v>45</v>
      </c>
      <c r="H20">
        <v>45</v>
      </c>
      <c r="I20">
        <v>45</v>
      </c>
      <c r="J20" s="122">
        <v>45</v>
      </c>
      <c r="K20">
        <v>45</v>
      </c>
      <c r="L20">
        <v>45</v>
      </c>
      <c r="M20">
        <v>45</v>
      </c>
      <c r="N20" s="122">
        <v>60</v>
      </c>
      <c r="O20">
        <v>60</v>
      </c>
      <c r="P20" t="s">
        <v>558</v>
      </c>
    </row>
    <row r="21" spans="1:17" x14ac:dyDescent="0.25">
      <c r="A21" t="s">
        <v>556</v>
      </c>
      <c r="B21">
        <f t="shared" ref="B21:O21" si="20">B18/B19</f>
        <v>4339.4399999999996</v>
      </c>
      <c r="C21">
        <f t="shared" si="20"/>
        <v>4339.4399999999996</v>
      </c>
      <c r="D21">
        <f t="shared" si="20"/>
        <v>2410.8000000000002</v>
      </c>
      <c r="E21">
        <f t="shared" si="20"/>
        <v>4339.4399999999996</v>
      </c>
      <c r="F21">
        <f t="shared" si="20"/>
        <v>5424.3</v>
      </c>
      <c r="G21">
        <f t="shared" si="20"/>
        <v>3616.2</v>
      </c>
      <c r="H21">
        <f t="shared" ref="H21" si="21">H18/H19</f>
        <v>2169.7199999999998</v>
      </c>
      <c r="I21">
        <f t="shared" si="20"/>
        <v>9040.5</v>
      </c>
      <c r="J21" s="122">
        <f t="shared" si="20"/>
        <v>5424.3</v>
      </c>
      <c r="K21">
        <f t="shared" si="20"/>
        <v>9040.5</v>
      </c>
      <c r="L21">
        <f t="shared" si="20"/>
        <v>5424.3</v>
      </c>
      <c r="M21">
        <f t="shared" si="20"/>
        <v>6780.375</v>
      </c>
      <c r="N21" s="122">
        <f t="shared" si="20"/>
        <v>3616.2</v>
      </c>
      <c r="O21">
        <f t="shared" si="20"/>
        <v>9040.5</v>
      </c>
      <c r="P21" t="s">
        <v>19</v>
      </c>
    </row>
    <row r="22" spans="1:17" x14ac:dyDescent="0.25">
      <c r="A22" t="s">
        <v>567</v>
      </c>
      <c r="B22">
        <f>B21/COS(B20*PI()/180)</f>
        <v>5010.7537042644581</v>
      </c>
      <c r="C22">
        <f>C21/COS(C20*PI()/180)</f>
        <v>5010.7537042644581</v>
      </c>
      <c r="D22">
        <f>D21/COS(D20*PI()/180)</f>
        <v>4821.5999999999995</v>
      </c>
      <c r="E22">
        <f t="shared" ref="E22:L22" si="22">E21/COS(E20*PI()/180)</f>
        <v>6136.8949011043023</v>
      </c>
      <c r="F22">
        <f t="shared" si="22"/>
        <v>7671.1186263803793</v>
      </c>
      <c r="G22">
        <f t="shared" si="22"/>
        <v>5114.0790842535853</v>
      </c>
      <c r="H22">
        <f t="shared" ref="H22" si="23">H21/COS(H20*PI()/180)</f>
        <v>3068.4474505521512</v>
      </c>
      <c r="I22">
        <f t="shared" si="22"/>
        <v>12785.197710633965</v>
      </c>
      <c r="J22" s="122">
        <f t="shared" si="22"/>
        <v>7671.1186263803793</v>
      </c>
      <c r="K22">
        <f t="shared" si="22"/>
        <v>12785.197710633965</v>
      </c>
      <c r="L22">
        <f t="shared" si="22"/>
        <v>7671.1186263803793</v>
      </c>
      <c r="M22">
        <f>M21/COS(M20*PI()/180)</f>
        <v>9588.8982829754732</v>
      </c>
      <c r="N22" s="122">
        <f>N21/COS(N20*PI()/180)</f>
        <v>7232.3999999999978</v>
      </c>
      <c r="O22">
        <f t="shared" ref="O22" si="24">O21/COS(O20*PI()/180)</f>
        <v>18080.999999999996</v>
      </c>
      <c r="P22" t="s">
        <v>19</v>
      </c>
    </row>
    <row r="23" spans="1:17" x14ac:dyDescent="0.25">
      <c r="A23" t="s">
        <v>568</v>
      </c>
      <c r="B23">
        <v>25</v>
      </c>
      <c r="C23">
        <v>25</v>
      </c>
      <c r="D23">
        <v>25</v>
      </c>
      <c r="F23">
        <f>F19-20</f>
        <v>80</v>
      </c>
      <c r="G23">
        <f t="shared" ref="G23:L23" si="25">G19-20</f>
        <v>130</v>
      </c>
      <c r="H23">
        <v>75</v>
      </c>
      <c r="I23">
        <f t="shared" si="25"/>
        <v>40</v>
      </c>
      <c r="J23" s="122">
        <f t="shared" si="25"/>
        <v>80</v>
      </c>
      <c r="K23">
        <f t="shared" si="25"/>
        <v>40</v>
      </c>
      <c r="L23">
        <f t="shared" si="25"/>
        <v>80</v>
      </c>
      <c r="M23">
        <v>25</v>
      </c>
      <c r="N23" s="122">
        <v>100</v>
      </c>
      <c r="O23">
        <v>50</v>
      </c>
      <c r="P23" t="s">
        <v>3</v>
      </c>
    </row>
    <row r="24" spans="1:17" x14ac:dyDescent="0.25">
      <c r="A24" t="s">
        <v>569</v>
      </c>
      <c r="B24">
        <v>2</v>
      </c>
      <c r="C24">
        <v>2</v>
      </c>
      <c r="D24">
        <v>2</v>
      </c>
      <c r="F24">
        <v>3</v>
      </c>
      <c r="G24">
        <v>3</v>
      </c>
      <c r="H24">
        <f>25.4*3/16</f>
        <v>4.7624999999999993</v>
      </c>
      <c r="I24">
        <v>9.4</v>
      </c>
      <c r="J24" s="122">
        <v>9.4</v>
      </c>
      <c r="K24">
        <v>6</v>
      </c>
      <c r="L24">
        <v>6</v>
      </c>
      <c r="M24">
        <v>6</v>
      </c>
      <c r="N24" s="122">
        <v>9.4</v>
      </c>
      <c r="O24">
        <v>9.4</v>
      </c>
      <c r="P24" t="s">
        <v>3</v>
      </c>
    </row>
    <row r="25" spans="1:17" x14ac:dyDescent="0.25">
      <c r="A25" t="s">
        <v>607</v>
      </c>
      <c r="B25">
        <f>B23*B24</f>
        <v>50</v>
      </c>
      <c r="C25">
        <f t="shared" ref="C25:O25" si="26">C23*C24</f>
        <v>50</v>
      </c>
      <c r="D25">
        <f t="shared" si="26"/>
        <v>50</v>
      </c>
      <c r="E25">
        <v>648</v>
      </c>
      <c r="F25">
        <f t="shared" si="26"/>
        <v>240</v>
      </c>
      <c r="G25">
        <f t="shared" si="26"/>
        <v>390</v>
      </c>
      <c r="H25">
        <f t="shared" ref="H25" si="27">H23*H24</f>
        <v>357.18749999999994</v>
      </c>
      <c r="I25">
        <f t="shared" si="26"/>
        <v>376</v>
      </c>
      <c r="J25">
        <f t="shared" si="26"/>
        <v>752</v>
      </c>
      <c r="K25">
        <f t="shared" si="26"/>
        <v>240</v>
      </c>
      <c r="L25">
        <f t="shared" si="26"/>
        <v>480</v>
      </c>
      <c r="M25">
        <f t="shared" si="26"/>
        <v>150</v>
      </c>
      <c r="N25">
        <f t="shared" si="26"/>
        <v>940</v>
      </c>
      <c r="O25">
        <f t="shared" si="26"/>
        <v>470</v>
      </c>
      <c r="P25" t="s">
        <v>609</v>
      </c>
    </row>
    <row r="26" spans="1:17" x14ac:dyDescent="0.25">
      <c r="A26" t="s">
        <v>608</v>
      </c>
      <c r="B26">
        <f>B21/B25</f>
        <v>86.788799999999995</v>
      </c>
      <c r="C26">
        <f t="shared" ref="C26:O26" si="28">C21/C25</f>
        <v>86.788799999999995</v>
      </c>
      <c r="D26">
        <f t="shared" si="28"/>
        <v>48.216000000000001</v>
      </c>
      <c r="E26">
        <f t="shared" si="28"/>
        <v>6.6966666666666663</v>
      </c>
      <c r="F26">
        <f t="shared" si="28"/>
        <v>22.60125</v>
      </c>
      <c r="G26">
        <f t="shared" si="28"/>
        <v>9.2723076923076917</v>
      </c>
      <c r="H26">
        <f t="shared" ref="H26" si="29">H21/H25</f>
        <v>6.0744566929133859</v>
      </c>
      <c r="I26">
        <f t="shared" si="28"/>
        <v>24.043882978723403</v>
      </c>
      <c r="J26">
        <f t="shared" si="28"/>
        <v>7.2131648936170212</v>
      </c>
      <c r="K26">
        <f t="shared" si="28"/>
        <v>37.668750000000003</v>
      </c>
      <c r="L26">
        <f t="shared" si="28"/>
        <v>11.300625</v>
      </c>
      <c r="M26">
        <f t="shared" si="28"/>
        <v>45.202500000000001</v>
      </c>
      <c r="N26">
        <f t="shared" si="28"/>
        <v>3.8470212765957443</v>
      </c>
      <c r="O26">
        <f t="shared" si="28"/>
        <v>19.235106382978724</v>
      </c>
      <c r="P26" t="s">
        <v>600</v>
      </c>
    </row>
    <row r="27" spans="1:17" x14ac:dyDescent="0.25">
      <c r="A27" t="s">
        <v>578</v>
      </c>
      <c r="B27">
        <f>B24^3*B23/12</f>
        <v>16.666666666666668</v>
      </c>
      <c r="C27">
        <f>C24^3*C23/12</f>
        <v>16.666666666666668</v>
      </c>
      <c r="D27">
        <f>D24^3*D23/12</f>
        <v>16.666666666666668</v>
      </c>
      <c r="E27" s="121">
        <v>91800</v>
      </c>
      <c r="F27">
        <f t="shared" ref="F27:O27" si="30">F24^3*F23/12</f>
        <v>180</v>
      </c>
      <c r="G27">
        <f t="shared" si="30"/>
        <v>292.5</v>
      </c>
      <c r="H27">
        <f t="shared" ref="H27" si="31">H24^3*H23/12</f>
        <v>675.12623291015598</v>
      </c>
      <c r="I27">
        <f t="shared" si="30"/>
        <v>2768.6133333333341</v>
      </c>
      <c r="J27" s="122">
        <f t="shared" si="30"/>
        <v>5537.2266666666683</v>
      </c>
      <c r="K27">
        <f t="shared" si="30"/>
        <v>720</v>
      </c>
      <c r="L27">
        <f t="shared" si="30"/>
        <v>1440</v>
      </c>
      <c r="M27">
        <f t="shared" si="30"/>
        <v>450</v>
      </c>
      <c r="N27" s="122">
        <f t="shared" si="30"/>
        <v>6921.5333333333356</v>
      </c>
      <c r="O27">
        <f t="shared" si="30"/>
        <v>3460.7666666666678</v>
      </c>
      <c r="P27" t="s">
        <v>148</v>
      </c>
    </row>
    <row r="28" spans="1:17" x14ac:dyDescent="0.25">
      <c r="A28" t="s">
        <v>570</v>
      </c>
      <c r="B28">
        <v>200000</v>
      </c>
      <c r="C28">
        <v>200000</v>
      </c>
      <c r="D28">
        <v>200000</v>
      </c>
      <c r="E28">
        <v>70000</v>
      </c>
      <c r="F28">
        <v>200000</v>
      </c>
      <c r="G28">
        <v>200000</v>
      </c>
      <c r="H28">
        <v>200000</v>
      </c>
      <c r="I28">
        <v>70000</v>
      </c>
      <c r="J28" s="122">
        <v>70000</v>
      </c>
      <c r="K28">
        <v>70000</v>
      </c>
      <c r="L28">
        <v>70000</v>
      </c>
      <c r="M28">
        <v>70000</v>
      </c>
      <c r="N28" s="122">
        <v>70000</v>
      </c>
      <c r="O28">
        <v>70000</v>
      </c>
      <c r="P28" t="s">
        <v>600</v>
      </c>
      <c r="Q28" t="s">
        <v>573</v>
      </c>
    </row>
    <row r="29" spans="1:17" x14ac:dyDescent="0.25">
      <c r="A29" t="s">
        <v>611</v>
      </c>
      <c r="B29">
        <v>400</v>
      </c>
      <c r="C29">
        <v>400</v>
      </c>
      <c r="D29">
        <v>400</v>
      </c>
      <c r="E29">
        <v>240</v>
      </c>
      <c r="F29">
        <v>400</v>
      </c>
      <c r="G29">
        <v>240</v>
      </c>
      <c r="H29">
        <v>240</v>
      </c>
      <c r="I29">
        <v>240</v>
      </c>
      <c r="J29">
        <v>240</v>
      </c>
      <c r="K29">
        <v>240</v>
      </c>
      <c r="L29">
        <v>240</v>
      </c>
      <c r="M29">
        <v>240</v>
      </c>
      <c r="N29">
        <v>240</v>
      </c>
      <c r="O29">
        <v>240</v>
      </c>
      <c r="P29" t="s">
        <v>600</v>
      </c>
    </row>
    <row r="30" spans="1:17" x14ac:dyDescent="0.25">
      <c r="A30" t="s">
        <v>571</v>
      </c>
      <c r="B30">
        <f>B19/COS((90-B20)*PI()/180)</f>
        <v>249.99999999999994</v>
      </c>
      <c r="C30">
        <f>C19/COS((90-C20)*PI()/180)</f>
        <v>249.99999999999994</v>
      </c>
      <c r="D30">
        <f>D19/COS((90-D20)*PI()/180)</f>
        <v>259.8076211353316</v>
      </c>
      <c r="E30">
        <f t="shared" ref="E30:J30" si="32">E19/COS((90-E20)*PI()/180)</f>
        <v>176.77669529663686</v>
      </c>
      <c r="F30">
        <f t="shared" si="32"/>
        <v>141.42135623730948</v>
      </c>
      <c r="G30">
        <f t="shared" ref="G30" si="33">G19/COS((90-G20)*PI()/180)</f>
        <v>212.13203435596424</v>
      </c>
      <c r="H30">
        <f t="shared" ref="H30" si="34">H19/COS((90-H20)*PI()/180)</f>
        <v>353.55339059327372</v>
      </c>
      <c r="I30">
        <f t="shared" ref="I30" si="35">I19/COS((90-I20)*PI()/180)</f>
        <v>84.852813742385692</v>
      </c>
      <c r="J30" s="122">
        <f t="shared" si="32"/>
        <v>141.42135623730948</v>
      </c>
      <c r="K30">
        <f t="shared" ref="K30" si="36">K19/COS((90-K20)*PI()/180)</f>
        <v>84.852813742385692</v>
      </c>
      <c r="L30">
        <f t="shared" ref="L30" si="37">L19/COS((90-L20)*PI()/180)</f>
        <v>141.42135623730948</v>
      </c>
      <c r="M30">
        <f>M19/COS((90-M20)*PI()/180)</f>
        <v>113.13708498984759</v>
      </c>
      <c r="N30" s="122">
        <f>N19/COS((90-N20)*PI()/180)</f>
        <v>173.20508075688772</v>
      </c>
      <c r="O30">
        <f t="shared" ref="O30" si="38">O19/COS((90-O20)*PI()/180)</f>
        <v>69.282032302755084</v>
      </c>
      <c r="P30" t="s">
        <v>3</v>
      </c>
    </row>
    <row r="31" spans="1:17" x14ac:dyDescent="0.25">
      <c r="A31" t="s">
        <v>581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Q31" t="s">
        <v>582</v>
      </c>
    </row>
    <row r="32" spans="1:17" x14ac:dyDescent="0.25">
      <c r="A32" t="s">
        <v>572</v>
      </c>
      <c r="B32">
        <f>PI()*B28*B27/(B31*B30)^2</f>
        <v>670.2064327658228</v>
      </c>
      <c r="C32">
        <f>PI()*C28*C27/(C31*C30)^2</f>
        <v>670.2064327658228</v>
      </c>
      <c r="D32">
        <f>PI()*D28*D27/(D31*D30)^2</f>
        <v>620.56151182020608</v>
      </c>
      <c r="E32">
        <f t="shared" ref="E32:L32" si="39">PI()*E28*E27/(E31*E30)^2</f>
        <v>2584047.9221719061</v>
      </c>
      <c r="F32">
        <f t="shared" si="39"/>
        <v>22619.467105846517</v>
      </c>
      <c r="G32">
        <f t="shared" si="39"/>
        <v>16336.281798666925</v>
      </c>
      <c r="H32">
        <f t="shared" ref="H32" si="40">PI()*H28*H27/(H31*H30)^2</f>
        <v>13574.218326760307</v>
      </c>
      <c r="I32">
        <f t="shared" si="39"/>
        <v>338249.92866897373</v>
      </c>
      <c r="J32" s="122">
        <f t="shared" si="39"/>
        <v>243539.94864166112</v>
      </c>
      <c r="K32">
        <f t="shared" si="39"/>
        <v>87964.594300514233</v>
      </c>
      <c r="L32">
        <f t="shared" si="39"/>
        <v>63334.507896370254</v>
      </c>
      <c r="M32">
        <f>PI()*M28*M27/(M31*M30)^2</f>
        <v>30925.052683774531</v>
      </c>
      <c r="N32" s="122">
        <f>PI()*N28*N27/(N31*N30)^2</f>
        <v>202949.95720138418</v>
      </c>
      <c r="O32">
        <f t="shared" ref="O32" si="41">PI()*O28*O27/(O31*O30)^2</f>
        <v>634218.61625432572</v>
      </c>
      <c r="P32" t="s">
        <v>19</v>
      </c>
    </row>
    <row r="33" spans="1:16" x14ac:dyDescent="0.25">
      <c r="A33" t="s">
        <v>610</v>
      </c>
      <c r="B33">
        <f t="shared" ref="B33:I33" si="42">B32/(3*B22)-1</f>
        <v>-0.95541546093851204</v>
      </c>
      <c r="C33">
        <f t="shared" si="42"/>
        <v>-0.95541546093851204</v>
      </c>
      <c r="D33">
        <f t="shared" si="42"/>
        <v>-0.95709850728525758</v>
      </c>
      <c r="E33">
        <f t="shared" si="42"/>
        <v>139.355883760636</v>
      </c>
      <c r="F33">
        <f t="shared" si="42"/>
        <v>-1.7115659939523797E-2</v>
      </c>
      <c r="G33">
        <f t="shared" si="42"/>
        <v>6.4791368398849247E-2</v>
      </c>
      <c r="H33">
        <f>H32/(3*H22)-1</f>
        <v>0.47460222642536443</v>
      </c>
      <c r="I33">
        <f t="shared" si="42"/>
        <v>7.8187901958850841</v>
      </c>
      <c r="J33" s="122">
        <f>J32/(3*J22)-1</f>
        <v>9.5825482350621023</v>
      </c>
      <c r="K33">
        <f t="shared" ref="K33:O33" si="43">K32/(3*K22)-1</f>
        <v>1.2933967934744444</v>
      </c>
      <c r="L33">
        <f t="shared" si="43"/>
        <v>1.7520761521693338</v>
      </c>
      <c r="M33">
        <f t="shared" si="43"/>
        <v>7.5029746941145836E-2</v>
      </c>
      <c r="N33" s="122">
        <f t="shared" si="43"/>
        <v>8.3537395240576782</v>
      </c>
      <c r="O33">
        <f t="shared" si="43"/>
        <v>10.6921744050721</v>
      </c>
    </row>
    <row r="34" spans="1:16" x14ac:dyDescent="0.25">
      <c r="A34" t="s">
        <v>612</v>
      </c>
      <c r="B34">
        <f>B29/(3*B26)-1</f>
        <v>0.53629654210374311</v>
      </c>
      <c r="C34">
        <f t="shared" ref="C34:O34" si="44">C29/(3*C26)-1</f>
        <v>0.53629654210374311</v>
      </c>
      <c r="D34">
        <f t="shared" si="44"/>
        <v>1.7653337757867376</v>
      </c>
      <c r="E34">
        <f t="shared" si="44"/>
        <v>10.946241911398706</v>
      </c>
      <c r="F34">
        <f t="shared" si="44"/>
        <v>4.8993787216783726</v>
      </c>
      <c r="G34">
        <f t="shared" si="44"/>
        <v>7.6278413804546208</v>
      </c>
      <c r="H34">
        <f t="shared" ref="H34" si="45">H29/(3*H26)-1</f>
        <v>12.169902107184338</v>
      </c>
      <c r="I34">
        <f t="shared" si="44"/>
        <v>2.3272495990266027</v>
      </c>
      <c r="J34">
        <f t="shared" si="44"/>
        <v>10.090831996755341</v>
      </c>
      <c r="K34">
        <f t="shared" si="44"/>
        <v>1.1237763398042144</v>
      </c>
      <c r="L34">
        <f t="shared" si="44"/>
        <v>6.0792544660140475</v>
      </c>
      <c r="M34">
        <f t="shared" si="44"/>
        <v>0.76981361650351188</v>
      </c>
      <c r="N34">
        <f t="shared" si="44"/>
        <v>19.795309993916266</v>
      </c>
      <c r="O34">
        <f t="shared" si="44"/>
        <v>3.1590619987832529</v>
      </c>
    </row>
    <row r="35" spans="1:16" x14ac:dyDescent="0.25">
      <c r="H35">
        <v>75</v>
      </c>
      <c r="I35">
        <v>4080</v>
      </c>
      <c r="J35">
        <v>8040</v>
      </c>
      <c r="K35">
        <v>404040</v>
      </c>
      <c r="L35">
        <v>8080</v>
      </c>
    </row>
    <row r="36" spans="1:16" x14ac:dyDescent="0.25">
      <c r="H36">
        <f>25.4*3/16</f>
        <v>4.7624999999999993</v>
      </c>
    </row>
    <row r="37" spans="1:16" x14ac:dyDescent="0.25">
      <c r="A37" t="s">
        <v>550</v>
      </c>
      <c r="B37">
        <f>B2-100+40</f>
        <v>760</v>
      </c>
      <c r="H37">
        <f>I37</f>
        <v>720</v>
      </c>
      <c r="I37">
        <f>J37</f>
        <v>720</v>
      </c>
      <c r="J37">
        <f>J2-J19</f>
        <v>720</v>
      </c>
      <c r="K37">
        <f>J37</f>
        <v>720</v>
      </c>
      <c r="L37">
        <f>K37</f>
        <v>720</v>
      </c>
      <c r="P37" t="s">
        <v>3</v>
      </c>
    </row>
    <row r="38" spans="1:16" x14ac:dyDescent="0.25">
      <c r="A38" t="s">
        <v>588</v>
      </c>
      <c r="B38">
        <v>701600</v>
      </c>
      <c r="H38">
        <f>(H35^4-(H35-2*H36)^4)/12</f>
        <v>1105205.4158879889</v>
      </c>
      <c r="I38">
        <f>J39</f>
        <v>169400</v>
      </c>
      <c r="J38">
        <v>701600</v>
      </c>
      <c r="K38">
        <v>1203800</v>
      </c>
      <c r="L38">
        <v>1350700</v>
      </c>
      <c r="P38" t="s">
        <v>537</v>
      </c>
    </row>
    <row r="39" spans="1:16" x14ac:dyDescent="0.25">
      <c r="A39" t="s">
        <v>589</v>
      </c>
      <c r="B39">
        <v>169400</v>
      </c>
      <c r="H39">
        <f>H38</f>
        <v>1105205.4158879889</v>
      </c>
      <c r="I39">
        <f>J38</f>
        <v>701600</v>
      </c>
      <c r="J39">
        <v>169400</v>
      </c>
      <c r="K39">
        <v>1203800</v>
      </c>
      <c r="L39">
        <v>1350700</v>
      </c>
      <c r="P39" t="s">
        <v>537</v>
      </c>
    </row>
    <row r="40" spans="1:16" x14ac:dyDescent="0.25">
      <c r="A40" t="s">
        <v>590</v>
      </c>
      <c r="B40">
        <f>B9</f>
        <v>661.5</v>
      </c>
      <c r="H40">
        <f>(H5+H4)*H3/4</f>
        <v>245.00000000000003</v>
      </c>
      <c r="I40">
        <f>(I5+I4)*I3/4</f>
        <v>245.00000000000003</v>
      </c>
      <c r="J40">
        <f>(J5+J4)*J3/4</f>
        <v>245.00000000000003</v>
      </c>
      <c r="K40">
        <f>J40</f>
        <v>245.00000000000003</v>
      </c>
      <c r="L40">
        <f>K40</f>
        <v>245.00000000000003</v>
      </c>
      <c r="P40" t="s">
        <v>19</v>
      </c>
    </row>
    <row r="41" spans="1:16" x14ac:dyDescent="0.25">
      <c r="A41" t="s">
        <v>591</v>
      </c>
      <c r="B41">
        <f>B7</f>
        <v>343.35</v>
      </c>
      <c r="H41">
        <f>H5*H3/4</f>
        <v>159.25</v>
      </c>
      <c r="I41">
        <f>I5*I3/4</f>
        <v>159.25</v>
      </c>
      <c r="J41">
        <f>J5*J3/4</f>
        <v>159.25</v>
      </c>
      <c r="K41">
        <f>J41</f>
        <v>159.25</v>
      </c>
      <c r="L41">
        <f>K41</f>
        <v>159.25</v>
      </c>
      <c r="P41" t="s">
        <v>19</v>
      </c>
    </row>
    <row r="42" spans="1:16" x14ac:dyDescent="0.25">
      <c r="A42" t="s">
        <v>599</v>
      </c>
      <c r="B42">
        <f>B40*B$37^3/(3*B$28*B38)</f>
        <v>0.68981049030786779</v>
      </c>
      <c r="H42">
        <f>H40*H$37^3/(3*H$28*H38)+H51</f>
        <v>0.18570036783897104</v>
      </c>
      <c r="I42">
        <f>I40*I$37^3/(3*I$28*I38)+I51</f>
        <v>2.6900754210903099</v>
      </c>
      <c r="J42">
        <f>J40*J$37^3/(3*J$28*J38)+J51</f>
        <v>0.74015825418962455</v>
      </c>
      <c r="K42">
        <f>K40*K$37^3/(3*K$28*K38)+K51</f>
        <v>0.48123141608687003</v>
      </c>
      <c r="L42">
        <f>L40*L$37^3/(3*L$28*L38)+L51</f>
        <v>0.44188974203928794</v>
      </c>
      <c r="P42" t="s">
        <v>3</v>
      </c>
    </row>
    <row r="43" spans="1:16" x14ac:dyDescent="0.25">
      <c r="A43" t="s">
        <v>601</v>
      </c>
      <c r="B43">
        <f>B41*B$37^3/(3*B$28*B39)</f>
        <v>1.4829044628099173</v>
      </c>
      <c r="H43">
        <f>H41*H$37^3/(3*H$28*H39)+H51</f>
        <v>0.13743480631243729</v>
      </c>
      <c r="I43">
        <f>I41*I$37^3/(3*I$28*I39)+I51</f>
        <v>0.52292678326602127</v>
      </c>
      <c r="J43">
        <f>J41*J$37^3/(3*J$28*J39)+J51</f>
        <v>1.7903729417514664</v>
      </c>
      <c r="K43">
        <f>K41*K$37^3/(3*K$28*K39)+K51</f>
        <v>0.35462433849923086</v>
      </c>
      <c r="L43">
        <f>L41*L$37^3/(3*L$28*L39)+L51</f>
        <v>0.32905225036830249</v>
      </c>
      <c r="P43" t="s">
        <v>3</v>
      </c>
    </row>
    <row r="44" spans="1:16" x14ac:dyDescent="0.25">
      <c r="A44" t="s">
        <v>602</v>
      </c>
      <c r="B44">
        <f>B40/B42</f>
        <v>958.95903192885248</v>
      </c>
      <c r="H44">
        <f t="shared" ref="H44:J45" si="46">H40/H42*4</f>
        <v>5277.3185718716577</v>
      </c>
      <c r="I44">
        <f t="shared" si="46"/>
        <v>364.30205351000825</v>
      </c>
      <c r="J44">
        <f t="shared" si="46"/>
        <v>1324.0411688348602</v>
      </c>
      <c r="K44">
        <f t="shared" ref="K44" si="47">K40/K42*4</f>
        <v>2036.4422754625277</v>
      </c>
      <c r="L44">
        <f>L40/L42*4</f>
        <v>2217.7477926447755</v>
      </c>
      <c r="P44" t="s">
        <v>386</v>
      </c>
    </row>
    <row r="45" spans="1:16" x14ac:dyDescent="0.25">
      <c r="A45" t="s">
        <v>603</v>
      </c>
      <c r="B45">
        <f>B41/B43</f>
        <v>231.53885406035869</v>
      </c>
      <c r="H45">
        <f t="shared" si="46"/>
        <v>4634.9248570400468</v>
      </c>
      <c r="I45">
        <f t="shared" si="46"/>
        <v>1218.1437638774526</v>
      </c>
      <c r="J45">
        <f t="shared" si="46"/>
        <v>355.79179351138015</v>
      </c>
      <c r="K45">
        <f t="shared" ref="K45" si="48">K41/K43*4</f>
        <v>1796.2670094663613</v>
      </c>
      <c r="L45">
        <f>L41/L43*4</f>
        <v>1935.8627673477902</v>
      </c>
      <c r="P45" t="s">
        <v>386</v>
      </c>
    </row>
    <row r="46" spans="1:16" x14ac:dyDescent="0.25">
      <c r="A46" t="s">
        <v>615</v>
      </c>
      <c r="B46">
        <f>B12+B13</f>
        <v>340</v>
      </c>
      <c r="H46">
        <f>H12+H13</f>
        <v>340</v>
      </c>
      <c r="I46">
        <f>I12+I13</f>
        <v>340</v>
      </c>
      <c r="J46">
        <f>J12+J13</f>
        <v>340</v>
      </c>
      <c r="K46">
        <f>K12+K13</f>
        <v>340</v>
      </c>
      <c r="L46">
        <f>L12+L13</f>
        <v>340</v>
      </c>
      <c r="P46" t="s">
        <v>61</v>
      </c>
    </row>
    <row r="47" spans="1:16" x14ac:dyDescent="0.25">
      <c r="A47" t="s">
        <v>616</v>
      </c>
      <c r="B47">
        <f>B46+B5</f>
        <v>405</v>
      </c>
      <c r="H47">
        <f>H46+H5</f>
        <v>405</v>
      </c>
      <c r="I47">
        <f>I46+I5</f>
        <v>405</v>
      </c>
      <c r="J47">
        <f>J46+J5</f>
        <v>405</v>
      </c>
      <c r="K47">
        <f>K46+K5</f>
        <v>405</v>
      </c>
      <c r="L47">
        <f>L46+L5</f>
        <v>405</v>
      </c>
      <c r="P47" t="s">
        <v>61</v>
      </c>
    </row>
    <row r="48" spans="1:16" x14ac:dyDescent="0.25">
      <c r="A48" t="s">
        <v>604</v>
      </c>
      <c r="B48">
        <f>SQRT(B44*1000/B46)/(2*PI())</f>
        <v>8.4524128203109647</v>
      </c>
      <c r="H48">
        <f t="shared" ref="H48" si="49">SQRT(H44*1000/H46)/(2*PI())</f>
        <v>19.828384366559856</v>
      </c>
      <c r="I48">
        <f t="shared" ref="I48:L49" si="50">SQRT(I44*1000/I46)/(2*PI())</f>
        <v>5.209685215804388</v>
      </c>
      <c r="J48">
        <f t="shared" si="50"/>
        <v>9.9318789473420477</v>
      </c>
      <c r="K48">
        <f t="shared" si="50"/>
        <v>12.31733420384003</v>
      </c>
      <c r="L48">
        <f t="shared" si="50"/>
        <v>12.853954283174273</v>
      </c>
      <c r="P48" t="s">
        <v>486</v>
      </c>
    </row>
    <row r="49" spans="1:16" x14ac:dyDescent="0.25">
      <c r="A49" t="s">
        <v>605</v>
      </c>
      <c r="B49">
        <f>SQRT(B45*1000/B47)/(2*PI())</f>
        <v>3.8054372043710223</v>
      </c>
      <c r="H49">
        <f t="shared" ref="H49" si="51">SQRT(H45*1000/H47)/(2*PI())</f>
        <v>17.026052524681234</v>
      </c>
      <c r="I49">
        <f t="shared" si="50"/>
        <v>8.728545761621092</v>
      </c>
      <c r="J49">
        <f t="shared" si="50"/>
        <v>4.7172683590046285</v>
      </c>
      <c r="K49">
        <f t="shared" si="50"/>
        <v>10.599321534798035</v>
      </c>
      <c r="L49">
        <f>SQRT(L45*1000/L47)/(2*PI())</f>
        <v>11.003476076940798</v>
      </c>
      <c r="P49" t="s">
        <v>486</v>
      </c>
    </row>
    <row r="50" spans="1:16" x14ac:dyDescent="0.25">
      <c r="A50" t="s">
        <v>613</v>
      </c>
      <c r="H50">
        <f>I50</f>
        <v>1.4572793743123818E-2</v>
      </c>
      <c r="I50">
        <f>J50</f>
        <v>1.4572793743123818E-2</v>
      </c>
      <c r="J50">
        <f>J26/J28*J30</f>
        <v>1.4572793743123818E-2</v>
      </c>
      <c r="K50">
        <f>J50</f>
        <v>1.4572793743123818E-2</v>
      </c>
      <c r="L50">
        <f>K50</f>
        <v>1.4572793743123818E-2</v>
      </c>
      <c r="P50" t="s">
        <v>3</v>
      </c>
    </row>
    <row r="51" spans="1:16" x14ac:dyDescent="0.25">
      <c r="A51" t="s">
        <v>614</v>
      </c>
      <c r="H51">
        <f>H50*H2/H19</f>
        <v>4.7798763477446125E-2</v>
      </c>
      <c r="I51">
        <f>J51</f>
        <v>0.1194969086936153</v>
      </c>
      <c r="J51">
        <f>J50*J2/J19</f>
        <v>0.1194969086936153</v>
      </c>
      <c r="K51">
        <f>J51</f>
        <v>0.1194969086936153</v>
      </c>
      <c r="L51">
        <f>K51</f>
        <v>0.1194969086936153</v>
      </c>
      <c r="P51" t="s">
        <v>3</v>
      </c>
    </row>
    <row r="53" spans="1:16" x14ac:dyDescent="0.25">
      <c r="A53" t="s">
        <v>617</v>
      </c>
      <c r="H53">
        <f>MIN(H48:H49)</f>
        <v>17.026052524681234</v>
      </c>
      <c r="I53">
        <f>MIN(I48:I49)</f>
        <v>5.209685215804388</v>
      </c>
      <c r="J53">
        <f t="shared" ref="J53:L53" si="52">MIN(J48:J49)</f>
        <v>4.7172683590046285</v>
      </c>
      <c r="K53">
        <f t="shared" si="52"/>
        <v>10.599321534798035</v>
      </c>
      <c r="L53">
        <f t="shared" si="52"/>
        <v>11.003476076940798</v>
      </c>
      <c r="M53">
        <v>5</v>
      </c>
      <c r="N53">
        <v>10</v>
      </c>
      <c r="O53">
        <v>15</v>
      </c>
      <c r="P53" t="s">
        <v>486</v>
      </c>
    </row>
    <row r="54" spans="1:16" x14ac:dyDescent="0.25">
      <c r="A54" t="s">
        <v>618</v>
      </c>
      <c r="H54">
        <f>1/H53</f>
        <v>5.8733520206776309E-2</v>
      </c>
      <c r="I54">
        <f>1/I53</f>
        <v>0.19195017713668092</v>
      </c>
      <c r="J54">
        <f t="shared" ref="J54:L54" si="53">1/J53</f>
        <v>0.21198709165891208</v>
      </c>
      <c r="K54">
        <f t="shared" si="53"/>
        <v>9.4345661344167775E-2</v>
      </c>
      <c r="L54">
        <f t="shared" si="53"/>
        <v>9.0880372075841459E-2</v>
      </c>
      <c r="M54">
        <f t="shared" ref="M54" si="54">1/M53</f>
        <v>0.2</v>
      </c>
      <c r="N54">
        <f t="shared" ref="N54:O54" si="55">1/N53</f>
        <v>0.1</v>
      </c>
      <c r="O54">
        <f t="shared" si="55"/>
        <v>6.6666666666666666E-2</v>
      </c>
    </row>
    <row r="55" spans="1:16" x14ac:dyDescent="0.25">
      <c r="A55" t="s">
        <v>619</v>
      </c>
      <c r="H55">
        <f>H54/4</f>
        <v>1.4683380051694077E-2</v>
      </c>
      <c r="I55">
        <f>I54/4</f>
        <v>4.7987544284170229E-2</v>
      </c>
      <c r="J55">
        <f t="shared" ref="J55:L55" si="56">J54/4</f>
        <v>5.299677291472802E-2</v>
      </c>
      <c r="K55">
        <f t="shared" si="56"/>
        <v>2.3586415336041944E-2</v>
      </c>
      <c r="L55">
        <f t="shared" si="56"/>
        <v>2.2720093018960365E-2</v>
      </c>
      <c r="M55">
        <f t="shared" ref="M55" si="57">M54/4</f>
        <v>0.05</v>
      </c>
      <c r="N55">
        <f t="shared" ref="N55:O55" si="58">N54/4</f>
        <v>2.5000000000000001E-2</v>
      </c>
      <c r="O55">
        <f t="shared" si="58"/>
        <v>1.6666666666666666E-2</v>
      </c>
    </row>
    <row r="56" spans="1:16" x14ac:dyDescent="0.25">
      <c r="A56" t="s">
        <v>8</v>
      </c>
      <c r="H56">
        <f t="shared" ref="H56" si="59">H3*1000*H55</f>
        <v>143.89712450660195</v>
      </c>
      <c r="I56">
        <f t="shared" ref="I56:N56" si="60">I3*1000*I55</f>
        <v>470.27793398486824</v>
      </c>
      <c r="J56">
        <f t="shared" si="60"/>
        <v>519.36837456433454</v>
      </c>
      <c r="K56">
        <f t="shared" si="60"/>
        <v>231.14687029321104</v>
      </c>
      <c r="L56">
        <f>L3*1000*L55</f>
        <v>222.65691158581157</v>
      </c>
      <c r="M56">
        <f t="shared" si="60"/>
        <v>490</v>
      </c>
      <c r="N56">
        <f t="shared" si="60"/>
        <v>245</v>
      </c>
      <c r="O56">
        <f>O3*1000*O55</f>
        <v>163.33333333333334</v>
      </c>
      <c r="P56" t="s">
        <v>381</v>
      </c>
    </row>
    <row r="57" spans="1:16" x14ac:dyDescent="0.25">
      <c r="H57">
        <f>H56/25.5*60</f>
        <v>338.58146942729871</v>
      </c>
      <c r="I57">
        <f>I56/25.5*60</f>
        <v>1106.5363152585137</v>
      </c>
      <c r="J57">
        <f t="shared" ref="J57:O57" si="61">J56/25.5*60</f>
        <v>1222.0432342690224</v>
      </c>
      <c r="K57">
        <f t="shared" si="61"/>
        <v>543.8749889252025</v>
      </c>
      <c r="L57">
        <f t="shared" si="61"/>
        <v>523.89861549602722</v>
      </c>
      <c r="M57">
        <f t="shared" si="61"/>
        <v>1152.9411764705883</v>
      </c>
      <c r="N57">
        <f t="shared" si="61"/>
        <v>576.47058823529414</v>
      </c>
      <c r="O57">
        <f t="shared" si="61"/>
        <v>384.31372549019608</v>
      </c>
    </row>
    <row r="58" spans="1:16" x14ac:dyDescent="0.25">
      <c r="A58" t="s">
        <v>620</v>
      </c>
      <c r="H58">
        <f>0.5*H3*1000*H55^2</f>
        <v>1.0564480837381891</v>
      </c>
      <c r="I58">
        <f>0.5*I3*1000*I55^2</f>
        <v>11.283741591483475</v>
      </c>
      <c r="J58">
        <f t="shared" ref="J58" si="62">0.5*J3*1000*J55^2</f>
        <v>13.762423902938723</v>
      </c>
      <c r="K58">
        <f>0.5*K3*1000*K55^2</f>
        <v>2.7259630431809456</v>
      </c>
      <c r="L58">
        <f>0.5*L3*1000*L55^2</f>
        <v>2.5293928712720364</v>
      </c>
      <c r="M58">
        <f t="shared" ref="M58:N58" si="63">0.5*M3*1000*M55^2</f>
        <v>12.250000000000002</v>
      </c>
      <c r="N58">
        <f t="shared" si="63"/>
        <v>3.0625000000000004</v>
      </c>
      <c r="O58">
        <f t="shared" ref="O58" si="64">0.5*O3*1000*O55^2</f>
        <v>1.3611111111111112</v>
      </c>
      <c r="P58" t="s">
        <v>3</v>
      </c>
    </row>
    <row r="59" spans="1:16" x14ac:dyDescent="0.25">
      <c r="A59" t="s">
        <v>640</v>
      </c>
      <c r="H59">
        <v>1E-3</v>
      </c>
      <c r="L59">
        <v>1E-4</v>
      </c>
      <c r="P59" t="s">
        <v>26</v>
      </c>
    </row>
    <row r="60" spans="1:16" x14ac:dyDescent="0.25">
      <c r="A60" t="s">
        <v>684</v>
      </c>
      <c r="H60">
        <f>H40/(2*H$59*H44)</f>
        <v>23.212545979871379</v>
      </c>
      <c r="L60">
        <f>L40/(2*L$59*L44)</f>
        <v>552.3621775491099</v>
      </c>
      <c r="P60" t="s">
        <v>3</v>
      </c>
    </row>
    <row r="61" spans="1:16" x14ac:dyDescent="0.25">
      <c r="A61" t="s">
        <v>686</v>
      </c>
      <c r="H61">
        <f>H41/(2*H$59*H45)</f>
        <v>17.179350789054663</v>
      </c>
      <c r="L61">
        <f>L41/(2*L$59*L45)</f>
        <v>411.31531296037815</v>
      </c>
      <c r="P61" t="s">
        <v>3</v>
      </c>
    </row>
    <row r="62" spans="1:16" x14ac:dyDescent="0.25">
      <c r="A62" t="s">
        <v>685</v>
      </c>
      <c r="H62">
        <f>2*H60/(1/H48)^2/1000</f>
        <v>18.252713229685853</v>
      </c>
      <c r="I62">
        <f>H62/9.8</f>
        <v>1.8625217581312092</v>
      </c>
      <c r="L62">
        <f>2*L60/(1/L48)^2/1000</f>
        <v>182.5271322968585</v>
      </c>
      <c r="M62">
        <f>L62/9.8</f>
        <v>18.625217581312089</v>
      </c>
      <c r="P62" t="s">
        <v>79</v>
      </c>
    </row>
    <row r="63" spans="1:16" x14ac:dyDescent="0.25">
      <c r="A63" t="s">
        <v>687</v>
      </c>
      <c r="H63">
        <f>2*H61/(1/H49)^2/1000</f>
        <v>9.9601225278038843</v>
      </c>
      <c r="I63">
        <f>H63/9.8</f>
        <v>1.0163390334493758</v>
      </c>
      <c r="L63">
        <f>2*L61/(1/L49)^2/1000</f>
        <v>99.601225278038854</v>
      </c>
      <c r="M63">
        <f>L63/9.8</f>
        <v>10.16339033449376</v>
      </c>
      <c r="P63" t="s">
        <v>79</v>
      </c>
    </row>
    <row r="65" spans="1:18" x14ac:dyDescent="0.25">
      <c r="A65" t="s">
        <v>641</v>
      </c>
      <c r="H65">
        <f>2*(H47)*H66</f>
        <v>86652.052880499468</v>
      </c>
      <c r="L65">
        <f>2*(L47)*L66</f>
        <v>56000.872163774562</v>
      </c>
      <c r="P65" t="s">
        <v>649</v>
      </c>
      <c r="Q65" t="s">
        <v>650</v>
      </c>
      <c r="R65" t="s">
        <v>651</v>
      </c>
    </row>
    <row r="66" spans="1:18" x14ac:dyDescent="0.25">
      <c r="A66" t="s">
        <v>638</v>
      </c>
      <c r="H66">
        <f>MIN(H48:H49)*2*PI()</f>
        <v>106.97784306234503</v>
      </c>
      <c r="L66">
        <f>MIN(L48:L49)*2*PI()</f>
        <v>69.136879214536492</v>
      </c>
      <c r="P66" t="s">
        <v>639</v>
      </c>
    </row>
    <row r="67" spans="1:18" x14ac:dyDescent="0.25">
      <c r="A67" t="s">
        <v>642</v>
      </c>
      <c r="H67">
        <f>H65*H59</f>
        <v>86.652052880499468</v>
      </c>
      <c r="L67">
        <f>L65*L59</f>
        <v>5.6000872163774567</v>
      </c>
      <c r="P67" t="s">
        <v>649</v>
      </c>
      <c r="Q67" t="s">
        <v>650</v>
      </c>
    </row>
    <row r="68" spans="1:18" x14ac:dyDescent="0.25">
      <c r="A68" t="s">
        <v>646</v>
      </c>
      <c r="H68">
        <v>0.25</v>
      </c>
      <c r="L68">
        <v>0.25</v>
      </c>
      <c r="P68" t="s">
        <v>647</v>
      </c>
    </row>
    <row r="69" spans="1:18" x14ac:dyDescent="0.25">
      <c r="A69" t="s">
        <v>643</v>
      </c>
      <c r="H69">
        <f>(H4)*H68^2</f>
        <v>2.1875</v>
      </c>
      <c r="L69">
        <f>(L4)*L68^2</f>
        <v>2.1875</v>
      </c>
      <c r="P69" t="s">
        <v>645</v>
      </c>
      <c r="Q69" t="s">
        <v>644</v>
      </c>
    </row>
    <row r="70" spans="1:18" x14ac:dyDescent="0.25">
      <c r="A70" t="s">
        <v>648</v>
      </c>
      <c r="H70">
        <f>SQRT(H69/(PI()*H66*H67))/2*1000</f>
        <v>4.333439644959757</v>
      </c>
      <c r="L70">
        <f>SQRT(L69/(PI()*L66*L67))/2*1000</f>
        <v>21.203952245867146</v>
      </c>
      <c r="P70" t="s">
        <v>3</v>
      </c>
    </row>
    <row r="71" spans="1:18" x14ac:dyDescent="0.25">
      <c r="A71" t="s">
        <v>652</v>
      </c>
      <c r="H71">
        <f>H45*H70</f>
        <v>20085.167126906774</v>
      </c>
      <c r="L71">
        <f>L45*L70</f>
        <v>41047.941673394766</v>
      </c>
      <c r="P71" t="s">
        <v>19</v>
      </c>
    </row>
    <row r="72" spans="1:18" x14ac:dyDescent="0.25">
      <c r="A72" t="s">
        <v>653</v>
      </c>
      <c r="H72">
        <f>H71*H37</f>
        <v>14461320.331372878</v>
      </c>
      <c r="L72">
        <f>L71*L37</f>
        <v>29554518.00484423</v>
      </c>
      <c r="P72" t="s">
        <v>411</v>
      </c>
    </row>
    <row r="73" spans="1:18" x14ac:dyDescent="0.25">
      <c r="A73" t="s">
        <v>654</v>
      </c>
      <c r="H73">
        <v>40</v>
      </c>
      <c r="L73">
        <v>40</v>
      </c>
      <c r="P73" t="s">
        <v>3</v>
      </c>
    </row>
    <row r="74" spans="1:18" x14ac:dyDescent="0.25">
      <c r="A74" t="s">
        <v>655</v>
      </c>
      <c r="H74">
        <f>H72*H73/H39</f>
        <v>523.38941244705279</v>
      </c>
      <c r="L74">
        <f>L72*L73/L39</f>
        <v>875.2355965009026</v>
      </c>
      <c r="P74" t="s">
        <v>656</v>
      </c>
    </row>
    <row r="75" spans="1:18" x14ac:dyDescent="0.25">
      <c r="A75" t="s">
        <v>657</v>
      </c>
      <c r="H75">
        <v>214</v>
      </c>
      <c r="L75">
        <v>214</v>
      </c>
      <c r="P75" t="s">
        <v>388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1DBA-3E89-4BFB-8330-A6B040D96905}">
  <dimension ref="A1:F10"/>
  <sheetViews>
    <sheetView workbookViewId="0">
      <selection activeCell="A11" sqref="A11"/>
    </sheetView>
  </sheetViews>
  <sheetFormatPr defaultRowHeight="15" x14ac:dyDescent="0.25"/>
  <cols>
    <col min="1" max="1" width="14" bestFit="1" customWidth="1"/>
    <col min="2" max="2" width="13.42578125" bestFit="1" customWidth="1"/>
    <col min="3" max="5" width="13.42578125" customWidth="1"/>
    <col min="6" max="6" width="14.42578125" bestFit="1" customWidth="1"/>
  </cols>
  <sheetData>
    <row r="1" spans="1:6" x14ac:dyDescent="0.25">
      <c r="B1" t="s">
        <v>632</v>
      </c>
      <c r="C1" t="s">
        <v>633</v>
      </c>
      <c r="D1" t="s">
        <v>635</v>
      </c>
      <c r="E1" t="s">
        <v>635</v>
      </c>
      <c r="F1" t="s">
        <v>634</v>
      </c>
    </row>
    <row r="2" spans="1:6" x14ac:dyDescent="0.25">
      <c r="A2" t="s">
        <v>550</v>
      </c>
      <c r="B2">
        <f>Deflection!C8</f>
        <v>1600</v>
      </c>
      <c r="C2">
        <f>Deflection!D8</f>
        <v>1600</v>
      </c>
      <c r="D2">
        <v>1600</v>
      </c>
      <c r="E2">
        <v>1600</v>
      </c>
    </row>
    <row r="3" spans="1:6" x14ac:dyDescent="0.25">
      <c r="A3" t="s">
        <v>626</v>
      </c>
      <c r="B3">
        <v>50</v>
      </c>
      <c r="C3">
        <v>100</v>
      </c>
      <c r="D3">
        <v>75</v>
      </c>
      <c r="E3">
        <v>75</v>
      </c>
    </row>
    <row r="4" spans="1:6" x14ac:dyDescent="0.25">
      <c r="A4" t="s">
        <v>627</v>
      </c>
      <c r="B4">
        <v>100</v>
      </c>
      <c r="C4">
        <v>100</v>
      </c>
      <c r="D4">
        <v>150</v>
      </c>
      <c r="E4">
        <v>150</v>
      </c>
    </row>
    <row r="5" spans="1:6" x14ac:dyDescent="0.25">
      <c r="A5" t="s">
        <v>628</v>
      </c>
      <c r="B5">
        <v>4</v>
      </c>
      <c r="C5">
        <v>4</v>
      </c>
      <c r="D5">
        <v>8</v>
      </c>
      <c r="E5">
        <v>8</v>
      </c>
    </row>
    <row r="6" spans="1:6" x14ac:dyDescent="0.25">
      <c r="A6" t="s">
        <v>629</v>
      </c>
      <c r="B6" s="1">
        <f>(B3*B4^3-(B3-2*B5)*(B4-2*B5)^3)/1000000</f>
        <v>17.295103999999998</v>
      </c>
      <c r="C6" s="1">
        <f>(C3*C4^3-(C3-2*C5)*(C4-2*C5)^3)/1000000</f>
        <v>28.360703999999998</v>
      </c>
      <c r="D6" s="1">
        <f>(D3*D4^3-(D3-2*D5)*(D4-2*D5)^3)/1000000</f>
        <v>111.16486399999999</v>
      </c>
      <c r="E6" s="1">
        <f>(E3*E4^3-(E3-2*E5)*(E4-2*E5)^3)/1000000</f>
        <v>111.16486399999999</v>
      </c>
      <c r="F6" s="1">
        <f>Deflection!J16/1000000</f>
        <v>15.740095439532292</v>
      </c>
    </row>
    <row r="7" spans="1:6" x14ac:dyDescent="0.25">
      <c r="A7" t="s">
        <v>630</v>
      </c>
      <c r="B7">
        <f>(B4*B3^3 - (B4-2*B5)*(B3-2*B5)^3)/1000000</f>
        <v>5.6839040000000001</v>
      </c>
      <c r="C7">
        <f>(C4*C3^3 - (C4-2*C5)*(C3-2*C5)^3)/1000000</f>
        <v>28.360703999999998</v>
      </c>
      <c r="D7">
        <f>(D4*D3^3 - (D4-2*D5)*(D3-2*D5)^3)/1000000</f>
        <v>35.760463999999999</v>
      </c>
      <c r="E7">
        <f>(E4*E3^3 - (E4-2*E5)*(E3-2*E5)^3)/1000000</f>
        <v>35.760463999999999</v>
      </c>
      <c r="F7" s="1">
        <f>Deflection!J14/1000000</f>
        <v>14.284585768166144</v>
      </c>
    </row>
    <row r="8" spans="1:6" x14ac:dyDescent="0.25">
      <c r="A8" t="s">
        <v>631</v>
      </c>
      <c r="B8">
        <f>B4*B3-(B4-2*B5)*(B3-2*B5)</f>
        <v>1136</v>
      </c>
      <c r="C8">
        <f>C4*C3-(C4-2*C5)*(C3-2*C5)</f>
        <v>1536</v>
      </c>
      <c r="D8">
        <f>D4*D3-(D4-2*D5)*(D3-2*D5)</f>
        <v>3344</v>
      </c>
      <c r="E8">
        <f>E4*E3-(E4-2*E5)*(E3-2*E5)</f>
        <v>3344</v>
      </c>
      <c r="F8">
        <f>Deflection!J12</f>
        <v>3985.9974999999995</v>
      </c>
    </row>
    <row r="9" spans="1:6" x14ac:dyDescent="0.25">
      <c r="A9" t="s">
        <v>636</v>
      </c>
    </row>
    <row r="10" spans="1:6" x14ac:dyDescent="0.25">
      <c r="A10" t="s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0111-8456-4422-96F4-90AD373E30C4}">
  <dimension ref="A1:H5"/>
  <sheetViews>
    <sheetView workbookViewId="0">
      <selection activeCell="H4" sqref="H4"/>
    </sheetView>
  </sheetViews>
  <sheetFormatPr defaultRowHeight="15" x14ac:dyDescent="0.25"/>
  <cols>
    <col min="1" max="1" width="23.42578125" bestFit="1" customWidth="1"/>
    <col min="2" max="2" width="10" bestFit="1" customWidth="1"/>
    <col min="3" max="3" width="10.28515625" bestFit="1" customWidth="1"/>
    <col min="4" max="4" width="10.140625" bestFit="1" customWidth="1"/>
    <col min="5" max="5" width="10.140625" customWidth="1"/>
    <col min="8" max="8" width="10" bestFit="1" customWidth="1"/>
  </cols>
  <sheetData>
    <row r="1" spans="1:8" x14ac:dyDescent="0.25">
      <c r="A1" t="s">
        <v>658</v>
      </c>
      <c r="B1" t="s">
        <v>46</v>
      </c>
      <c r="C1" t="s">
        <v>44</v>
      </c>
      <c r="D1" t="s">
        <v>664</v>
      </c>
      <c r="E1" t="s">
        <v>660</v>
      </c>
      <c r="F1" t="s">
        <v>663</v>
      </c>
      <c r="G1" t="s">
        <v>662</v>
      </c>
      <c r="H1" t="s">
        <v>661</v>
      </c>
    </row>
    <row r="2" spans="1:8" x14ac:dyDescent="0.25">
      <c r="A2" t="s">
        <v>570</v>
      </c>
      <c r="B2">
        <v>210000</v>
      </c>
      <c r="C2">
        <v>72000</v>
      </c>
      <c r="D2">
        <v>5000</v>
      </c>
      <c r="E2">
        <v>5400</v>
      </c>
      <c r="F2">
        <v>3800</v>
      </c>
      <c r="G2">
        <v>26000</v>
      </c>
      <c r="H2" t="s">
        <v>399</v>
      </c>
    </row>
    <row r="3" spans="1:8" x14ac:dyDescent="0.25">
      <c r="A3" t="s">
        <v>659</v>
      </c>
      <c r="B3">
        <v>1E-4</v>
      </c>
      <c r="C3">
        <f>0.00001</f>
        <v>1.0000000000000001E-5</v>
      </c>
      <c r="D3">
        <f>0.01</f>
        <v>0.01</v>
      </c>
      <c r="E3">
        <f>0.013</f>
        <v>1.2999999999999999E-2</v>
      </c>
      <c r="F3">
        <f>0.015</f>
        <v>1.4999999999999999E-2</v>
      </c>
      <c r="G3">
        <f>0.005</f>
        <v>5.0000000000000001E-3</v>
      </c>
      <c r="H3">
        <v>0.2</v>
      </c>
    </row>
    <row r="4" spans="1:8" x14ac:dyDescent="0.25">
      <c r="B4">
        <f>B2*B3</f>
        <v>21</v>
      </c>
      <c r="C4">
        <f t="shared" ref="C4:G4" si="0">C2*C3</f>
        <v>0.72000000000000008</v>
      </c>
      <c r="D4">
        <f t="shared" si="0"/>
        <v>50</v>
      </c>
      <c r="E4">
        <f t="shared" si="0"/>
        <v>70.2</v>
      </c>
      <c r="F4">
        <f t="shared" si="0"/>
        <v>57</v>
      </c>
      <c r="G4">
        <f t="shared" si="0"/>
        <v>130</v>
      </c>
      <c r="H4">
        <f>MAX(B4:G4)</f>
        <v>130</v>
      </c>
    </row>
    <row r="5" spans="1:8" x14ac:dyDescent="0.25">
      <c r="B5" s="123">
        <f>B4/$H$4</f>
        <v>0.16153846153846155</v>
      </c>
      <c r="C5" s="123">
        <f t="shared" ref="C5:G5" si="1">C4/$H$4</f>
        <v>5.538461538461539E-3</v>
      </c>
      <c r="D5" s="123">
        <f t="shared" si="1"/>
        <v>0.38461538461538464</v>
      </c>
      <c r="E5" s="123">
        <f t="shared" si="1"/>
        <v>0.54</v>
      </c>
      <c r="F5" s="123">
        <f t="shared" si="1"/>
        <v>0.43846153846153846</v>
      </c>
      <c r="G5" s="123">
        <f t="shared" si="1"/>
        <v>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1090-4CD1-46BE-A25E-6EC2A1C6D55C}">
  <dimension ref="A1:D17"/>
  <sheetViews>
    <sheetView workbookViewId="0">
      <selection activeCell="D14" sqref="D14"/>
    </sheetView>
  </sheetViews>
  <sheetFormatPr defaultRowHeight="15" x14ac:dyDescent="0.25"/>
  <cols>
    <col min="1" max="1" width="35" bestFit="1" customWidth="1"/>
  </cols>
  <sheetData>
    <row r="1" spans="1:4" ht="15.75" thickBot="1" x14ac:dyDescent="0.3">
      <c r="A1" t="s">
        <v>669</v>
      </c>
      <c r="B1" t="s">
        <v>3</v>
      </c>
      <c r="C1" s="85">
        <f>Deflection!C18</f>
        <v>1440</v>
      </c>
      <c r="D1" s="85">
        <f>Deflection!D18</f>
        <v>1440</v>
      </c>
    </row>
    <row r="2" spans="1:4" ht="15.75" thickTop="1" x14ac:dyDescent="0.25">
      <c r="A2" t="s">
        <v>670</v>
      </c>
      <c r="B2" t="s">
        <v>3</v>
      </c>
      <c r="C2" s="6">
        <v>1140</v>
      </c>
      <c r="D2" s="6">
        <v>1140</v>
      </c>
    </row>
    <row r="3" spans="1:4" x14ac:dyDescent="0.25">
      <c r="A3" t="s">
        <v>667</v>
      </c>
      <c r="B3" t="s">
        <v>3</v>
      </c>
      <c r="C3" s="6">
        <v>520</v>
      </c>
      <c r="D3" s="6">
        <v>520</v>
      </c>
    </row>
    <row r="4" spans="1:4" x14ac:dyDescent="0.25">
      <c r="A4" t="s">
        <v>668</v>
      </c>
      <c r="B4" t="s">
        <v>3</v>
      </c>
      <c r="C4" s="6">
        <v>400</v>
      </c>
      <c r="D4" s="6">
        <v>400</v>
      </c>
    </row>
    <row r="5" spans="1:4" ht="15.75" thickBot="1" x14ac:dyDescent="0.3">
      <c r="A5" t="s">
        <v>676</v>
      </c>
      <c r="B5" t="s">
        <v>19</v>
      </c>
      <c r="C5" s="99">
        <f>Deflection!C2/2</f>
        <v>175</v>
      </c>
      <c r="D5" s="99">
        <f>Deflection!D2/2</f>
        <v>175</v>
      </c>
    </row>
    <row r="6" spans="1:4" ht="15.75" thickTop="1" x14ac:dyDescent="0.25">
      <c r="A6" t="s">
        <v>671</v>
      </c>
      <c r="B6" t="s">
        <v>3</v>
      </c>
      <c r="C6">
        <f>C1/2-C3</f>
        <v>200</v>
      </c>
      <c r="D6">
        <f>D1/2-D3</f>
        <v>200</v>
      </c>
    </row>
    <row r="7" spans="1:4" x14ac:dyDescent="0.25">
      <c r="A7" t="s">
        <v>672</v>
      </c>
      <c r="B7" t="s">
        <v>411</v>
      </c>
      <c r="C7" s="3">
        <f>C5+C6</f>
        <v>375</v>
      </c>
      <c r="D7" s="3">
        <f>D5+D6</f>
        <v>375</v>
      </c>
    </row>
    <row r="8" spans="1:4" x14ac:dyDescent="0.25">
      <c r="A8" t="s">
        <v>673</v>
      </c>
      <c r="B8" t="s">
        <v>32</v>
      </c>
      <c r="C8" s="11">
        <v>0.13</v>
      </c>
      <c r="D8" s="11">
        <v>1</v>
      </c>
    </row>
    <row r="9" spans="1:4" x14ac:dyDescent="0.25">
      <c r="A9" t="s">
        <v>674</v>
      </c>
      <c r="B9" t="s">
        <v>19</v>
      </c>
      <c r="C9">
        <f>C8*C5</f>
        <v>22.75</v>
      </c>
      <c r="D9">
        <f>D8*D5</f>
        <v>175</v>
      </c>
    </row>
    <row r="10" spans="1:4" x14ac:dyDescent="0.25">
      <c r="A10" t="s">
        <v>675</v>
      </c>
      <c r="B10" t="s">
        <v>19</v>
      </c>
      <c r="C10">
        <f>(1-C8)*C5</f>
        <v>152.25</v>
      </c>
      <c r="D10">
        <f>(1-D8)*D5</f>
        <v>0</v>
      </c>
    </row>
    <row r="11" spans="1:4" x14ac:dyDescent="0.25">
      <c r="A11" t="s">
        <v>681</v>
      </c>
      <c r="B11" t="s">
        <v>3</v>
      </c>
      <c r="C11">
        <f>C3</f>
        <v>520</v>
      </c>
      <c r="D11">
        <f>D3</f>
        <v>520</v>
      </c>
    </row>
    <row r="12" spans="1:4" x14ac:dyDescent="0.25">
      <c r="A12" t="s">
        <v>682</v>
      </c>
      <c r="B12" t="s">
        <v>3</v>
      </c>
      <c r="C12">
        <f>C4</f>
        <v>400</v>
      </c>
      <c r="D12">
        <f>D4</f>
        <v>400</v>
      </c>
    </row>
    <row r="13" spans="1:4" x14ac:dyDescent="0.25">
      <c r="A13" t="s">
        <v>570</v>
      </c>
      <c r="B13" t="s">
        <v>656</v>
      </c>
      <c r="C13">
        <f>Deflection!C34</f>
        <v>68900</v>
      </c>
      <c r="D13">
        <f>Deflection!D34</f>
        <v>68900</v>
      </c>
    </row>
    <row r="14" spans="1:4" x14ac:dyDescent="0.25">
      <c r="A14" t="s">
        <v>678</v>
      </c>
      <c r="B14" t="s">
        <v>148</v>
      </c>
      <c r="C14">
        <v>701600</v>
      </c>
      <c r="D14">
        <v>2217700</v>
      </c>
    </row>
    <row r="15" spans="1:4" x14ac:dyDescent="0.25">
      <c r="A15" t="s">
        <v>677</v>
      </c>
      <c r="B15" t="s">
        <v>148</v>
      </c>
      <c r="C15">
        <v>2217700</v>
      </c>
      <c r="D15">
        <v>0</v>
      </c>
    </row>
    <row r="16" spans="1:4" x14ac:dyDescent="0.25">
      <c r="A16" t="s">
        <v>679</v>
      </c>
      <c r="B16" t="s">
        <v>3</v>
      </c>
      <c r="C16">
        <f>C9*C11^3/(3*C$13*C14)+C7*C11^2/(2*C13*C14)</f>
        <v>2.3106574012320445E-2</v>
      </c>
      <c r="D16">
        <f>D9*D11^3/(3*D$13*D14)+D7*D11^2/(2*D13*D14)</f>
        <v>5.4010855487142746E-2</v>
      </c>
    </row>
    <row r="17" spans="1:4" x14ac:dyDescent="0.25">
      <c r="A17" t="s">
        <v>680</v>
      </c>
      <c r="B17" t="s">
        <v>3</v>
      </c>
      <c r="C17">
        <f>C10*C12^3/(3*C$13*C15)</f>
        <v>2.1256609886169151E-2</v>
      </c>
      <c r="D17" t="e">
        <f>D10*D12^3/(3*D$13*D15)</f>
        <v>#DIV/0!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6DF-B3B3-4761-9301-4F455855997F}">
  <dimension ref="A1:H16"/>
  <sheetViews>
    <sheetView tabSelected="1" workbookViewId="0">
      <selection activeCell="C16" sqref="C16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695</v>
      </c>
      <c r="C1" t="s">
        <v>717</v>
      </c>
      <c r="D1" t="s">
        <v>696</v>
      </c>
      <c r="E1" t="s">
        <v>697</v>
      </c>
      <c r="F1" t="s">
        <v>147</v>
      </c>
      <c r="G1" t="s">
        <v>698</v>
      </c>
      <c r="H1" t="s">
        <v>716</v>
      </c>
    </row>
    <row r="2" spans="1:8" x14ac:dyDescent="0.25">
      <c r="A2" s="47" t="s">
        <v>699</v>
      </c>
      <c r="B2" s="47">
        <f>SUM(D2:G2)</f>
        <v>1.55</v>
      </c>
      <c r="C2" s="124">
        <f>B2*1000/25.4/12</f>
        <v>5.0853018372703414</v>
      </c>
      <c r="D2">
        <v>1</v>
      </c>
      <c r="E2">
        <v>0.55000000000000004</v>
      </c>
    </row>
    <row r="3" spans="1:8" x14ac:dyDescent="0.25">
      <c r="A3" s="47" t="s">
        <v>700</v>
      </c>
      <c r="B3" s="47">
        <f t="shared" ref="B3:B15" si="0">SUM(D3:G3)</f>
        <v>3.1</v>
      </c>
      <c r="C3" s="124">
        <f t="shared" ref="C3:C16" si="1">B3*1000/25.4/12</f>
        <v>10.170603674540683</v>
      </c>
      <c r="D3">
        <v>1</v>
      </c>
      <c r="E3">
        <v>2.1</v>
      </c>
    </row>
    <row r="4" spans="1:8" x14ac:dyDescent="0.25">
      <c r="A4" s="124" t="s">
        <v>701</v>
      </c>
      <c r="B4" s="47">
        <f t="shared" si="0"/>
        <v>2.5</v>
      </c>
      <c r="C4" s="124">
        <f t="shared" si="1"/>
        <v>8.2020997375328086</v>
      </c>
      <c r="D4">
        <v>1</v>
      </c>
      <c r="E4">
        <v>0.9</v>
      </c>
      <c r="F4">
        <v>0.6</v>
      </c>
    </row>
    <row r="5" spans="1:8" x14ac:dyDescent="0.25">
      <c r="A5" s="121" t="s">
        <v>702</v>
      </c>
      <c r="B5" s="47">
        <f t="shared" si="0"/>
        <v>2.4</v>
      </c>
      <c r="C5" s="124">
        <f t="shared" si="1"/>
        <v>7.8740157480314963</v>
      </c>
      <c r="D5">
        <v>1</v>
      </c>
      <c r="E5">
        <v>0.9</v>
      </c>
      <c r="F5">
        <v>0.5</v>
      </c>
    </row>
    <row r="6" spans="1:8" x14ac:dyDescent="0.25">
      <c r="A6" s="121" t="s">
        <v>703</v>
      </c>
      <c r="B6" s="47">
        <f t="shared" si="0"/>
        <v>2.4</v>
      </c>
      <c r="C6" s="124">
        <f t="shared" si="1"/>
        <v>7.8740157480314963</v>
      </c>
      <c r="D6">
        <v>1</v>
      </c>
      <c r="E6">
        <v>0.9</v>
      </c>
      <c r="F6">
        <v>0.5</v>
      </c>
    </row>
    <row r="7" spans="1:8" x14ac:dyDescent="0.25">
      <c r="A7" s="121" t="s">
        <v>704</v>
      </c>
      <c r="B7" s="47">
        <f t="shared" si="0"/>
        <v>5</v>
      </c>
      <c r="C7" s="124">
        <f t="shared" si="1"/>
        <v>16.404199475065617</v>
      </c>
      <c r="D7">
        <v>1</v>
      </c>
      <c r="E7">
        <v>0.9</v>
      </c>
      <c r="F7">
        <v>2.6</v>
      </c>
      <c r="G7">
        <v>0.5</v>
      </c>
    </row>
    <row r="8" spans="1:8" x14ac:dyDescent="0.25">
      <c r="A8" s="121" t="s">
        <v>705</v>
      </c>
      <c r="B8" s="47">
        <f t="shared" si="0"/>
        <v>5</v>
      </c>
      <c r="C8" s="124">
        <f t="shared" si="1"/>
        <v>16.404199475065617</v>
      </c>
      <c r="D8">
        <v>1</v>
      </c>
      <c r="E8">
        <v>0.9</v>
      </c>
      <c r="F8">
        <v>2.6</v>
      </c>
      <c r="G8">
        <v>0.5</v>
      </c>
    </row>
    <row r="9" spans="1:8" x14ac:dyDescent="0.25">
      <c r="A9" s="124" t="s">
        <v>706</v>
      </c>
      <c r="B9" s="47">
        <f t="shared" si="0"/>
        <v>4.9000000000000004</v>
      </c>
      <c r="C9" s="124">
        <f t="shared" si="1"/>
        <v>16.076115485564305</v>
      </c>
      <c r="D9">
        <v>1</v>
      </c>
      <c r="E9">
        <v>0.9</v>
      </c>
      <c r="F9">
        <v>2.6</v>
      </c>
      <c r="G9">
        <v>0.4</v>
      </c>
    </row>
    <row r="10" spans="1:8" x14ac:dyDescent="0.25">
      <c r="A10" s="121" t="s">
        <v>707</v>
      </c>
      <c r="B10" s="47">
        <f t="shared" si="0"/>
        <v>4.9000000000000004</v>
      </c>
      <c r="C10" s="124">
        <f t="shared" si="1"/>
        <v>16.076115485564305</v>
      </c>
      <c r="D10">
        <v>1</v>
      </c>
      <c r="E10">
        <v>0.9</v>
      </c>
      <c r="F10">
        <v>2.6</v>
      </c>
      <c r="G10">
        <v>0.4</v>
      </c>
    </row>
    <row r="11" spans="1:8" x14ac:dyDescent="0.25">
      <c r="A11" s="121" t="s">
        <v>708</v>
      </c>
      <c r="B11" s="47">
        <f t="shared" si="0"/>
        <v>5.05</v>
      </c>
      <c r="C11" s="124">
        <f t="shared" si="1"/>
        <v>16.568241469816275</v>
      </c>
      <c r="D11">
        <v>1</v>
      </c>
      <c r="E11">
        <v>0.9</v>
      </c>
      <c r="F11">
        <v>2.6</v>
      </c>
      <c r="G11">
        <v>0.55000000000000004</v>
      </c>
    </row>
    <row r="12" spans="1:8" x14ac:dyDescent="0.25">
      <c r="A12" t="s">
        <v>709</v>
      </c>
      <c r="B12" s="47">
        <f t="shared" si="0"/>
        <v>1.8</v>
      </c>
      <c r="C12" s="124">
        <f t="shared" si="1"/>
        <v>5.9055118110236222</v>
      </c>
      <c r="D12">
        <v>1</v>
      </c>
      <c r="E12">
        <v>0.8</v>
      </c>
    </row>
    <row r="13" spans="1:8" x14ac:dyDescent="0.25">
      <c r="A13" t="s">
        <v>710</v>
      </c>
      <c r="B13" s="47">
        <f t="shared" si="0"/>
        <v>3.4</v>
      </c>
      <c r="C13" s="124">
        <f t="shared" si="1"/>
        <v>11.15485564304462</v>
      </c>
      <c r="D13">
        <v>1</v>
      </c>
      <c r="E13">
        <v>2.4</v>
      </c>
    </row>
    <row r="14" spans="1:8" x14ac:dyDescent="0.25">
      <c r="A14" s="121" t="s">
        <v>711</v>
      </c>
      <c r="B14" s="47">
        <f t="shared" si="0"/>
        <v>2.4</v>
      </c>
      <c r="C14" s="124">
        <f t="shared" si="1"/>
        <v>7.8740157480314963</v>
      </c>
      <c r="D14">
        <v>1</v>
      </c>
      <c r="E14">
        <v>0.9</v>
      </c>
      <c r="F14">
        <v>0.5</v>
      </c>
    </row>
    <row r="15" spans="1:8" x14ac:dyDescent="0.25">
      <c r="A15" s="121" t="s">
        <v>712</v>
      </c>
      <c r="B15" s="47">
        <f t="shared" si="0"/>
        <v>5</v>
      </c>
      <c r="C15" s="124">
        <f t="shared" si="1"/>
        <v>16.404199475065617</v>
      </c>
      <c r="D15">
        <v>1</v>
      </c>
      <c r="E15">
        <v>0.9</v>
      </c>
      <c r="F15">
        <v>2.6</v>
      </c>
      <c r="G15">
        <v>0.5</v>
      </c>
    </row>
    <row r="16" spans="1:8" x14ac:dyDescent="0.25">
      <c r="A16" s="121" t="s">
        <v>715</v>
      </c>
      <c r="B16" s="47">
        <f t="shared" ref="B16" si="2">SUM(D16:G16)</f>
        <v>5.25</v>
      </c>
      <c r="C16" s="124">
        <f t="shared" si="1"/>
        <v>17.2244094488189</v>
      </c>
      <c r="D16">
        <v>1</v>
      </c>
      <c r="E16">
        <v>0.9</v>
      </c>
      <c r="F16">
        <v>2.6</v>
      </c>
      <c r="G1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Axis Forces</vt:lpstr>
      <vt:lpstr>Tool Speeds</vt:lpstr>
      <vt:lpstr>Cutting Forces</vt:lpstr>
      <vt:lpstr>Cutting Cases</vt:lpstr>
      <vt:lpstr>NEMA Power Comparison</vt:lpstr>
      <vt:lpstr>NEMA34 Power</vt:lpstr>
      <vt:lpstr>NEMA23 Power</vt:lpstr>
      <vt:lpstr>Axis Sizing</vt:lpstr>
      <vt:lpstr>Z Axis Forces</vt:lpstr>
      <vt:lpstr>X Axis Force</vt:lpstr>
      <vt:lpstr>Y Axis Forces</vt:lpstr>
      <vt:lpstr>Deflection</vt:lpstr>
      <vt:lpstr>Hard Stops</vt:lpstr>
      <vt:lpstr>Legs</vt:lpstr>
      <vt:lpstr>PrintNC</vt:lpstr>
      <vt:lpstr>Damping</vt:lpstr>
      <vt:lpstr>Table Deflection</vt:lpstr>
      <vt:lpstr>Cable 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Burks</dc:creator>
  <cp:lastModifiedBy>Andrew Burks</cp:lastModifiedBy>
  <dcterms:created xsi:type="dcterms:W3CDTF">2020-10-15T06:14:50Z</dcterms:created>
  <dcterms:modified xsi:type="dcterms:W3CDTF">2022-04-08T01:01:37Z</dcterms:modified>
</cp:coreProperties>
</file>