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sharedStrings.xml" ContentType="application/vnd.openxmlformats-officedocument.spreadsheetml.sharedStrings+xml"/>
  <Override PartName="/xl/drawings/vmlDrawing1.vml" ContentType="application/vnd.openxmlformats-officedocument.vmlDrawing"/>
  <Override PartName="/xl/worksheets/_rels/sheet1.xml.rels" ContentType="application/vnd.openxmlformats-package.relationships+xml"/>
  <Override PartName="/xl/worksheets/sheet2.xml" ContentType="application/vnd.openxmlformats-officedocument.spreadsheetml.worksheet+xml"/>
  <Override PartName="/xl/worksheets/sheet1.xml" ContentType="application/vnd.openxmlformats-officedocument.spreadsheetml.worksheet+xml"/>
  <Override PartName="/xl/worksheets/sheet3.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book.xml" ContentType="application/vnd.openxmlformats-officedocument.spreadsheetml.sheet.main+xml"/>
  <Override PartName="/xl/comments1.xml" ContentType="application/vnd.openxmlformats-officedocument.spreadsheetml.comments+xml"/>
  <Override PartName="/xl/styles.xml" ContentType="application/vnd.openxmlformats-officedocument.spreadsheetml.styles+xml"/>
  <Override PartName="/_rels/.rels" ContentType="application/vnd.openxmlformats-package.relationships+xml"/>
  <Override PartName="/docProps/app.xml" ContentType="application/vnd.openxmlformats-officedocument.extended-properties+xml"/>
  <Override PartName="/docProps/custom.xml" ContentType="application/vnd.openxmlformats-officedocument.custom-properties+xml"/>
  <Override PartName="/docProps/core.xml" ContentType="application/vnd.openxmlformats-package.core-properties+xml"/>
  <Override PartName="/customXml/itemProps3.xml" ContentType="application/vnd.openxmlformats-officedocument.customXmlProperties+xml"/>
  <Override PartName="/customXml/_rels/item2.xml.rels" ContentType="application/vnd.openxmlformats-package.relationships+xml"/>
  <Override PartName="/customXml/_rels/item1.xml.rels" ContentType="application/vnd.openxmlformats-package.relationships+xml"/>
  <Override PartName="/customXml/_rels/item3.xml.rels" ContentType="application/vnd.openxmlformats-package.relationships+xml"/>
  <Override PartName="/customXml/item3.xml" ContentType="application/xml"/>
  <Override PartName="/customXml/itemProps2.xml" ContentType="application/vnd.openxmlformats-officedocument.customXmlProperties+xml"/>
  <Override PartName="/customXml/item1.xml" ContentType="application/xml"/>
  <Override PartName="/customXml/item2.xml" ContentType="application/xml"/>
  <Override PartName="/customXml/itemProps1.xml" ContentType="application/vnd.openxmlformats-officedocument.customXml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5" Type="http://schemas.openxmlformats.org/officeDocument/2006/relationships/customXml" Target="../customXml/item1.xml"/><Relationship Id="rId6" Type="http://schemas.openxmlformats.org/officeDocument/2006/relationships/customXml" Target="../customXml/item2.xml"/><Relationship Id="rId7" Type="http://schemas.openxmlformats.org/officeDocument/2006/relationships/customXml" Target="../customXml/item3.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All_Data" sheetId="1" state="visible" r:id="rId2"/>
    <sheet name="Notes" sheetId="2" state="visible" r:id="rId3"/>
    <sheet name="Microbiology" sheetId="3" state="visible" r:id="rId4"/>
    <sheet name="micro_name_key" sheetId="4" state="visible" r:id="rId5"/>
    <sheet name="micro_codes" sheetId="5" state="visible" r:id="rId6"/>
  </sheet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 </author>
  </authors>
  <commentList>
    <comment ref="A7" authorId="0">
      <text>
        <r>
          <rPr>
            <b val="true"/>
            <sz val="9"/>
            <color rgb="FF000000"/>
            <rFont val="Tahoma"/>
            <family val="2"/>
            <charset val="1"/>
          </rPr>
          <t xml:space="preserve">Raya Ahmed:
</t>
        </r>
        <r>
          <rPr>
            <sz val="9"/>
            <color rgb="FF000000"/>
            <rFont val="Tahoma"/>
            <family val="2"/>
            <charset val="1"/>
          </rPr>
          <t xml:space="preserve">data was unreliable on fortessa that day. DO NOT USE
</t>
        </r>
      </text>
    </comment>
    <comment ref="A10" authorId="0">
      <text>
        <r>
          <rPr>
            <b val="true"/>
            <sz val="9"/>
            <color rgb="FF000000"/>
            <rFont val="Tahoma"/>
            <family val="2"/>
            <charset val="1"/>
          </rPr>
          <t xml:space="preserve">Raya Ahmed:
</t>
        </r>
        <r>
          <rPr>
            <sz val="9"/>
            <color rgb="FF000000"/>
            <rFont val="Tahoma"/>
            <family val="2"/>
            <charset val="1"/>
          </rPr>
          <t xml:space="preserve">fcs dasta was not good, do not use
</t>
        </r>
      </text>
    </comment>
    <comment ref="A18" authorId="0">
      <text>
        <r>
          <rPr>
            <b val="true"/>
            <sz val="9"/>
            <color rgb="FF000000"/>
            <rFont val="Tahoma"/>
            <family val="0"/>
            <charset val="1"/>
          </rPr>
          <t xml:space="preserve">Raya Ahmed:
</t>
        </r>
        <r>
          <rPr>
            <sz val="9"/>
            <color rgb="FF000000"/>
            <rFont val="Tahoma"/>
            <family val="0"/>
            <charset val="1"/>
          </rPr>
          <t xml:space="preserve">Not enough sample for memory markers</t>
        </r>
      </text>
    </comment>
    <comment ref="A50" authorId="0">
      <text>
        <r>
          <rPr>
            <b val="true"/>
            <sz val="9"/>
            <color rgb="FF000000"/>
            <rFont val="Tahoma"/>
            <family val="0"/>
            <charset val="1"/>
          </rPr>
          <t xml:space="preserve">Raya Ahmed:
</t>
        </r>
        <r>
          <rPr>
            <sz val="9"/>
            <color rgb="FF000000"/>
            <rFont val="Tahoma"/>
            <family val="0"/>
            <charset val="1"/>
          </rPr>
          <t xml:space="preserve">Did not stain enough cells for T-cell panel</t>
        </r>
      </text>
    </comment>
    <comment ref="A51" authorId="0">
      <text>
        <r>
          <rPr>
            <b val="true"/>
            <sz val="9"/>
            <color rgb="FF000000"/>
            <rFont val="Tahoma"/>
            <family val="0"/>
            <charset val="1"/>
          </rPr>
          <t xml:space="preserve">Raya Ahmed:
</t>
        </r>
        <r>
          <rPr>
            <sz val="9"/>
            <color rgb="FF000000"/>
            <rFont val="Tahoma"/>
            <family val="0"/>
            <charset val="1"/>
          </rPr>
          <t xml:space="preserve">Neutrophil data is not available
</t>
        </r>
      </text>
    </comment>
    <comment ref="A52" authorId="0">
      <text>
        <r>
          <rPr>
            <b val="true"/>
            <sz val="9"/>
            <color rgb="FF000000"/>
            <rFont val="Tahoma"/>
            <family val="0"/>
            <charset val="1"/>
          </rPr>
          <t xml:space="preserve">Raya Ahmed:
</t>
        </r>
        <r>
          <rPr>
            <sz val="9"/>
            <color rgb="FF000000"/>
            <rFont val="Tahoma"/>
            <family val="0"/>
            <charset val="1"/>
          </rPr>
          <t xml:space="preserve">Fortessa went wrong that day, no reliable data available</t>
        </r>
      </text>
    </comment>
    <comment ref="A53" authorId="0">
      <text>
        <r>
          <rPr>
            <b val="true"/>
            <sz val="9"/>
            <color rgb="FF000000"/>
            <rFont val="Tahoma"/>
            <family val="0"/>
            <charset val="1"/>
          </rPr>
          <t xml:space="preserve">Raya Ahmed:
</t>
        </r>
        <r>
          <rPr>
            <sz val="9"/>
            <color rgb="FF000000"/>
            <rFont val="Tahoma"/>
            <family val="0"/>
            <charset val="1"/>
          </rPr>
          <t xml:space="preserve">Acquired Neutrophil panel cells  at FSC=350. NO cells available
</t>
        </r>
      </text>
    </comment>
    <comment ref="A54" authorId="0">
      <text>
        <r>
          <rPr>
            <b val="true"/>
            <sz val="9"/>
            <color rgb="FF000000"/>
            <rFont val="Tahoma"/>
            <family val="0"/>
            <charset val="1"/>
          </rPr>
          <t xml:space="preserve">Raya Ahmed:
</t>
        </r>
        <r>
          <rPr>
            <sz val="9"/>
            <color rgb="FF000000"/>
            <rFont val="Tahoma"/>
            <family val="0"/>
            <charset val="1"/>
          </rPr>
          <t xml:space="preserve">Not enough to stain for Neutrophl panel</t>
        </r>
      </text>
    </comment>
    <comment ref="N15" authorId="0">
      <text>
        <r>
          <rPr>
            <b val="true"/>
            <sz val="9"/>
            <color rgb="FF000000"/>
            <rFont val="Tahoma"/>
            <family val="2"/>
            <charset val="1"/>
          </rPr>
          <t xml:space="preserve">Raya Ahmed:
</t>
        </r>
        <r>
          <rPr>
            <sz val="9"/>
            <color rgb="FF000000"/>
            <rFont val="Tahoma"/>
            <family val="2"/>
            <charset val="1"/>
          </rPr>
          <t xml:space="preserve">- missed bag</t>
        </r>
      </text>
    </comment>
    <comment ref="N63" authorId="0">
      <text>
        <r>
          <rPr>
            <b val="true"/>
            <sz val="9"/>
            <color rgb="FF000000"/>
            <rFont val="Tahoma"/>
            <family val="2"/>
            <charset val="1"/>
          </rPr>
          <t xml:space="preserve">Raya Ahmed:
</t>
        </r>
        <r>
          <rPr>
            <sz val="9"/>
            <color rgb="FF000000"/>
            <rFont val="Tahoma"/>
            <family val="2"/>
            <charset val="1"/>
          </rPr>
          <t xml:space="preserve">- missed bag</t>
        </r>
      </text>
    </comment>
    <comment ref="AA97" authorId="0">
      <text>
        <r>
          <rPr>
            <b val="true"/>
            <sz val="9"/>
            <color rgb="FF000000"/>
            <rFont val="Tahoma"/>
            <family val="2"/>
            <charset val="1"/>
          </rPr>
          <t xml:space="preserve">Raya Ahmed:
</t>
        </r>
        <r>
          <rPr>
            <sz val="9"/>
            <color rgb="FF000000"/>
            <rFont val="Tahoma"/>
            <family val="2"/>
            <charset val="1"/>
          </rPr>
          <t xml:space="preserve">Ficoll failed</t>
        </r>
      </text>
    </comment>
    <comment ref="AC18" authorId="0">
      <text>
        <r>
          <rPr>
            <b val="true"/>
            <sz val="9"/>
            <color rgb="FF000000"/>
            <rFont val="Tahoma"/>
            <family val="0"/>
            <charset val="1"/>
          </rPr>
          <t xml:space="preserve">Raya Ahmed:
</t>
        </r>
        <r>
          <rPr>
            <sz val="9"/>
            <color rgb="FF000000"/>
            <rFont val="Tahoma"/>
            <family val="0"/>
            <charset val="1"/>
          </rPr>
          <t xml:space="preserve">Ficoll didn't work that well either. </t>
        </r>
      </text>
    </comment>
    <comment ref="AC66" authorId="0">
      <text>
        <r>
          <rPr>
            <b val="true"/>
            <sz val="9"/>
            <color rgb="FF000000"/>
            <rFont val="Tahoma"/>
            <family val="0"/>
            <charset val="1"/>
          </rPr>
          <t xml:space="preserve">Raya Ahmed:
</t>
        </r>
        <r>
          <rPr>
            <sz val="9"/>
            <color rgb="FF000000"/>
            <rFont val="Tahoma"/>
            <family val="0"/>
            <charset val="1"/>
          </rPr>
          <t xml:space="preserve">Ficoll didn't work that well either. </t>
        </r>
      </text>
    </comment>
    <comment ref="AF1" authorId="0">
      <text>
        <r>
          <rPr>
            <b val="true"/>
            <sz val="9"/>
            <color rgb="FF000000"/>
            <rFont val="Tahoma"/>
            <family val="2"/>
            <charset val="1"/>
          </rPr>
          <t xml:space="preserve">Simone Twohig:
</t>
        </r>
        <r>
          <rPr>
            <sz val="9"/>
            <color rgb="FF000000"/>
            <rFont val="Tahoma"/>
            <family val="2"/>
            <charset val="1"/>
          </rPr>
          <t xml:space="preserve">Maybe should set a lower threshold for this below which we do not look at subsets of CXCR3+, CD27/CD45 etc.</t>
        </r>
      </text>
    </comment>
  </commentList>
</comments>
</file>

<file path=xl/sharedStrings.xml><?xml version="1.0" encoding="utf-8"?>
<sst xmlns="http://schemas.openxmlformats.org/spreadsheetml/2006/main" count="2013" uniqueCount="605">
  <si>
    <t xml:space="preserve">pt_no</t>
  </si>
  <si>
    <t xml:space="preserve">status</t>
  </si>
  <si>
    <t xml:space="preserve">flag</t>
  </si>
  <si>
    <t xml:space="preserve">cell_origin</t>
  </si>
  <si>
    <t xml:space="preserve">dob</t>
  </si>
  <si>
    <t xml:space="preserve">commenced_pd</t>
  </si>
  <si>
    <t xml:space="preserve">processing_date</t>
  </si>
  <si>
    <t xml:space="preserve">gender</t>
  </si>
  <si>
    <t xml:space="preserve">age_years</t>
  </si>
  <si>
    <t xml:space="preserve">age_days</t>
  </si>
  <si>
    <t xml:space="preserve">time_on_pd</t>
  </si>
  <si>
    <t xml:space="preserve">hypertension</t>
  </si>
  <si>
    <t xml:space="preserve">diabetes</t>
  </si>
  <si>
    <t xml:space="preserve">infection_info_0</t>
  </si>
  <si>
    <t xml:space="preserve">infection_info_1</t>
  </si>
  <si>
    <t xml:space="preserve">infection_info_2</t>
  </si>
  <si>
    <t xml:space="preserve">overnight_bag</t>
  </si>
  <si>
    <t xml:space="preserve">bag_notes</t>
  </si>
  <si>
    <t xml:space="preserve">Bag - Recorded the system drained into the patient when the cloudy fluid was drained out.  If possible the system of the cloudy fluid drained out also recorded.  </t>
  </si>
  <si>
    <t xml:space="preserve">Dwell </t>
  </si>
  <si>
    <t xml:space="preserve">Wt full</t>
  </si>
  <si>
    <t xml:space="preserve">Wt Empty</t>
  </si>
  <si>
    <t xml:space="preserve">Wt </t>
  </si>
  <si>
    <t xml:space="preserve">Ann's Cell Count </t>
  </si>
  <si>
    <t xml:space="preserve"> Cell Count Neat</t>
  </si>
  <si>
    <t xml:space="preserve">Total Bag Cell Number</t>
  </si>
  <si>
    <t xml:space="preserve">Ficolled Bag total cell number</t>
  </si>
  <si>
    <t xml:space="preserve">Notes  Unless stated presume is 1st bag.  </t>
  </si>
  <si>
    <t xml:space="preserve">PBMC count</t>
  </si>
  <si>
    <t xml:space="preserve">count CD3+</t>
  </si>
  <si>
    <t xml:space="preserve">count Vd2+ Pan gd</t>
  </si>
  <si>
    <t xml:space="preserve">Vd2+ Pan gd % of CD3</t>
  </si>
  <si>
    <t xml:space="preserve">CXCR3+ Vd2+ % of Vd2</t>
  </si>
  <si>
    <t xml:space="preserve">count Vd2- Pan gd+ </t>
  </si>
  <si>
    <t xml:space="preserve">Vd2- Pan gd+ % of CD3</t>
  </si>
  <si>
    <t xml:space="preserve">count MAITs</t>
  </si>
  <si>
    <t xml:space="preserve">MAITs % CD3</t>
  </si>
  <si>
    <t xml:space="preserve">CXCR3+ CD8+ MAITs % of MAITs</t>
  </si>
  <si>
    <t xml:space="preserve">CXCR3+ CD8- MAITs % of MAITs</t>
  </si>
  <si>
    <t xml:space="preserve">CD8+ MAITs % of MAITs</t>
  </si>
  <si>
    <t xml:space="preserve">CD4+ MAITs % of MAITs</t>
  </si>
  <si>
    <t xml:space="preserve">count CD8+</t>
  </si>
  <si>
    <t xml:space="preserve">CD8+ CXCR3+ % of CD8</t>
  </si>
  <si>
    <t xml:space="preserve">CD8+ CD45RA- CD27+ % of CD8</t>
  </si>
  <si>
    <t xml:space="preserve">CD8+ CD45RA+ CD27+ % of CD8</t>
  </si>
  <si>
    <t xml:space="preserve">CD8+ CD45RA+ CD27- % of CD8</t>
  </si>
  <si>
    <t xml:space="preserve">CD8+ CD45RA- CD27- % of CD8</t>
  </si>
  <si>
    <t xml:space="preserve">CD8+ CD45RA- CCR7+ % of CD8</t>
  </si>
  <si>
    <t xml:space="preserve">CD8+ CD45RA+CCR7+ % of CD8</t>
  </si>
  <si>
    <t xml:space="preserve">CD8+ CD45RA+ CCR7- % of CD8</t>
  </si>
  <si>
    <t xml:space="preserve">CD8+ CD45RA- CCR7- % of CD8</t>
  </si>
  <si>
    <t xml:space="preserve">count CD4+</t>
  </si>
  <si>
    <t xml:space="preserve">CD4+CXCR3+ % of CD4+</t>
  </si>
  <si>
    <t xml:space="preserve">CD4+CD45RA- CD27+ % of CD4+</t>
  </si>
  <si>
    <t xml:space="preserve">CD4+CD45RA+ CD27+ % of CD4+</t>
  </si>
  <si>
    <t xml:space="preserve">CD4+CD45RA+ CD27- % of CD4+</t>
  </si>
  <si>
    <t xml:space="preserve">CD4+CD45RA- CD27- % of CD4+</t>
  </si>
  <si>
    <t xml:space="preserve">CD4+CD45RA- CCR7+ % of CD4+</t>
  </si>
  <si>
    <t xml:space="preserve">CD4+CD45RA+ CCR7+ % of CD4+</t>
  </si>
  <si>
    <t xml:space="preserve">CD4+CD45RA+ CCR7- % of CD4+</t>
  </si>
  <si>
    <t xml:space="preserve">CD4+CD45RA- CCR7- % of CD4+</t>
  </si>
  <si>
    <t xml:space="preserve">Vd2+ Pan gd+ CD45RA- CD27+ % of Vd2+ Pan gd+</t>
  </si>
  <si>
    <t xml:space="preserve">Vd2+ Pan gd+ CD45RA+ CD27+ % of Vd2+ Pan gd+</t>
  </si>
  <si>
    <t xml:space="preserve">Vd2+ Pan gd+ CD45RA+ CD27- % of Vd2+ Pan gd+</t>
  </si>
  <si>
    <t xml:space="preserve">Vd2+ Pan gd+ CD45RA- CD27- % of Vd2+ Pan gd+</t>
  </si>
  <si>
    <t xml:space="preserve">Vd2+ Pan gd+ CD45RA- CCR7+ % of Vd2+ Pan gd+</t>
  </si>
  <si>
    <t xml:space="preserve">Vd2+ Pan gd+ CD45RA+ CCR7+ % of Vd2+ Pan gd+</t>
  </si>
  <si>
    <t xml:space="preserve">Vd2+ Pan gd+ CD45RA+ CCR7- % of Vd2+ Pan gd+</t>
  </si>
  <si>
    <t xml:space="preserve">Vd2+ Pan gd+ CD45RA- CCR7- % of Vd2+ Pan gd+</t>
  </si>
  <si>
    <t xml:space="preserve">MAITs  CD45RA- CD27+ % of MAITs</t>
  </si>
  <si>
    <t xml:space="preserve">MAITs  CD45RA+ CD27+ % of MAITs</t>
  </si>
  <si>
    <t xml:space="preserve">MAITs  CD45RA+ CD27- % of MAITs</t>
  </si>
  <si>
    <t xml:space="preserve">MAITs  CD45RA- CD27- % of MAITs</t>
  </si>
  <si>
    <t xml:space="preserve">MAITs  CD45RA- CCR7+ % of MAITs</t>
  </si>
  <si>
    <t xml:space="preserve">MAITs  CD45RA+ CCR7+ % of MAITs</t>
  </si>
  <si>
    <t xml:space="preserve">MAITs  CD45RA+ CCR7- % of MAITs</t>
  </si>
  <si>
    <t xml:space="preserve">MAITs  CD45RA- CCR7- % of MAITs</t>
  </si>
  <si>
    <t xml:space="preserve">CD3+ % of total</t>
  </si>
  <si>
    <t xml:space="preserve">Cell count for FACS T cell panel</t>
  </si>
  <si>
    <t xml:space="preserve">Cell count for FACS N cell panel</t>
  </si>
  <si>
    <t xml:space="preserve">count CD45+ cells</t>
  </si>
  <si>
    <t xml:space="preserve">count T cells</t>
  </si>
  <si>
    <t xml:space="preserve">count B cells</t>
  </si>
  <si>
    <t xml:space="preserve">count eosinophils</t>
  </si>
  <si>
    <t xml:space="preserve">count neutrophils</t>
  </si>
  <si>
    <t xml:space="preserve">count monocytes</t>
  </si>
  <si>
    <t xml:space="preserve">count DCs</t>
  </si>
  <si>
    <t xml:space="preserve">CD45+ % of total cells</t>
  </si>
  <si>
    <t xml:space="preserve">T cells % of total cells</t>
  </si>
  <si>
    <t xml:space="preserve">B cells % of total cells</t>
  </si>
  <si>
    <t xml:space="preserve">epsinophils % of total cells</t>
  </si>
  <si>
    <t xml:space="preserve">neutrophils % of total cells</t>
  </si>
  <si>
    <t xml:space="preserve">monocytes % of total cells</t>
  </si>
  <si>
    <t xml:space="preserve">DCs % of total cells</t>
  </si>
  <si>
    <t xml:space="preserve">T cells % of CD45+</t>
  </si>
  <si>
    <t xml:space="preserve">B cells % of CD45+</t>
  </si>
  <si>
    <t xml:space="preserve">eosinophils % of CD45+</t>
  </si>
  <si>
    <t xml:space="preserve">neutrophils % of CD45+</t>
  </si>
  <si>
    <t xml:space="preserve">monocytes % of CD45+</t>
  </si>
  <si>
    <t xml:space="preserve">DCs % of CD45+</t>
  </si>
  <si>
    <t xml:space="preserve">142-09</t>
  </si>
  <si>
    <t xml:space="preserve">Peritonitis</t>
  </si>
  <si>
    <t xml:space="preserve">PBMC</t>
  </si>
  <si>
    <t xml:space="preserve">M</t>
  </si>
  <si>
    <t xml:space="preserve">N</t>
  </si>
  <si>
    <t xml:space="preserve">Sample not sent to microbiology, no idea what's the infection, previously had Staph epi</t>
  </si>
  <si>
    <t xml:space="preserve">Unknown</t>
  </si>
  <si>
    <t xml:space="preserve">Drained in Dianeal PD4, 1.36% Glucose, 0.448% Lactate 2000 mL </t>
  </si>
  <si>
    <t xml:space="preserve">7</t>
  </si>
  <si>
    <t xml:space="preserve">Raya Haemo </t>
  </si>
  <si>
    <t xml:space="preserve">Collected bag &amp; blood from Joy on transplant ward @ 4pm.  </t>
  </si>
  <si>
    <t xml:space="preserve">PD 142-09R T-PANEL_T1 142-09R PBMC_014.fcs</t>
  </si>
  <si>
    <t xml:space="preserve">165-09</t>
  </si>
  <si>
    <t xml:space="preserve">Stable</t>
  </si>
  <si>
    <t xml:space="preserve">Y</t>
  </si>
  <si>
    <t xml:space="preserve">AA : never infected</t>
  </si>
  <si>
    <t xml:space="preserve">Yes</t>
  </si>
  <si>
    <t xml:space="preserve">Baxter Dianeal PD4, 1.36% Glucose, 2000 mL </t>
  </si>
  <si>
    <t xml:space="preserve">T-cell Panel_PD165-09_Stable_PBMC T1_015.fcs</t>
  </si>
  <si>
    <t xml:space="preserve">175-09</t>
  </si>
  <si>
    <t xml:space="preserve">AB: one previous infection (8/1/2014)</t>
  </si>
  <si>
    <t xml:space="preserve">Enterobacter</t>
  </si>
  <si>
    <t xml:space="preserve">T Cell Panel_175-09 Stable PBMC T1_015.fcs</t>
  </si>
  <si>
    <t xml:space="preserve">209-03</t>
  </si>
  <si>
    <t xml:space="preserve">BG: Coagulase negative Staphylococcus (x2) &amp; Alpha haemolytic Streptococcus</t>
  </si>
  <si>
    <t xml:space="preserve">Ann Haemo</t>
  </si>
  <si>
    <t xml:space="preserve">No count</t>
  </si>
  <si>
    <t xml:space="preserve">Collected bag from nurse on the ward, said patient thinks had been having cloudy bag for a while, but the daughter only contacted ward after becoming sick violently</t>
  </si>
  <si>
    <t xml:space="preserve">No count is provided/ though we have blood sample, no info how many mls</t>
  </si>
  <si>
    <t xml:space="preserve">No T cell panel</t>
  </si>
  <si>
    <t xml:space="preserve">209-05</t>
  </si>
  <si>
    <t xml:space="preserve">AB: one previous infection (21/05/2017)</t>
  </si>
  <si>
    <t xml:space="preserve">BA: Coagulase negative Staphylococcus</t>
  </si>
  <si>
    <t xml:space="preserve">PD210-12-P PDMC 2 T Cells_T1 209-05stable Tpanel PBMC_020.fcs</t>
  </si>
  <si>
    <t xml:space="preserve">210-12</t>
  </si>
  <si>
    <t xml:space="preserve">invalid</t>
  </si>
  <si>
    <t xml:space="preserve">CC: Escherichia coli</t>
  </si>
  <si>
    <t xml:space="preserve">Fresenius 1.5% Glucose</t>
  </si>
  <si>
    <t xml:space="preserve">Drained in Fresenius Stay Safe CAPD17 1.5% 83.2 mM Glucose 35mM Lactate pH 5.5, 1500 mL</t>
  </si>
  <si>
    <t xml:space="preserve">12</t>
  </si>
  <si>
    <t xml:space="preserve">Collected bag &amp; blood from Laura on suite 19 in afternoon approx 3pm.  </t>
  </si>
  <si>
    <t xml:space="preserve">PD210-12-P PBMC 2 T Cells_T1_015.fcs</t>
  </si>
  <si>
    <t xml:space="preserve">210-14</t>
  </si>
  <si>
    <t xml:space="preserve">No info</t>
  </si>
  <si>
    <t xml:space="preserve">no info</t>
  </si>
  <si>
    <t xml:space="preserve">T Cell Panel_210-14 PBMC T1_039.fcs</t>
  </si>
  <si>
    <t xml:space="preserve">229-02</t>
  </si>
  <si>
    <t xml:space="preserve">PD229-02 PBMC T Cell_PBMC ficoll SSC 250_004.fcs</t>
  </si>
  <si>
    <t xml:space="preserve">239-02</t>
  </si>
  <si>
    <t xml:space="preserve">Baxter Dianeal PD4, 1.36% Glucose, 1500 mL </t>
  </si>
  <si>
    <t xml:space="preserve">239-04</t>
  </si>
  <si>
    <t xml:space="preserve">T Cell Panel_239-04 Stable PBMC T1_015.fcs</t>
  </si>
  <si>
    <t xml:space="preserve">251-07</t>
  </si>
  <si>
    <t xml:space="preserve">T Cell Panel_251-07 Stable PDMC T1_020.fcs</t>
  </si>
  <si>
    <t xml:space="preserve">251-08</t>
  </si>
  <si>
    <t xml:space="preserve">T Cell Panel_251-08 PBMC T1_019.fcs</t>
  </si>
  <si>
    <t xml:space="preserve">254-04</t>
  </si>
  <si>
    <t xml:space="preserve">F</t>
  </si>
  <si>
    <t xml:space="preserve">T Cell Panel_254-04 Stable PBMC T1_015.fcs</t>
  </si>
  <si>
    <t xml:space="preserve">254-05</t>
  </si>
  <si>
    <t xml:space="preserve">BB:Staph aureus</t>
  </si>
  <si>
    <t xml:space="preserve">254-05Stable T Cell Panel_254-05 PBMC T1_014.fcs</t>
  </si>
  <si>
    <t xml:space="preserve">255-04</t>
  </si>
  <si>
    <t xml:space="preserve">T Cell Panel_PD255-04 Stable PBMC T1_026.fcs</t>
  </si>
  <si>
    <t xml:space="preserve">255-05</t>
  </si>
  <si>
    <t xml:space="preserve">T Cell Panel_255-05 Stable PBMC T1_015.fcs</t>
  </si>
  <si>
    <t xml:space="preserve">262-01</t>
  </si>
  <si>
    <t xml:space="preserve">small_sample</t>
  </si>
  <si>
    <t xml:space="preserve">BB: Staphylococcus aureus</t>
  </si>
  <si>
    <t xml:space="preserve">Billy the nurse said patient phoned on Tuesday 12th and said feeling unwell. Patient noticed the bag was cloudy, and 93mls was all they could drain</t>
  </si>
  <si>
    <t xml:space="preserve">No PD since Saturday 16-Sep</t>
  </si>
  <si>
    <t xml:space="preserve">Collected 93mls in bag and 8mls of blood</t>
  </si>
  <si>
    <t xml:space="preserve">Original T-cell panel RA_262-01 PBMC_015.fcs</t>
  </si>
  <si>
    <t xml:space="preserve">264-02</t>
  </si>
  <si>
    <t xml:space="preserve">T-panel_264-02 PBMC T1_031.fcs</t>
  </si>
  <si>
    <t xml:space="preserve">267-02</t>
  </si>
  <si>
    <t xml:space="preserve">DA:Yeast</t>
  </si>
  <si>
    <t xml:space="preserve">RA received phone call from ward, overnight bag</t>
  </si>
  <si>
    <t xml:space="preserve">Overnight bag</t>
  </si>
  <si>
    <t xml:space="preserve">Over night bag, 1st bag, overnight dwell</t>
  </si>
  <si>
    <t xml:space="preserve">T Cell Panel_267-02 Peri PBMC T1_026.fcs</t>
  </si>
  <si>
    <t xml:space="preserve">272-01</t>
  </si>
  <si>
    <t xml:space="preserve">T Cell Panel_272-01 PBMC T1_014.fcs</t>
  </si>
  <si>
    <t xml:space="preserve">273-01</t>
  </si>
  <si>
    <t xml:space="preserve">BJ: Streptococcus agalactiae group B</t>
  </si>
  <si>
    <t xml:space="preserve">RA collected bag from nurse Laura @suit 19, patient checked bag on Tuesday it's OK, Wednesday evening felt sudden pain, Thursday morning in hospital and drained then</t>
  </si>
  <si>
    <t xml:space="preserve">Collected bag from nurse Laura at Suit19 at 11am</t>
  </si>
  <si>
    <t xml:space="preserve">T-panel_273-01 PBMC T1_019.fcs</t>
  </si>
  <si>
    <t xml:space="preserve">276-01</t>
  </si>
  <si>
    <t xml:space="preserve">BG: Alpha haemolytic Streptococcus</t>
  </si>
  <si>
    <t xml:space="preserve">AKM Haemo </t>
  </si>
  <si>
    <t xml:space="preserve">No information</t>
  </si>
  <si>
    <t xml:space="preserve">T Cell Panel_276-01 PBMC T1_029.fcs</t>
  </si>
  <si>
    <t xml:space="preserve">286-03</t>
  </si>
  <si>
    <t xml:space="preserve">BA: Coagulase negative Staphylococcus aureus</t>
  </si>
  <si>
    <t xml:space="preserve">Delyth called RA to pick up the bag at7pm</t>
  </si>
  <si>
    <t xml:space="preserve">4 </t>
  </si>
  <si>
    <t xml:space="preserve">The Morning bag was clear, so this was first cloudy bag </t>
  </si>
  <si>
    <t xml:space="preserve">T Cell Panel_286-03 Peri PBMC T1_019.fcs</t>
  </si>
  <si>
    <t xml:space="preserve">286-04</t>
  </si>
  <si>
    <t xml:space="preserve">T Cell Panel_286-04 Stable PBMC T1_015.fcs</t>
  </si>
  <si>
    <t xml:space="preserve">294-02</t>
  </si>
  <si>
    <t xml:space="preserve">BG: Alpha haemolytic Streptococcus→ Streptococcus mitis </t>
  </si>
  <si>
    <t xml:space="preserve">PD 294-02 T-PANEL_T1 294-02 PBMC_015.fcs</t>
  </si>
  <si>
    <t xml:space="preserve">294-03</t>
  </si>
  <si>
    <t xml:space="preserve">AB: one previous infection (9/06/2017)</t>
  </si>
  <si>
    <t xml:space="preserve">BG: Streptococcus mitis → an alpha haemolytic Streptococcus</t>
  </si>
  <si>
    <t xml:space="preserve">T-panel_294-03 PBMC T1_037.fcs</t>
  </si>
  <si>
    <t xml:space="preserve">295-01</t>
  </si>
  <si>
    <t xml:space="preserve">AZ: No growth</t>
  </si>
  <si>
    <t xml:space="preserve">Extraneal</t>
  </si>
  <si>
    <t xml:space="preserve">11</t>
  </si>
  <si>
    <t xml:space="preserve">Collected bag from Laura on suite 19 in morning.  Sent blood to Pathology by mistake.  Got blood back from Pathology in afternoon @ 3pm. </t>
  </si>
  <si>
    <t xml:space="preserve">PD295-01-P PBMC 2 T Cells_T1_015.fcs</t>
  </si>
  <si>
    <t xml:space="preserve">298-01</t>
  </si>
  <si>
    <t xml:space="preserve">T Cell Panel_PD298-01 Stable PBMC T1_036.fcs</t>
  </si>
  <si>
    <t xml:space="preserve">305-01</t>
  </si>
  <si>
    <t xml:space="preserve">AKM collected bag from ward nursen not PD nurse, @10pm</t>
  </si>
  <si>
    <t xml:space="preserve">Dwell came in the evening, so probably day bag</t>
  </si>
  <si>
    <t xml:space="preserve">T Cell Panel_305-01 PBMC T1_019.fcs</t>
  </si>
  <si>
    <t xml:space="preserve">No Data</t>
  </si>
  <si>
    <t xml:space="preserve">No data</t>
  </si>
  <si>
    <t xml:space="preserve">305-02</t>
  </si>
  <si>
    <t xml:space="preserve">hep_c</t>
  </si>
  <si>
    <t xml:space="preserve">AB: one previous infection (2/12/2017)</t>
  </si>
  <si>
    <t xml:space="preserve">Patient threw it away</t>
  </si>
  <si>
    <t xml:space="preserve">T Cell Panel_305-02 Stable PBMC T1_035.fcs</t>
  </si>
  <si>
    <t xml:space="preserve">305-03</t>
  </si>
  <si>
    <t xml:space="preserve">T Cell Panel_305-03 Stable PBMC T1_017.fcs</t>
  </si>
  <si>
    <t xml:space="preserve">306-01</t>
  </si>
  <si>
    <t xml:space="preserve">AZ: No Growth</t>
  </si>
  <si>
    <t xml:space="preserve">AKM collected bag @4pm </t>
  </si>
  <si>
    <t xml:space="preserve">Think it's overnight bag</t>
  </si>
  <si>
    <t xml:space="preserve">AKM HCC</t>
  </si>
  <si>
    <t xml:space="preserve">T Cell Panel_PD306-01-P PBMC T1_020.fcs</t>
  </si>
  <si>
    <t xml:space="preserve">308-01</t>
  </si>
  <si>
    <t xml:space="preserve">BA: Coagulase negative Staphylococcus </t>
  </si>
  <si>
    <t xml:space="preserve">T Cell Panel_PD308-01 Stable PBMC T1_020.fcs</t>
  </si>
  <si>
    <t xml:space="preserve">308-02R</t>
  </si>
  <si>
    <t xml:space="preserve">relapse</t>
  </si>
  <si>
    <t xml:space="preserve">BA: Coagulase negative Staph aureus</t>
  </si>
  <si>
    <t xml:space="preserve">Delyth called RA to pick the bag 12pm, processed same day</t>
  </si>
  <si>
    <t xml:space="preserve">had an episode (missed that bag)of coag-ve staph aureus on 0/03/2018, therefore this is relapse</t>
  </si>
  <si>
    <t xml:space="preserve">T Cell Panel_308-02R Peri PBMC T1_019.fcs</t>
  </si>
  <si>
    <t xml:space="preserve">100*0.0116</t>
  </si>
  <si>
    <t xml:space="preserve">308-03R</t>
  </si>
  <si>
    <t xml:space="preserve">Nurse Mandy called, 1st cloudy bag, overnight bag</t>
  </si>
  <si>
    <t xml:space="preserve">T Cell Panel_308-03R Peri PBMC T1_038.fcs</t>
  </si>
  <si>
    <t xml:space="preserve">308-04</t>
  </si>
  <si>
    <t xml:space="preserve">T Cell Panel_308-04 Stable PBMC T1_015.fcs</t>
  </si>
  <si>
    <t xml:space="preserve">310-01</t>
  </si>
  <si>
    <t xml:space="preserve">BC: Corynebacterium amycolatum</t>
  </si>
  <si>
    <t xml:space="preserve">No</t>
  </si>
  <si>
    <t xml:space="preserve">Got phone call from PD nurse Lyanne, bag1, picked bag at 4pm, processed it @11pm</t>
  </si>
  <si>
    <t xml:space="preserve">T Cell Panel_PD310-01 Peri PBMC T1_019.fcs</t>
  </si>
  <si>
    <t xml:space="preserve">315-01</t>
  </si>
  <si>
    <t xml:space="preserve">RA got phonecall from B5 on Sunday, First cloudy bag, one before was clear, 4 hour bag</t>
  </si>
  <si>
    <t xml:space="preserve">Drained in CAPD/ DPCA17 1.5%  glucose 1500ml </t>
  </si>
  <si>
    <t xml:space="preserve">4</t>
  </si>
  <si>
    <t xml:space="preserve">T Cell Panel_315-01 Peri PBMC T1_014.fcs</t>
  </si>
  <si>
    <t xml:space="preserve">315-02</t>
  </si>
  <si>
    <t xml:space="preserve">Fresenius CAPD/DPCA 17</t>
  </si>
  <si>
    <t xml:space="preserve">T Cell Panel_315-02 Stable PBMC T1_025.fcs</t>
  </si>
  <si>
    <t xml:space="preserve">316-01</t>
  </si>
  <si>
    <t xml:space="preserve">Patient on APD, didn't dialysis since Friday because of fistula formation, weekend time off from dialysis, Tuesday complained of abdolinal pain, first cloudy bag, in @1230pm, out@5:30pm</t>
  </si>
  <si>
    <t xml:space="preserve">APD Baxter Extraneal solution for peritoneal dialysis 2000ml</t>
  </si>
  <si>
    <t xml:space="preserve">5 hour bag, day1</t>
  </si>
  <si>
    <t xml:space="preserve">T Cell Panel_316-01 Peri  PBMC T1_020.fcs</t>
  </si>
  <si>
    <t xml:space="preserve">318-01</t>
  </si>
  <si>
    <t xml:space="preserve">T Cell Panel_318-01 Stable PBMC T1_015.fcs</t>
  </si>
  <si>
    <t xml:space="preserve">`</t>
  </si>
  <si>
    <t xml:space="preserve">320-01</t>
  </si>
  <si>
    <t xml:space="preserve">BA: CNS</t>
  </si>
  <si>
    <t xml:space="preserve">Billy went to see patient for adequacy test in the morning, asked patient to keep the overnight bag, but the bag turned out to be cloudy!</t>
  </si>
  <si>
    <t xml:space="preserve">Drained in Dianeal PD4, 2.27% Glucose, 1500 mL </t>
  </si>
  <si>
    <t xml:space="preserve">254-05Stable T Cell Panel_320-01 Peri PBMC T1_014.fcs</t>
  </si>
  <si>
    <t xml:space="preserve">321-01</t>
  </si>
  <si>
    <t xml:space="preserve">Baxter Dianeal PD4, 2.27% Glucose, 2000 mL </t>
  </si>
  <si>
    <t xml:space="preserve">254-05Stable T Cell Panel_321-01 Stable PBMC T1_021.fcs</t>
  </si>
  <si>
    <t xml:space="preserve">322-01</t>
  </si>
  <si>
    <t xml:space="preserve">1 T Panel_322-01 Stable PBMC T1_014.fcs</t>
  </si>
  <si>
    <t xml:space="preserve">323-01</t>
  </si>
  <si>
    <t xml:space="preserve">No infection reported</t>
  </si>
  <si>
    <t xml:space="preserve">1 T Panel_323-01 Stable PBMC T1_014.fcs</t>
  </si>
  <si>
    <t xml:space="preserve">323-02</t>
  </si>
  <si>
    <t xml:space="preserve">Sharon called at 6pm, patient was in on Sunday but was sent home, he came back on Monday with cloudy bag in hand and then was treated </t>
  </si>
  <si>
    <t xml:space="preserve">Patient didn't bring the bag</t>
  </si>
  <si>
    <t xml:space="preserve">SB haemo</t>
  </si>
  <si>
    <t xml:space="preserve">Sarah processed bag at 6pm, Day 2 bag untrested, </t>
  </si>
  <si>
    <t xml:space="preserve">T Cell Panel_323-01 PBMC T1_019.fcs</t>
  </si>
  <si>
    <t xml:space="preserve">324-01</t>
  </si>
  <si>
    <t xml:space="preserve">Physioneal 40 2.27% glucose 2000ml</t>
  </si>
  <si>
    <t xml:space="preserve">Patient drained over 3 litres, so scale couldn't compute, so I  used seven pots to calculate the volume</t>
  </si>
  <si>
    <t xml:space="preserve">1 T Panel_324-01 Stable PBMC T1_014.fcs</t>
  </si>
  <si>
    <t xml:space="preserve">326-01</t>
  </si>
  <si>
    <t xml:space="preserve">1 T Panel_326-01 Stable PBMC T1_014.fcs</t>
  </si>
  <si>
    <t xml:space="preserve">PDMC</t>
  </si>
  <si>
    <t xml:space="preserve">T Cell Panel_175-09 Stable PDMC T1_014.fcs</t>
  </si>
  <si>
    <t xml:space="preserve">invalid_n</t>
  </si>
  <si>
    <t xml:space="preserve">PD210-12-P PDMC 2 T Cells_T1 209-05stable Tpanel PDMC_019.fcs</t>
  </si>
  <si>
    <t xml:space="preserve">PD210-12-P PDMC 2 T Cells_T1_015.fcs</t>
  </si>
  <si>
    <t xml:space="preserve">T Cell Panel_210-14 PDMC T2_035.fcs</t>
  </si>
  <si>
    <t xml:space="preserve">PD229-02 PBMC T Cell_Effluent SSC 250_005.fcs</t>
  </si>
  <si>
    <t xml:space="preserve">237-06</t>
  </si>
  <si>
    <t xml:space="preserve">RA collected bag from ward</t>
  </si>
  <si>
    <t xml:space="preserve">RA collected bag from ward @</t>
  </si>
  <si>
    <t xml:space="preserve">No blood was provided by nurses</t>
  </si>
  <si>
    <t xml:space="preserve">T-panel_237-06-P PDMC T1_001.fcs</t>
  </si>
  <si>
    <t xml:space="preserve">T Cell Panel_239-02 Stable PDMC T1_020.fcs</t>
  </si>
  <si>
    <t xml:space="preserve">T Cell Panel_239-04 Stable PDMC T1_014.fcs</t>
  </si>
  <si>
    <t xml:space="preserve">T Cell Panel_251-08 PDMC T1_014.fcs</t>
  </si>
  <si>
    <t xml:space="preserve">T Cell Panel_254-04 Stable PDMC T1_014.fcs</t>
  </si>
  <si>
    <t xml:space="preserve">254-05Stable T Cell Panel_254-05 PDMC T1_019.fcs</t>
  </si>
  <si>
    <t xml:space="preserve">T Cell Panel_PD255-04 Stable PDMC T1_025.fcs</t>
  </si>
  <si>
    <t xml:space="preserve">T Cell Panel_255-05 Stable PDMC T1_014.fcs</t>
  </si>
  <si>
    <t xml:space="preserve">Original T-cell panel RA_262-01 PDMC_016.fcs</t>
  </si>
  <si>
    <t xml:space="preserve">T-panel_264-02 PDMC T1_026.fcs</t>
  </si>
  <si>
    <t xml:space="preserve">267-01</t>
  </si>
  <si>
    <t xml:space="preserve">No blood</t>
  </si>
  <si>
    <t xml:space="preserve">T-panel_267-01 PDMC T1_025.fcs</t>
  </si>
  <si>
    <t xml:space="preserve">T Cell Panel_267-02 Peri PDMC T1_027.fcs</t>
  </si>
  <si>
    <t xml:space="preserve">T-panel_273-01 PDMC T1_014.fcs</t>
  </si>
  <si>
    <t xml:space="preserve">T Cell Panel_276-01 PDMC T1_024.fcs</t>
  </si>
  <si>
    <t xml:space="preserve">279-03</t>
  </si>
  <si>
    <t xml:space="preserve">AA: No infection reported</t>
  </si>
  <si>
    <t xml:space="preserve">T Cell Panel_PD279-03 Stable PDMC T1_018.fcs</t>
  </si>
  <si>
    <t xml:space="preserve">286-02</t>
  </si>
  <si>
    <t xml:space="preserve">Picked up bag and blood from Billy at 2pm</t>
  </si>
  <si>
    <t xml:space="preserve">T Cell Panel_286-02 Peri PDMC T1_014.fcs</t>
  </si>
  <si>
    <t xml:space="preserve">T Cell Panel_286-03 Peri PDMC T1_014.fcs</t>
  </si>
  <si>
    <t xml:space="preserve">T Cell Panel_286-04 Stable PDMC T1_014.fcs</t>
  </si>
  <si>
    <t xml:space="preserve">288-02</t>
  </si>
  <si>
    <t xml:space="preserve">Measured 288-02 Bag 2.  Bag left overnight measured next day 12/01/2018. Antibiotic in bag, treated in Newport</t>
  </si>
  <si>
    <t xml:space="preserve">Drained in Dianeal PD4, 1.36% Glucose, 0.448% Lactate 1500 mL </t>
  </si>
  <si>
    <t xml:space="preserve">T-panel_288-02-P-Bag2 PDMC T1_006.fcs</t>
  </si>
  <si>
    <t xml:space="preserve">289-01</t>
  </si>
  <si>
    <t xml:space="preserve">EC: &gt;1  +ve &amp; -ve  Gram stains:- Alpha haemolytic Streptococcus, Streptococcus lutetiensis, Enterococcus faecalis, Klebsiella pneumoniae.  </t>
  </si>
  <si>
    <t xml:space="preserve">Drained in Physioneal 40, 1.36% Glucose, 0.168 % Lactate, 0.21 % Na bicarb, 2 Chamber bag</t>
  </si>
  <si>
    <t xml:space="preserve">Day bag</t>
  </si>
  <si>
    <t xml:space="preserve">Countess</t>
  </si>
  <si>
    <t xml:space="preserve">Cells did not Pellet</t>
  </si>
  <si>
    <t xml:space="preserve">Collected bag &amp; 2 small bloods from fridge on ward at approx 6pm.  Ficolled but didn't work so just used neat cells.  Think maybe perforated bowel. </t>
  </si>
  <si>
    <t xml:space="preserve">Though two blood tubes provided, cells were terrible in ficoll, nothing is frozen</t>
  </si>
  <si>
    <t xml:space="preserve">PD289-01-P PDMC 2 T Cells 4th Comp_T1_001.fcs</t>
  </si>
  <si>
    <t xml:space="preserve">294-01</t>
  </si>
  <si>
    <t xml:space="preserve">Collected bag from nurse on the ward, patient came in last night with a cloudy bag. No blood provided </t>
  </si>
  <si>
    <t xml:space="preserve">PD294-01-P PDMC 2 T Cells_T1_014.fcs</t>
  </si>
  <si>
    <t xml:space="preserve">PD 294-02 T-PANEL_T1 294-02 PDMC_014.fcs</t>
  </si>
  <si>
    <t xml:space="preserve">T-panel_294-03 PDMC T1_036.fcs</t>
  </si>
  <si>
    <t xml:space="preserve">PD295-01-P PDMC 2 T Cells_T1_015.fcs</t>
  </si>
  <si>
    <t xml:space="preserve">T Cell Panel_PD298-01 Stable PDMC T1_031.fcs</t>
  </si>
  <si>
    <t xml:space="preserve">302-01</t>
  </si>
  <si>
    <t xml:space="preserve">AKM collected bag from Lynda on Suit19 </t>
  </si>
  <si>
    <t xml:space="preserve">T Cell Panel_PD302-01-P PDMC T1_044.fcs</t>
  </si>
  <si>
    <t xml:space="preserve">T Cell Panel_305-01 PDMC T1_014.fcs</t>
  </si>
  <si>
    <t xml:space="preserve">T Cell Panel_305-02 Stable PDMC T1_030.fcs</t>
  </si>
  <si>
    <t xml:space="preserve">T Cell Panel_305-03 Stable PDMC T1_016.fcs</t>
  </si>
  <si>
    <t xml:space="preserve">T Cell Panel_PD306-01-P PDMC T1_014.fcs</t>
  </si>
  <si>
    <t xml:space="preserve">307-01</t>
  </si>
  <si>
    <t xml:space="preserve">T-panel_307-01 PDMC T1_024.fcs</t>
  </si>
  <si>
    <t xml:space="preserve">T Cell Panel_PD308-01 Stable PDMC T1_019.fcs</t>
  </si>
  <si>
    <t xml:space="preserve">BA: Coagulase negative Staph</t>
  </si>
  <si>
    <t xml:space="preserve">T Cell Panel_308-02R Peri PDMC T1_014.fcs</t>
  </si>
  <si>
    <t xml:space="preserve">T Cell Panel_308-03R Peri PDMC T1_032.fcs</t>
  </si>
  <si>
    <t xml:space="preserve">]['214</t>
  </si>
  <si>
    <t xml:space="preserve">T Cell Panel_308-04 Stable PDMC T1_014.fcs</t>
  </si>
  <si>
    <t xml:space="preserve">BC:  Corynebacterium amycolatum</t>
  </si>
  <si>
    <t xml:space="preserve">T Cell Panel_PD310-01 Peri PDMC T1_014.fcs</t>
  </si>
  <si>
    <t xml:space="preserve">Day 1 bag</t>
  </si>
  <si>
    <t xml:space="preserve">T Cell Panel_315-01 Peri PDMC T1_015.fcs</t>
  </si>
  <si>
    <t xml:space="preserve">T Cell Panel_315-02 Stable PDMC T1_020.fcs</t>
  </si>
  <si>
    <t xml:space="preserve">T Cell Panel_316-01 Peri  PDMC T1_021.fcs</t>
  </si>
  <si>
    <t xml:space="preserve">T Cell Panel_318-01 Stable PDMC T1_014.fcs</t>
  </si>
  <si>
    <t xml:space="preserve">254-05Stable T Cell Panel_320-01 Peri PDMC T1_015.fcs</t>
  </si>
  <si>
    <t xml:space="preserve">254-05Stable T Cell Panel_321-01 Stable PDMC T1_020.fcs</t>
  </si>
  <si>
    <t xml:space="preserve">1 T Panel_322-01 Stable PDMC T1_019.fcs</t>
  </si>
  <si>
    <t xml:space="preserve">1 T Panel_323-01 Stable PDMC T1_019.fcs</t>
  </si>
  <si>
    <t xml:space="preserve">T Cell Panel_323-01 PDMC T1_014.fcs</t>
  </si>
  <si>
    <t xml:space="preserve">1 T Panel_324-01 Stable PDMC T1_015.fcs</t>
  </si>
  <si>
    <t xml:space="preserve">1 T Panel_326-01 Stable PDMC T1_015.fcs</t>
  </si>
  <si>
    <t xml:space="preserve">Lab Notes for the collation of data for cell analysis.</t>
  </si>
  <si>
    <t xml:space="preserve">Raya has been collating the data according to templates that she and I put together for a T cell panel and the neutrophil (=general innate cell) panel.    In order to do the analysis we have designed a template which we are using for all analyses.  We are then exporting the data as excel files which I incorporate into one large excel file.  To get the large excel file I am taking the data and looking at the initial .fcs files to check whether the numbers look real or are just anomalous.  For most of the analyses there are fmo’s as well as the whole analysis. I collate data from the whole analysis and the fmo’s in which that particular aspect is untouched, eg for counting CD45RA+CD27+CD4+ I will include data from the fmo lacking the CXCR3 antibody.</t>
  </si>
  <si>
    <t xml:space="preserve">To use the data from the excel sheets, the format needs to be changed slightly.  For some reason the program has saved the numbers as text.  The easiest and fastest way to change the text into number is to type a 0 on an empty cell.  Then highlight and copy your block of data.  Highlight the “0” cell and right click to enable “Paste special”.  In paste special, press “Add”.  It will then paste/add your text-numbers as actual numbers.  You can then paste them back in the right spot. </t>
  </si>
  <si>
    <t xml:space="preserve">As a general note, the CD45RA/CD27 and CD45RA/CCR7 stains which are so useful for αβ T cells are not helpful on γδ cells or MAITs.  There are no clear populations, just blobs particularly in γδ cells.  Some MAIT cell populations show a bit more definition, but by no means in all.  Hence I would disregard those stainings unless there is a compelling reason to keep them.</t>
  </si>
  <si>
    <t xml:space="preserve">Neutrophil gating needs to be changed on almost everything.  Raya is going to hate me.</t>
  </si>
  <si>
    <t xml:space="preserve">Also, I need to check CCR7 vs CD27 because they were switched for some samples and I need to make sure that I have switched them for all the right samples.</t>
  </si>
  <si>
    <t xml:space="preserve">Comments on individual samples</t>
  </si>
  <si>
    <t xml:space="preserve">T cell panel</t>
  </si>
  <si>
    <t xml:space="preserve">TALK TO RAYA.  NEED TO MOVE THE CCR7 TO ABOVE FMO BACKGROUND.</t>
  </si>
  <si>
    <t xml:space="preserve">All done.  The main sheet currently has the old data in it.  The new data is in the folder of data yet to be collated.</t>
  </si>
  <si>
    <t xml:space="preserve">Looks like we need to shift the threshold for the CCR7 background. Done but not yet in sheet.</t>
  </si>
  <si>
    <t xml:space="preserve">Looks like we need to shift the threshold for the CCR7 background Done but not yet in sheet.</t>
  </si>
  <si>
    <t xml:space="preserve">CD45RA threshold lower on CD8s than CD4s.  Looks right on the FMO, but looks wrong on the actual stained cells.  Need to move it to the same level as on CD4s.  Funnily enough, looks fine on the PDMCs but moving it up on both PBMCs and PDMCs would not adversely affect the PDMC data. Done but not yet in sheet.</t>
  </si>
  <si>
    <t xml:space="preserve">Looks like we need to shift the threshold for the CCR7 background. Done but not finished  in analysis.</t>
  </si>
  <si>
    <t xml:space="preserve">CD45RA too tight to the left.  Done but not yet added to analysis.</t>
  </si>
  <si>
    <t xml:space="preserve">OK</t>
  </si>
  <si>
    <t xml:space="preserve">Not enough cells to analyse.  Not included in the final analysis sheet.</t>
  </si>
  <si>
    <t xml:space="preserve">FMOs do not appear to be FMOs.  Seem to have all mAbs.</t>
  </si>
  <si>
    <t xml:space="preserve">Very low numbers of cells, so percentages likely to be out of whack.</t>
  </si>
  <si>
    <t xml:space="preserve">The CCR7 and CD27 staining look strange and untrustworthy.  CD27 and CCR7 switched.  Fixed and put into the collated sheet.</t>
  </si>
  <si>
    <t xml:space="preserve">Numbers are very low but staining looks good. CD27 and CCR7 switched.  Fixed and put into the collated sheet.</t>
  </si>
  <si>
    <t xml:space="preserve">CD27 staining looks strange on the CD8s.  Otherwise, all good. CD27 and CCR7 switched.  Fixed and put into the collated sheet.</t>
  </si>
  <si>
    <t xml:space="preserve">Colours for CD27 and CCR7 have been swapped and added to the collated analysis. Not yet done. Full stain and CD27 FMO have insufficient cells for analysis, so have been excluded.</t>
  </si>
  <si>
    <t xml:space="preserve">225-04</t>
  </si>
  <si>
    <t xml:space="preserve">This one is from early on and Raya was still working out the protocols. The “ficoll” sample is the one to use.  No medians used from this sample, just the one number. CD27 and CCR7 switched.  Fixed and put into the collated sheet.</t>
  </si>
  <si>
    <t xml:space="preserve">Low numbers of cells but OK. *Check original FACS printouts to make sure*</t>
  </si>
  <si>
    <t xml:space="preserve">V. low numbers</t>
  </si>
  <si>
    <t xml:space="preserve">All good.</t>
  </si>
  <si>
    <t xml:space="preserve">All good.  Use as a prototype for standard analysis with one full set of mAbs and 4 FMOs.</t>
  </si>
  <si>
    <t xml:space="preserve">CD27-CD45RA and CCR7-CD45RA very messy and unreliable for MAITs and gd T cells.</t>
  </si>
  <si>
    <t xml:space="preserve">Small number of cells counted in the full mAb staining so not enough Vδ2 cells or MAIT cells to count (only 4 and 3 respectively!) so all data for Vδ2 cells comes from the other four FMO stains.  All data for other cell types is aggregated from the full stain and the relevant FMOs.</t>
  </si>
  <si>
    <t xml:space="preserve">To me, the CXCR3 cut off looks too low, which might give erroneously high CXCR3+ T cell numbers. Also, CD8+ T cells quite smeary with the CCR7 and CD27 staining so these numbers may not be reliable.</t>
  </si>
  <si>
    <t xml:space="preserve">CD45RA gating looks off.</t>
  </si>
  <si>
    <t xml:space="preserve">Not enough cells so not included in final collated data.</t>
  </si>
  <si>
    <t xml:space="preserve">CD4+CD45RA+ CCR7+ population doesn’t look real, it looks more like a smear.  I would ignore this population for this sample, for the main staining panel and also for the FMOs.  Just looks strange and unreliable for CD4, all other cell types have expected staining patterns. Colours were switched for this sample between CD27 and CCR7; this has been put right in the analysis and in the table saved to the “Data in collated sheet” folder.</t>
  </si>
  <si>
    <t xml:space="preserve">Panel looks good.  Colour switch between CD27 and CCR7 has again been fixed.</t>
  </si>
  <si>
    <t xml:space="preserve">CD27 and CCR7 colours switched.  Put right in the analysis.</t>
  </si>
  <si>
    <t xml:space="preserve">Not enough cells in the CCR7 FMO so it was disregarded from the analysis. CD27 FMO also appears to lack CCR7, so can be used as an alternative CCR7 FMO.  CCR7 and CD27 numbers were switched around so have been put in the right order.  Not enough MAITs for analysis in the CD45RA FMO.</t>
  </si>
  <si>
    <t xml:space="preserve">Not enough cells for the full stain or the CXCR3 FMO.  Numbers have been put together from the other stains.  Not enough MAITs available to do analysis of MAIT subpopulations, so no data entered for that part of the analysis. CD27 and CCR7 switched around.  Fixed in collated data.</t>
  </si>
  <si>
    <t xml:space="preserve">Not enough cells for the CD27 FMO, so discard that.  CD27 and CCR7 switched around.  Fixed in collated data.</t>
  </si>
  <si>
    <t xml:space="preserve">CD45RA looks too far to the left for MAITs.  May be erroneously too many CD45RAhi MAIT cells.</t>
  </si>
  <si>
    <t xml:space="preserve">CD45RA looks too far to the left for MAITs. May be erroneously too many CD45RAhi MAIT cells.</t>
  </si>
  <si>
    <t xml:space="preserve">Have not seen the fcs files.</t>
  </si>
  <si>
    <t xml:space="preserve">CCR7 and CD45RA sketchy for gd and MAITs</t>
  </si>
  <si>
    <t xml:space="preserve">CD27 weird on gamma deltas.</t>
  </si>
  <si>
    <t xml:space="preserve">CD8+ CXCR3 stain looks like the CXCR3+ group may be overgenerous.</t>
  </si>
  <si>
    <t xml:space="preserve">Neutrophil panel</t>
  </si>
  <si>
    <t xml:space="preserve">See comments on main sheet.</t>
  </si>
  <si>
    <t xml:space="preserve">Not reliable so not used.</t>
  </si>
  <si>
    <t xml:space="preserve">CD15-Siglec8- missing a large number of cells in total counts.  Actually , looking at the CD3CD19, we would struggle to get any usable info out of the stain.  Not counted.</t>
  </si>
  <si>
    <t xml:space="preserve">Also had stain that didn’t work perfectly, BUT might be able to get something out of it.  Need to move neutrophil SSC vs FSC and the siglec8+CD15dim gate then can probably give it a go.  Not used.</t>
  </si>
  <si>
    <t xml:space="preserve">OK.</t>
  </si>
  <si>
    <t xml:space="preserve">308-05</t>
  </si>
  <si>
    <t xml:space="preserve">Found with 308-04 T cell panels so have classified it as 308-04 in the main spreadsheet.  Have not seen the fcs files.</t>
  </si>
  <si>
    <t xml:space="preserve">CD116+CD15- gate misses the population but appears not to change the results.</t>
  </si>
  <si>
    <t xml:space="preserve">OK.  Neutrophil gate could be a bit bigger.</t>
  </si>
  <si>
    <t xml:space="preserve">An important note on the methods used.  There is a systematic bias in the way cells are collected from the stable bags compared to the infected bags.  For stable bags there are generally very, very few cells, so there is no ficoll step.  Cells are collected straight from the bags and centrifuged, then counted and stained.  For infected bags, cells are collected together and then they are put over a ficoll gradient.  This means that we are very likely to be under-estimating the number of some innate cell types in infected bags.  Need to look up which cell types are most likely to be biased by ficoll vs no ficoll.</t>
  </si>
  <si>
    <t xml:space="preserve">From Raya…</t>
  </si>
  <si>
    <t xml:space="preserve">Peritonitis bags:</t>
  </si>
  <si>
    <t xml:space="preserve">We count cells from bag neat since there is a huge infection going on.</t>
  </si>
  <si>
    <t xml:space="preserve">We spin the whole bag and concentrate the cells. </t>
  </si>
  <si>
    <t xml:space="preserve">Because we have shed loads of neutrophils due to the infection, we do a ficoll step to try and get rid of as many neutrophils as possible</t>
  </si>
  <si>
    <t xml:space="preserve">Wash the ficolled cells, then count as total </t>
  </si>
  <si>
    <t xml:space="preserve">Stable bags:</t>
  </si>
  <si>
    <t xml:space="preserve">  We don't count cells straight from the bag because the stable bag will have little cells in the absence of infection</t>
  </si>
  <si>
    <t xml:space="preserve">We spin the whole bag and concentrate the cells.</t>
  </si>
  <si>
    <t xml:space="preserve">NO ficoll step is involved since there is no need to get rid of the neutrophils</t>
  </si>
  <si>
    <t xml:space="preserve">Wash the concentrated cells</t>
  </si>
  <si>
    <t xml:space="preserve">Count cells as total </t>
  </si>
  <si>
    <t xml:space="preserve">micro_id</t>
  </si>
  <si>
    <t xml:space="preserve">pt_id</t>
  </si>
  <si>
    <t xml:space="preserve">date</t>
  </si>
  <si>
    <t xml:space="preserve">org</t>
  </si>
  <si>
    <t xml:space="preserve">code</t>
  </si>
  <si>
    <t xml:space="preserve">m1</t>
  </si>
  <si>
    <t xml:space="preserve">STAEPI</t>
  </si>
  <si>
    <t xml:space="preserve">BA</t>
  </si>
  <si>
    <t xml:space="preserve">m2</t>
  </si>
  <si>
    <t xml:space="preserve">ENTSP</t>
  </si>
  <si>
    <t xml:space="preserve">AB</t>
  </si>
  <si>
    <t xml:space="preserve">m3</t>
  </si>
  <si>
    <t xml:space="preserve">CNS</t>
  </si>
  <si>
    <t xml:space="preserve">m4</t>
  </si>
  <si>
    <t xml:space="preserve">AHS</t>
  </si>
  <si>
    <t xml:space="preserve">BG</t>
  </si>
  <si>
    <t xml:space="preserve">m5</t>
  </si>
  <si>
    <t xml:space="preserve">m6</t>
  </si>
  <si>
    <t xml:space="preserve">ESCCOL</t>
  </si>
  <si>
    <t xml:space="preserve">CC</t>
  </si>
  <si>
    <t xml:space="preserve">m7</t>
  </si>
  <si>
    <t xml:space="preserve">m8</t>
  </si>
  <si>
    <t xml:space="preserve">m9</t>
  </si>
  <si>
    <t xml:space="preserve">STAAUR</t>
  </si>
  <si>
    <t xml:space="preserve">BB</t>
  </si>
  <si>
    <t xml:space="preserve">m10</t>
  </si>
  <si>
    <t xml:space="preserve">m11</t>
  </si>
  <si>
    <t xml:space="preserve">YEAST</t>
  </si>
  <si>
    <t xml:space="preserve">m12</t>
  </si>
  <si>
    <t xml:space="preserve">STRAGA</t>
  </si>
  <si>
    <t xml:space="preserve">BJ</t>
  </si>
  <si>
    <t xml:space="preserve">m13</t>
  </si>
  <si>
    <t xml:space="preserve">m14</t>
  </si>
  <si>
    <t xml:space="preserve">m15</t>
  </si>
  <si>
    <t xml:space="preserve">m16</t>
  </si>
  <si>
    <t xml:space="preserve">STRMIT</t>
  </si>
  <si>
    <t xml:space="preserve">BI</t>
  </si>
  <si>
    <t xml:space="preserve">m17</t>
  </si>
  <si>
    <t xml:space="preserve">m18</t>
  </si>
  <si>
    <t xml:space="preserve">m19</t>
  </si>
  <si>
    <t xml:space="preserve">m20</t>
  </si>
  <si>
    <t xml:space="preserve">m21</t>
  </si>
  <si>
    <t xml:space="preserve">m22</t>
  </si>
  <si>
    <t xml:space="preserve">m23</t>
  </si>
  <si>
    <t xml:space="preserve">m24</t>
  </si>
  <si>
    <t xml:space="preserve">CORAMY</t>
  </si>
  <si>
    <t xml:space="preserve">BC</t>
  </si>
  <si>
    <t xml:space="preserve">m25</t>
  </si>
  <si>
    <t xml:space="preserve">m26</t>
  </si>
  <si>
    <t xml:space="preserve">m27</t>
  </si>
  <si>
    <t xml:space="preserve">m28</t>
  </si>
  <si>
    <t xml:space="preserve">m29</t>
  </si>
  <si>
    <t xml:space="preserve">m30</t>
  </si>
  <si>
    <t xml:space="preserve">m31</t>
  </si>
  <si>
    <t xml:space="preserve">m32</t>
  </si>
  <si>
    <t xml:space="preserve">m33</t>
  </si>
  <si>
    <t xml:space="preserve">STRLUT</t>
  </si>
  <si>
    <t xml:space="preserve">BE</t>
  </si>
  <si>
    <t xml:space="preserve">m34</t>
  </si>
  <si>
    <t xml:space="preserve">ENTFAE</t>
  </si>
  <si>
    <t xml:space="preserve">BD</t>
  </si>
  <si>
    <t xml:space="preserve">KLEPNE</t>
  </si>
  <si>
    <t xml:space="preserve">CD</t>
  </si>
  <si>
    <t xml:space="preserve">key</t>
  </si>
  <si>
    <t xml:space="preserve">name</t>
  </si>
  <si>
    <t xml:space="preserve">Staphylococcus epidermis</t>
  </si>
  <si>
    <t xml:space="preserve">Enterobacter species</t>
  </si>
  <si>
    <t xml:space="preserve">Coagulase Negative Staphylococcus</t>
  </si>
  <si>
    <t xml:space="preserve">Escherichia coli</t>
  </si>
  <si>
    <t xml:space="preserve">Staphylococcus aureus</t>
  </si>
  <si>
    <t xml:space="preserve">Yeast</t>
  </si>
  <si>
    <t xml:space="preserve">Streptococcus agalactiae</t>
  </si>
  <si>
    <t xml:space="preserve">Alpha Haemolytic Streptococcus</t>
  </si>
  <si>
    <t xml:space="preserve">Streptococcus mitis</t>
  </si>
  <si>
    <t xml:space="preserve">Corynebacterium amycolatum</t>
  </si>
  <si>
    <t xml:space="preserve">Streptococcus lutetiensis</t>
  </si>
  <si>
    <t xml:space="preserve">Enterococcus faecalis</t>
  </si>
  <si>
    <t xml:space="preserve">Klebsiella pneumoniae</t>
  </si>
  <si>
    <t xml:space="preserve">gram_status</t>
  </si>
  <si>
    <t xml:space="preserve">hmbpp</t>
  </si>
  <si>
    <t xml:space="preserve">ribo</t>
  </si>
  <si>
    <t xml:space="preserve">micro_key</t>
  </si>
  <si>
    <t xml:space="preserve">AA</t>
  </si>
  <si>
    <t xml:space="preserve">Never infected</t>
  </si>
  <si>
    <t xml:space="preserve">1 previous infection(s)</t>
  </si>
  <si>
    <t xml:space="preserve">AC</t>
  </si>
  <si>
    <t xml:space="preserve">2 previous infection(s)</t>
  </si>
  <si>
    <t xml:space="preserve">AD</t>
  </si>
  <si>
    <t xml:space="preserve">3 previous infection(s)</t>
  </si>
  <si>
    <t xml:space="preserve">AE</t>
  </si>
  <si>
    <t xml:space="preserve">4 previous infection(s)</t>
  </si>
  <si>
    <t xml:space="preserve">AF</t>
  </si>
  <si>
    <t xml:space="preserve">5 previous infection(s)</t>
  </si>
  <si>
    <t xml:space="preserve">AG</t>
  </si>
  <si>
    <t xml:space="preserve">6 previous infection(s)</t>
  </si>
  <si>
    <t xml:space="preserve">Ah</t>
  </si>
  <si>
    <t xml:space="preserve">7 previous infection(s)</t>
  </si>
  <si>
    <t xml:space="preserve">AI</t>
  </si>
  <si>
    <t xml:space="preserve">8 previous infection(s)</t>
  </si>
  <si>
    <t xml:space="preserve">AJ</t>
  </si>
  <si>
    <t xml:space="preserve">9 previous infection(s)</t>
  </si>
  <si>
    <t xml:space="preserve">AK</t>
  </si>
  <si>
    <t xml:space="preserve">10 previous infection(s)</t>
  </si>
  <si>
    <t xml:space="preserve">B</t>
  </si>
  <si>
    <t xml:space="preserve">Gram +ve</t>
  </si>
  <si>
    <t xml:space="preserve">P+ve</t>
  </si>
  <si>
    <t xml:space="preserve">N-ve</t>
  </si>
  <si>
    <t xml:space="preserve">Coryneforms</t>
  </si>
  <si>
    <t xml:space="preserve">COR*</t>
  </si>
  <si>
    <t xml:space="preserve">Enterococcus</t>
  </si>
  <si>
    <t xml:space="preserve">ENC*</t>
  </si>
  <si>
    <t xml:space="preserve">Streptococcus</t>
  </si>
  <si>
    <t xml:space="preserve">STR*</t>
  </si>
  <si>
    <t xml:space="preserve">BF</t>
  </si>
  <si>
    <t xml:space="preserve">Microaerophilic Streptococcus</t>
  </si>
  <si>
    <t xml:space="preserve">MIC*</t>
  </si>
  <si>
    <t xml:space="preserve">BH</t>
  </si>
  <si>
    <t xml:space="preserve">Streptococcus sanguinis</t>
  </si>
  <si>
    <t xml:space="preserve">STRSAN</t>
  </si>
  <si>
    <t xml:space="preserve">Viridans Streptococcus</t>
  </si>
  <si>
    <t xml:space="preserve">STRVIR</t>
  </si>
  <si>
    <t xml:space="preserve">BK</t>
  </si>
  <si>
    <t xml:space="preserve">Clostridium</t>
  </si>
  <si>
    <t xml:space="preserve">CLO*</t>
  </si>
  <si>
    <t xml:space="preserve">BL</t>
  </si>
  <si>
    <t xml:space="preserve">Gordonia bronchialis (Actinobacteriae)</t>
  </si>
  <si>
    <t xml:space="preserve">GOR*</t>
  </si>
  <si>
    <t xml:space="preserve">C</t>
  </si>
  <si>
    <t xml:space="preserve">Gram -ve</t>
  </si>
  <si>
    <t xml:space="preserve">CA</t>
  </si>
  <si>
    <t xml:space="preserve">Acinetobacter</t>
  </si>
  <si>
    <t xml:space="preserve">ACI*</t>
  </si>
  <si>
    <t xml:space="preserve">CB</t>
  </si>
  <si>
    <t xml:space="preserve">ENT*</t>
  </si>
  <si>
    <t xml:space="preserve">Eschericia coli</t>
  </si>
  <si>
    <t xml:space="preserve">Klebsiella</t>
  </si>
  <si>
    <t xml:space="preserve">KLEB*</t>
  </si>
  <si>
    <t xml:space="preserve">CE</t>
  </si>
  <si>
    <t xml:space="preserve">Neisseria</t>
  </si>
  <si>
    <t xml:space="preserve">NEI*</t>
  </si>
  <si>
    <t xml:space="preserve">CF</t>
  </si>
  <si>
    <t xml:space="preserve">Morganella morganii</t>
  </si>
  <si>
    <t xml:space="preserve">MORMOR</t>
  </si>
  <si>
    <t xml:space="preserve">CG</t>
  </si>
  <si>
    <t xml:space="preserve">Proteus vulgaris</t>
  </si>
  <si>
    <t xml:space="preserve">PROVUL</t>
  </si>
  <si>
    <t xml:space="preserve">CH</t>
  </si>
  <si>
    <t xml:space="preserve">Pseudomonas sp.</t>
  </si>
  <si>
    <t xml:space="preserve">PSE*</t>
  </si>
  <si>
    <t xml:space="preserve">CI</t>
  </si>
  <si>
    <t xml:space="preserve">Citrobacter</t>
  </si>
  <si>
    <t xml:space="preserve">P+ve?</t>
  </si>
  <si>
    <t xml:space="preserve">CIT*</t>
  </si>
  <si>
    <t xml:space="preserve">CJ</t>
  </si>
  <si>
    <t xml:space="preserve">Pasterurella multocida</t>
  </si>
  <si>
    <t xml:space="preserve">PASMUL</t>
  </si>
</sst>
</file>

<file path=xl/styles.xml><?xml version="1.0" encoding="utf-8"?>
<styleSheet xmlns="http://schemas.openxmlformats.org/spreadsheetml/2006/main">
  <numFmts count="16">
    <numFmt numFmtId="164" formatCode="General"/>
    <numFmt numFmtId="165" formatCode="_-* #,##0.00_-;\-* #,##0.00_-;_-* \-??_-;_-@_-"/>
    <numFmt numFmtId="166" formatCode="_-* #,##0.000_-;\-* #,##0.000_-;_-* \-??_-;_-@_-"/>
    <numFmt numFmtId="167" formatCode="_-* #,##0_-;\-* #,##0_-;_-* \-??_-;_-@_-"/>
    <numFmt numFmtId="168" formatCode="0.00"/>
    <numFmt numFmtId="169" formatCode="[$-809]DD/MM/YYYY"/>
    <numFmt numFmtId="170" formatCode="0.000"/>
    <numFmt numFmtId="171" formatCode="#,##0.0"/>
    <numFmt numFmtId="172" formatCode="#,##0"/>
    <numFmt numFmtId="173" formatCode="0"/>
    <numFmt numFmtId="174" formatCode="@"/>
    <numFmt numFmtId="175" formatCode="0.000E+00"/>
    <numFmt numFmtId="176" formatCode="0.00E+00"/>
    <numFmt numFmtId="177" formatCode="General"/>
    <numFmt numFmtId="178" formatCode="0.0"/>
    <numFmt numFmtId="179" formatCode="DD/MM/YY"/>
  </numFmts>
  <fonts count="24">
    <font>
      <sz val="10"/>
      <name val="Arial"/>
      <family val="0"/>
      <charset val="1"/>
    </font>
    <font>
      <sz val="10"/>
      <name val="Arial"/>
      <family val="0"/>
    </font>
    <font>
      <sz val="10"/>
      <name val="Arial"/>
      <family val="0"/>
    </font>
    <font>
      <sz val="10"/>
      <name val="Arial"/>
      <family val="0"/>
    </font>
    <font>
      <sz val="10"/>
      <name val="Arial"/>
      <family val="2"/>
      <charset val="1"/>
    </font>
    <font>
      <sz val="10"/>
      <name val="Verdana"/>
      <family val="2"/>
      <charset val="1"/>
    </font>
    <font>
      <sz val="9"/>
      <name val="Calibri"/>
      <family val="2"/>
      <charset val="1"/>
    </font>
    <font>
      <b val="true"/>
      <sz val="9"/>
      <name val="Calibri"/>
      <family val="2"/>
      <charset val="1"/>
    </font>
    <font>
      <sz val="9"/>
      <color rgb="FF7030A0"/>
      <name val="Calibri"/>
      <family val="2"/>
      <charset val="1"/>
    </font>
    <font>
      <sz val="9"/>
      <color rgb="FF00B050"/>
      <name val="Calibri"/>
      <family val="2"/>
      <charset val="1"/>
    </font>
    <font>
      <b val="true"/>
      <sz val="9"/>
      <color rgb="FF000000"/>
      <name val="Calibri"/>
      <family val="2"/>
      <charset val="1"/>
    </font>
    <font>
      <b val="true"/>
      <sz val="9"/>
      <color rgb="FF7030A0"/>
      <name val="Calibri"/>
      <family val="2"/>
      <charset val="1"/>
    </font>
    <font>
      <b val="true"/>
      <sz val="9"/>
      <color rgb="FF00B050"/>
      <name val="Calibri"/>
      <family val="2"/>
      <charset val="1"/>
    </font>
    <font>
      <sz val="9"/>
      <color rgb="FFC00000"/>
      <name val="Calibri"/>
      <family val="2"/>
      <charset val="1"/>
    </font>
    <font>
      <b val="true"/>
      <sz val="9"/>
      <color rgb="FFC00000"/>
      <name val="Calibri"/>
      <family val="2"/>
      <charset val="1"/>
    </font>
    <font>
      <sz val="9"/>
      <color rgb="FFAFABAB"/>
      <name val="Calibri"/>
      <family val="2"/>
      <charset val="1"/>
    </font>
    <font>
      <b val="true"/>
      <sz val="9"/>
      <color rgb="FFAFABAB"/>
      <name val="Calibri"/>
      <family val="2"/>
      <charset val="1"/>
    </font>
    <font>
      <b val="true"/>
      <i val="true"/>
      <sz val="9"/>
      <name val="Calibri"/>
      <family val="2"/>
      <charset val="1"/>
    </font>
    <font>
      <sz val="9"/>
      <color rgb="FF000000"/>
      <name val="Calibri"/>
      <family val="2"/>
      <charset val="1"/>
    </font>
    <font>
      <b val="true"/>
      <sz val="10"/>
      <name val="Arial"/>
      <family val="2"/>
      <charset val="1"/>
    </font>
    <font>
      <b val="true"/>
      <sz val="9"/>
      <color rgb="FF000000"/>
      <name val="Tahoma"/>
      <family val="2"/>
      <charset val="1"/>
    </font>
    <font>
      <sz val="9"/>
      <color rgb="FF000000"/>
      <name val="Tahoma"/>
      <family val="2"/>
      <charset val="1"/>
    </font>
    <font>
      <b val="true"/>
      <sz val="9"/>
      <color rgb="FF000000"/>
      <name val="Tahoma"/>
      <family val="0"/>
      <charset val="1"/>
    </font>
    <font>
      <sz val="9"/>
      <color rgb="FF000000"/>
      <name val="Tahoma"/>
      <family val="0"/>
      <charset val="1"/>
    </font>
  </fonts>
  <fills count="8">
    <fill>
      <patternFill patternType="none"/>
    </fill>
    <fill>
      <patternFill patternType="gray125"/>
    </fill>
    <fill>
      <patternFill patternType="solid">
        <fgColor rgb="FFC0C0C0"/>
        <bgColor rgb="FFAFABAB"/>
      </patternFill>
    </fill>
    <fill>
      <patternFill patternType="solid">
        <fgColor rgb="FFFFF2CC"/>
        <bgColor rgb="FFFBE5D6"/>
      </patternFill>
    </fill>
    <fill>
      <patternFill patternType="solid">
        <fgColor rgb="FFDEEBF7"/>
        <bgColor rgb="FFCCFFFF"/>
      </patternFill>
    </fill>
    <fill>
      <patternFill patternType="solid">
        <fgColor rgb="FFFFFF00"/>
        <bgColor rgb="FFFFFF00"/>
      </patternFill>
    </fill>
    <fill>
      <patternFill patternType="solid">
        <fgColor rgb="FFFBE5D6"/>
        <bgColor rgb="FFFFF2CC"/>
      </patternFill>
    </fill>
    <fill>
      <patternFill patternType="solid">
        <fgColor rgb="FFFFC000"/>
        <bgColor rgb="FFFF9900"/>
      </patternFill>
    </fill>
  </fills>
  <borders count="5">
    <border diagonalUp="false" diagonalDown="false">
      <left/>
      <right/>
      <top/>
      <bottom/>
      <diagonal/>
    </border>
    <border diagonalUp="false" diagonalDown="false">
      <left style="hair"/>
      <right style="hair"/>
      <top style="hair"/>
      <bottom style="hair"/>
      <diagonal/>
    </border>
    <border diagonalUp="false" diagonalDown="false">
      <left style="hair"/>
      <right style="thin"/>
      <top style="hair"/>
      <bottom style="hair"/>
      <diagonal/>
    </border>
    <border diagonalUp="false" diagonalDown="false">
      <left style="hair"/>
      <right/>
      <top style="hair"/>
      <bottom style="hair"/>
      <diagonal/>
    </border>
    <border diagonalUp="false" diagonalDown="false">
      <left style="thin"/>
      <right style="hair"/>
      <top style="hair"/>
      <bottom style="hair"/>
      <diagonal/>
    </border>
  </borders>
  <cellStyleXfs count="26">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165" fontId="0" fillId="0" borderId="0" applyFont="true" applyBorder="false" applyAlignment="true" applyProtection="false">
      <alignment horizontal="general" vertical="bottom" textRotation="0" wrapText="false" indent="0" shrinkToFit="false"/>
    </xf>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false" applyAlignment="true" applyProtection="false">
      <alignment horizontal="general" vertical="bottom" textRotation="0" wrapText="false" indent="0" shrinkToFit="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cellStyleXfs>
  <cellXfs count="287">
    <xf numFmtId="164" fontId="0" fillId="0" borderId="0" xfId="0" applyFont="false" applyBorder="false" applyAlignment="false" applyProtection="false">
      <alignment horizontal="general" vertical="bottom" textRotation="0" wrapText="false" indent="0" shrinkToFit="false"/>
      <protection locked="true" hidden="false"/>
    </xf>
    <xf numFmtId="164" fontId="6" fillId="0" borderId="1" xfId="0" applyFont="true" applyBorder="true" applyAlignment="true" applyProtection="false">
      <alignment horizontal="general" vertical="center" textRotation="0" wrapText="false" indent="0" shrinkToFit="false"/>
      <protection locked="true" hidden="false"/>
    </xf>
    <xf numFmtId="164" fontId="7" fillId="0" borderId="1" xfId="0" applyFont="true" applyBorder="true" applyAlignment="true" applyProtection="false">
      <alignment horizontal="center" vertical="center" textRotation="0" wrapText="false" indent="0" shrinkToFit="false"/>
      <protection locked="true" hidden="false"/>
    </xf>
    <xf numFmtId="164" fontId="7" fillId="0" borderId="1" xfId="0" applyFont="true" applyBorder="true" applyAlignment="true" applyProtection="false">
      <alignment horizontal="general" vertical="center" textRotation="0" wrapText="false" indent="0" shrinkToFit="false"/>
      <protection locked="true" hidden="false"/>
    </xf>
    <xf numFmtId="164" fontId="6" fillId="0" borderId="1" xfId="0" applyFont="true" applyBorder="true" applyAlignment="true" applyProtection="false">
      <alignment horizontal="left" vertical="center" textRotation="0" wrapText="false" indent="0" shrinkToFit="false"/>
      <protection locked="true" hidden="false"/>
    </xf>
    <xf numFmtId="164" fontId="6" fillId="0" borderId="1" xfId="0" applyFont="true" applyBorder="true" applyAlignment="true" applyProtection="false">
      <alignment horizontal="center" vertical="center" textRotation="0" wrapText="false" indent="0" shrinkToFit="false"/>
      <protection locked="true" hidden="false"/>
    </xf>
    <xf numFmtId="164" fontId="8" fillId="0" borderId="1" xfId="0" applyFont="true" applyBorder="true" applyAlignment="true" applyProtection="false">
      <alignment horizontal="general" vertical="center" textRotation="0" wrapText="false" indent="0" shrinkToFit="false"/>
      <protection locked="true" hidden="false"/>
    </xf>
    <xf numFmtId="164" fontId="9" fillId="0" borderId="1" xfId="0" applyFont="true" applyBorder="true" applyAlignment="true" applyProtection="false">
      <alignment horizontal="general" vertical="center" textRotation="0" wrapText="false" indent="0" shrinkToFit="false"/>
      <protection locked="true" hidden="false"/>
    </xf>
    <xf numFmtId="166" fontId="6" fillId="0" borderId="2" xfId="15" applyFont="true" applyBorder="true" applyAlignment="true" applyProtection="true">
      <alignment horizontal="general" vertical="center" textRotation="0" wrapText="false" indent="0" shrinkToFit="false"/>
      <protection locked="true" hidden="false"/>
    </xf>
    <xf numFmtId="167" fontId="6" fillId="0" borderId="2" xfId="15" applyFont="true" applyBorder="true" applyAlignment="true" applyProtection="true">
      <alignment horizontal="general" vertical="center" textRotation="0" wrapText="false" indent="0" shrinkToFit="false"/>
      <protection locked="true" hidden="false"/>
    </xf>
    <xf numFmtId="167" fontId="6" fillId="0" borderId="3" xfId="15" applyFont="true" applyBorder="true" applyAlignment="true" applyProtection="true">
      <alignment horizontal="general" vertical="center" textRotation="0" wrapText="false" indent="0" shrinkToFit="false"/>
      <protection locked="true" hidden="false"/>
    </xf>
    <xf numFmtId="168" fontId="6" fillId="0" borderId="1" xfId="0" applyFont="true" applyBorder="true" applyAlignment="true" applyProtection="false">
      <alignment horizontal="general" vertical="center" textRotation="0" wrapText="false" indent="0" shrinkToFit="false"/>
      <protection locked="true" hidden="false"/>
    </xf>
    <xf numFmtId="164" fontId="6" fillId="0" borderId="3" xfId="0" applyFont="true" applyBorder="true" applyAlignment="true" applyProtection="false">
      <alignment horizontal="general" vertical="center" textRotation="0" wrapText="false" indent="0" shrinkToFit="false"/>
      <protection locked="true" hidden="false"/>
    </xf>
    <xf numFmtId="164" fontId="6" fillId="0" borderId="4" xfId="0" applyFont="true" applyBorder="true" applyAlignment="true" applyProtection="false">
      <alignment horizontal="general" vertical="center" textRotation="0" wrapText="false" indent="0" shrinkToFit="false"/>
      <protection locked="true" hidden="false"/>
    </xf>
    <xf numFmtId="169" fontId="10" fillId="2" borderId="1" xfId="0" applyFont="true" applyBorder="true" applyAlignment="true" applyProtection="false">
      <alignment horizontal="center" vertical="center" textRotation="0" wrapText="true" indent="0" shrinkToFit="false"/>
      <protection locked="true" hidden="false"/>
    </xf>
    <xf numFmtId="170" fontId="10" fillId="2" borderId="1" xfId="0" applyFont="true" applyBorder="true" applyAlignment="true" applyProtection="false">
      <alignment horizontal="center" vertical="center" textRotation="0" wrapText="true" indent="0" shrinkToFit="false"/>
      <protection locked="true" hidden="false"/>
    </xf>
    <xf numFmtId="170" fontId="10" fillId="2" borderId="1" xfId="0" applyFont="true" applyBorder="true" applyAlignment="true" applyProtection="false">
      <alignment horizontal="left" vertical="center" textRotation="0" wrapText="true" indent="0" shrinkToFit="false"/>
      <protection locked="true" hidden="false"/>
    </xf>
    <xf numFmtId="170" fontId="7" fillId="2" borderId="1" xfId="0" applyFont="true" applyBorder="true" applyAlignment="true" applyProtection="false">
      <alignment horizontal="center" vertical="center" textRotation="0" wrapText="true" indent="0" shrinkToFit="false"/>
      <protection locked="true" hidden="false"/>
    </xf>
    <xf numFmtId="164" fontId="11" fillId="0" borderId="1" xfId="0" applyFont="true" applyBorder="true" applyAlignment="true" applyProtection="false">
      <alignment horizontal="general" vertical="center" textRotation="0" wrapText="false" indent="0" shrinkToFit="false"/>
      <protection locked="true" hidden="false"/>
    </xf>
    <xf numFmtId="164" fontId="12" fillId="0" borderId="1" xfId="0" applyFont="true" applyBorder="true" applyAlignment="true" applyProtection="false">
      <alignment horizontal="general" vertical="center" textRotation="0" wrapText="false" indent="0" shrinkToFit="false"/>
      <protection locked="true" hidden="false"/>
    </xf>
    <xf numFmtId="166" fontId="7" fillId="0" borderId="1" xfId="15" applyFont="true" applyBorder="true" applyAlignment="true" applyProtection="true">
      <alignment horizontal="general" vertical="center" textRotation="0" wrapText="false" indent="0" shrinkToFit="false"/>
      <protection locked="true" hidden="false"/>
    </xf>
    <xf numFmtId="167" fontId="7" fillId="0" borderId="1" xfId="15" applyFont="true" applyBorder="true" applyAlignment="true" applyProtection="true">
      <alignment horizontal="general" vertical="center" textRotation="0" wrapText="false" indent="0" shrinkToFit="false"/>
      <protection locked="true" hidden="false"/>
    </xf>
    <xf numFmtId="164" fontId="13" fillId="3" borderId="1" xfId="0" applyFont="true" applyBorder="true" applyAlignment="true" applyProtection="false">
      <alignment horizontal="general" vertical="center" textRotation="0" wrapText="false" indent="0" shrinkToFit="false"/>
      <protection locked="true" hidden="false"/>
    </xf>
    <xf numFmtId="169" fontId="14" fillId="3" borderId="1" xfId="0" applyFont="true" applyBorder="true" applyAlignment="true" applyProtection="false">
      <alignment horizontal="center" vertical="center" textRotation="0" wrapText="false" indent="0" shrinkToFit="false"/>
      <protection locked="true" hidden="false"/>
    </xf>
    <xf numFmtId="171" fontId="13" fillId="3" borderId="1" xfId="0" applyFont="true" applyBorder="true" applyAlignment="true" applyProtection="false">
      <alignment horizontal="center" vertical="center" textRotation="0" wrapText="true" indent="0" shrinkToFit="false"/>
      <protection locked="true" hidden="false"/>
    </xf>
    <xf numFmtId="172" fontId="13" fillId="3" borderId="1" xfId="0" applyFont="true" applyBorder="true" applyAlignment="true" applyProtection="false">
      <alignment horizontal="center" vertical="center" textRotation="0" wrapText="true" indent="0" shrinkToFit="false"/>
      <protection locked="true" hidden="false"/>
    </xf>
    <xf numFmtId="173" fontId="13" fillId="3" borderId="1" xfId="0" applyFont="true" applyBorder="true" applyAlignment="true" applyProtection="false">
      <alignment horizontal="center" vertical="center" textRotation="0" wrapText="false" indent="0" shrinkToFit="false"/>
      <protection locked="true" hidden="false"/>
    </xf>
    <xf numFmtId="169" fontId="13" fillId="3" borderId="1" xfId="0" applyFont="true" applyBorder="true" applyAlignment="true" applyProtection="false">
      <alignment horizontal="left" vertical="center" textRotation="0" wrapText="true" indent="0" shrinkToFit="false"/>
      <protection locked="true" hidden="false"/>
    </xf>
    <xf numFmtId="169" fontId="14" fillId="3" borderId="1" xfId="0" applyFont="true" applyBorder="true" applyAlignment="true" applyProtection="false">
      <alignment horizontal="left" vertical="center" textRotation="0" wrapText="true" indent="0" shrinkToFit="false"/>
      <protection locked="true" hidden="false"/>
    </xf>
    <xf numFmtId="173" fontId="14" fillId="3" borderId="1" xfId="0" applyFont="true" applyBorder="true" applyAlignment="true" applyProtection="false">
      <alignment horizontal="center" vertical="center" textRotation="0" wrapText="false" indent="0" shrinkToFit="false"/>
      <protection locked="true" hidden="false"/>
    </xf>
    <xf numFmtId="173" fontId="13" fillId="3" borderId="1" xfId="0" applyFont="true" applyBorder="true" applyAlignment="true" applyProtection="false">
      <alignment horizontal="left" vertical="center" textRotation="0" wrapText="false" indent="0" shrinkToFit="false"/>
      <protection locked="true" hidden="false"/>
    </xf>
    <xf numFmtId="174" fontId="14" fillId="3" borderId="1" xfId="0" applyFont="true" applyBorder="true" applyAlignment="true" applyProtection="false">
      <alignment horizontal="center" vertical="center" textRotation="0" wrapText="false" indent="0" shrinkToFit="false"/>
      <protection locked="true" hidden="false"/>
    </xf>
    <xf numFmtId="168" fontId="14" fillId="3" borderId="1" xfId="0" applyFont="true" applyBorder="true" applyAlignment="true" applyProtection="false">
      <alignment horizontal="center" vertical="center" textRotation="0" wrapText="false" indent="0" shrinkToFit="false"/>
      <protection locked="true" hidden="false"/>
    </xf>
    <xf numFmtId="168" fontId="13" fillId="3" borderId="1" xfId="0" applyFont="true" applyBorder="true" applyAlignment="true" applyProtection="false">
      <alignment horizontal="center" vertical="center" textRotation="0" wrapText="true" indent="0" shrinkToFit="false"/>
      <protection locked="true" hidden="false"/>
    </xf>
    <xf numFmtId="175" fontId="13" fillId="3" borderId="1" xfId="0" applyFont="true" applyBorder="true" applyAlignment="true" applyProtection="false">
      <alignment horizontal="left" vertical="center" textRotation="0" wrapText="false" indent="0" shrinkToFit="false"/>
      <protection locked="true" hidden="false"/>
    </xf>
    <xf numFmtId="175" fontId="13" fillId="3" borderId="1" xfId="0" applyFont="true" applyBorder="true" applyAlignment="true" applyProtection="false">
      <alignment horizontal="center" vertical="center" textRotation="0" wrapText="false" indent="0" shrinkToFit="false"/>
      <protection locked="true" hidden="false"/>
    </xf>
    <xf numFmtId="175" fontId="14" fillId="3" borderId="1" xfId="0" applyFont="true" applyBorder="true" applyAlignment="true" applyProtection="false">
      <alignment horizontal="center" vertical="center" textRotation="0" wrapText="false" indent="0" shrinkToFit="false"/>
      <protection locked="true" hidden="false"/>
    </xf>
    <xf numFmtId="176" fontId="14" fillId="3" borderId="1" xfId="0" applyFont="true" applyBorder="true" applyAlignment="true" applyProtection="false">
      <alignment horizontal="center" vertical="center" textRotation="0" wrapText="false" indent="0" shrinkToFit="false"/>
      <protection locked="true" hidden="false"/>
    </xf>
    <xf numFmtId="166" fontId="13" fillId="3" borderId="1" xfId="15" applyFont="true" applyBorder="true" applyAlignment="true" applyProtection="true">
      <alignment horizontal="general" vertical="center" textRotation="0" wrapText="false" indent="0" shrinkToFit="false"/>
      <protection locked="true" hidden="false"/>
    </xf>
    <xf numFmtId="167" fontId="13" fillId="3" borderId="1" xfId="15" applyFont="true" applyBorder="true" applyAlignment="true" applyProtection="true">
      <alignment horizontal="general" vertical="center" textRotation="0" wrapText="false" indent="0" shrinkToFit="false"/>
      <protection locked="true" hidden="false"/>
    </xf>
    <xf numFmtId="168" fontId="13" fillId="3" borderId="1" xfId="0" applyFont="true" applyBorder="true" applyAlignment="true" applyProtection="false">
      <alignment horizontal="general" vertical="center" textRotation="0" wrapText="false" indent="0" shrinkToFit="false"/>
      <protection locked="true" hidden="false"/>
    </xf>
    <xf numFmtId="164" fontId="13" fillId="4" borderId="1" xfId="0" applyFont="true" applyBorder="true" applyAlignment="true" applyProtection="false">
      <alignment horizontal="general" vertical="center" textRotation="0" wrapText="false" indent="0" shrinkToFit="false"/>
      <protection locked="true" hidden="false"/>
    </xf>
    <xf numFmtId="169" fontId="14" fillId="4" borderId="1" xfId="0" applyFont="true" applyBorder="true" applyAlignment="true" applyProtection="false">
      <alignment horizontal="center" vertical="center" textRotation="0" wrapText="true" indent="0" shrinkToFit="false"/>
      <protection locked="true" hidden="false"/>
    </xf>
    <xf numFmtId="171" fontId="13" fillId="4" borderId="1" xfId="0" applyFont="true" applyBorder="true" applyAlignment="true" applyProtection="false">
      <alignment horizontal="center" vertical="center" textRotation="0" wrapText="true" indent="0" shrinkToFit="false"/>
      <protection locked="true" hidden="false"/>
    </xf>
    <xf numFmtId="177" fontId="13" fillId="4" borderId="1" xfId="0" applyFont="true" applyBorder="true" applyAlignment="true" applyProtection="false">
      <alignment horizontal="center" vertical="center" textRotation="0" wrapText="true" indent="0" shrinkToFit="false"/>
      <protection locked="true" hidden="false"/>
    </xf>
    <xf numFmtId="169" fontId="13" fillId="4" borderId="1" xfId="0" applyFont="true" applyBorder="true" applyAlignment="true" applyProtection="false">
      <alignment horizontal="left" vertical="center" textRotation="0" wrapText="true" indent="0" shrinkToFit="false"/>
      <protection locked="true" hidden="false"/>
    </xf>
    <xf numFmtId="173" fontId="14" fillId="4" borderId="1" xfId="0" applyFont="true" applyBorder="true" applyAlignment="true" applyProtection="false">
      <alignment horizontal="center" vertical="center" textRotation="0" wrapText="true" indent="0" shrinkToFit="false"/>
      <protection locked="true" hidden="false"/>
    </xf>
    <xf numFmtId="164" fontId="13" fillId="4" borderId="1" xfId="0" applyFont="true" applyBorder="true" applyAlignment="true" applyProtection="false">
      <alignment horizontal="left" vertical="center" textRotation="0" wrapText="false" indent="0" shrinkToFit="false"/>
      <protection locked="true" hidden="false"/>
    </xf>
    <xf numFmtId="164" fontId="14" fillId="4" borderId="1" xfId="0" applyFont="true" applyBorder="true" applyAlignment="true" applyProtection="false">
      <alignment horizontal="center" vertical="center" textRotation="0" wrapText="true" indent="0" shrinkToFit="false"/>
      <protection locked="true" hidden="false"/>
    </xf>
    <xf numFmtId="168" fontId="14" fillId="4" borderId="1" xfId="0" applyFont="true" applyBorder="true" applyAlignment="true" applyProtection="false">
      <alignment horizontal="center" vertical="center" textRotation="0" wrapText="true" indent="0" shrinkToFit="false"/>
      <protection locked="true" hidden="false"/>
    </xf>
    <xf numFmtId="168" fontId="13" fillId="4" borderId="1" xfId="0" applyFont="true" applyBorder="true" applyAlignment="true" applyProtection="false">
      <alignment horizontal="center" vertical="center" textRotation="0" wrapText="false" indent="0" shrinkToFit="false"/>
      <protection locked="true" hidden="false"/>
    </xf>
    <xf numFmtId="164" fontId="13" fillId="4" borderId="1" xfId="0" applyFont="true" applyBorder="true" applyAlignment="true" applyProtection="false">
      <alignment horizontal="center" vertical="center" textRotation="0" wrapText="false" indent="0" shrinkToFit="false"/>
      <protection locked="true" hidden="false"/>
    </xf>
    <xf numFmtId="176" fontId="14" fillId="4" borderId="1" xfId="0" applyFont="true" applyBorder="true" applyAlignment="true" applyProtection="false">
      <alignment horizontal="center" vertical="center" textRotation="0" wrapText="true" indent="0" shrinkToFit="false"/>
      <protection locked="true" hidden="false"/>
    </xf>
    <xf numFmtId="166" fontId="13" fillId="4" borderId="1" xfId="15" applyFont="true" applyBorder="true" applyAlignment="true" applyProtection="true">
      <alignment horizontal="general" vertical="center" textRotation="0" wrapText="false" indent="0" shrinkToFit="false"/>
      <protection locked="true" hidden="false"/>
    </xf>
    <xf numFmtId="167" fontId="13" fillId="4" borderId="1" xfId="15" applyFont="true" applyBorder="true" applyAlignment="true" applyProtection="true">
      <alignment horizontal="general" vertical="center" textRotation="0" wrapText="false" indent="0" shrinkToFit="false"/>
      <protection locked="true" hidden="false"/>
    </xf>
    <xf numFmtId="168" fontId="13" fillId="4" borderId="1" xfId="0" applyFont="true" applyBorder="true" applyAlignment="true" applyProtection="false">
      <alignment horizontal="general" vertical="center" textRotation="0" wrapText="false" indent="0" shrinkToFit="false"/>
      <protection locked="true" hidden="false"/>
    </xf>
    <xf numFmtId="169" fontId="14" fillId="4" borderId="1" xfId="20" applyFont="true" applyBorder="true" applyAlignment="true" applyProtection="false">
      <alignment horizontal="center" vertical="top" textRotation="0" wrapText="true" indent="0" shrinkToFit="false"/>
      <protection locked="true" hidden="false"/>
    </xf>
    <xf numFmtId="171" fontId="13" fillId="4" borderId="1" xfId="20" applyFont="true" applyBorder="true" applyAlignment="true" applyProtection="false">
      <alignment horizontal="center" vertical="center" textRotation="0" wrapText="true" indent="0" shrinkToFit="false"/>
      <protection locked="true" hidden="false"/>
    </xf>
    <xf numFmtId="164" fontId="14" fillId="4" borderId="1" xfId="0" applyFont="true" applyBorder="true" applyAlignment="true" applyProtection="false">
      <alignment horizontal="center" vertical="center" textRotation="0" wrapText="false" indent="0" shrinkToFit="false"/>
      <protection locked="true" hidden="false"/>
    </xf>
    <xf numFmtId="176" fontId="14" fillId="4" borderId="1" xfId="20" applyFont="true" applyBorder="true" applyAlignment="true" applyProtection="false">
      <alignment horizontal="center" vertical="top" textRotation="0" wrapText="true" indent="0" shrinkToFit="false"/>
      <protection locked="true" hidden="false"/>
    </xf>
    <xf numFmtId="164" fontId="13" fillId="4" borderId="1" xfId="0" applyFont="true" applyBorder="true" applyAlignment="false" applyProtection="false">
      <alignment horizontal="general" vertical="bottom" textRotation="0" wrapText="false" indent="0" shrinkToFit="false"/>
      <protection locked="true" hidden="false"/>
    </xf>
    <xf numFmtId="164" fontId="13" fillId="5" borderId="1" xfId="0" applyFont="true" applyBorder="true" applyAlignment="true" applyProtection="false">
      <alignment horizontal="general" vertical="center" textRotation="0" wrapText="false" indent="0" shrinkToFit="false"/>
      <protection locked="true" hidden="false"/>
    </xf>
    <xf numFmtId="169" fontId="14" fillId="5" borderId="1" xfId="0" applyFont="true" applyBorder="true" applyAlignment="true" applyProtection="false">
      <alignment horizontal="center" vertical="center" textRotation="0" wrapText="false" indent="0" shrinkToFit="false"/>
      <protection locked="true" hidden="false"/>
    </xf>
    <xf numFmtId="164" fontId="14" fillId="5" borderId="1" xfId="0" applyFont="true" applyBorder="true" applyAlignment="true" applyProtection="false">
      <alignment horizontal="center" vertical="center" textRotation="0" wrapText="false" indent="0" shrinkToFit="false"/>
      <protection locked="true" hidden="false"/>
    </xf>
    <xf numFmtId="171" fontId="13" fillId="5" borderId="1" xfId="0" applyFont="true" applyBorder="true" applyAlignment="true" applyProtection="false">
      <alignment horizontal="center" vertical="center" textRotation="0" wrapText="true" indent="0" shrinkToFit="false"/>
      <protection locked="true" hidden="false"/>
    </xf>
    <xf numFmtId="177" fontId="13" fillId="5" borderId="1" xfId="0" applyFont="true" applyBorder="true" applyAlignment="true" applyProtection="false">
      <alignment horizontal="center" vertical="center" textRotation="0" wrapText="true" indent="0" shrinkToFit="false"/>
      <protection locked="true" hidden="false"/>
    </xf>
    <xf numFmtId="169" fontId="13" fillId="5" borderId="1" xfId="0" applyFont="true" applyBorder="true" applyAlignment="true" applyProtection="false">
      <alignment horizontal="left" vertical="center" textRotation="0" wrapText="true" indent="0" shrinkToFit="false"/>
      <protection locked="true" hidden="false"/>
    </xf>
    <xf numFmtId="169" fontId="14" fillId="5" borderId="1" xfId="0" applyFont="true" applyBorder="true" applyAlignment="true" applyProtection="false">
      <alignment horizontal="left" vertical="center" textRotation="0" wrapText="true" indent="0" shrinkToFit="false"/>
      <protection locked="true" hidden="false"/>
    </xf>
    <xf numFmtId="164" fontId="13" fillId="5" borderId="1" xfId="0" applyFont="true" applyBorder="true" applyAlignment="true" applyProtection="false">
      <alignment horizontal="left" vertical="center" textRotation="0" wrapText="false" indent="0" shrinkToFit="false"/>
      <protection locked="true" hidden="false"/>
    </xf>
    <xf numFmtId="168" fontId="14" fillId="5" borderId="1" xfId="0" applyFont="true" applyBorder="true" applyAlignment="true" applyProtection="false">
      <alignment horizontal="center" vertical="center" textRotation="0" wrapText="false" indent="0" shrinkToFit="false"/>
      <protection locked="true" hidden="false"/>
    </xf>
    <xf numFmtId="168" fontId="13" fillId="5" borderId="1" xfId="0" applyFont="true" applyBorder="true" applyAlignment="true" applyProtection="false">
      <alignment horizontal="center" vertical="center" textRotation="0" wrapText="true" indent="0" shrinkToFit="false"/>
      <protection locked="true" hidden="false"/>
    </xf>
    <xf numFmtId="175" fontId="13" fillId="5" borderId="1" xfId="0" applyFont="true" applyBorder="true" applyAlignment="true" applyProtection="false">
      <alignment horizontal="center" vertical="center" textRotation="0" wrapText="false" indent="0" shrinkToFit="false"/>
      <protection locked="true" hidden="false"/>
    </xf>
    <xf numFmtId="175" fontId="14" fillId="5" borderId="1" xfId="0" applyFont="true" applyBorder="true" applyAlignment="true" applyProtection="false">
      <alignment horizontal="center" vertical="center" textRotation="0" wrapText="false" indent="0" shrinkToFit="false"/>
      <protection locked="true" hidden="false"/>
    </xf>
    <xf numFmtId="177" fontId="13" fillId="5" borderId="1" xfId="15" applyFont="true" applyBorder="true" applyAlignment="true" applyProtection="true">
      <alignment horizontal="general" vertical="center" textRotation="0" wrapText="false" indent="0" shrinkToFit="false"/>
      <protection locked="true" hidden="false"/>
    </xf>
    <xf numFmtId="167" fontId="13" fillId="5" borderId="1" xfId="15" applyFont="true" applyBorder="true" applyAlignment="true" applyProtection="true">
      <alignment horizontal="general" vertical="center" textRotation="0" wrapText="false" indent="0" shrinkToFit="false"/>
      <protection locked="true" hidden="false"/>
    </xf>
    <xf numFmtId="168" fontId="13" fillId="5" borderId="1" xfId="0" applyFont="true" applyBorder="true" applyAlignment="true" applyProtection="false">
      <alignment horizontal="general" vertical="center" textRotation="0" wrapText="false" indent="0" shrinkToFit="false"/>
      <protection locked="true" hidden="false"/>
    </xf>
    <xf numFmtId="169" fontId="14" fillId="5" borderId="1" xfId="0" applyFont="true" applyBorder="true" applyAlignment="true" applyProtection="false">
      <alignment horizontal="center" vertical="center" textRotation="0" wrapText="true" indent="0" shrinkToFit="false"/>
      <protection locked="true" hidden="false"/>
    </xf>
    <xf numFmtId="177" fontId="14" fillId="5" borderId="1" xfId="0" applyFont="true" applyBorder="true" applyAlignment="true" applyProtection="false">
      <alignment horizontal="center" vertical="center" textRotation="0" wrapText="true" indent="0" shrinkToFit="false"/>
      <protection locked="true" hidden="false"/>
    </xf>
    <xf numFmtId="173" fontId="14" fillId="5" borderId="1" xfId="0" applyFont="true" applyBorder="true" applyAlignment="true" applyProtection="false">
      <alignment horizontal="center" vertical="center" textRotation="0" wrapText="true" indent="0" shrinkToFit="false"/>
      <protection locked="true" hidden="false"/>
    </xf>
    <xf numFmtId="168" fontId="14" fillId="5" borderId="1" xfId="0" applyFont="true" applyBorder="true" applyAlignment="true" applyProtection="false">
      <alignment horizontal="center" vertical="center" textRotation="0" wrapText="true" indent="0" shrinkToFit="false"/>
      <protection locked="true" hidden="false"/>
    </xf>
    <xf numFmtId="168" fontId="13" fillId="5" borderId="1" xfId="0" applyFont="true" applyBorder="true" applyAlignment="true" applyProtection="false">
      <alignment horizontal="center" vertical="center" textRotation="0" wrapText="false" indent="0" shrinkToFit="false"/>
      <protection locked="true" hidden="false"/>
    </xf>
    <xf numFmtId="175" fontId="13" fillId="5" borderId="1" xfId="0" applyFont="true" applyBorder="true" applyAlignment="true" applyProtection="false">
      <alignment horizontal="left" vertical="center" textRotation="0" wrapText="false" indent="0" shrinkToFit="false"/>
      <protection locked="true" hidden="false"/>
    </xf>
    <xf numFmtId="164" fontId="13" fillId="5" borderId="1" xfId="0" applyFont="true" applyBorder="true" applyAlignment="true" applyProtection="false">
      <alignment horizontal="center" vertical="center" textRotation="0" wrapText="false" indent="0" shrinkToFit="false"/>
      <protection locked="true" hidden="false"/>
    </xf>
    <xf numFmtId="176" fontId="14" fillId="5" borderId="1" xfId="0" applyFont="true" applyBorder="true" applyAlignment="true" applyProtection="false">
      <alignment horizontal="center" vertical="center" textRotation="0" wrapText="true" indent="0" shrinkToFit="false"/>
      <protection locked="true" hidden="false"/>
    </xf>
    <xf numFmtId="166" fontId="13" fillId="5" borderId="1" xfId="15" applyFont="true" applyBorder="true" applyAlignment="true" applyProtection="true">
      <alignment horizontal="general" vertical="center" textRotation="0" wrapText="false" indent="0" shrinkToFit="false"/>
      <protection locked="true" hidden="false"/>
    </xf>
    <xf numFmtId="164" fontId="15" fillId="3" borderId="1" xfId="0" applyFont="true" applyBorder="true" applyAlignment="true" applyProtection="false">
      <alignment horizontal="general" vertical="center" textRotation="0" wrapText="false" indent="0" shrinkToFit="false"/>
      <protection locked="true" hidden="false"/>
    </xf>
    <xf numFmtId="169" fontId="16" fillId="3" borderId="1" xfId="0" applyFont="true" applyBorder="true" applyAlignment="true" applyProtection="false">
      <alignment horizontal="center" vertical="center" textRotation="0" wrapText="false" indent="0" shrinkToFit="false"/>
      <protection locked="true" hidden="false"/>
    </xf>
    <xf numFmtId="171" fontId="15" fillId="3" borderId="1" xfId="0" applyFont="true" applyBorder="true" applyAlignment="true" applyProtection="false">
      <alignment horizontal="center" vertical="center" textRotation="0" wrapText="true" indent="0" shrinkToFit="false"/>
      <protection locked="true" hidden="false"/>
    </xf>
    <xf numFmtId="172" fontId="15" fillId="3" borderId="1" xfId="0" applyFont="true" applyBorder="true" applyAlignment="true" applyProtection="false">
      <alignment horizontal="center" vertical="center" textRotation="0" wrapText="true" indent="0" shrinkToFit="false"/>
      <protection locked="true" hidden="false"/>
    </xf>
    <xf numFmtId="164" fontId="15" fillId="3" borderId="1" xfId="0" applyFont="true" applyBorder="true" applyAlignment="true" applyProtection="false">
      <alignment horizontal="center" vertical="center" textRotation="0" wrapText="false" indent="0" shrinkToFit="false"/>
      <protection locked="true" hidden="false"/>
    </xf>
    <xf numFmtId="173" fontId="15" fillId="3" borderId="1" xfId="0" applyFont="true" applyBorder="true" applyAlignment="true" applyProtection="false">
      <alignment horizontal="center" vertical="center" textRotation="0" wrapText="false" indent="0" shrinkToFit="false"/>
      <protection locked="true" hidden="false"/>
    </xf>
    <xf numFmtId="173" fontId="15" fillId="3" borderId="1" xfId="0" applyFont="true" applyBorder="true" applyAlignment="true" applyProtection="false">
      <alignment horizontal="left" vertical="center" textRotation="0" wrapText="false" indent="0" shrinkToFit="false"/>
      <protection locked="true" hidden="false"/>
    </xf>
    <xf numFmtId="173" fontId="16" fillId="3" borderId="1" xfId="0" applyFont="true" applyBorder="true" applyAlignment="true" applyProtection="false">
      <alignment horizontal="center" vertical="center" textRotation="0" wrapText="false" indent="0" shrinkToFit="false"/>
      <protection locked="true" hidden="false"/>
    </xf>
    <xf numFmtId="174" fontId="16" fillId="3" borderId="1" xfId="0" applyFont="true" applyBorder="true" applyAlignment="true" applyProtection="false">
      <alignment horizontal="center" vertical="center" textRotation="0" wrapText="false" indent="0" shrinkToFit="false"/>
      <protection locked="true" hidden="false"/>
    </xf>
    <xf numFmtId="168" fontId="16" fillId="3" borderId="1" xfId="0" applyFont="true" applyBorder="true" applyAlignment="true" applyProtection="false">
      <alignment horizontal="center" vertical="center" textRotation="0" wrapText="false" indent="0" shrinkToFit="false"/>
      <protection locked="true" hidden="false"/>
    </xf>
    <xf numFmtId="168" fontId="15" fillId="3" borderId="1" xfId="0" applyFont="true" applyBorder="true" applyAlignment="true" applyProtection="false">
      <alignment horizontal="center" vertical="center" textRotation="0" wrapText="true" indent="0" shrinkToFit="false"/>
      <protection locked="true" hidden="false"/>
    </xf>
    <xf numFmtId="175" fontId="15" fillId="3" borderId="1" xfId="0" applyFont="true" applyBorder="true" applyAlignment="true" applyProtection="false">
      <alignment horizontal="left" vertical="center" textRotation="0" wrapText="false" indent="0" shrinkToFit="false"/>
      <protection locked="true" hidden="false"/>
    </xf>
    <xf numFmtId="175" fontId="15" fillId="3" borderId="1" xfId="0" applyFont="true" applyBorder="true" applyAlignment="true" applyProtection="false">
      <alignment horizontal="center" vertical="center" textRotation="0" wrapText="false" indent="0" shrinkToFit="false"/>
      <protection locked="true" hidden="false"/>
    </xf>
    <xf numFmtId="175" fontId="16" fillId="3" borderId="1" xfId="0" applyFont="true" applyBorder="true" applyAlignment="true" applyProtection="false">
      <alignment horizontal="center" vertical="center" textRotation="0" wrapText="false" indent="0" shrinkToFit="false"/>
      <protection locked="true" hidden="false"/>
    </xf>
    <xf numFmtId="176" fontId="16" fillId="3" borderId="1" xfId="0" applyFont="true" applyBorder="true" applyAlignment="true" applyProtection="false">
      <alignment horizontal="center" vertical="center" textRotation="0" wrapText="false" indent="0" shrinkToFit="false"/>
      <protection locked="true" hidden="false"/>
    </xf>
    <xf numFmtId="166" fontId="15" fillId="3" borderId="1" xfId="15" applyFont="true" applyBorder="true" applyAlignment="true" applyProtection="true">
      <alignment horizontal="general" vertical="center" textRotation="0" wrapText="false" indent="0" shrinkToFit="false"/>
      <protection locked="true" hidden="false"/>
    </xf>
    <xf numFmtId="167" fontId="15" fillId="3" borderId="1" xfId="15" applyFont="true" applyBorder="true" applyAlignment="true" applyProtection="true">
      <alignment horizontal="general" vertical="center" textRotation="0" wrapText="false" indent="0" shrinkToFit="false"/>
      <protection locked="true" hidden="false"/>
    </xf>
    <xf numFmtId="168" fontId="15" fillId="3" borderId="1" xfId="0" applyFont="true" applyBorder="true" applyAlignment="true" applyProtection="false">
      <alignment horizontal="general" vertical="center" textRotation="0" wrapText="false" indent="0" shrinkToFit="false"/>
      <protection locked="true" hidden="false"/>
    </xf>
    <xf numFmtId="175" fontId="13" fillId="4" borderId="1" xfId="0" applyFont="true" applyBorder="true" applyAlignment="true" applyProtection="false">
      <alignment horizontal="left" vertical="center" textRotation="0" wrapText="false" indent="0" shrinkToFit="false"/>
      <protection locked="true" hidden="false"/>
    </xf>
    <xf numFmtId="175" fontId="13" fillId="4" borderId="1" xfId="0" applyFont="true" applyBorder="true" applyAlignment="true" applyProtection="false">
      <alignment horizontal="center" vertical="center" textRotation="0" wrapText="false" indent="0" shrinkToFit="false"/>
      <protection locked="true" hidden="false"/>
    </xf>
    <xf numFmtId="175" fontId="14" fillId="4" borderId="1" xfId="0" applyFont="true" applyBorder="true" applyAlignment="true" applyProtection="false">
      <alignment horizontal="center" vertical="center" textRotation="0" wrapText="false" indent="0" shrinkToFit="false"/>
      <protection locked="true" hidden="false"/>
    </xf>
    <xf numFmtId="164" fontId="15" fillId="4" borderId="1" xfId="0" applyFont="true" applyBorder="true" applyAlignment="true" applyProtection="false">
      <alignment horizontal="general" vertical="center" textRotation="0" wrapText="false" indent="0" shrinkToFit="false"/>
      <protection locked="true" hidden="false"/>
    </xf>
    <xf numFmtId="169" fontId="16" fillId="4" borderId="1" xfId="0" applyFont="true" applyBorder="true" applyAlignment="true" applyProtection="false">
      <alignment horizontal="center" vertical="center" textRotation="0" wrapText="false" indent="0" shrinkToFit="false"/>
      <protection locked="true" hidden="false"/>
    </xf>
    <xf numFmtId="172" fontId="15" fillId="4" borderId="1" xfId="0" applyFont="true" applyBorder="true" applyAlignment="true" applyProtection="false">
      <alignment horizontal="center" vertical="center" textRotation="0" wrapText="true" indent="0" shrinkToFit="false"/>
      <protection locked="true" hidden="false"/>
    </xf>
    <xf numFmtId="173" fontId="15" fillId="4" borderId="1" xfId="0" applyFont="true" applyBorder="true" applyAlignment="true" applyProtection="false">
      <alignment horizontal="center" vertical="center" textRotation="0" wrapText="false" indent="0" shrinkToFit="false"/>
      <protection locked="true" hidden="false"/>
    </xf>
    <xf numFmtId="169" fontId="15" fillId="4" borderId="1" xfId="0" applyFont="true" applyBorder="true" applyAlignment="true" applyProtection="false">
      <alignment horizontal="left" vertical="center" textRotation="0" wrapText="true" indent="0" shrinkToFit="false"/>
      <protection locked="true" hidden="false"/>
    </xf>
    <xf numFmtId="169" fontId="16" fillId="4" borderId="1" xfId="0" applyFont="true" applyBorder="true" applyAlignment="true" applyProtection="false">
      <alignment horizontal="left" vertical="center" textRotation="0" wrapText="true" indent="0" shrinkToFit="false"/>
      <protection locked="true" hidden="false"/>
    </xf>
    <xf numFmtId="169" fontId="16" fillId="4" borderId="1" xfId="0" applyFont="true" applyBorder="true" applyAlignment="true" applyProtection="false">
      <alignment horizontal="center" vertical="top" textRotation="0" wrapText="true" indent="0" shrinkToFit="false"/>
      <protection locked="true" hidden="false"/>
    </xf>
    <xf numFmtId="164" fontId="15" fillId="4" borderId="1" xfId="0" applyFont="true" applyBorder="true" applyAlignment="true" applyProtection="false">
      <alignment horizontal="left" vertical="center" textRotation="0" wrapText="false" indent="0" shrinkToFit="false"/>
      <protection locked="true" hidden="false"/>
    </xf>
    <xf numFmtId="174" fontId="16" fillId="4" borderId="1" xfId="0" applyFont="true" applyBorder="true" applyAlignment="true" applyProtection="false">
      <alignment horizontal="center" vertical="center" textRotation="0" wrapText="false" indent="0" shrinkToFit="false"/>
      <protection locked="true" hidden="false"/>
    </xf>
    <xf numFmtId="168" fontId="16" fillId="4" borderId="1" xfId="0" applyFont="true" applyBorder="true" applyAlignment="true" applyProtection="false">
      <alignment horizontal="center" vertical="center" textRotation="0" wrapText="false" indent="0" shrinkToFit="false"/>
      <protection locked="true" hidden="false"/>
    </xf>
    <xf numFmtId="168" fontId="15" fillId="4" borderId="1" xfId="0" applyFont="true" applyBorder="true" applyAlignment="true" applyProtection="false">
      <alignment horizontal="center" vertical="center" textRotation="0" wrapText="false" indent="0" shrinkToFit="false"/>
      <protection locked="true" hidden="false"/>
    </xf>
    <xf numFmtId="175" fontId="15" fillId="4" borderId="1" xfId="0" applyFont="true" applyBorder="true" applyAlignment="true" applyProtection="false">
      <alignment horizontal="left" vertical="center" textRotation="0" wrapText="false" indent="0" shrinkToFit="false"/>
      <protection locked="true" hidden="false"/>
    </xf>
    <xf numFmtId="175" fontId="15" fillId="4" borderId="1" xfId="0" applyFont="true" applyBorder="true" applyAlignment="true" applyProtection="false">
      <alignment horizontal="center" vertical="center" textRotation="0" wrapText="false" indent="0" shrinkToFit="false"/>
      <protection locked="true" hidden="false"/>
    </xf>
    <xf numFmtId="173" fontId="16" fillId="4" borderId="1" xfId="0" applyFont="true" applyBorder="true" applyAlignment="true" applyProtection="false">
      <alignment horizontal="center" vertical="center" textRotation="0" wrapText="true" indent="0" shrinkToFit="false"/>
      <protection locked="true" hidden="false"/>
    </xf>
    <xf numFmtId="173" fontId="15" fillId="4" borderId="1" xfId="0" applyFont="true" applyBorder="true" applyAlignment="true" applyProtection="false">
      <alignment horizontal="left" vertical="center" textRotation="0" wrapText="false" indent="0" shrinkToFit="false"/>
      <protection locked="true" hidden="false"/>
    </xf>
    <xf numFmtId="176" fontId="16" fillId="4" borderId="1" xfId="0" applyFont="true" applyBorder="true" applyAlignment="true" applyProtection="false">
      <alignment horizontal="center" vertical="center" textRotation="0" wrapText="false" indent="0" shrinkToFit="false"/>
      <protection locked="true" hidden="false"/>
    </xf>
    <xf numFmtId="166" fontId="15" fillId="4" borderId="1" xfId="15" applyFont="true" applyBorder="true" applyAlignment="true" applyProtection="true">
      <alignment horizontal="general" vertical="center" textRotation="0" wrapText="false" indent="0" shrinkToFit="false"/>
      <protection locked="true" hidden="false"/>
    </xf>
    <xf numFmtId="167" fontId="15" fillId="4" borderId="1" xfId="15" applyFont="true" applyBorder="true" applyAlignment="true" applyProtection="true">
      <alignment horizontal="general" vertical="center" textRotation="0" wrapText="false" indent="0" shrinkToFit="false"/>
      <protection locked="true" hidden="false"/>
    </xf>
    <xf numFmtId="168" fontId="15" fillId="4" borderId="1" xfId="0" applyFont="true" applyBorder="true" applyAlignment="true" applyProtection="false">
      <alignment horizontal="general" vertical="center" textRotation="0" wrapText="false" indent="0" shrinkToFit="false"/>
      <protection locked="true" hidden="false"/>
    </xf>
    <xf numFmtId="169" fontId="14" fillId="4" borderId="1" xfId="0" applyFont="true" applyBorder="true" applyAlignment="true" applyProtection="false">
      <alignment horizontal="center" vertical="center" textRotation="0" wrapText="false" indent="0" shrinkToFit="false"/>
      <protection locked="true" hidden="false"/>
    </xf>
    <xf numFmtId="172" fontId="13" fillId="4" borderId="1" xfId="0" applyFont="true" applyBorder="true" applyAlignment="true" applyProtection="false">
      <alignment horizontal="center" vertical="center" textRotation="0" wrapText="true" indent="0" shrinkToFit="false"/>
      <protection locked="true" hidden="false"/>
    </xf>
    <xf numFmtId="173" fontId="13" fillId="4" borderId="1" xfId="0" applyFont="true" applyBorder="true" applyAlignment="true" applyProtection="false">
      <alignment horizontal="center" vertical="center" textRotation="0" wrapText="false" indent="0" shrinkToFit="false"/>
      <protection locked="true" hidden="false"/>
    </xf>
    <xf numFmtId="169" fontId="14" fillId="4" borderId="1" xfId="0" applyFont="true" applyBorder="true" applyAlignment="true" applyProtection="false">
      <alignment horizontal="left" vertical="center" textRotation="0" wrapText="true" indent="0" shrinkToFit="false"/>
      <protection locked="true" hidden="false"/>
    </xf>
    <xf numFmtId="173" fontId="14" fillId="4" borderId="1" xfId="0" applyFont="true" applyBorder="true" applyAlignment="true" applyProtection="false">
      <alignment horizontal="center" vertical="center" textRotation="0" wrapText="false" indent="0" shrinkToFit="false"/>
      <protection locked="true" hidden="false"/>
    </xf>
    <xf numFmtId="173" fontId="13" fillId="4" borderId="1" xfId="0" applyFont="true" applyBorder="true" applyAlignment="true" applyProtection="false">
      <alignment horizontal="left" vertical="center" textRotation="0" wrapText="false" indent="0" shrinkToFit="false"/>
      <protection locked="true" hidden="false"/>
    </xf>
    <xf numFmtId="174" fontId="14" fillId="4" borderId="1" xfId="0" applyFont="true" applyBorder="true" applyAlignment="true" applyProtection="false">
      <alignment horizontal="center" vertical="center" textRotation="0" wrapText="false" indent="0" shrinkToFit="false"/>
      <protection locked="true" hidden="false"/>
    </xf>
    <xf numFmtId="168" fontId="14" fillId="4" borderId="1" xfId="0" applyFont="true" applyBorder="true" applyAlignment="true" applyProtection="false">
      <alignment horizontal="center" vertical="center" textRotation="0" wrapText="false" indent="0" shrinkToFit="false"/>
      <protection locked="true" hidden="false"/>
    </xf>
    <xf numFmtId="176" fontId="14" fillId="4" borderId="1" xfId="0" applyFont="true" applyBorder="true" applyAlignment="true" applyProtection="false">
      <alignment horizontal="center" vertical="top" textRotation="0" wrapText="true" indent="0" shrinkToFit="false"/>
      <protection locked="true" hidden="false"/>
    </xf>
    <xf numFmtId="169" fontId="14" fillId="4" borderId="1" xfId="0" applyFont="true" applyBorder="true" applyAlignment="true" applyProtection="false">
      <alignment horizontal="center" vertical="top" textRotation="0" wrapText="true" indent="0" shrinkToFit="false"/>
      <protection locked="true" hidden="false"/>
    </xf>
    <xf numFmtId="169" fontId="13" fillId="4" borderId="1" xfId="0" applyFont="true" applyBorder="true" applyAlignment="true" applyProtection="false">
      <alignment horizontal="left" vertical="top" textRotation="0" wrapText="true" indent="0" shrinkToFit="false"/>
      <protection locked="true" hidden="false"/>
    </xf>
    <xf numFmtId="169" fontId="14" fillId="4" borderId="1" xfId="0" applyFont="true" applyBorder="true" applyAlignment="true" applyProtection="false">
      <alignment horizontal="left" vertical="top" textRotation="0" wrapText="true" indent="0" shrinkToFit="false"/>
      <protection locked="true" hidden="false"/>
    </xf>
    <xf numFmtId="164" fontId="14" fillId="4" borderId="1" xfId="0" applyFont="true" applyBorder="true" applyAlignment="true" applyProtection="false">
      <alignment horizontal="center" vertical="top" textRotation="0" wrapText="true" indent="0" shrinkToFit="false"/>
      <protection locked="true" hidden="false"/>
    </xf>
    <xf numFmtId="168" fontId="14" fillId="4" borderId="1" xfId="0" applyFont="true" applyBorder="true" applyAlignment="true" applyProtection="false">
      <alignment horizontal="center" vertical="top" textRotation="0" wrapText="true" indent="0" shrinkToFit="false"/>
      <protection locked="true" hidden="false"/>
    </xf>
    <xf numFmtId="177" fontId="13" fillId="4" borderId="1" xfId="15" applyFont="true" applyBorder="true" applyAlignment="true" applyProtection="true">
      <alignment horizontal="general" vertical="center" textRotation="0" wrapText="false" indent="0" shrinkToFit="false"/>
      <protection locked="true" hidden="false"/>
    </xf>
    <xf numFmtId="165" fontId="13" fillId="4" borderId="1" xfId="15" applyFont="true" applyBorder="true" applyAlignment="true" applyProtection="true">
      <alignment horizontal="general" vertical="center" textRotation="0" wrapText="false" indent="0" shrinkToFit="false"/>
      <protection locked="true" hidden="false"/>
    </xf>
    <xf numFmtId="164" fontId="13" fillId="3" borderId="1" xfId="0" applyFont="true" applyBorder="true" applyAlignment="false" applyProtection="false">
      <alignment horizontal="general" vertical="bottom" textRotation="0" wrapText="false" indent="0" shrinkToFit="false"/>
      <protection locked="true" hidden="false"/>
    </xf>
    <xf numFmtId="177" fontId="13" fillId="3" borderId="1" xfId="15" applyFont="true" applyBorder="true" applyAlignment="true" applyProtection="true">
      <alignment horizontal="general" vertical="center" textRotation="0" wrapText="false" indent="0" shrinkToFit="false"/>
      <protection locked="true" hidden="false"/>
    </xf>
    <xf numFmtId="169" fontId="13" fillId="3" borderId="1" xfId="0" applyFont="true" applyBorder="true" applyAlignment="true" applyProtection="false">
      <alignment horizontal="left" vertical="top" textRotation="0" wrapText="true" indent="0" shrinkToFit="false"/>
      <protection locked="true" hidden="false"/>
    </xf>
    <xf numFmtId="164" fontId="14" fillId="3" borderId="1" xfId="0" applyFont="true" applyBorder="true" applyAlignment="true" applyProtection="false">
      <alignment horizontal="center" vertical="center" textRotation="0" wrapText="false" indent="0" shrinkToFit="false"/>
      <protection locked="true" hidden="false"/>
    </xf>
    <xf numFmtId="164" fontId="13" fillId="3" borderId="1" xfId="0" applyFont="true" applyBorder="true" applyAlignment="true" applyProtection="false">
      <alignment horizontal="center" vertical="center" textRotation="0" wrapText="false" indent="0" shrinkToFit="false"/>
      <protection locked="true" hidden="false"/>
    </xf>
    <xf numFmtId="164" fontId="13" fillId="3" borderId="1" xfId="0" applyFont="true" applyBorder="true" applyAlignment="true" applyProtection="false">
      <alignment horizontal="left" vertical="center" textRotation="0" wrapText="false" indent="0" shrinkToFit="false"/>
      <protection locked="true" hidden="false"/>
    </xf>
    <xf numFmtId="164" fontId="14" fillId="3" borderId="1" xfId="0" applyFont="true" applyBorder="true" applyAlignment="true" applyProtection="false">
      <alignment horizontal="general" vertical="center" textRotation="0" wrapText="false" indent="0" shrinkToFit="false"/>
      <protection locked="true" hidden="false"/>
    </xf>
    <xf numFmtId="172" fontId="13" fillId="5" borderId="1" xfId="0" applyFont="true" applyBorder="true" applyAlignment="true" applyProtection="false">
      <alignment horizontal="center" vertical="center" textRotation="0" wrapText="true" indent="0" shrinkToFit="false"/>
      <protection locked="true" hidden="false"/>
    </xf>
    <xf numFmtId="173" fontId="13" fillId="5" borderId="1" xfId="0" applyFont="true" applyBorder="true" applyAlignment="true" applyProtection="false">
      <alignment horizontal="center" vertical="center" textRotation="0" wrapText="false" indent="0" shrinkToFit="false"/>
      <protection locked="true" hidden="false"/>
    </xf>
    <xf numFmtId="173" fontId="14" fillId="5" borderId="1" xfId="0" applyFont="true" applyBorder="true" applyAlignment="true" applyProtection="false">
      <alignment horizontal="center" vertical="center" textRotation="0" wrapText="false" indent="0" shrinkToFit="false"/>
      <protection locked="true" hidden="false"/>
    </xf>
    <xf numFmtId="173" fontId="13" fillId="5" borderId="1" xfId="0" applyFont="true" applyBorder="true" applyAlignment="true" applyProtection="false">
      <alignment horizontal="left" vertical="center" textRotation="0" wrapText="false" indent="0" shrinkToFit="false"/>
      <protection locked="true" hidden="false"/>
    </xf>
    <xf numFmtId="174" fontId="14" fillId="5" borderId="1" xfId="0" applyFont="true" applyBorder="true" applyAlignment="true" applyProtection="false">
      <alignment horizontal="center" vertical="center" textRotation="0" wrapText="false" indent="0" shrinkToFit="false"/>
      <protection locked="true" hidden="false"/>
    </xf>
    <xf numFmtId="164" fontId="13" fillId="5" borderId="1" xfId="0" applyFont="true" applyBorder="true" applyAlignment="false" applyProtection="false">
      <alignment horizontal="general" vertical="bottom" textRotation="0" wrapText="false" indent="0" shrinkToFit="false"/>
      <protection locked="true" hidden="false"/>
    </xf>
    <xf numFmtId="169" fontId="13" fillId="4" borderId="1" xfId="0" applyFont="true" applyBorder="true" applyAlignment="true" applyProtection="false">
      <alignment horizontal="left" vertical="center" textRotation="0" wrapText="false" indent="0" shrinkToFit="false"/>
      <protection locked="true" hidden="false"/>
    </xf>
    <xf numFmtId="168" fontId="13" fillId="4" borderId="1" xfId="0" applyFont="true" applyBorder="true" applyAlignment="true" applyProtection="false">
      <alignment horizontal="center" vertical="center" textRotation="0" wrapText="true" indent="0" shrinkToFit="false"/>
      <protection locked="true" hidden="false"/>
    </xf>
    <xf numFmtId="164" fontId="13" fillId="3" borderId="1" xfId="0" applyFont="true" applyBorder="true" applyAlignment="true" applyProtection="false">
      <alignment horizontal="center" vertical="center" textRotation="0" wrapText="true" indent="0" shrinkToFit="false"/>
      <protection locked="true" hidden="false"/>
    </xf>
    <xf numFmtId="176" fontId="14" fillId="5" borderId="1" xfId="0" applyFont="true" applyBorder="true" applyAlignment="true" applyProtection="false">
      <alignment horizontal="center" vertical="center" textRotation="0" wrapText="false" indent="0" shrinkToFit="false"/>
      <protection locked="true" hidden="false"/>
    </xf>
    <xf numFmtId="173" fontId="14" fillId="5" borderId="1" xfId="0" applyFont="true" applyBorder="true" applyAlignment="true" applyProtection="false">
      <alignment horizontal="center" vertical="top" textRotation="0" wrapText="true" indent="0" shrinkToFit="false"/>
      <protection locked="true" hidden="false"/>
    </xf>
    <xf numFmtId="164" fontId="14" fillId="5" borderId="1" xfId="0" applyFont="true" applyBorder="true" applyAlignment="true" applyProtection="false">
      <alignment horizontal="center" vertical="top" textRotation="0" wrapText="true" indent="0" shrinkToFit="false"/>
      <protection locked="true" hidden="false"/>
    </xf>
    <xf numFmtId="168" fontId="14" fillId="5" borderId="1" xfId="0" applyFont="true" applyBorder="true" applyAlignment="true" applyProtection="false">
      <alignment horizontal="center" vertical="top" textRotation="0" wrapText="true" indent="0" shrinkToFit="false"/>
      <protection locked="true" hidden="false"/>
    </xf>
    <xf numFmtId="176" fontId="14" fillId="5" borderId="1" xfId="0" applyFont="true" applyBorder="true" applyAlignment="true" applyProtection="false">
      <alignment horizontal="center" vertical="top" textRotation="0" wrapText="true" indent="0" shrinkToFit="false"/>
      <protection locked="true" hidden="false"/>
    </xf>
    <xf numFmtId="173" fontId="14" fillId="4" borderId="1" xfId="0" applyFont="true" applyBorder="true" applyAlignment="true" applyProtection="false">
      <alignment horizontal="center" vertical="top" textRotation="0" wrapText="true" indent="0" shrinkToFit="false"/>
      <protection locked="true" hidden="false"/>
    </xf>
    <xf numFmtId="169" fontId="14" fillId="5" borderId="1" xfId="0" applyFont="true" applyBorder="true" applyAlignment="true" applyProtection="false">
      <alignment horizontal="center" vertical="top" textRotation="0" wrapText="true" indent="0" shrinkToFit="false"/>
      <protection locked="true" hidden="false"/>
    </xf>
    <xf numFmtId="164" fontId="14" fillId="5" borderId="1" xfId="0" applyFont="true" applyBorder="true" applyAlignment="true" applyProtection="false">
      <alignment horizontal="left" vertical="center" textRotation="0" wrapText="true" indent="0" shrinkToFit="false"/>
      <protection locked="true" hidden="false"/>
    </xf>
    <xf numFmtId="176" fontId="14" fillId="5" borderId="1" xfId="0" applyFont="true" applyBorder="true" applyAlignment="true" applyProtection="false">
      <alignment horizontal="left" vertical="top" textRotation="0" wrapText="true" indent="0" shrinkToFit="false"/>
      <protection locked="true" hidden="false"/>
    </xf>
    <xf numFmtId="164" fontId="14" fillId="4" borderId="1" xfId="0" applyFont="true" applyBorder="true" applyAlignment="true" applyProtection="false">
      <alignment horizontal="center" vertical="bottom" textRotation="0" wrapText="false" indent="0" shrinkToFit="false"/>
      <protection locked="true" hidden="false"/>
    </xf>
    <xf numFmtId="176" fontId="14" fillId="4" borderId="1" xfId="0" applyFont="true" applyBorder="true" applyAlignment="true" applyProtection="false">
      <alignment horizontal="left" vertical="top" textRotation="0" wrapText="true" indent="0" shrinkToFit="false"/>
      <protection locked="true" hidden="false"/>
    </xf>
    <xf numFmtId="164" fontId="6" fillId="6" borderId="1" xfId="0" applyFont="true" applyBorder="true" applyAlignment="true" applyProtection="false">
      <alignment horizontal="general" vertical="center" textRotation="0" wrapText="false" indent="0" shrinkToFit="false"/>
      <protection locked="true" hidden="false"/>
    </xf>
    <xf numFmtId="169" fontId="7" fillId="6" borderId="1" xfId="0" applyFont="true" applyBorder="true" applyAlignment="true" applyProtection="false">
      <alignment horizontal="center" vertical="center" textRotation="0" wrapText="false" indent="0" shrinkToFit="false"/>
      <protection locked="true" hidden="false"/>
    </xf>
    <xf numFmtId="171" fontId="6" fillId="6" borderId="1" xfId="0" applyFont="true" applyBorder="true" applyAlignment="true" applyProtection="false">
      <alignment horizontal="center" vertical="center" textRotation="0" wrapText="true" indent="0" shrinkToFit="false"/>
      <protection locked="true" hidden="false"/>
    </xf>
    <xf numFmtId="172" fontId="6" fillId="6" borderId="1" xfId="0" applyFont="true" applyBorder="true" applyAlignment="true" applyProtection="false">
      <alignment horizontal="center" vertical="center" textRotation="0" wrapText="true" indent="0" shrinkToFit="false"/>
      <protection locked="true" hidden="false"/>
    </xf>
    <xf numFmtId="173" fontId="6" fillId="6" borderId="1" xfId="0" applyFont="true" applyBorder="true" applyAlignment="true" applyProtection="false">
      <alignment horizontal="center" vertical="center" textRotation="0" wrapText="false" indent="0" shrinkToFit="false"/>
      <protection locked="true" hidden="false"/>
    </xf>
    <xf numFmtId="169" fontId="6" fillId="6" borderId="1" xfId="0" applyFont="true" applyBorder="true" applyAlignment="true" applyProtection="false">
      <alignment horizontal="left" vertical="center" textRotation="0" wrapText="true" indent="0" shrinkToFit="false"/>
      <protection locked="true" hidden="false"/>
    </xf>
    <xf numFmtId="169" fontId="7" fillId="6" borderId="1" xfId="0" applyFont="true" applyBorder="true" applyAlignment="true" applyProtection="false">
      <alignment horizontal="left" vertical="center" textRotation="0" wrapText="true" indent="0" shrinkToFit="false"/>
      <protection locked="true" hidden="false"/>
    </xf>
    <xf numFmtId="173" fontId="7" fillId="6" borderId="1" xfId="0" applyFont="true" applyBorder="true" applyAlignment="true" applyProtection="false">
      <alignment horizontal="center" vertical="center" textRotation="0" wrapText="false" indent="0" shrinkToFit="false"/>
      <protection locked="true" hidden="false"/>
    </xf>
    <xf numFmtId="173" fontId="6" fillId="6" borderId="1" xfId="0" applyFont="true" applyBorder="true" applyAlignment="true" applyProtection="false">
      <alignment horizontal="left" vertical="center" textRotation="0" wrapText="false" indent="0" shrinkToFit="false"/>
      <protection locked="true" hidden="false"/>
    </xf>
    <xf numFmtId="174" fontId="7" fillId="6" borderId="1" xfId="0" applyFont="true" applyBorder="true" applyAlignment="true" applyProtection="false">
      <alignment horizontal="center" vertical="center" textRotation="0" wrapText="false" indent="0" shrinkToFit="false"/>
      <protection locked="true" hidden="false"/>
    </xf>
    <xf numFmtId="168" fontId="7" fillId="6" borderId="1" xfId="0" applyFont="true" applyBorder="true" applyAlignment="true" applyProtection="false">
      <alignment horizontal="center" vertical="center" textRotation="0" wrapText="false" indent="0" shrinkToFit="false"/>
      <protection locked="true" hidden="false"/>
    </xf>
    <xf numFmtId="168" fontId="6" fillId="6" borderId="1" xfId="0" applyFont="true" applyBorder="true" applyAlignment="true" applyProtection="false">
      <alignment horizontal="center" vertical="center" textRotation="0" wrapText="true" indent="0" shrinkToFit="false"/>
      <protection locked="true" hidden="false"/>
    </xf>
    <xf numFmtId="175" fontId="6" fillId="6" borderId="1" xfId="0" applyFont="true" applyBorder="true" applyAlignment="true" applyProtection="false">
      <alignment horizontal="left" vertical="center" textRotation="0" wrapText="false" indent="0" shrinkToFit="false"/>
      <protection locked="true" hidden="false"/>
    </xf>
    <xf numFmtId="175" fontId="6" fillId="6" borderId="1" xfId="0" applyFont="true" applyBorder="true" applyAlignment="true" applyProtection="false">
      <alignment horizontal="center" vertical="center" textRotation="0" wrapText="false" indent="0" shrinkToFit="false"/>
      <protection locked="true" hidden="false"/>
    </xf>
    <xf numFmtId="175" fontId="7" fillId="6" borderId="1" xfId="0" applyFont="true" applyBorder="true" applyAlignment="true" applyProtection="false">
      <alignment horizontal="center" vertical="center" textRotation="0" wrapText="false" indent="0" shrinkToFit="false"/>
      <protection locked="true" hidden="false"/>
    </xf>
    <xf numFmtId="176" fontId="7" fillId="6" borderId="1" xfId="0" applyFont="true" applyBorder="true" applyAlignment="true" applyProtection="false">
      <alignment horizontal="center" vertical="center" textRotation="0" wrapText="false" indent="0" shrinkToFit="false"/>
      <protection locked="true" hidden="false"/>
    </xf>
    <xf numFmtId="167" fontId="6" fillId="6" borderId="1" xfId="15" applyFont="true" applyBorder="true" applyAlignment="true" applyProtection="true">
      <alignment horizontal="general" vertical="center" textRotation="0" wrapText="false" indent="0" shrinkToFit="false"/>
      <protection locked="true" hidden="false"/>
    </xf>
    <xf numFmtId="168" fontId="6" fillId="6" borderId="1" xfId="0" applyFont="true" applyBorder="true" applyAlignment="true" applyProtection="false">
      <alignment horizontal="general" vertical="center" textRotation="0" wrapText="false" indent="0" shrinkToFit="false"/>
      <protection locked="true" hidden="false"/>
    </xf>
    <xf numFmtId="164" fontId="6" fillId="4" borderId="1" xfId="0" applyFont="true" applyBorder="true" applyAlignment="true" applyProtection="false">
      <alignment horizontal="general" vertical="center" textRotation="0" wrapText="false" indent="0" shrinkToFit="false"/>
      <protection locked="true" hidden="false"/>
    </xf>
    <xf numFmtId="169" fontId="7" fillId="4" borderId="1" xfId="0" applyFont="true" applyBorder="true" applyAlignment="true" applyProtection="false">
      <alignment horizontal="center" vertical="top" textRotation="0" wrapText="true" indent="0" shrinkToFit="false"/>
      <protection locked="true" hidden="false"/>
    </xf>
    <xf numFmtId="171" fontId="6" fillId="4" borderId="1" xfId="0" applyFont="true" applyBorder="true" applyAlignment="true" applyProtection="false">
      <alignment horizontal="center" vertical="center" textRotation="0" wrapText="true" indent="0" shrinkToFit="false"/>
      <protection locked="true" hidden="false"/>
    </xf>
    <xf numFmtId="164" fontId="6" fillId="4" borderId="1" xfId="0" applyFont="true" applyBorder="true" applyAlignment="true" applyProtection="false">
      <alignment horizontal="center" vertical="center" textRotation="0" wrapText="true" indent="0" shrinkToFit="false"/>
      <protection locked="true" hidden="false"/>
    </xf>
    <xf numFmtId="169" fontId="6" fillId="4" borderId="1" xfId="0" applyFont="true" applyBorder="true" applyAlignment="true" applyProtection="false">
      <alignment horizontal="left" vertical="top" textRotation="0" wrapText="true" indent="0" shrinkToFit="false"/>
      <protection locked="true" hidden="false"/>
    </xf>
    <xf numFmtId="173" fontId="7" fillId="4" borderId="1" xfId="0" applyFont="true" applyBorder="true" applyAlignment="true" applyProtection="false">
      <alignment horizontal="center" vertical="center" textRotation="0" wrapText="true" indent="0" shrinkToFit="false"/>
      <protection locked="true" hidden="false"/>
    </xf>
    <xf numFmtId="164" fontId="6" fillId="4" borderId="1" xfId="0" applyFont="true" applyBorder="true" applyAlignment="true" applyProtection="false">
      <alignment horizontal="left" vertical="center" textRotation="0" wrapText="false" indent="0" shrinkToFit="false"/>
      <protection locked="true" hidden="false"/>
    </xf>
    <xf numFmtId="173" fontId="7" fillId="4" borderId="1" xfId="0" applyFont="true" applyBorder="true" applyAlignment="true" applyProtection="false">
      <alignment horizontal="center" vertical="top" textRotation="0" wrapText="true" indent="0" shrinkToFit="false"/>
      <protection locked="true" hidden="false"/>
    </xf>
    <xf numFmtId="164" fontId="7" fillId="4" borderId="1" xfId="0" applyFont="true" applyBorder="true" applyAlignment="true" applyProtection="false">
      <alignment horizontal="center" vertical="top" textRotation="0" wrapText="true" indent="0" shrinkToFit="false"/>
      <protection locked="true" hidden="false"/>
    </xf>
    <xf numFmtId="168" fontId="7" fillId="4" borderId="1" xfId="0" applyFont="true" applyBorder="true" applyAlignment="true" applyProtection="false">
      <alignment horizontal="center" vertical="top" textRotation="0" wrapText="true" indent="0" shrinkToFit="false"/>
      <protection locked="true" hidden="false"/>
    </xf>
    <xf numFmtId="168" fontId="6" fillId="4" borderId="1" xfId="0" applyFont="true" applyBorder="true" applyAlignment="true" applyProtection="false">
      <alignment horizontal="center" vertical="center" textRotation="0" wrapText="false" indent="0" shrinkToFit="false"/>
      <protection locked="true" hidden="false"/>
    </xf>
    <xf numFmtId="164" fontId="6" fillId="4" borderId="1" xfId="0" applyFont="true" applyBorder="true" applyAlignment="true" applyProtection="false">
      <alignment horizontal="center" vertical="center" textRotation="0" wrapText="false" indent="0" shrinkToFit="false"/>
      <protection locked="true" hidden="false"/>
    </xf>
    <xf numFmtId="176" fontId="7" fillId="4" borderId="1" xfId="0" applyFont="true" applyBorder="true" applyAlignment="true" applyProtection="false">
      <alignment horizontal="center" vertical="top" textRotation="0" wrapText="true" indent="0" shrinkToFit="false"/>
      <protection locked="true" hidden="false"/>
    </xf>
    <xf numFmtId="175" fontId="6" fillId="4" borderId="1" xfId="0" applyFont="true" applyBorder="true" applyAlignment="true" applyProtection="false">
      <alignment horizontal="center" vertical="center" textRotation="0" wrapText="false" indent="0" shrinkToFit="false"/>
      <protection locked="true" hidden="false"/>
    </xf>
    <xf numFmtId="175" fontId="7" fillId="4" borderId="1" xfId="0" applyFont="true" applyBorder="true" applyAlignment="true" applyProtection="false">
      <alignment horizontal="center" vertical="center" textRotation="0" wrapText="false" indent="0" shrinkToFit="false"/>
      <protection locked="true" hidden="false"/>
    </xf>
    <xf numFmtId="164" fontId="6" fillId="4" borderId="1" xfId="0" applyFont="true" applyBorder="true" applyAlignment="false" applyProtection="false">
      <alignment horizontal="general" vertical="bottom" textRotation="0" wrapText="false" indent="0" shrinkToFit="false"/>
      <protection locked="true" hidden="false"/>
    </xf>
    <xf numFmtId="173" fontId="6" fillId="4" borderId="1" xfId="0" applyFont="true" applyBorder="true" applyAlignment="false" applyProtection="false">
      <alignment horizontal="general" vertical="bottom" textRotation="0" wrapText="false" indent="0" shrinkToFit="false"/>
      <protection locked="true" hidden="false"/>
    </xf>
    <xf numFmtId="167" fontId="6" fillId="4" borderId="1" xfId="15" applyFont="true" applyBorder="true" applyAlignment="true" applyProtection="true">
      <alignment horizontal="general" vertical="center" textRotation="0" wrapText="false" indent="0" shrinkToFit="false"/>
      <protection locked="true" hidden="false"/>
    </xf>
    <xf numFmtId="168" fontId="6" fillId="4" borderId="1" xfId="0" applyFont="true" applyBorder="true" applyAlignment="true" applyProtection="false">
      <alignment horizontal="general" vertical="center" textRotation="0" wrapText="false" indent="0" shrinkToFit="false"/>
      <protection locked="true" hidden="false"/>
    </xf>
    <xf numFmtId="164" fontId="6" fillId="7" borderId="1" xfId="0" applyFont="true" applyBorder="true" applyAlignment="true" applyProtection="false">
      <alignment horizontal="general" vertical="center" textRotation="0" wrapText="false" indent="0" shrinkToFit="false"/>
      <protection locked="true" hidden="false"/>
    </xf>
    <xf numFmtId="169" fontId="7" fillId="7" borderId="1" xfId="0" applyFont="true" applyBorder="true" applyAlignment="true" applyProtection="false">
      <alignment horizontal="center" vertical="center" textRotation="0" wrapText="false" indent="0" shrinkToFit="false"/>
      <protection locked="true" hidden="false"/>
    </xf>
    <xf numFmtId="164" fontId="7" fillId="7" borderId="1" xfId="0" applyFont="true" applyBorder="true" applyAlignment="true" applyProtection="false">
      <alignment horizontal="center" vertical="center" textRotation="0" wrapText="false" indent="0" shrinkToFit="false"/>
      <protection locked="true" hidden="false"/>
    </xf>
    <xf numFmtId="171" fontId="6" fillId="7" borderId="1" xfId="0" applyFont="true" applyBorder="true" applyAlignment="true" applyProtection="false">
      <alignment horizontal="center" vertical="center" textRotation="0" wrapText="true" indent="0" shrinkToFit="false"/>
      <protection locked="true" hidden="false"/>
    </xf>
    <xf numFmtId="177" fontId="6" fillId="7" borderId="1" xfId="0" applyFont="true" applyBorder="true" applyAlignment="true" applyProtection="false">
      <alignment horizontal="center" vertical="center" textRotation="0" wrapText="true" indent="0" shrinkToFit="false"/>
      <protection locked="true" hidden="false"/>
    </xf>
    <xf numFmtId="169" fontId="6" fillId="7" borderId="1" xfId="0" applyFont="true" applyBorder="true" applyAlignment="true" applyProtection="false">
      <alignment horizontal="left" vertical="center" textRotation="0" wrapText="true" indent="0" shrinkToFit="false"/>
      <protection locked="true" hidden="false"/>
    </xf>
    <xf numFmtId="169" fontId="7" fillId="7" borderId="1" xfId="0" applyFont="true" applyBorder="true" applyAlignment="true" applyProtection="false">
      <alignment horizontal="left" vertical="center" textRotation="0" wrapText="true" indent="0" shrinkToFit="false"/>
      <protection locked="true" hidden="false"/>
    </xf>
    <xf numFmtId="164" fontId="6" fillId="7" borderId="1" xfId="0" applyFont="true" applyBorder="true" applyAlignment="true" applyProtection="false">
      <alignment horizontal="left" vertical="center" textRotation="0" wrapText="false" indent="0" shrinkToFit="false"/>
      <protection locked="true" hidden="false"/>
    </xf>
    <xf numFmtId="168" fontId="7" fillId="7" borderId="1" xfId="0" applyFont="true" applyBorder="true" applyAlignment="true" applyProtection="false">
      <alignment horizontal="center" vertical="center" textRotation="0" wrapText="false" indent="0" shrinkToFit="false"/>
      <protection locked="true" hidden="false"/>
    </xf>
    <xf numFmtId="168" fontId="6" fillId="7" borderId="1" xfId="0" applyFont="true" applyBorder="true" applyAlignment="true" applyProtection="false">
      <alignment horizontal="center" vertical="center" textRotation="0" wrapText="true" indent="0" shrinkToFit="false"/>
      <protection locked="true" hidden="false"/>
    </xf>
    <xf numFmtId="175" fontId="6" fillId="7" borderId="1" xfId="0" applyFont="true" applyBorder="true" applyAlignment="true" applyProtection="false">
      <alignment horizontal="center" vertical="center" textRotation="0" wrapText="false" indent="0" shrinkToFit="false"/>
      <protection locked="true" hidden="false"/>
    </xf>
    <xf numFmtId="175" fontId="7" fillId="7" borderId="1" xfId="0" applyFont="true" applyBorder="true" applyAlignment="true" applyProtection="false">
      <alignment horizontal="center" vertical="center" textRotation="0" wrapText="false" indent="0" shrinkToFit="false"/>
      <protection locked="true" hidden="false"/>
    </xf>
    <xf numFmtId="166" fontId="6" fillId="7" borderId="1" xfId="15" applyFont="true" applyBorder="true" applyAlignment="true" applyProtection="true">
      <alignment horizontal="general" vertical="center" textRotation="0" wrapText="false" indent="0" shrinkToFit="false"/>
      <protection locked="true" hidden="false"/>
    </xf>
    <xf numFmtId="167" fontId="6" fillId="7" borderId="1" xfId="15" applyFont="true" applyBorder="true" applyAlignment="true" applyProtection="true">
      <alignment horizontal="general" vertical="center" textRotation="0" wrapText="false" indent="0" shrinkToFit="false"/>
      <protection locked="true" hidden="false"/>
    </xf>
    <xf numFmtId="168" fontId="6" fillId="7" borderId="1" xfId="0" applyFont="true" applyBorder="true" applyAlignment="true" applyProtection="false">
      <alignment horizontal="general" vertical="center" textRotation="0" wrapText="false" indent="0" shrinkToFit="false"/>
      <protection locked="true" hidden="false"/>
    </xf>
    <xf numFmtId="169" fontId="7" fillId="7" borderId="1" xfId="0" applyFont="true" applyBorder="true" applyAlignment="true" applyProtection="false">
      <alignment horizontal="center" vertical="center" textRotation="0" wrapText="true" indent="0" shrinkToFit="false"/>
      <protection locked="true" hidden="false"/>
    </xf>
    <xf numFmtId="177" fontId="7" fillId="7" borderId="1" xfId="0" applyFont="true" applyBorder="true" applyAlignment="true" applyProtection="false">
      <alignment horizontal="center" vertical="center" textRotation="0" wrapText="true" indent="0" shrinkToFit="false"/>
      <protection locked="true" hidden="false"/>
    </xf>
    <xf numFmtId="173" fontId="7" fillId="7" borderId="1" xfId="0" applyFont="true" applyBorder="true" applyAlignment="true" applyProtection="false">
      <alignment horizontal="center" vertical="center" textRotation="0" wrapText="true" indent="0" shrinkToFit="false"/>
      <protection locked="true" hidden="false"/>
    </xf>
    <xf numFmtId="168" fontId="7" fillId="7" borderId="1" xfId="0" applyFont="true" applyBorder="true" applyAlignment="true" applyProtection="false">
      <alignment horizontal="center" vertical="center" textRotation="0" wrapText="true" indent="0" shrinkToFit="false"/>
      <protection locked="true" hidden="false"/>
    </xf>
    <xf numFmtId="168" fontId="6" fillId="7" borderId="1" xfId="0" applyFont="true" applyBorder="true" applyAlignment="true" applyProtection="false">
      <alignment horizontal="center" vertical="center" textRotation="0" wrapText="false" indent="0" shrinkToFit="false"/>
      <protection locked="true" hidden="false"/>
    </xf>
    <xf numFmtId="164" fontId="6" fillId="7" borderId="1" xfId="0" applyFont="true" applyBorder="true" applyAlignment="true" applyProtection="false">
      <alignment horizontal="center" vertical="center" textRotation="0" wrapText="false" indent="0" shrinkToFit="false"/>
      <protection locked="true" hidden="false"/>
    </xf>
    <xf numFmtId="176" fontId="7" fillId="7" borderId="1" xfId="0" applyFont="true" applyBorder="true" applyAlignment="true" applyProtection="false">
      <alignment horizontal="center" vertical="center" textRotation="0" wrapText="true" indent="0" shrinkToFit="false"/>
      <protection locked="true" hidden="false"/>
    </xf>
    <xf numFmtId="164" fontId="6" fillId="6" borderId="1" xfId="0" applyFont="true" applyBorder="true" applyAlignment="true" applyProtection="false">
      <alignment horizontal="center" vertical="center" textRotation="0" wrapText="false" indent="0" shrinkToFit="false"/>
      <protection locked="true" hidden="false"/>
    </xf>
    <xf numFmtId="177" fontId="6" fillId="5" borderId="1" xfId="0" applyFont="true" applyBorder="true" applyAlignment="true" applyProtection="false">
      <alignment horizontal="general" vertical="center" textRotation="0" wrapText="false" indent="0" shrinkToFit="false"/>
      <protection locked="true" hidden="false"/>
    </xf>
    <xf numFmtId="166" fontId="6" fillId="6" borderId="1" xfId="15" applyFont="true" applyBorder="true" applyAlignment="true" applyProtection="true">
      <alignment horizontal="general" vertical="center" textRotation="0" wrapText="false" indent="0" shrinkToFit="false"/>
      <protection locked="true" hidden="false"/>
    </xf>
    <xf numFmtId="169" fontId="7" fillId="4" borderId="1" xfId="0" applyFont="true" applyBorder="true" applyAlignment="true" applyProtection="false">
      <alignment horizontal="center" vertical="center" textRotation="0" wrapText="true" indent="0" shrinkToFit="false"/>
      <protection locked="true" hidden="false"/>
    </xf>
    <xf numFmtId="169" fontId="6" fillId="4" borderId="1" xfId="0" applyFont="true" applyBorder="true" applyAlignment="true" applyProtection="false">
      <alignment horizontal="left" vertical="center" textRotation="0" wrapText="true" indent="0" shrinkToFit="false"/>
      <protection locked="true" hidden="false"/>
    </xf>
    <xf numFmtId="168" fontId="7" fillId="4" borderId="1" xfId="0" applyFont="true" applyBorder="true" applyAlignment="true" applyProtection="false">
      <alignment horizontal="center" vertical="center" textRotation="0" wrapText="true" indent="0" shrinkToFit="false"/>
      <protection locked="true" hidden="false"/>
    </xf>
    <xf numFmtId="176" fontId="7" fillId="4" borderId="1" xfId="0" applyFont="true" applyBorder="true" applyAlignment="true" applyProtection="false">
      <alignment horizontal="center" vertical="center" textRotation="0" wrapText="true" indent="0" shrinkToFit="false"/>
      <protection locked="true" hidden="false"/>
    </xf>
    <xf numFmtId="177" fontId="6" fillId="4" borderId="1" xfId="15" applyFont="true" applyBorder="true" applyAlignment="true" applyProtection="true">
      <alignment horizontal="general" vertical="center" textRotation="0" wrapText="false" indent="0" shrinkToFit="false"/>
      <protection locked="true" hidden="false"/>
    </xf>
    <xf numFmtId="166" fontId="6" fillId="4" borderId="1" xfId="15" applyFont="true" applyBorder="true" applyAlignment="true" applyProtection="true">
      <alignment horizontal="general" vertical="center" textRotation="0" wrapText="false" indent="0" shrinkToFit="false"/>
      <protection locked="true" hidden="false"/>
    </xf>
    <xf numFmtId="164" fontId="7" fillId="4" borderId="1" xfId="0" applyFont="true" applyBorder="true" applyAlignment="true" applyProtection="false">
      <alignment horizontal="center" vertical="center" textRotation="0" wrapText="true" indent="0" shrinkToFit="false"/>
      <protection locked="true" hidden="false"/>
    </xf>
    <xf numFmtId="164" fontId="4" fillId="6" borderId="1" xfId="0" applyFont="true" applyBorder="true" applyAlignment="false" applyProtection="false">
      <alignment horizontal="general" vertical="bottom" textRotation="0" wrapText="false" indent="0" shrinkToFit="false"/>
      <protection locked="true" hidden="false"/>
    </xf>
    <xf numFmtId="169" fontId="7" fillId="4" borderId="1" xfId="0" applyFont="true" applyBorder="true" applyAlignment="true" applyProtection="false">
      <alignment horizontal="left" vertical="top" textRotation="0" wrapText="true" indent="0" shrinkToFit="false"/>
      <protection locked="true" hidden="false"/>
    </xf>
    <xf numFmtId="172" fontId="6" fillId="7" borderId="1" xfId="0" applyFont="true" applyBorder="true" applyAlignment="true" applyProtection="false">
      <alignment horizontal="center" vertical="center" textRotation="0" wrapText="true" indent="0" shrinkToFit="false"/>
      <protection locked="true" hidden="false"/>
    </xf>
    <xf numFmtId="173" fontId="7" fillId="7" borderId="1" xfId="0" applyFont="true" applyBorder="true" applyAlignment="true" applyProtection="false">
      <alignment horizontal="center" vertical="center" textRotation="0" wrapText="false" indent="0" shrinkToFit="false"/>
      <protection locked="true" hidden="false"/>
    </xf>
    <xf numFmtId="173" fontId="6" fillId="7" borderId="1" xfId="0" applyFont="true" applyBorder="true" applyAlignment="true" applyProtection="false">
      <alignment horizontal="left" vertical="center" textRotation="0" wrapText="false" indent="0" shrinkToFit="false"/>
      <protection locked="true" hidden="false"/>
    </xf>
    <xf numFmtId="174" fontId="7" fillId="7" borderId="1" xfId="0" applyFont="true" applyBorder="true" applyAlignment="true" applyProtection="false">
      <alignment horizontal="center" vertical="center" textRotation="0" wrapText="false" indent="0" shrinkToFit="false"/>
      <protection locked="true" hidden="false"/>
    </xf>
    <xf numFmtId="175" fontId="6" fillId="7" borderId="1" xfId="0" applyFont="true" applyBorder="true" applyAlignment="true" applyProtection="false">
      <alignment horizontal="left" vertical="center" textRotation="0" wrapText="false" indent="0" shrinkToFit="false"/>
      <protection locked="true" hidden="false"/>
    </xf>
    <xf numFmtId="176" fontId="7" fillId="7" borderId="1" xfId="0" applyFont="true" applyBorder="true" applyAlignment="true" applyProtection="false">
      <alignment horizontal="center" vertical="center" textRotation="0" wrapText="false" indent="0" shrinkToFit="false"/>
      <protection locked="true" hidden="false"/>
    </xf>
    <xf numFmtId="164" fontId="6" fillId="7" borderId="1" xfId="0" applyFont="true" applyBorder="true" applyAlignment="false" applyProtection="false">
      <alignment horizontal="general" vertical="bottom" textRotation="0" wrapText="false" indent="0" shrinkToFit="false"/>
      <protection locked="true" hidden="false"/>
    </xf>
    <xf numFmtId="169" fontId="6" fillId="6" borderId="1" xfId="0" applyFont="true" applyBorder="true" applyAlignment="true" applyProtection="false">
      <alignment horizontal="left" vertical="top" textRotation="0" wrapText="true" indent="0" shrinkToFit="false"/>
      <protection locked="true" hidden="false"/>
    </xf>
    <xf numFmtId="164" fontId="7" fillId="6" borderId="1" xfId="0" applyFont="true" applyBorder="true" applyAlignment="true" applyProtection="false">
      <alignment horizontal="center" vertical="center" textRotation="0" wrapText="false" indent="0" shrinkToFit="false"/>
      <protection locked="true" hidden="false"/>
    </xf>
    <xf numFmtId="168" fontId="6" fillId="6" borderId="1" xfId="0" applyFont="true" applyBorder="true" applyAlignment="true" applyProtection="false">
      <alignment horizontal="center" vertical="center" textRotation="0" wrapText="false" indent="0" shrinkToFit="false"/>
      <protection locked="true" hidden="false"/>
    </xf>
    <xf numFmtId="164" fontId="6" fillId="6" borderId="1" xfId="0" applyFont="true" applyBorder="true" applyAlignment="true" applyProtection="false">
      <alignment horizontal="left" vertical="center" textRotation="0" wrapText="false" indent="0" shrinkToFit="false"/>
      <protection locked="true" hidden="false"/>
    </xf>
    <xf numFmtId="177" fontId="6" fillId="6" borderId="1" xfId="15" applyFont="true" applyBorder="true" applyAlignment="true" applyProtection="true">
      <alignment horizontal="general" vertical="center" textRotation="0" wrapText="false" indent="0" shrinkToFit="false"/>
      <protection locked="true" hidden="false"/>
    </xf>
    <xf numFmtId="173" fontId="6" fillId="7" borderId="1" xfId="0" applyFont="true" applyBorder="true" applyAlignment="true" applyProtection="false">
      <alignment horizontal="center" vertical="center" textRotation="0" wrapText="false" indent="0" shrinkToFit="false"/>
      <protection locked="true" hidden="false"/>
    </xf>
    <xf numFmtId="176" fontId="7" fillId="7" borderId="1" xfId="0" applyFont="true" applyBorder="true" applyAlignment="true" applyProtection="false">
      <alignment horizontal="center" vertical="top" textRotation="0" wrapText="true" indent="0" shrinkToFit="false"/>
      <protection locked="true" hidden="false"/>
    </xf>
    <xf numFmtId="164" fontId="6" fillId="6" borderId="1" xfId="0" applyFont="true" applyBorder="true" applyAlignment="true" applyProtection="false">
      <alignment horizontal="center" vertical="center" textRotation="0" wrapText="true" indent="0" shrinkToFit="false"/>
      <protection locked="true" hidden="false"/>
    </xf>
    <xf numFmtId="164" fontId="17" fillId="7" borderId="1" xfId="0" applyFont="true" applyBorder="true" applyAlignment="true" applyProtection="false">
      <alignment horizontal="center" vertical="center" textRotation="0" wrapText="false" indent="0" shrinkToFit="false"/>
      <protection locked="true" hidden="false"/>
    </xf>
    <xf numFmtId="169" fontId="6" fillId="7" borderId="1" xfId="0" applyFont="true" applyBorder="true" applyAlignment="true" applyProtection="false">
      <alignment horizontal="left" vertical="center" textRotation="0" wrapText="false" indent="0" shrinkToFit="false"/>
      <protection locked="true" hidden="false"/>
    </xf>
    <xf numFmtId="164" fontId="6" fillId="7" borderId="1" xfId="15" applyFont="true" applyBorder="true" applyAlignment="true" applyProtection="true">
      <alignment horizontal="general" vertical="center" textRotation="0" wrapText="false" indent="0" shrinkToFit="false"/>
      <protection locked="true" hidden="false"/>
    </xf>
    <xf numFmtId="164" fontId="13" fillId="7" borderId="1" xfId="0" applyFont="true" applyBorder="true" applyAlignment="true" applyProtection="false">
      <alignment horizontal="general" vertical="center" textRotation="0" wrapText="false" indent="0" shrinkToFit="false"/>
      <protection locked="true" hidden="false"/>
    </xf>
    <xf numFmtId="173" fontId="18" fillId="0" borderId="0" xfId="0" applyFont="true" applyBorder="false" applyAlignment="true" applyProtection="false">
      <alignment horizontal="center" vertical="center" textRotation="0" wrapText="false" indent="0" shrinkToFit="false"/>
      <protection locked="true" hidden="false"/>
    </xf>
    <xf numFmtId="173" fontId="18" fillId="0" borderId="0" xfId="0" applyFont="true" applyBorder="false" applyAlignment="true" applyProtection="false">
      <alignment horizontal="left" vertical="center" textRotation="0" wrapText="false" indent="0" shrinkToFit="false"/>
      <protection locked="true" hidden="false"/>
    </xf>
    <xf numFmtId="164" fontId="18" fillId="7" borderId="0" xfId="0" applyFont="true" applyBorder="false" applyAlignment="true" applyProtection="false">
      <alignment horizontal="center" vertical="center" textRotation="0" wrapText="false" indent="0" shrinkToFit="false"/>
      <protection locked="true" hidden="false"/>
    </xf>
    <xf numFmtId="168" fontId="10" fillId="7" borderId="0" xfId="0" applyFont="true" applyBorder="false" applyAlignment="true" applyProtection="false">
      <alignment horizontal="center" vertical="center" textRotation="0" wrapText="false" indent="0" shrinkToFit="false"/>
      <protection locked="true" hidden="false"/>
    </xf>
    <xf numFmtId="168" fontId="18" fillId="7" borderId="0" xfId="0" applyFont="true" applyBorder="false" applyAlignment="true" applyProtection="false">
      <alignment horizontal="center" vertical="center" textRotation="0" wrapText="true" indent="0" shrinkToFit="false"/>
      <protection locked="true" hidden="false"/>
    </xf>
    <xf numFmtId="175" fontId="18" fillId="7" borderId="0" xfId="0" applyFont="true" applyBorder="false" applyAlignment="true" applyProtection="false">
      <alignment horizontal="center" vertical="center" textRotation="0" wrapText="false" indent="0" shrinkToFit="false"/>
      <protection locked="true" hidden="false"/>
    </xf>
    <xf numFmtId="175" fontId="10" fillId="7" borderId="0" xfId="0" applyFont="true" applyBorder="false" applyAlignment="true" applyProtection="false">
      <alignment horizontal="center" vertical="center" textRotation="0" wrapText="false" indent="0" shrinkToFit="false"/>
      <protection locked="true" hidden="false"/>
    </xf>
    <xf numFmtId="164" fontId="6" fillId="6" borderId="1" xfId="0" applyFont="true" applyBorder="true" applyAlignment="false" applyProtection="false">
      <alignment horizontal="general" vertical="bottom" textRotation="0" wrapText="false" indent="0" shrinkToFit="false"/>
      <protection locked="true" hidden="false"/>
    </xf>
    <xf numFmtId="164" fontId="7" fillId="6" borderId="1" xfId="0" applyFont="true" applyBorder="true" applyAlignment="true" applyProtection="false">
      <alignment horizontal="center" vertical="bottom" textRotation="0" wrapText="false" indent="0" shrinkToFit="false"/>
      <protection locked="true" hidden="false"/>
    </xf>
    <xf numFmtId="173" fontId="6" fillId="6" borderId="1" xfId="0" applyFont="true" applyBorder="true" applyAlignment="false" applyProtection="false">
      <alignment horizontal="general" vertical="bottom" textRotation="0" wrapText="false" indent="0" shrinkToFit="false"/>
      <protection locked="true" hidden="false"/>
    </xf>
    <xf numFmtId="169" fontId="7" fillId="4" borderId="1" xfId="0" applyFont="true" applyBorder="true" applyAlignment="true" applyProtection="false">
      <alignment horizontal="center" vertical="center" textRotation="0" wrapText="false" indent="0" shrinkToFit="false"/>
      <protection locked="true" hidden="false"/>
    </xf>
    <xf numFmtId="164" fontId="7" fillId="4" borderId="1" xfId="0" applyFont="true" applyBorder="true" applyAlignment="true" applyProtection="false">
      <alignment horizontal="center" vertical="center" textRotation="0" wrapText="false" indent="0" shrinkToFit="false"/>
      <protection locked="true" hidden="false"/>
    </xf>
    <xf numFmtId="178" fontId="6" fillId="4" borderId="1" xfId="0" applyFont="true" applyBorder="true" applyAlignment="true" applyProtection="false">
      <alignment horizontal="center" vertical="center" textRotation="0" wrapText="false" indent="0" shrinkToFit="false"/>
      <protection locked="true" hidden="false"/>
    </xf>
    <xf numFmtId="169" fontId="7" fillId="6" borderId="1" xfId="0" applyFont="true" applyBorder="true" applyAlignment="true" applyProtection="false">
      <alignment horizontal="center" vertical="bottom" textRotation="0" wrapText="false" indent="0" shrinkToFit="false"/>
      <protection locked="true" hidden="false"/>
    </xf>
    <xf numFmtId="178" fontId="6" fillId="6" borderId="1" xfId="0" applyFont="true" applyBorder="true" applyAlignment="true" applyProtection="false">
      <alignment horizontal="center" vertical="bottom" textRotation="0" wrapText="false" indent="0" shrinkToFit="false"/>
      <protection locked="true" hidden="false"/>
    </xf>
    <xf numFmtId="164" fontId="6" fillId="6" borderId="1" xfId="0" applyFont="true" applyBorder="true" applyAlignment="true" applyProtection="false">
      <alignment horizontal="center" vertical="bottom" textRotation="0" wrapText="false" indent="0" shrinkToFit="false"/>
      <protection locked="true" hidden="false"/>
    </xf>
    <xf numFmtId="164" fontId="6" fillId="6" borderId="1" xfId="0" applyFont="true" applyBorder="true" applyAlignment="true" applyProtection="false">
      <alignment horizontal="left" vertical="bottom" textRotation="0" wrapText="false" indent="0" shrinkToFit="false"/>
      <protection locked="true" hidden="false"/>
    </xf>
    <xf numFmtId="164" fontId="7" fillId="6" borderId="1" xfId="0" applyFont="true" applyBorder="true" applyAlignment="false" applyProtection="false">
      <alignment horizontal="general" vertical="bottom" textRotation="0" wrapText="false" indent="0" shrinkToFit="false"/>
      <protection locked="true" hidden="false"/>
    </xf>
    <xf numFmtId="169" fontId="7" fillId="7" borderId="1" xfId="0" applyFont="true" applyBorder="true" applyAlignment="true" applyProtection="false">
      <alignment horizontal="center" vertical="top" textRotation="0" wrapText="true" indent="0" shrinkToFit="false"/>
      <protection locked="true" hidden="false"/>
    </xf>
    <xf numFmtId="176" fontId="7" fillId="7" borderId="1" xfId="0" applyFont="true" applyBorder="true" applyAlignment="true" applyProtection="false">
      <alignment horizontal="left" vertical="top" textRotation="0" wrapText="true" indent="0" shrinkToFit="false"/>
      <protection locked="true" hidden="false"/>
    </xf>
    <xf numFmtId="173" fontId="6" fillId="7" borderId="1" xfId="0" applyFont="true" applyBorder="true" applyAlignment="false" applyProtection="false">
      <alignment horizontal="general" vertical="bottom" textRotation="0" wrapText="false" indent="0" shrinkToFit="false"/>
      <protection locked="true" hidden="false"/>
    </xf>
    <xf numFmtId="164" fontId="7" fillId="4" borderId="1" xfId="0" applyFont="true" applyBorder="true" applyAlignment="true" applyProtection="false">
      <alignment horizontal="center" vertical="bottom" textRotation="0" wrapText="false" indent="0" shrinkToFit="false"/>
      <protection locked="true" hidden="false"/>
    </xf>
    <xf numFmtId="164" fontId="19" fillId="4" borderId="1" xfId="0" applyFont="true" applyBorder="true" applyAlignment="true" applyProtection="false">
      <alignment horizontal="center" vertical="bottom" textRotation="0" wrapText="false" indent="0" shrinkToFit="false"/>
      <protection locked="true" hidden="false"/>
    </xf>
    <xf numFmtId="176" fontId="7" fillId="4" borderId="1" xfId="0" applyFont="true" applyBorder="true" applyAlignment="true" applyProtection="false">
      <alignment horizontal="left" vertical="top" textRotation="0" wrapText="true" indent="0" shrinkToFit="false"/>
      <protection locked="true" hidden="false"/>
    </xf>
    <xf numFmtId="164" fontId="7" fillId="4" borderId="1" xfId="0" applyFont="true" applyBorder="true" applyAlignment="true" applyProtection="false">
      <alignment horizontal="general" vertical="center" textRotation="0" wrapText="false" indent="0" shrinkToFit="false"/>
      <protection locked="true" hidden="false"/>
    </xf>
    <xf numFmtId="168" fontId="6" fillId="0" borderId="3" xfId="0" applyFont="true" applyBorder="true" applyAlignment="true" applyProtection="false">
      <alignment horizontal="general" vertical="center"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79"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cellXfs>
  <cellStyles count="12">
    <cellStyle name="Normal" xfId="0" builtinId="0"/>
    <cellStyle name="Comma" xfId="15" builtinId="3"/>
    <cellStyle name="Comma [0]" xfId="16" builtinId="6"/>
    <cellStyle name="Currency" xfId="17" builtinId="4"/>
    <cellStyle name="Currency [0]" xfId="18" builtinId="7"/>
    <cellStyle name="Percent" xfId="19" builtinId="5"/>
    <cellStyle name="Normal 2" xfId="20"/>
    <cellStyle name="Normal 2 2" xfId="21"/>
    <cellStyle name="Normal 2 3" xfId="22"/>
    <cellStyle name="Normal 3" xfId="23"/>
    <cellStyle name="Normal 4" xfId="24"/>
    <cellStyle name="Normal 5" xfId="25"/>
  </cellStyles>
  <colors>
    <indexedColors>
      <rgbColor rgb="FF000000"/>
      <rgbColor rgb="FFFBE5D6"/>
      <rgbColor rgb="FFC0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7030A0"/>
      <rgbColor rgb="FFFFF2CC"/>
      <rgbColor rgb="FFDEEBF7"/>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000"/>
      <rgbColor rgb="FFFF9900"/>
      <rgbColor rgb="FFED7D31"/>
      <rgbColor rgb="FF666699"/>
      <rgbColor rgb="FFAFABAB"/>
      <rgbColor rgb="FF003366"/>
      <rgbColor rgb="FF00B050"/>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tabColor rgb="FFED7D31"/>
    <pageSetUpPr fitToPage="false"/>
  </sheetPr>
  <dimension ref="A1:CX18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4" ySplit="1" topLeftCell="H2" activePane="bottomRight" state="frozen"/>
      <selection pane="topLeft" activeCell="A1" activeCellId="0" sqref="A1"/>
      <selection pane="topRight" activeCell="H1" activeCellId="0" sqref="H1"/>
      <selection pane="bottomLeft" activeCell="A2" activeCellId="0" sqref="A2"/>
      <selection pane="bottomRight" activeCell="C17" activeCellId="0" sqref="C17"/>
    </sheetView>
  </sheetViews>
  <sheetFormatPr defaultColWidth="8.875" defaultRowHeight="12.8" zeroHeight="false" outlineLevelRow="0" outlineLevelCol="0"/>
  <cols>
    <col collapsed="false" customWidth="true" hidden="false" outlineLevel="0" max="1" min="1" style="1" width="8.29"/>
    <col collapsed="false" customWidth="true" hidden="false" outlineLevel="0" max="2" min="2" style="1" width="8"/>
    <col collapsed="false" customWidth="true" hidden="false" outlineLevel="0" max="3" min="3" style="1" width="13.47"/>
    <col collapsed="false" customWidth="true" hidden="false" outlineLevel="0" max="4" min="4" style="1" width="8.66"/>
    <col collapsed="false" customWidth="true" hidden="false" outlineLevel="0" max="7" min="5" style="2" width="9.13"/>
    <col collapsed="false" customWidth="true" hidden="false" outlineLevel="0" max="8" min="8" style="3" width="9.13"/>
    <col collapsed="false" customWidth="true" hidden="false" outlineLevel="0" max="11" min="9" style="1" width="9.13"/>
    <col collapsed="false" customWidth="true" hidden="false" outlineLevel="0" max="12" min="12" style="1" width="10.85"/>
    <col collapsed="false" customWidth="true" hidden="false" outlineLevel="0" max="13" min="13" style="1" width="9.13"/>
    <col collapsed="false" customWidth="true" hidden="false" outlineLevel="0" max="14" min="14" style="4" width="40.57"/>
    <col collapsed="false" customWidth="true" hidden="false" outlineLevel="0" max="16" min="15" style="1" width="40.57"/>
    <col collapsed="false" customWidth="true" hidden="false" outlineLevel="0" max="17" min="17" style="2" width="11.53"/>
    <col collapsed="false" customWidth="true" hidden="false" outlineLevel="0" max="18" min="18" style="2" width="24.31"/>
    <col collapsed="false" customWidth="true" hidden="false" outlineLevel="0" max="19" min="19" style="1" width="44.18"/>
    <col collapsed="false" customWidth="true" hidden="false" outlineLevel="0" max="20" min="20" style="2" width="20.98"/>
    <col collapsed="false" customWidth="true" hidden="false" outlineLevel="0" max="22" min="21" style="2" width="9.13"/>
    <col collapsed="false" customWidth="true" hidden="false" outlineLevel="0" max="26" min="23" style="5" width="9.13"/>
    <col collapsed="false" customWidth="true" hidden="false" outlineLevel="0" max="27" min="27" style="5" width="15.87"/>
    <col collapsed="false" customWidth="true" hidden="false" outlineLevel="0" max="28" min="28" style="1" width="53.99"/>
    <col collapsed="false" customWidth="true" hidden="false" outlineLevel="0" max="29" min="29" style="3" width="8.71"/>
    <col collapsed="false" customWidth="true" hidden="false" outlineLevel="0" max="30" min="30" style="1" width="46.29"/>
    <col collapsed="false" customWidth="true" hidden="false" outlineLevel="0" max="31" min="31" style="1" width="8.41"/>
    <col collapsed="false" customWidth="true" hidden="false" outlineLevel="0" max="32" min="32" style="1" width="13.43"/>
    <col collapsed="false" customWidth="true" hidden="false" outlineLevel="0" max="33" min="33" style="6" width="15.57"/>
    <col collapsed="false" customWidth="true" hidden="false" outlineLevel="0" max="34" min="34" style="1" width="16.14"/>
    <col collapsed="false" customWidth="true" hidden="false" outlineLevel="0" max="35" min="35" style="1" width="14.28"/>
    <col collapsed="false" customWidth="true" hidden="false" outlineLevel="0" max="36" min="36" style="1" width="16.14"/>
    <col collapsed="false" customWidth="true" hidden="false" outlineLevel="0" max="37" min="37" style="1" width="9.29"/>
    <col collapsed="false" customWidth="true" hidden="false" outlineLevel="0" max="38" min="38" style="7" width="9.71"/>
    <col collapsed="false" customWidth="true" hidden="false" outlineLevel="0" max="39" min="39" style="1" width="22.7"/>
    <col collapsed="false" customWidth="true" hidden="false" outlineLevel="0" max="40" min="40" style="1" width="22.43"/>
    <col collapsed="false" customWidth="true" hidden="false" outlineLevel="0" max="42" min="41" style="1" width="17.13"/>
    <col collapsed="false" customWidth="true" hidden="false" outlineLevel="0" max="43" min="43" style="1" width="8.41"/>
    <col collapsed="false" customWidth="true" hidden="false" outlineLevel="0" max="44" min="44" style="1" width="16.14"/>
    <col collapsed="false" customWidth="true" hidden="false" outlineLevel="0" max="45" min="45" style="1" width="21.71"/>
    <col collapsed="false" customWidth="true" hidden="false" outlineLevel="0" max="46" min="46" style="1" width="21.86"/>
    <col collapsed="false" customWidth="true" hidden="false" outlineLevel="0" max="47" min="47" style="1" width="21.71"/>
    <col collapsed="false" customWidth="true" hidden="false" outlineLevel="0" max="48" min="48" style="1" width="21.43"/>
    <col collapsed="false" customWidth="true" hidden="false" outlineLevel="0" max="49" min="49" style="1" width="21.71"/>
    <col collapsed="false" customWidth="true" hidden="false" outlineLevel="0" max="50" min="50" style="1" width="21.57"/>
    <col collapsed="false" customWidth="true" hidden="false" outlineLevel="0" max="51" min="51" style="1" width="21.71"/>
    <col collapsed="false" customWidth="true" hidden="false" outlineLevel="0" max="52" min="52" style="1" width="21.43"/>
    <col collapsed="false" customWidth="true" hidden="false" outlineLevel="0" max="53" min="53" style="1" width="8.41"/>
    <col collapsed="false" customWidth="true" hidden="false" outlineLevel="0" max="54" min="54" style="1" width="16.57"/>
    <col collapsed="false" customWidth="true" hidden="false" outlineLevel="0" max="55" min="55" style="1" width="22.14"/>
    <col collapsed="false" customWidth="true" hidden="false" outlineLevel="0" max="56" min="56" style="1" width="22.28"/>
    <col collapsed="false" customWidth="true" hidden="false" outlineLevel="0" max="57" min="57" style="1" width="22.14"/>
    <col collapsed="false" customWidth="true" hidden="false" outlineLevel="0" max="58" min="58" style="1" width="21.86"/>
    <col collapsed="false" customWidth="true" hidden="false" outlineLevel="0" max="59" min="59" style="1" width="22.14"/>
    <col collapsed="false" customWidth="true" hidden="false" outlineLevel="0" max="60" min="60" style="1" width="22.28"/>
    <col collapsed="false" customWidth="true" hidden="false" outlineLevel="0" max="61" min="61" style="1" width="22.14"/>
    <col collapsed="false" customWidth="true" hidden="false" outlineLevel="0" max="62" min="62" style="1" width="21.86"/>
    <col collapsed="false" customWidth="true" hidden="false" outlineLevel="0" max="63" min="63" style="1" width="34.13"/>
    <col collapsed="false" customWidth="true" hidden="false" outlineLevel="0" max="64" min="64" style="1" width="34.29"/>
    <col collapsed="false" customWidth="true" hidden="false" outlineLevel="0" max="65" min="65" style="1" width="34.13"/>
    <col collapsed="false" customWidth="true" hidden="false" outlineLevel="0" max="66" min="66" style="1" width="33.87"/>
    <col collapsed="false" customWidth="true" hidden="false" outlineLevel="0" max="67" min="67" style="1" width="34.13"/>
    <col collapsed="false" customWidth="true" hidden="false" outlineLevel="0" max="68" min="68" style="1" width="34.29"/>
    <col collapsed="false" customWidth="true" hidden="false" outlineLevel="0" max="69" min="69" style="1" width="34.13"/>
    <col collapsed="false" customWidth="true" hidden="false" outlineLevel="0" max="70" min="70" style="1" width="33.87"/>
    <col collapsed="false" customWidth="true" hidden="false" outlineLevel="0" max="71" min="71" style="1" width="24.57"/>
    <col collapsed="false" customWidth="true" hidden="false" outlineLevel="0" max="72" min="72" style="1" width="24.71"/>
    <col collapsed="false" customWidth="true" hidden="false" outlineLevel="0" max="73" min="73" style="1" width="24.57"/>
    <col collapsed="false" customWidth="true" hidden="false" outlineLevel="0" max="74" min="74" style="1" width="24.29"/>
    <col collapsed="false" customWidth="true" hidden="false" outlineLevel="0" max="75" min="75" style="1" width="24.57"/>
    <col collapsed="false" customWidth="true" hidden="false" outlineLevel="0" max="76" min="76" style="1" width="24.71"/>
    <col collapsed="false" customWidth="true" hidden="false" outlineLevel="0" max="77" min="77" style="1" width="24.57"/>
    <col collapsed="false" customWidth="true" hidden="false" outlineLevel="0" max="78" min="78" style="1" width="24.29"/>
    <col collapsed="false" customWidth="true" hidden="false" outlineLevel="0" max="79" min="79" style="8" width="22.86"/>
    <col collapsed="false" customWidth="true" hidden="false" outlineLevel="0" max="80" min="80" style="9" width="22.86"/>
    <col collapsed="false" customWidth="true" hidden="false" outlineLevel="0" max="81" min="81" style="10" width="22.86"/>
    <col collapsed="false" customWidth="true" hidden="false" outlineLevel="0" max="82" min="82" style="11" width="12.71"/>
    <col collapsed="false" customWidth="true" hidden="false" outlineLevel="0" max="84" min="83" style="11" width="9.29"/>
    <col collapsed="false" customWidth="true" hidden="false" outlineLevel="0" max="86" min="85" style="11" width="13.14"/>
    <col collapsed="false" customWidth="true" hidden="false" outlineLevel="0" max="87" min="87" style="11" width="12.57"/>
    <col collapsed="false" customWidth="true" hidden="false" outlineLevel="0" max="88" min="88" style="11" width="7.57"/>
    <col collapsed="false" customWidth="true" hidden="false" outlineLevel="0" max="90" min="89" style="11" width="15.42"/>
    <col collapsed="false" customWidth="true" hidden="false" outlineLevel="0" max="91" min="91" style="11" width="15.57"/>
    <col collapsed="false" customWidth="true" hidden="false" outlineLevel="0" max="93" min="92" style="11" width="19.3"/>
    <col collapsed="false" customWidth="true" hidden="false" outlineLevel="0" max="94" min="94" style="11" width="18.85"/>
    <col collapsed="false" customWidth="true" hidden="false" outlineLevel="0" max="95" min="95" style="11" width="13.7"/>
    <col collapsed="false" customWidth="true" hidden="false" outlineLevel="0" max="96" min="96" style="11" width="13.02"/>
    <col collapsed="false" customWidth="true" hidden="false" outlineLevel="0" max="97" min="97" style="11" width="13.14"/>
    <col collapsed="false" customWidth="true" hidden="false" outlineLevel="0" max="99" min="98" style="11" width="16.71"/>
    <col collapsed="false" customWidth="true" hidden="false" outlineLevel="0" max="100" min="100" style="11" width="16.29"/>
    <col collapsed="false" customWidth="true" hidden="false" outlineLevel="0" max="101" min="101" style="12" width="11.3"/>
    <col collapsed="false" customWidth="false" hidden="false" outlineLevel="0" max="102" min="102" style="13" width="8.86"/>
    <col collapsed="false" customWidth="false" hidden="false" outlineLevel="0" max="1025" min="103" style="1" width="8.86"/>
  </cols>
  <sheetData>
    <row r="1" s="3" customFormat="true" ht="38.45" hidden="false" customHeight="true" outlineLevel="0" collapsed="false">
      <c r="A1" s="3" t="s">
        <v>0</v>
      </c>
      <c r="B1" s="3" t="s">
        <v>1</v>
      </c>
      <c r="C1" s="3" t="s">
        <v>2</v>
      </c>
      <c r="D1" s="3" t="s">
        <v>3</v>
      </c>
      <c r="E1" s="14" t="s">
        <v>4</v>
      </c>
      <c r="F1" s="14" t="s">
        <v>5</v>
      </c>
      <c r="G1" s="15" t="s">
        <v>6</v>
      </c>
      <c r="H1" s="15" t="s">
        <v>7</v>
      </c>
      <c r="I1" s="15" t="s">
        <v>8</v>
      </c>
      <c r="J1" s="15" t="s">
        <v>9</v>
      </c>
      <c r="K1" s="15" t="s">
        <v>10</v>
      </c>
      <c r="L1" s="15" t="s">
        <v>11</v>
      </c>
      <c r="M1" s="15" t="s">
        <v>12</v>
      </c>
      <c r="N1" s="16" t="s">
        <v>13</v>
      </c>
      <c r="O1" s="16" t="s">
        <v>14</v>
      </c>
      <c r="P1" s="16" t="s">
        <v>15</v>
      </c>
      <c r="Q1" s="15" t="s">
        <v>16</v>
      </c>
      <c r="R1" s="15" t="s">
        <v>17</v>
      </c>
      <c r="S1" s="15" t="s">
        <v>18</v>
      </c>
      <c r="T1" s="17" t="s">
        <v>19</v>
      </c>
      <c r="U1" s="17" t="s">
        <v>20</v>
      </c>
      <c r="V1" s="17" t="s">
        <v>21</v>
      </c>
      <c r="W1" s="15" t="s">
        <v>22</v>
      </c>
      <c r="X1" s="15" t="s">
        <v>23</v>
      </c>
      <c r="Y1" s="15" t="s">
        <v>24</v>
      </c>
      <c r="Z1" s="15" t="s">
        <v>25</v>
      </c>
      <c r="AA1" s="15" t="s">
        <v>26</v>
      </c>
      <c r="AB1" s="15" t="s">
        <v>27</v>
      </c>
      <c r="AC1" s="15" t="s">
        <v>28</v>
      </c>
      <c r="AE1" s="3" t="s">
        <v>29</v>
      </c>
      <c r="AF1" s="3" t="s">
        <v>30</v>
      </c>
      <c r="AG1" s="18" t="s">
        <v>31</v>
      </c>
      <c r="AH1" s="3" t="s">
        <v>32</v>
      </c>
      <c r="AI1" s="3" t="s">
        <v>33</v>
      </c>
      <c r="AJ1" s="3" t="s">
        <v>34</v>
      </c>
      <c r="AK1" s="3" t="s">
        <v>35</v>
      </c>
      <c r="AL1" s="19" t="s">
        <v>36</v>
      </c>
      <c r="AM1" s="3" t="s">
        <v>37</v>
      </c>
      <c r="AN1" s="3" t="s">
        <v>38</v>
      </c>
      <c r="AO1" s="3" t="s">
        <v>39</v>
      </c>
      <c r="AP1" s="3" t="s">
        <v>40</v>
      </c>
      <c r="AQ1" s="3" t="s">
        <v>41</v>
      </c>
      <c r="AR1" s="3" t="s">
        <v>42</v>
      </c>
      <c r="AS1" s="3" t="s">
        <v>43</v>
      </c>
      <c r="AT1" s="3" t="s">
        <v>44</v>
      </c>
      <c r="AU1" s="3" t="s">
        <v>45</v>
      </c>
      <c r="AV1" s="3" t="s">
        <v>46</v>
      </c>
      <c r="AW1" s="3" t="s">
        <v>47</v>
      </c>
      <c r="AX1" s="3" t="s">
        <v>48</v>
      </c>
      <c r="AY1" s="3" t="s">
        <v>49</v>
      </c>
      <c r="AZ1" s="3" t="s">
        <v>50</v>
      </c>
      <c r="BA1" s="3" t="s">
        <v>51</v>
      </c>
      <c r="BB1" s="3" t="s">
        <v>52</v>
      </c>
      <c r="BC1" s="3" t="s">
        <v>53</v>
      </c>
      <c r="BD1" s="3" t="s">
        <v>54</v>
      </c>
      <c r="BE1" s="3" t="s">
        <v>55</v>
      </c>
      <c r="BF1" s="3" t="s">
        <v>56</v>
      </c>
      <c r="BG1" s="3" t="s">
        <v>57</v>
      </c>
      <c r="BH1" s="3" t="s">
        <v>58</v>
      </c>
      <c r="BI1" s="3" t="s">
        <v>59</v>
      </c>
      <c r="BJ1" s="3" t="s">
        <v>60</v>
      </c>
      <c r="BK1" s="3" t="s">
        <v>61</v>
      </c>
      <c r="BL1" s="3" t="s">
        <v>62</v>
      </c>
      <c r="BM1" s="3" t="s">
        <v>63</v>
      </c>
      <c r="BN1" s="3" t="s">
        <v>64</v>
      </c>
      <c r="BO1" s="3" t="s">
        <v>65</v>
      </c>
      <c r="BP1" s="3" t="s">
        <v>66</v>
      </c>
      <c r="BQ1" s="3" t="s">
        <v>67</v>
      </c>
      <c r="BR1" s="3" t="s">
        <v>68</v>
      </c>
      <c r="BS1" s="3" t="s">
        <v>69</v>
      </c>
      <c r="BT1" s="3" t="s">
        <v>70</v>
      </c>
      <c r="BU1" s="3" t="s">
        <v>71</v>
      </c>
      <c r="BV1" s="3" t="s">
        <v>72</v>
      </c>
      <c r="BW1" s="3" t="s">
        <v>73</v>
      </c>
      <c r="BX1" s="3" t="s">
        <v>74</v>
      </c>
      <c r="BY1" s="3" t="s">
        <v>75</v>
      </c>
      <c r="BZ1" s="3" t="s">
        <v>76</v>
      </c>
      <c r="CA1" s="20" t="s">
        <v>77</v>
      </c>
      <c r="CB1" s="21" t="s">
        <v>78</v>
      </c>
      <c r="CC1" s="21" t="s">
        <v>79</v>
      </c>
      <c r="CD1" s="3" t="s">
        <v>80</v>
      </c>
      <c r="CE1" s="3" t="s">
        <v>81</v>
      </c>
      <c r="CF1" s="3" t="s">
        <v>82</v>
      </c>
      <c r="CG1" s="3" t="s">
        <v>83</v>
      </c>
      <c r="CH1" s="3" t="s">
        <v>84</v>
      </c>
      <c r="CI1" s="3" t="s">
        <v>85</v>
      </c>
      <c r="CJ1" s="3" t="s">
        <v>86</v>
      </c>
      <c r="CK1" s="3" t="s">
        <v>87</v>
      </c>
      <c r="CL1" s="3" t="s">
        <v>88</v>
      </c>
      <c r="CM1" s="3" t="s">
        <v>89</v>
      </c>
      <c r="CN1" s="3" t="s">
        <v>90</v>
      </c>
      <c r="CO1" s="3" t="s">
        <v>91</v>
      </c>
      <c r="CP1" s="3" t="s">
        <v>92</v>
      </c>
      <c r="CQ1" s="3" t="s">
        <v>93</v>
      </c>
      <c r="CR1" s="3" t="s">
        <v>94</v>
      </c>
      <c r="CS1" s="3" t="s">
        <v>95</v>
      </c>
      <c r="CT1" s="3" t="s">
        <v>96</v>
      </c>
      <c r="CU1" s="3" t="s">
        <v>97</v>
      </c>
      <c r="CV1" s="3" t="s">
        <v>98</v>
      </c>
      <c r="CW1" s="3" t="s">
        <v>99</v>
      </c>
    </row>
    <row r="2" s="22" customFormat="true" ht="12.75" hidden="false" customHeight="true" outlineLevel="0" collapsed="false">
      <c r="A2" s="22" t="s">
        <v>100</v>
      </c>
      <c r="B2" s="22" t="s">
        <v>101</v>
      </c>
      <c r="D2" s="22" t="s">
        <v>102</v>
      </c>
      <c r="E2" s="23" t="n">
        <v>18328</v>
      </c>
      <c r="F2" s="23" t="n">
        <v>42184</v>
      </c>
      <c r="G2" s="23" t="n">
        <v>43004</v>
      </c>
      <c r="H2" s="23" t="s">
        <v>103</v>
      </c>
      <c r="I2" s="24" t="n">
        <f aca="false">(G2-E2)/365.25</f>
        <v>67.5592060232717</v>
      </c>
      <c r="J2" s="25" t="n">
        <f aca="false">G2-E2</f>
        <v>24676</v>
      </c>
      <c r="K2" s="25" t="n">
        <f aca="false">G2-F2</f>
        <v>820</v>
      </c>
      <c r="L2" s="26" t="s">
        <v>104</v>
      </c>
      <c r="M2" s="26" t="s">
        <v>104</v>
      </c>
      <c r="N2" s="27" t="s">
        <v>105</v>
      </c>
      <c r="O2" s="28"/>
      <c r="P2" s="28"/>
      <c r="Q2" s="29" t="s">
        <v>106</v>
      </c>
      <c r="R2" s="29"/>
      <c r="S2" s="30" t="s">
        <v>107</v>
      </c>
      <c r="T2" s="31" t="s">
        <v>108</v>
      </c>
      <c r="U2" s="32" t="n">
        <v>1583.16</v>
      </c>
      <c r="V2" s="32" t="n">
        <v>79.03</v>
      </c>
      <c r="W2" s="33" t="n">
        <f aca="false">U2-V2</f>
        <v>1504.13</v>
      </c>
      <c r="X2" s="34" t="s">
        <v>109</v>
      </c>
      <c r="Y2" s="35" t="n">
        <v>66000</v>
      </c>
      <c r="Z2" s="36" t="n">
        <f aca="false">Y2*W2</f>
        <v>99272580</v>
      </c>
      <c r="AA2" s="35" t="n">
        <v>146000000</v>
      </c>
      <c r="AB2" s="30" t="s">
        <v>110</v>
      </c>
      <c r="AC2" s="37" t="n">
        <v>5000000</v>
      </c>
      <c r="AD2" s="22" t="s">
        <v>111</v>
      </c>
      <c r="AE2" s="22" t="n">
        <v>8152</v>
      </c>
      <c r="AF2" s="22" t="n">
        <v>1</v>
      </c>
      <c r="AQ2" s="22" t="n">
        <v>2550</v>
      </c>
      <c r="AR2" s="22" t="n">
        <f aca="false">100*0.00078</f>
        <v>0.078</v>
      </c>
      <c r="AS2" s="22" t="n">
        <f aca="false">100*0.0498</f>
        <v>4.98</v>
      </c>
      <c r="AT2" s="22" t="n">
        <f aca="false">100*0.0384</f>
        <v>3.84</v>
      </c>
      <c r="AU2" s="22" t="n">
        <f aca="false">100*0.672</f>
        <v>67.2</v>
      </c>
      <c r="AV2" s="22" t="n">
        <f aca="false">100*0.24</f>
        <v>24</v>
      </c>
      <c r="AW2" s="22" t="n">
        <f aca="false">100*0.0063</f>
        <v>0.63</v>
      </c>
      <c r="AX2" s="22" t="n">
        <f aca="false">100*0.0153</f>
        <v>1.53</v>
      </c>
      <c r="AY2" s="22" t="n">
        <f aca="false">100*0.696</f>
        <v>69.6</v>
      </c>
      <c r="AZ2" s="22" t="n">
        <f aca="false">100*0.282</f>
        <v>28.2</v>
      </c>
      <c r="BA2" s="22" t="n">
        <v>3199</v>
      </c>
      <c r="BB2" s="22" t="n">
        <v>0</v>
      </c>
      <c r="BC2" s="22" t="n">
        <f aca="false">100*0.289</f>
        <v>28.9</v>
      </c>
      <c r="BD2" s="22" t="n">
        <f aca="false">100*0.425</f>
        <v>42.5</v>
      </c>
      <c r="BE2" s="22" t="n">
        <f aca="false">100*0.103</f>
        <v>10.3</v>
      </c>
      <c r="BF2" s="22" t="n">
        <f aca="false">100*0.182</f>
        <v>18.2</v>
      </c>
      <c r="BG2" s="22" t="n">
        <f aca="false">100*0.123</f>
        <v>12.3</v>
      </c>
      <c r="BH2" s="22" t="n">
        <f aca="false">100*0.412</f>
        <v>41.2</v>
      </c>
      <c r="BI2" s="22" t="n">
        <f aca="false">100*0.119</f>
        <v>11.9</v>
      </c>
      <c r="BJ2" s="22" t="n">
        <f aca="false">100*0.345</f>
        <v>34.5</v>
      </c>
      <c r="BK2" s="22" t="n">
        <v>0</v>
      </c>
      <c r="BL2" s="22" t="n">
        <v>0</v>
      </c>
      <c r="BM2" s="22" t="n">
        <v>0</v>
      </c>
      <c r="BN2" s="22" t="n">
        <v>1</v>
      </c>
      <c r="BO2" s="22" t="n">
        <v>0</v>
      </c>
      <c r="BP2" s="22" t="n">
        <v>0</v>
      </c>
      <c r="BQ2" s="22" t="n">
        <v>0</v>
      </c>
      <c r="BR2" s="22" t="n">
        <v>1</v>
      </c>
      <c r="BS2" s="22" t="n">
        <v>0</v>
      </c>
      <c r="BT2" s="22" t="n">
        <v>0</v>
      </c>
      <c r="BU2" s="22" t="n">
        <v>0</v>
      </c>
      <c r="BV2" s="22" t="n">
        <v>0</v>
      </c>
      <c r="BW2" s="22" t="n">
        <v>0</v>
      </c>
      <c r="BX2" s="22" t="n">
        <v>0</v>
      </c>
      <c r="BY2" s="22" t="n">
        <v>0</v>
      </c>
      <c r="BZ2" s="22" t="n">
        <v>0</v>
      </c>
      <c r="CA2" s="38" t="n">
        <f aca="false">AE2/CB2</f>
        <v>0.00543878564032494</v>
      </c>
      <c r="CB2" s="39" t="n">
        <v>1498864</v>
      </c>
      <c r="CC2" s="39"/>
      <c r="CD2" s="40"/>
      <c r="CE2" s="40"/>
      <c r="CF2" s="40"/>
      <c r="CG2" s="40"/>
      <c r="CH2" s="40"/>
      <c r="CI2" s="40"/>
      <c r="CJ2" s="40"/>
      <c r="CK2" s="40"/>
      <c r="CL2" s="40"/>
      <c r="CM2" s="40"/>
      <c r="CN2" s="40"/>
      <c r="CO2" s="40"/>
      <c r="CP2" s="40"/>
      <c r="CQ2" s="40"/>
      <c r="CR2" s="40"/>
      <c r="CS2" s="40"/>
      <c r="CT2" s="40"/>
      <c r="CU2" s="40"/>
      <c r="CV2" s="40"/>
    </row>
    <row r="3" s="22" customFormat="true" ht="12.75" hidden="false" customHeight="true" outlineLevel="0" collapsed="false">
      <c r="A3" s="41" t="s">
        <v>112</v>
      </c>
      <c r="B3" s="41" t="s">
        <v>113</v>
      </c>
      <c r="C3" s="41"/>
      <c r="D3" s="41" t="s">
        <v>102</v>
      </c>
      <c r="E3" s="42" t="n">
        <v>15052</v>
      </c>
      <c r="F3" s="42" t="n">
        <v>41372</v>
      </c>
      <c r="G3" s="42" t="n">
        <v>43082</v>
      </c>
      <c r="H3" s="42" t="s">
        <v>103</v>
      </c>
      <c r="I3" s="43" t="n">
        <f aca="false">(G3-E3)/365.25</f>
        <v>76.7419575633128</v>
      </c>
      <c r="J3" s="44" t="n">
        <f aca="false">G3-E3</f>
        <v>28030</v>
      </c>
      <c r="K3" s="44" t="n">
        <f aca="false">G3-F3</f>
        <v>1710</v>
      </c>
      <c r="L3" s="44" t="s">
        <v>114</v>
      </c>
      <c r="M3" s="44" t="s">
        <v>104</v>
      </c>
      <c r="N3" s="45" t="s">
        <v>115</v>
      </c>
      <c r="O3" s="46" t="n">
        <v>0</v>
      </c>
      <c r="P3" s="46" t="n">
        <v>0</v>
      </c>
      <c r="Q3" s="42" t="s">
        <v>116</v>
      </c>
      <c r="R3" s="42"/>
      <c r="S3" s="47" t="s">
        <v>117</v>
      </c>
      <c r="T3" s="46" t="n">
        <v>10</v>
      </c>
      <c r="U3" s="48" t="n">
        <v>1910.68</v>
      </c>
      <c r="V3" s="49" t="n">
        <v>91.83</v>
      </c>
      <c r="W3" s="50" t="n">
        <f aca="false">U3-V3</f>
        <v>1818.85</v>
      </c>
      <c r="X3" s="47"/>
      <c r="Y3" s="51"/>
      <c r="Z3" s="52" t="n">
        <v>300000</v>
      </c>
      <c r="AA3" s="51"/>
      <c r="AB3" s="47"/>
      <c r="AC3" s="52" t="n">
        <v>1700000</v>
      </c>
      <c r="AD3" s="41" t="s">
        <v>118</v>
      </c>
      <c r="AE3" s="41" t="n">
        <v>130517.5</v>
      </c>
      <c r="AF3" s="41" t="n">
        <v>534</v>
      </c>
      <c r="AG3" s="41" t="n">
        <f aca="false">100*0.004</f>
        <v>0.4</v>
      </c>
      <c r="AH3" s="41" t="n">
        <f aca="false">100*0.132</f>
        <v>13.2</v>
      </c>
      <c r="AI3" s="41" t="n">
        <v>1510</v>
      </c>
      <c r="AJ3" s="41" t="n">
        <f aca="false">100*0.0117</f>
        <v>1.17</v>
      </c>
      <c r="AK3" s="41" t="n">
        <v>4321</v>
      </c>
      <c r="AL3" s="41" t="n">
        <f aca="false">100*0.0331</f>
        <v>3.31</v>
      </c>
      <c r="AM3" s="41" t="n">
        <f aca="false">100*0.05615</f>
        <v>5.615</v>
      </c>
      <c r="AN3" s="41" t="n">
        <f aca="false">100*0.0046</f>
        <v>0.46</v>
      </c>
      <c r="AO3" s="41" t="n">
        <f aca="false">100*0.906</f>
        <v>90.6</v>
      </c>
      <c r="AP3" s="41" t="n">
        <f aca="false">100*0.0203</f>
        <v>2.03</v>
      </c>
      <c r="AQ3" s="41" t="n">
        <v>21344</v>
      </c>
      <c r="AR3" s="41" t="n">
        <f aca="false">100*0.186</f>
        <v>18.6</v>
      </c>
      <c r="AS3" s="41" t="n">
        <f aca="false">100*0.1309472</f>
        <v>13.09472</v>
      </c>
      <c r="AT3" s="41" t="n">
        <f aca="false">100*0.4378086</f>
        <v>43.78086</v>
      </c>
      <c r="AU3" s="41" t="n">
        <f aca="false">100*0.3299526</f>
        <v>32.99526</v>
      </c>
      <c r="AV3" s="41" t="n">
        <f aca="false">100*0.0727</f>
        <v>7.27</v>
      </c>
      <c r="AW3" s="41" t="n">
        <f aca="false">100*0.0711</f>
        <v>7.11</v>
      </c>
      <c r="AX3" s="41" t="n">
        <f aca="false">100*0.39625265</f>
        <v>39.625265</v>
      </c>
      <c r="AY3" s="41" t="n">
        <f aca="false">100*0.36472</f>
        <v>36.472</v>
      </c>
      <c r="AZ3" s="41" t="n">
        <f aca="false">100*0.132</f>
        <v>13.2</v>
      </c>
      <c r="BA3" s="41"/>
      <c r="BB3" s="41" t="n">
        <f aca="false">100*0.14337</f>
        <v>14.337</v>
      </c>
      <c r="BC3" s="41" t="n">
        <f aca="false">100*0.2569516</f>
        <v>25.69516</v>
      </c>
      <c r="BD3" s="41" t="n">
        <f aca="false">100*0.46990516</f>
        <v>46.990516</v>
      </c>
      <c r="BE3" s="41" t="n">
        <f aca="false">100*0.1219315</f>
        <v>12.19315</v>
      </c>
      <c r="BF3" s="41" t="n">
        <f aca="false">100*0.144</f>
        <v>14.4</v>
      </c>
      <c r="BG3" s="41" t="n">
        <f aca="false">100*0.20986</f>
        <v>20.986</v>
      </c>
      <c r="BH3" s="41" t="n">
        <f aca="false">100*0.458865</f>
        <v>45.8865</v>
      </c>
      <c r="BI3" s="41" t="n">
        <f aca="false">100*0.11677</f>
        <v>11.677</v>
      </c>
      <c r="BJ3" s="41" t="n">
        <f aca="false">100*0.201</f>
        <v>20.1</v>
      </c>
      <c r="BK3" s="41" t="n">
        <f aca="false">100*0.129</f>
        <v>12.9</v>
      </c>
      <c r="BL3" s="41" t="n">
        <f aca="false">100*0.2393</f>
        <v>23.93</v>
      </c>
      <c r="BM3" s="41" t="n">
        <f aca="false">100*0.0236</f>
        <v>2.36</v>
      </c>
      <c r="BN3" s="41" t="n">
        <f aca="false">100*0.0273</f>
        <v>2.73</v>
      </c>
      <c r="BO3" s="41" t="n">
        <f aca="false">100*0.0874</f>
        <v>8.74</v>
      </c>
      <c r="BP3" s="41" t="n">
        <f aca="false">100*0.0733</f>
        <v>7.33</v>
      </c>
      <c r="BQ3" s="41" t="n">
        <f aca="false">100*0.4322</f>
        <v>43.22</v>
      </c>
      <c r="BR3" s="41" t="n">
        <f aca="false">100*0.405</f>
        <v>40.5</v>
      </c>
      <c r="BS3" s="41" t="n">
        <f aca="false">100*0.523</f>
        <v>52.3</v>
      </c>
      <c r="BT3" s="41" t="n">
        <f aca="false">100*0.085</f>
        <v>8.5</v>
      </c>
      <c r="BU3" s="41" t="n">
        <f aca="false">100*0.0792</f>
        <v>7.92</v>
      </c>
      <c r="BV3" s="41" t="n">
        <f aca="false">100*0.309</f>
        <v>30.9</v>
      </c>
      <c r="BW3" s="41" t="n">
        <f aca="false">100*0.061</f>
        <v>6.1</v>
      </c>
      <c r="BX3" s="41" t="n">
        <f aca="false">100*0.08305</f>
        <v>8.305</v>
      </c>
      <c r="BY3" s="41" t="n">
        <f aca="false">100*0.457</f>
        <v>45.7</v>
      </c>
      <c r="BZ3" s="41" t="n">
        <f aca="false">100*0.397</f>
        <v>39.7</v>
      </c>
      <c r="CA3" s="53" t="n">
        <f aca="false">AE3/CB3</f>
        <v>0.297451377208936</v>
      </c>
      <c r="CB3" s="54" t="n">
        <v>438786</v>
      </c>
      <c r="CC3" s="54"/>
      <c r="CD3" s="55"/>
      <c r="CE3" s="55"/>
      <c r="CF3" s="55"/>
      <c r="CG3" s="55"/>
      <c r="CH3" s="55"/>
      <c r="CI3" s="55"/>
      <c r="CJ3" s="55"/>
      <c r="CK3" s="55"/>
      <c r="CL3" s="55"/>
      <c r="CM3" s="55"/>
      <c r="CN3" s="55"/>
      <c r="CO3" s="55"/>
      <c r="CP3" s="55"/>
      <c r="CQ3" s="55"/>
      <c r="CR3" s="55"/>
      <c r="CS3" s="55"/>
      <c r="CT3" s="55"/>
      <c r="CU3" s="55"/>
      <c r="CV3" s="55"/>
      <c r="CW3" s="41"/>
      <c r="CX3" s="41"/>
    </row>
    <row r="4" s="22" customFormat="true" ht="12.75" hidden="false" customHeight="true" outlineLevel="0" collapsed="false">
      <c r="A4" s="41" t="s">
        <v>119</v>
      </c>
      <c r="B4" s="41" t="s">
        <v>113</v>
      </c>
      <c r="C4" s="41"/>
      <c r="D4" s="41" t="s">
        <v>102</v>
      </c>
      <c r="E4" s="56" t="n">
        <v>12528</v>
      </c>
      <c r="F4" s="56" t="n">
        <v>41303</v>
      </c>
      <c r="G4" s="56" t="n">
        <v>43271</v>
      </c>
      <c r="H4" s="56" t="s">
        <v>103</v>
      </c>
      <c r="I4" s="57" t="n">
        <v>84.2655715263518</v>
      </c>
      <c r="J4" s="51" t="n">
        <v>30778</v>
      </c>
      <c r="K4" s="44" t="n">
        <v>2003</v>
      </c>
      <c r="L4" s="44" t="s">
        <v>104</v>
      </c>
      <c r="M4" s="44" t="s">
        <v>114</v>
      </c>
      <c r="N4" s="45" t="s">
        <v>120</v>
      </c>
      <c r="O4" s="46" t="n">
        <v>1</v>
      </c>
      <c r="P4" s="46" t="s">
        <v>121</v>
      </c>
      <c r="Q4" s="42" t="s">
        <v>116</v>
      </c>
      <c r="R4" s="42"/>
      <c r="S4" s="47" t="s">
        <v>117</v>
      </c>
      <c r="T4" s="46" t="n">
        <v>10</v>
      </c>
      <c r="U4" s="48" t="n">
        <v>2723.71</v>
      </c>
      <c r="V4" s="49" t="n">
        <v>77.64</v>
      </c>
      <c r="W4" s="50" t="n">
        <f aca="false">U4-V4</f>
        <v>2646.07</v>
      </c>
      <c r="X4" s="47"/>
      <c r="Y4" s="51"/>
      <c r="Z4" s="58" t="n">
        <v>4130000</v>
      </c>
      <c r="AA4" s="51"/>
      <c r="AB4" s="47"/>
      <c r="AC4" s="59" t="n">
        <v>31200000</v>
      </c>
      <c r="AD4" s="60" t="s">
        <v>122</v>
      </c>
      <c r="AE4" s="60" t="n">
        <v>369410</v>
      </c>
      <c r="AF4" s="60" t="n">
        <v>1315</v>
      </c>
      <c r="AG4" s="60" t="n">
        <f aca="false">100*0.0036</f>
        <v>0.36</v>
      </c>
      <c r="AH4" s="60" t="n">
        <v>16.21</v>
      </c>
      <c r="AI4" s="60" t="n">
        <v>25</v>
      </c>
      <c r="AJ4" s="60" t="n">
        <f aca="false">100*0.007765</f>
        <v>0.7765</v>
      </c>
      <c r="AK4" s="60" t="n">
        <v>186</v>
      </c>
      <c r="AL4" s="60" t="n">
        <f aca="false">100*0.059</f>
        <v>5.9</v>
      </c>
      <c r="AM4" s="60" t="n">
        <f aca="false">100*0.001325</f>
        <v>0.1325</v>
      </c>
      <c r="AN4" s="60" t="n">
        <f aca="false">100*0.0012</f>
        <v>0.12</v>
      </c>
      <c r="AO4" s="60" t="n">
        <f aca="false">100*0.821</f>
        <v>82.1</v>
      </c>
      <c r="AP4" s="60" t="n">
        <f aca="false">100*0.108</f>
        <v>10.8</v>
      </c>
      <c r="AQ4" s="60" t="n">
        <v>75865</v>
      </c>
      <c r="AR4" s="60" t="n">
        <f aca="false">100*0.2139</f>
        <v>21.39</v>
      </c>
      <c r="AS4" s="60" t="n">
        <f aca="false">100*0.1509736</f>
        <v>15.09736</v>
      </c>
      <c r="AT4" s="60" t="n">
        <f aca="false">100*0.1759798</f>
        <v>17.59798</v>
      </c>
      <c r="AU4" s="60" t="n">
        <f aca="false">100*0.63685</f>
        <v>63.685</v>
      </c>
      <c r="AV4" s="60" t="n">
        <f aca="false">100*0.0432</f>
        <v>4.32</v>
      </c>
      <c r="AW4" s="60" t="n">
        <f aca="false">100*0.0866</f>
        <v>8.66</v>
      </c>
      <c r="AX4" s="60" t="n">
        <f aca="false">100*0.123</f>
        <v>12.3</v>
      </c>
      <c r="AY4" s="60" t="n">
        <f aca="false">100*0.69578</f>
        <v>69.578</v>
      </c>
      <c r="AZ4" s="60" t="n">
        <f aca="false">100*0.0913</f>
        <v>9.13</v>
      </c>
      <c r="BA4" s="60" t="n">
        <v>236391</v>
      </c>
      <c r="BB4" s="60" t="n">
        <f aca="false">100*0.133451</f>
        <v>13.3451</v>
      </c>
      <c r="BC4" s="60" t="n">
        <f aca="false">100*0.43883</f>
        <v>43.883</v>
      </c>
      <c r="BD4" s="60" t="n">
        <f aca="false">100*0.37895245</f>
        <v>37.895245</v>
      </c>
      <c r="BE4" s="60" t="n">
        <f aca="false">100*0.0621</f>
        <v>6.21</v>
      </c>
      <c r="BF4" s="60" t="n">
        <f aca="false">100*0.12</f>
        <v>12</v>
      </c>
      <c r="BG4" s="60" t="n">
        <v>39.29648</v>
      </c>
      <c r="BH4" s="60" t="n">
        <f aca="false">100*0.389975685</f>
        <v>38.9975685</v>
      </c>
      <c r="BI4" s="60" t="n">
        <f aca="false">100*0.0639774</f>
        <v>6.39774</v>
      </c>
      <c r="BJ4" s="60" t="n">
        <f aca="false">100*0.152</f>
        <v>15.2</v>
      </c>
      <c r="BK4" s="60" t="n">
        <f aca="false">100*0.5639</f>
        <v>56.39</v>
      </c>
      <c r="BL4" s="60" t="n">
        <f aca="false">100*0.1741</f>
        <v>17.41</v>
      </c>
      <c r="BM4" s="60" t="n">
        <f aca="false">100*0.0265</f>
        <v>2.65</v>
      </c>
      <c r="BN4" s="60" t="n">
        <f aca="false">100*0.15</f>
        <v>15</v>
      </c>
      <c r="BO4" s="60" t="n">
        <f aca="false">100*0.41</f>
        <v>41</v>
      </c>
      <c r="BP4" s="60" t="n">
        <f aca="false">100*0.122565</f>
        <v>12.2565</v>
      </c>
      <c r="BQ4" s="60" t="n">
        <f aca="false">100*0.0928</f>
        <v>9.28</v>
      </c>
      <c r="BR4" s="60" t="n">
        <f aca="false">100*0.374</f>
        <v>37.4</v>
      </c>
      <c r="BS4" s="60" t="n">
        <f aca="false">100*0.263</f>
        <v>26.3</v>
      </c>
      <c r="BT4" s="60" t="n">
        <f aca="false">100*0.27</f>
        <v>27</v>
      </c>
      <c r="BU4" s="60" t="n">
        <f aca="false">100*0.0933</f>
        <v>9.33</v>
      </c>
      <c r="BV4" s="60" t="n">
        <f aca="false">100*0.364</f>
        <v>36.4</v>
      </c>
      <c r="BW4" s="60" t="n">
        <f aca="false">100*0.1</f>
        <v>10</v>
      </c>
      <c r="BX4" s="60" t="n">
        <f aca="false">100*0.02</f>
        <v>2</v>
      </c>
      <c r="BY4" s="60" t="n">
        <f aca="false">100*0.347</f>
        <v>34.7</v>
      </c>
      <c r="BZ4" s="60" t="n">
        <f aca="false">100*0.533</f>
        <v>53.3</v>
      </c>
      <c r="CA4" s="60" t="n">
        <f aca="false">100*0.0634</f>
        <v>6.34</v>
      </c>
      <c r="CB4" s="54"/>
      <c r="CC4" s="54"/>
      <c r="CD4" s="55"/>
      <c r="CE4" s="55"/>
      <c r="CF4" s="55"/>
      <c r="CG4" s="55"/>
      <c r="CH4" s="55"/>
      <c r="CI4" s="55"/>
      <c r="CJ4" s="55"/>
      <c r="CK4" s="55"/>
      <c r="CL4" s="55"/>
      <c r="CM4" s="55"/>
      <c r="CN4" s="55"/>
      <c r="CO4" s="55"/>
      <c r="CP4" s="55"/>
      <c r="CQ4" s="55"/>
      <c r="CR4" s="55"/>
      <c r="CS4" s="55"/>
      <c r="CT4" s="55"/>
      <c r="CU4" s="55"/>
      <c r="CV4" s="55"/>
      <c r="CW4" s="41"/>
      <c r="CX4" s="41"/>
    </row>
    <row r="5" s="61" customFormat="true" ht="19.4" hidden="false" customHeight="false" outlineLevel="0" collapsed="false">
      <c r="A5" s="61" t="s">
        <v>123</v>
      </c>
      <c r="B5" s="61" t="s">
        <v>101</v>
      </c>
      <c r="D5" s="61" t="s">
        <v>102</v>
      </c>
      <c r="E5" s="62" t="n">
        <v>17578</v>
      </c>
      <c r="F5" s="62" t="n">
        <v>41778</v>
      </c>
      <c r="G5" s="62" t="n">
        <v>42841</v>
      </c>
      <c r="H5" s="63" t="s">
        <v>103</v>
      </c>
      <c r="I5" s="64" t="n">
        <f aca="false">(G5-E5)/365.25</f>
        <v>69.1663244353183</v>
      </c>
      <c r="J5" s="65" t="n">
        <f aca="false">G5-E5</f>
        <v>25263</v>
      </c>
      <c r="K5" s="65" t="n">
        <f aca="false">G5-F5</f>
        <v>1063</v>
      </c>
      <c r="L5" s="65" t="s">
        <v>114</v>
      </c>
      <c r="M5" s="65" t="s">
        <v>104</v>
      </c>
      <c r="N5" s="66" t="s">
        <v>124</v>
      </c>
      <c r="O5" s="67"/>
      <c r="P5" s="67"/>
      <c r="Q5" s="63" t="s">
        <v>106</v>
      </c>
      <c r="R5" s="63"/>
      <c r="S5" s="68" t="s">
        <v>107</v>
      </c>
      <c r="T5" s="63" t="n">
        <v>6</v>
      </c>
      <c r="U5" s="69" t="n">
        <v>2034.55</v>
      </c>
      <c r="V5" s="63" t="n">
        <v>79.59</v>
      </c>
      <c r="W5" s="70" t="n">
        <f aca="false">U5-V5</f>
        <v>1954.96</v>
      </c>
      <c r="X5" s="68" t="s">
        <v>125</v>
      </c>
      <c r="Y5" s="71" t="n">
        <v>3140000</v>
      </c>
      <c r="Z5" s="72" t="n">
        <f aca="false">Y5*W5</f>
        <v>6138574400</v>
      </c>
      <c r="AA5" s="71" t="s">
        <v>126</v>
      </c>
      <c r="AB5" s="68" t="s">
        <v>127</v>
      </c>
      <c r="AC5" s="72" t="s">
        <v>128</v>
      </c>
      <c r="AD5" s="61" t="s">
        <v>129</v>
      </c>
      <c r="CA5" s="73" t="e">
        <f aca="false">AE5/CB5</f>
        <v>#DIV/0!</v>
      </c>
      <c r="CB5" s="74"/>
      <c r="CC5" s="74"/>
      <c r="CD5" s="75" t="n">
        <v>1040000</v>
      </c>
      <c r="CE5" s="75" t="n">
        <v>17015</v>
      </c>
      <c r="CF5" s="75" t="n">
        <v>3331</v>
      </c>
      <c r="CG5" s="75" t="n">
        <v>2528</v>
      </c>
      <c r="CH5" s="75" t="n">
        <v>937000</v>
      </c>
      <c r="CI5" s="75" t="n">
        <v>34494</v>
      </c>
      <c r="CJ5" s="75" t="n">
        <v>384</v>
      </c>
      <c r="CK5" s="75" t="n">
        <v>0.945</v>
      </c>
      <c r="CL5" s="75" t="n">
        <v>0.0155</v>
      </c>
      <c r="CM5" s="75" t="n">
        <v>0.003</v>
      </c>
      <c r="CN5" s="75" t="n">
        <v>0.0023</v>
      </c>
      <c r="CO5" s="75" t="n">
        <v>0.852</v>
      </c>
      <c r="CP5" s="75" t="n">
        <v>0.0314</v>
      </c>
      <c r="CQ5" s="75" t="n">
        <v>0.00035</v>
      </c>
      <c r="CR5" s="75" t="n">
        <v>0.0164</v>
      </c>
      <c r="CS5" s="75" t="n">
        <v>0.0032</v>
      </c>
      <c r="CT5" s="75" t="n">
        <v>0.0024</v>
      </c>
      <c r="CU5" s="75" t="n">
        <v>0.901</v>
      </c>
      <c r="CV5" s="75" t="n">
        <v>0.0332</v>
      </c>
      <c r="CW5" s="61" t="n">
        <v>0.000369230769230769</v>
      </c>
    </row>
    <row r="6" s="61" customFormat="true" ht="12.8" hidden="false" customHeight="false" outlineLevel="0" collapsed="false">
      <c r="A6" s="61" t="s">
        <v>130</v>
      </c>
      <c r="B6" s="61" t="s">
        <v>113</v>
      </c>
      <c r="D6" s="61" t="s">
        <v>102</v>
      </c>
      <c r="E6" s="76" t="n">
        <v>17578</v>
      </c>
      <c r="F6" s="76" t="n">
        <v>41778</v>
      </c>
      <c r="G6" s="76" t="n">
        <v>43047</v>
      </c>
      <c r="H6" s="76" t="s">
        <v>103</v>
      </c>
      <c r="I6" s="64" t="n">
        <f aca="false">(G6-E6)/365.25</f>
        <v>69.7303216974675</v>
      </c>
      <c r="J6" s="65" t="n">
        <f aca="false">G6-E6</f>
        <v>25469</v>
      </c>
      <c r="K6" s="65" t="n">
        <f aca="false">G6-F6</f>
        <v>1269</v>
      </c>
      <c r="L6" s="65" t="s">
        <v>114</v>
      </c>
      <c r="M6" s="65" t="s">
        <v>114</v>
      </c>
      <c r="N6" s="66" t="s">
        <v>131</v>
      </c>
      <c r="O6" s="77" t="e">
        <f aca="false">N6-G6</f>
        <v>#VALUE!</v>
      </c>
      <c r="P6" s="67" t="s">
        <v>132</v>
      </c>
      <c r="Q6" s="76" t="s">
        <v>116</v>
      </c>
      <c r="R6" s="76"/>
      <c r="S6" s="68" t="s">
        <v>117</v>
      </c>
      <c r="T6" s="78" t="n">
        <v>10</v>
      </c>
      <c r="U6" s="77" t="n">
        <v>2810.43</v>
      </c>
      <c r="V6" s="79" t="n">
        <v>83.43</v>
      </c>
      <c r="W6" s="80" t="n">
        <f aca="false">U6-V6</f>
        <v>2727</v>
      </c>
      <c r="X6" s="81" t="s">
        <v>109</v>
      </c>
      <c r="Y6" s="82"/>
      <c r="Z6" s="83" t="n">
        <v>2100000</v>
      </c>
      <c r="AA6" s="82"/>
      <c r="AB6" s="68"/>
      <c r="AC6" s="83" t="n">
        <v>22400000</v>
      </c>
      <c r="AD6" s="61" t="s">
        <v>133</v>
      </c>
      <c r="AE6" s="61" t="n">
        <v>8509</v>
      </c>
      <c r="AF6" s="61" t="n">
        <v>134</v>
      </c>
      <c r="AG6" s="61" t="n">
        <f aca="false">100*0.015</f>
        <v>1.5</v>
      </c>
      <c r="AH6" s="61" t="n">
        <f aca="false">100*0.635</f>
        <v>63.5</v>
      </c>
      <c r="AI6" s="61" t="n">
        <v>8</v>
      </c>
      <c r="AJ6" s="61" t="n">
        <f aca="false">100*0.00076</f>
        <v>0.076</v>
      </c>
      <c r="AK6" s="61" t="n">
        <v>167</v>
      </c>
      <c r="AL6" s="61" t="n">
        <f aca="false">100*0.0151</f>
        <v>1.51</v>
      </c>
      <c r="AM6" s="61" t="n">
        <f aca="false">100*0.241</f>
        <v>24.1</v>
      </c>
      <c r="AN6" s="61" t="n">
        <f aca="false">100*0.53</f>
        <v>53</v>
      </c>
      <c r="AO6" s="61" t="n">
        <f aca="false">100*0.241</f>
        <v>24.1</v>
      </c>
      <c r="AP6" s="61" t="n">
        <f aca="false">100*0.627</f>
        <v>62.7</v>
      </c>
      <c r="AQ6" s="61" t="n">
        <v>394</v>
      </c>
      <c r="AR6" s="61" t="n">
        <f aca="false">100*0.341</f>
        <v>34.1</v>
      </c>
      <c r="AS6" s="61" t="n">
        <f aca="false">100*0.119</f>
        <v>11.9</v>
      </c>
      <c r="AT6" s="61" t="n">
        <f aca="false">100*0.265</f>
        <v>26.5</v>
      </c>
      <c r="AU6" s="61" t="n">
        <f aca="false">100*0.332</f>
        <v>33.2</v>
      </c>
      <c r="AV6" s="61" t="n">
        <f aca="false">100*0.272</f>
        <v>27.2</v>
      </c>
      <c r="AW6" s="61" t="n">
        <f aca="false">100*0.277</f>
        <v>27.7</v>
      </c>
      <c r="AX6" s="61" t="n">
        <f aca="false">100*0.64</f>
        <v>64</v>
      </c>
      <c r="AY6" s="61" t="n">
        <f aca="false">100*0.0457</f>
        <v>4.57</v>
      </c>
      <c r="AZ6" s="61" t="n">
        <f aca="false">100*0.0384</f>
        <v>3.84</v>
      </c>
      <c r="BA6" s="61" t="n">
        <v>9274</v>
      </c>
      <c r="BB6" s="61" t="n">
        <f aca="false">100*0.483</f>
        <v>48.3</v>
      </c>
      <c r="BC6" s="61" t="n">
        <f aca="false">100*0.0121</f>
        <v>1.21</v>
      </c>
      <c r="BD6" s="61" t="n">
        <f aca="false">100*0.0132</f>
        <v>1.32</v>
      </c>
      <c r="BE6" s="61" t="n">
        <f aca="false">100*0.227</f>
        <v>22.7</v>
      </c>
      <c r="BF6" s="61" t="n">
        <f aca="false">100*0.743</f>
        <v>74.3</v>
      </c>
      <c r="BG6" s="61" t="n">
        <f aca="false">100*0.702</f>
        <v>70.2</v>
      </c>
      <c r="BH6" s="61" t="n">
        <f aca="false">100*0.248</f>
        <v>24.8</v>
      </c>
      <c r="BI6" s="61" t="n">
        <f aca="false">100*0.0013</f>
        <v>0.13</v>
      </c>
      <c r="BJ6" s="61" t="n">
        <f aca="false">100*0.0477</f>
        <v>4.77</v>
      </c>
      <c r="BK6" s="61" t="n">
        <v>0</v>
      </c>
      <c r="BL6" s="61" t="n">
        <f aca="false">100*0.0096</f>
        <v>0.96</v>
      </c>
      <c r="BM6" s="61" t="n">
        <f aca="false">100*0.276</f>
        <v>27.6</v>
      </c>
      <c r="BN6" s="61" t="n">
        <f aca="false">100*0.714</f>
        <v>71.4</v>
      </c>
      <c r="BO6" s="61" t="n">
        <f aca="false">100*0.597</f>
        <v>59.7</v>
      </c>
      <c r="BP6" s="61" t="n">
        <f aca="false">100*0.235</f>
        <v>23.5</v>
      </c>
      <c r="BQ6" s="61" t="n">
        <f aca="false">100*0.0574</f>
        <v>5.74</v>
      </c>
      <c r="BR6" s="61" t="n">
        <f aca="false">100*0.127</f>
        <v>12.7</v>
      </c>
      <c r="BS6" s="61" t="n">
        <f aca="false">100*0.012</f>
        <v>1.2</v>
      </c>
      <c r="BT6" s="61" t="n">
        <f aca="false">100*0.024</f>
        <v>2.4</v>
      </c>
      <c r="BU6" s="61" t="n">
        <f aca="false">100*0.335</f>
        <v>33.5</v>
      </c>
      <c r="BV6" s="61" t="n">
        <f aca="false">100*0.629</f>
        <v>62.9</v>
      </c>
      <c r="BW6" s="61" t="n">
        <f aca="false">100*0.575</f>
        <v>57.5</v>
      </c>
      <c r="BX6" s="61" t="n">
        <f aca="false">100*0.365</f>
        <v>36.5</v>
      </c>
      <c r="BY6" s="61" t="n">
        <v>0</v>
      </c>
      <c r="BZ6" s="61" t="n">
        <f aca="false">100*0.0599</f>
        <v>5.99</v>
      </c>
      <c r="CA6" s="84" t="n">
        <f aca="false">AE6/CB6</f>
        <v>0.00267512579441867</v>
      </c>
      <c r="CB6" s="74" t="n">
        <v>3180785</v>
      </c>
      <c r="CC6" s="74"/>
    </row>
    <row r="7" s="85" customFormat="true" ht="12.8" hidden="false" customHeight="false" outlineLevel="0" collapsed="false">
      <c r="A7" s="85" t="s">
        <v>134</v>
      </c>
      <c r="B7" s="85" t="s">
        <v>101</v>
      </c>
      <c r="C7" s="85" t="s">
        <v>135</v>
      </c>
      <c r="D7" s="85" t="s">
        <v>102</v>
      </c>
      <c r="E7" s="86" t="n">
        <v>11657</v>
      </c>
      <c r="F7" s="86" t="n">
        <v>41799</v>
      </c>
      <c r="G7" s="86" t="n">
        <v>42947</v>
      </c>
      <c r="H7" s="86" t="s">
        <v>103</v>
      </c>
      <c r="I7" s="87" t="n">
        <f aca="false">(G7-E7)/365.25</f>
        <v>85.6673511293635</v>
      </c>
      <c r="J7" s="88" t="n">
        <f aca="false">G7-E7</f>
        <v>31290</v>
      </c>
      <c r="K7" s="88" t="n">
        <f aca="false">G7-F7</f>
        <v>1148</v>
      </c>
      <c r="L7" s="89" t="s">
        <v>114</v>
      </c>
      <c r="M7" s="90" t="s">
        <v>104</v>
      </c>
      <c r="N7" s="91" t="s">
        <v>136</v>
      </c>
      <c r="O7" s="90"/>
      <c r="P7" s="90"/>
      <c r="Q7" s="92" t="s">
        <v>106</v>
      </c>
      <c r="R7" s="92" t="s">
        <v>137</v>
      </c>
      <c r="S7" s="91" t="s">
        <v>138</v>
      </c>
      <c r="T7" s="93" t="s">
        <v>139</v>
      </c>
      <c r="U7" s="94" t="n">
        <v>1556.78</v>
      </c>
      <c r="V7" s="94" t="n">
        <v>53.47</v>
      </c>
      <c r="W7" s="95" t="n">
        <f aca="false">U7-V7</f>
        <v>1503.31</v>
      </c>
      <c r="X7" s="96" t="s">
        <v>109</v>
      </c>
      <c r="Y7" s="97" t="n">
        <v>13050000</v>
      </c>
      <c r="Z7" s="98" t="n">
        <f aca="false">Y7*W7</f>
        <v>19618195500</v>
      </c>
      <c r="AA7" s="97" t="n">
        <v>96000000</v>
      </c>
      <c r="AB7" s="91" t="s">
        <v>140</v>
      </c>
      <c r="AC7" s="99" t="n">
        <v>2250000</v>
      </c>
      <c r="AD7" s="85" t="s">
        <v>141</v>
      </c>
      <c r="AE7" s="85" t="n">
        <v>114949</v>
      </c>
      <c r="AF7" s="85" t="n">
        <v>283</v>
      </c>
      <c r="AG7" s="85" t="n">
        <f aca="false">100*0.0025</f>
        <v>0.25</v>
      </c>
      <c r="AH7" s="85" t="n">
        <f aca="false">100*0.664</f>
        <v>66.4</v>
      </c>
      <c r="AI7" s="85" t="n">
        <v>2374</v>
      </c>
      <c r="AJ7" s="85" t="n">
        <f aca="false">100*0.0209</f>
        <v>2.09</v>
      </c>
      <c r="AK7" s="85" t="n">
        <f aca="false">100*264</f>
        <v>26400</v>
      </c>
      <c r="AL7" s="85" t="n">
        <f aca="false">100*0.0024</f>
        <v>0.24</v>
      </c>
      <c r="AM7" s="85" t="n">
        <f aca="false">100*0.33</f>
        <v>33</v>
      </c>
      <c r="AN7" s="85" t="n">
        <f aca="false">100*0.14</f>
        <v>14</v>
      </c>
      <c r="AO7" s="85" t="n">
        <f aca="false">100*0.712</f>
        <v>71.2</v>
      </c>
      <c r="AP7" s="85" t="n">
        <f aca="false">100*0.216</f>
        <v>21.6</v>
      </c>
      <c r="AQ7" s="85" t="n">
        <v>8153</v>
      </c>
      <c r="AR7" s="85" t="n">
        <f aca="false">100*0.785</f>
        <v>78.5</v>
      </c>
      <c r="AS7" s="85" t="n">
        <f aca="false">100*0.198</f>
        <v>19.8</v>
      </c>
      <c r="AT7" s="85" t="n">
        <f aca="false">100*0.786</f>
        <v>78.6</v>
      </c>
      <c r="AU7" s="85" t="n">
        <f aca="false">100*0.0145</f>
        <v>1.45</v>
      </c>
      <c r="AV7" s="85" t="n">
        <f aca="false">100*0.0017</f>
        <v>0.17</v>
      </c>
      <c r="AW7" s="85" t="n">
        <f aca="false">100*0.009</f>
        <v>0.9</v>
      </c>
      <c r="AX7" s="85" t="n">
        <f aca="false">100*0.113</f>
        <v>11.3</v>
      </c>
      <c r="AY7" s="85" t="n">
        <f aca="false">100*0.613</f>
        <v>61.3</v>
      </c>
      <c r="AZ7" s="85" t="n">
        <f aca="false">100*0.265</f>
        <v>26.5</v>
      </c>
      <c r="BA7" s="85" t="n">
        <v>98599</v>
      </c>
      <c r="BB7" s="85" t="n">
        <f aca="false">100*0.905</f>
        <v>90.5</v>
      </c>
      <c r="BC7" s="85" t="n">
        <f aca="false">100*0.252</f>
        <v>25.2</v>
      </c>
      <c r="BD7" s="85" t="n">
        <f aca="false">100*0.63</f>
        <v>63</v>
      </c>
      <c r="BE7" s="85" t="n">
        <f aca="false">100*0.0022</f>
        <v>0.22</v>
      </c>
      <c r="BF7" s="85" t="n">
        <f aca="false">100*0.116</f>
        <v>11.6</v>
      </c>
      <c r="BG7" s="85" t="n">
        <f aca="false">100*0.126</f>
        <v>12.6</v>
      </c>
      <c r="BH7" s="85" t="n">
        <f aca="false">100*0.58</f>
        <v>58</v>
      </c>
      <c r="BI7" s="85" t="n">
        <f aca="false">100*0.0498</f>
        <v>4.98</v>
      </c>
      <c r="BJ7" s="85" t="n">
        <f aca="false">100*0.244</f>
        <v>24.4</v>
      </c>
      <c r="BK7" s="85" t="n">
        <f aca="false">100*0.809</f>
        <v>80.9</v>
      </c>
      <c r="BL7" s="85" t="n">
        <f aca="false">100*0.163</f>
        <v>16.3</v>
      </c>
      <c r="BM7" s="85" t="n">
        <f aca="false">100*0.0177</f>
        <v>1.77</v>
      </c>
      <c r="BN7" s="85" t="n">
        <f aca="false">100*0.0106</f>
        <v>1.06</v>
      </c>
      <c r="BO7" s="85" t="n">
        <f aca="false">100*0.587</f>
        <v>58.7</v>
      </c>
      <c r="BP7" s="85" t="n">
        <f aca="false">100*0.346</f>
        <v>34.6</v>
      </c>
      <c r="BQ7" s="85" t="n">
        <f aca="false">100*0.0318</f>
        <v>3.18</v>
      </c>
      <c r="BR7" s="85" t="n">
        <f aca="false">100*0.0353</f>
        <v>3.53</v>
      </c>
      <c r="BS7" s="85" t="n">
        <f aca="false">100*0.848</f>
        <v>84.8</v>
      </c>
      <c r="BT7" s="85" t="n">
        <f aca="false">100*0.14</f>
        <v>14</v>
      </c>
      <c r="BU7" s="85" t="n">
        <v>0</v>
      </c>
      <c r="BV7" s="85" t="n">
        <f aca="false">100*0.0114</f>
        <v>1.14</v>
      </c>
      <c r="BW7" s="85" t="n">
        <f aca="false">100*0.0682</f>
        <v>6.82</v>
      </c>
      <c r="BX7" s="85" t="n">
        <f aca="false">100*0.0568</f>
        <v>5.68</v>
      </c>
      <c r="BY7" s="85" t="n">
        <f aca="false">100*0.0795</f>
        <v>7.95</v>
      </c>
      <c r="BZ7" s="85" t="n">
        <f aca="false">100*0.795</f>
        <v>79.5</v>
      </c>
      <c r="CA7" s="100" t="n">
        <f aca="false">AE7/CB7</f>
        <v>0.0378196852269332</v>
      </c>
      <c r="CB7" s="101" t="n">
        <v>3039396</v>
      </c>
      <c r="CC7" s="101"/>
      <c r="CD7" s="102"/>
      <c r="CE7" s="102"/>
      <c r="CF7" s="102"/>
      <c r="CG7" s="102"/>
      <c r="CH7" s="102"/>
      <c r="CI7" s="102"/>
      <c r="CJ7" s="102"/>
      <c r="CK7" s="102"/>
      <c r="CL7" s="102"/>
      <c r="CM7" s="102"/>
      <c r="CN7" s="102"/>
      <c r="CO7" s="102"/>
      <c r="CP7" s="102"/>
      <c r="CQ7" s="102"/>
      <c r="CR7" s="102"/>
      <c r="CS7" s="102"/>
      <c r="CT7" s="102"/>
      <c r="CU7" s="102"/>
      <c r="CV7" s="102"/>
    </row>
    <row r="8" s="22" customFormat="true" ht="12.8" hidden="false" customHeight="false" outlineLevel="0" collapsed="false">
      <c r="A8" s="22" t="s">
        <v>142</v>
      </c>
      <c r="B8" s="22" t="s">
        <v>101</v>
      </c>
      <c r="D8" s="22" t="s">
        <v>102</v>
      </c>
      <c r="E8" s="23" t="n">
        <v>11657</v>
      </c>
      <c r="F8" s="23" t="n">
        <v>41799</v>
      </c>
      <c r="G8" s="23" t="n">
        <v>43070</v>
      </c>
      <c r="H8" s="23" t="s">
        <v>103</v>
      </c>
      <c r="I8" s="25" t="n">
        <f aca="false">(G8-E8)/365.25</f>
        <v>86.0041067761807</v>
      </c>
      <c r="J8" s="25" t="n">
        <f aca="false">G8-E8</f>
        <v>31413</v>
      </c>
      <c r="K8" s="25" t="n">
        <f aca="false">G8-F8</f>
        <v>1271</v>
      </c>
      <c r="L8" s="26" t="s">
        <v>114</v>
      </c>
      <c r="M8" s="26" t="s">
        <v>104</v>
      </c>
      <c r="N8" s="27" t="s">
        <v>136</v>
      </c>
      <c r="O8" s="28"/>
      <c r="P8" s="28"/>
      <c r="Q8" s="29" t="s">
        <v>106</v>
      </c>
      <c r="R8" s="29"/>
      <c r="S8" s="30" t="s">
        <v>107</v>
      </c>
      <c r="T8" s="31" t="s">
        <v>143</v>
      </c>
      <c r="U8" s="32" t="n">
        <v>733.33</v>
      </c>
      <c r="V8" s="32" t="n">
        <v>71.79</v>
      </c>
      <c r="W8" s="33" t="n">
        <f aca="false">U8-V8</f>
        <v>661.54</v>
      </c>
      <c r="X8" s="34" t="s">
        <v>109</v>
      </c>
      <c r="Y8" s="35" t="n">
        <v>27500000</v>
      </c>
      <c r="Z8" s="36" t="n">
        <f aca="false">Y8*W8</f>
        <v>18192350000</v>
      </c>
      <c r="AA8" s="35" t="n">
        <v>234000000</v>
      </c>
      <c r="AB8" s="30" t="s">
        <v>144</v>
      </c>
      <c r="AC8" s="37" t="n">
        <v>27000000</v>
      </c>
      <c r="AD8" s="22" t="s">
        <v>145</v>
      </c>
      <c r="AE8" s="22" t="n">
        <v>114908</v>
      </c>
      <c r="AF8" s="22" t="n">
        <v>162</v>
      </c>
      <c r="AG8" s="22" t="n">
        <f aca="false">100*0.0014</f>
        <v>0.14</v>
      </c>
      <c r="AH8" s="22" t="n">
        <v>7.35</v>
      </c>
      <c r="AI8" s="22" t="n">
        <v>1521</v>
      </c>
      <c r="AJ8" s="22" t="n">
        <f aca="false">100*0.0129</f>
        <v>1.29</v>
      </c>
      <c r="AK8" s="22" t="n">
        <v>105</v>
      </c>
      <c r="AL8" s="22" t="n">
        <f aca="false">100*0.001</f>
        <v>0.1</v>
      </c>
      <c r="AM8" s="22" t="n">
        <f aca="false">100*0.00475</f>
        <v>0.475</v>
      </c>
      <c r="AN8" s="22" t="n">
        <f aca="false">100*0.0033</f>
        <v>0.33</v>
      </c>
      <c r="AO8" s="22" t="n">
        <f aca="false">100*0.819</f>
        <v>81.9</v>
      </c>
      <c r="AP8" s="22" t="n">
        <f aca="false">100*0.0862</f>
        <v>8.62</v>
      </c>
      <c r="AQ8" s="22" t="n">
        <v>15391</v>
      </c>
      <c r="AR8" s="22" t="n">
        <f aca="false">100*0.05604</f>
        <v>5.604</v>
      </c>
      <c r="AS8" s="22" t="n">
        <f aca="false">100*0.08126</f>
        <v>8.126</v>
      </c>
      <c r="AT8" s="22" t="n">
        <f aca="false">100*0.129895</f>
        <v>12.9895</v>
      </c>
      <c r="AU8" s="22" t="n">
        <f aca="false">100*0.497</f>
        <v>49.7</v>
      </c>
      <c r="AV8" s="22" t="n">
        <f aca="false">100*0.295</f>
        <v>29.5</v>
      </c>
      <c r="AW8" s="22" t="n">
        <f aca="false">100*0.133</f>
        <v>13.3</v>
      </c>
      <c r="AX8" s="22" t="n">
        <f aca="false">100*0.227</f>
        <v>22.7</v>
      </c>
      <c r="AY8" s="22" t="n">
        <f aca="false">100*0.372</f>
        <v>37.2</v>
      </c>
      <c r="AZ8" s="22" t="n">
        <f aca="false">100*0.271</f>
        <v>27.1</v>
      </c>
      <c r="BA8" s="22" t="n">
        <v>77657</v>
      </c>
      <c r="BB8" s="22" t="n">
        <f aca="false">100*0.0078658</f>
        <v>0.78658</v>
      </c>
      <c r="BC8" s="22" t="n">
        <f aca="false">100*0.43765</f>
        <v>43.765</v>
      </c>
      <c r="BD8" s="22" t="n">
        <f aca="false">100*0.43094135</f>
        <v>43.094135</v>
      </c>
      <c r="BE8" s="22" t="n">
        <f aca="false">100*0.00081</f>
        <v>0.081</v>
      </c>
      <c r="BF8" s="22" t="n">
        <f aca="false">100*0.13</f>
        <v>13</v>
      </c>
      <c r="BG8" s="22" t="n">
        <f aca="false">100*0.46281</f>
        <v>46.281</v>
      </c>
      <c r="BH8" s="22" t="n">
        <f aca="false">100*0.431885</f>
        <v>43.1885</v>
      </c>
      <c r="BI8" s="22" t="n">
        <f aca="false">100*0.0004267</f>
        <v>0.04267</v>
      </c>
      <c r="BJ8" s="22" t="n">
        <f aca="false">100*0.106</f>
        <v>10.6</v>
      </c>
      <c r="BK8" s="22" t="n">
        <f aca="false">100*0.1104</f>
        <v>11.04</v>
      </c>
      <c r="BL8" s="22" t="n">
        <f aca="false">100*0.0489</f>
        <v>4.89</v>
      </c>
      <c r="BM8" s="22" t="n">
        <f aca="false">100*0.191</f>
        <v>19.1</v>
      </c>
      <c r="BN8" s="22" t="n">
        <f aca="false">100*0.642</f>
        <v>64.2</v>
      </c>
      <c r="BO8" s="22" t="n">
        <f aca="false">100*0.6015</f>
        <v>60.15</v>
      </c>
      <c r="BP8" s="22" t="n">
        <f aca="false">100*0.13165</f>
        <v>13.165</v>
      </c>
      <c r="BQ8" s="22" t="n">
        <f aca="false">100*0.0964</f>
        <v>9.64</v>
      </c>
      <c r="BR8" s="22" t="n">
        <f aca="false">100*0.103</f>
        <v>10.3</v>
      </c>
      <c r="BS8" s="22" t="n">
        <f aca="false">100*0.0791</f>
        <v>7.91</v>
      </c>
      <c r="BT8" s="22" t="n">
        <f aca="false">100*0.0106</f>
        <v>1.06</v>
      </c>
      <c r="BU8" s="22" t="n">
        <f aca="false">100*0.0172</f>
        <v>1.72</v>
      </c>
      <c r="BV8" s="22" t="n">
        <f aca="false">100*0.867</f>
        <v>86.7</v>
      </c>
      <c r="BW8" s="22" t="n">
        <f aca="false">100*0.49</f>
        <v>49</v>
      </c>
      <c r="BX8" s="22" t="n">
        <f aca="false">100*0.0086</f>
        <v>0.86</v>
      </c>
      <c r="BY8" s="22" t="n">
        <f aca="false">100*0.0259</f>
        <v>2.59</v>
      </c>
      <c r="BZ8" s="22" t="n">
        <f aca="false">100*0.417</f>
        <v>41.7</v>
      </c>
      <c r="CA8" s="38" t="n">
        <f aca="false">AE8/CB8</f>
        <v>0.130577717878584</v>
      </c>
      <c r="CB8" s="39" t="n">
        <v>879997</v>
      </c>
      <c r="CC8" s="39"/>
      <c r="CD8" s="40"/>
      <c r="CE8" s="40"/>
      <c r="CF8" s="40"/>
      <c r="CG8" s="40"/>
      <c r="CH8" s="40"/>
      <c r="CI8" s="40"/>
      <c r="CJ8" s="40"/>
      <c r="CK8" s="40"/>
      <c r="CL8" s="40"/>
      <c r="CM8" s="40"/>
      <c r="CN8" s="40"/>
      <c r="CO8" s="40"/>
      <c r="CP8" s="40"/>
      <c r="CQ8" s="40"/>
      <c r="CR8" s="40"/>
      <c r="CS8" s="40"/>
      <c r="CT8" s="40"/>
      <c r="CU8" s="40"/>
      <c r="CV8" s="40"/>
    </row>
    <row r="9" s="22" customFormat="true" ht="12.8" hidden="false" customHeight="false" outlineLevel="0" collapsed="false">
      <c r="A9" s="41" t="s">
        <v>146</v>
      </c>
      <c r="B9" s="41" t="s">
        <v>113</v>
      </c>
      <c r="C9" s="41"/>
      <c r="D9" s="41" t="s">
        <v>102</v>
      </c>
      <c r="E9" s="42" t="n">
        <v>22653</v>
      </c>
      <c r="F9" s="42" t="n">
        <v>41974</v>
      </c>
      <c r="G9" s="42" t="n">
        <v>42872</v>
      </c>
      <c r="H9" s="42" t="s">
        <v>103</v>
      </c>
      <c r="I9" s="43" t="n">
        <f aca="false">(G9-E9)/365.25</f>
        <v>55.356605065024</v>
      </c>
      <c r="J9" s="44" t="n">
        <f aca="false">G9-E9</f>
        <v>20219</v>
      </c>
      <c r="K9" s="44" t="n">
        <f aca="false">G9-F9</f>
        <v>898</v>
      </c>
      <c r="L9" s="44" t="s">
        <v>114</v>
      </c>
      <c r="M9" s="44" t="s">
        <v>104</v>
      </c>
      <c r="N9" s="45" t="s">
        <v>115</v>
      </c>
      <c r="O9" s="46" t="n">
        <v>0</v>
      </c>
      <c r="P9" s="46" t="n">
        <v>0</v>
      </c>
      <c r="Q9" s="42" t="s">
        <v>116</v>
      </c>
      <c r="R9" s="42"/>
      <c r="S9" s="47" t="s">
        <v>107</v>
      </c>
      <c r="T9" s="46" t="n">
        <v>10</v>
      </c>
      <c r="U9" s="49" t="n">
        <v>2731.57</v>
      </c>
      <c r="V9" s="49" t="n">
        <v>78.11</v>
      </c>
      <c r="W9" s="50" t="n">
        <f aca="false">U9-V9</f>
        <v>2653.46</v>
      </c>
      <c r="X9" s="103" t="s">
        <v>109</v>
      </c>
      <c r="Y9" s="51"/>
      <c r="Z9" s="52" t="n">
        <v>4130000</v>
      </c>
      <c r="AA9" s="104"/>
      <c r="AB9" s="47"/>
      <c r="AC9" s="105" t="n">
        <f aca="false">14600000*5</f>
        <v>73000000</v>
      </c>
      <c r="AD9" s="41" t="s">
        <v>147</v>
      </c>
      <c r="AE9" s="41" t="n">
        <v>199130</v>
      </c>
      <c r="AF9" s="41" t="n">
        <v>2264</v>
      </c>
      <c r="AG9" s="41" t="n">
        <f aca="false">100*0.0114</f>
        <v>1.14</v>
      </c>
      <c r="AH9" s="41" t="n">
        <f aca="false">100*0.0287</f>
        <v>2.87</v>
      </c>
      <c r="AI9" s="41" t="n">
        <v>1057</v>
      </c>
      <c r="AJ9" s="41" t="n">
        <f aca="false">100*0.0053</f>
        <v>0.53</v>
      </c>
      <c r="AK9" s="41" t="n">
        <v>5257</v>
      </c>
      <c r="AL9" s="41" t="n">
        <f aca="false">100*0.027</f>
        <v>2.7</v>
      </c>
      <c r="AM9" s="41" t="n">
        <f aca="false">100*0.00019</f>
        <v>0.019</v>
      </c>
      <c r="AN9" s="41" t="n">
        <f aca="false">100*0.00057</f>
        <v>0.057</v>
      </c>
      <c r="AO9" s="41" t="n">
        <f aca="false">100*0.676</f>
        <v>67.6</v>
      </c>
      <c r="AP9" s="41" t="n">
        <f aca="false">100*0.008</f>
        <v>0.8</v>
      </c>
      <c r="AQ9" s="41" t="n">
        <v>44402</v>
      </c>
      <c r="AR9" s="41" t="n">
        <f aca="false">100*0.0586</f>
        <v>5.86</v>
      </c>
      <c r="AS9" s="41" t="n">
        <f aca="false">100*0.452</f>
        <v>45.2</v>
      </c>
      <c r="AT9" s="41" t="n">
        <f aca="false">100*0.19</f>
        <v>19</v>
      </c>
      <c r="AU9" s="41" t="n">
        <f aca="false">100*0.224</f>
        <v>22.4</v>
      </c>
      <c r="AV9" s="41" t="n">
        <f aca="false">100*0.134</f>
        <v>13.4</v>
      </c>
      <c r="AW9" s="41" t="n">
        <f aca="false">100*0.0111</f>
        <v>1.11</v>
      </c>
      <c r="AX9" s="41" t="n">
        <f aca="false">100*0.0116</f>
        <v>1.16</v>
      </c>
      <c r="AY9" s="41" t="n">
        <f aca="false">100*0.394</f>
        <v>39.4</v>
      </c>
      <c r="AZ9" s="41" t="n">
        <f aca="false">100*0.583</f>
        <v>58.3</v>
      </c>
      <c r="BA9" s="41" t="n">
        <v>140629</v>
      </c>
      <c r="BB9" s="41" t="n">
        <f aca="false">100*0.0301</f>
        <v>3.01</v>
      </c>
      <c r="BC9" s="41" t="n">
        <f aca="false">100*0.762</f>
        <v>76.2</v>
      </c>
      <c r="BD9" s="41" t="n">
        <f aca="false">100*0.0288</f>
        <v>2.88</v>
      </c>
      <c r="BE9" s="41" t="n">
        <f aca="false">100*0.0828</f>
        <v>8.28</v>
      </c>
      <c r="BF9" s="41" t="n">
        <f aca="false">100*0.127</f>
        <v>12.7</v>
      </c>
      <c r="BG9" s="41" t="n">
        <f aca="false">100*0.116</f>
        <v>11.6</v>
      </c>
      <c r="BH9" s="41" t="n">
        <f aca="false">100*0.0047</f>
        <v>0.47</v>
      </c>
      <c r="BI9" s="41" t="n">
        <f aca="false">100*0.1</f>
        <v>10</v>
      </c>
      <c r="BJ9" s="41" t="n">
        <f aca="false">100*0.78</f>
        <v>78</v>
      </c>
      <c r="BK9" s="41" t="n">
        <f aca="false">100*0.847</f>
        <v>84.7</v>
      </c>
      <c r="BL9" s="41" t="n">
        <f aca="false">100*0.0663</f>
        <v>6.63</v>
      </c>
      <c r="BM9" s="41" t="n">
        <f aca="false">100*0.0199</f>
        <v>1.99</v>
      </c>
      <c r="BN9" s="41" t="n">
        <f aca="false">100*0.0667</f>
        <v>6.67</v>
      </c>
      <c r="BO9" s="41" t="n">
        <f aca="false">100*0.911</f>
        <v>91.1</v>
      </c>
      <c r="BP9" s="41" t="n">
        <f aca="false">100*0.0861</f>
        <v>8.61</v>
      </c>
      <c r="BQ9" s="41" t="n">
        <v>0</v>
      </c>
      <c r="BR9" s="41" t="n">
        <f aca="false">100*0.0031</f>
        <v>0.31</v>
      </c>
      <c r="BS9" s="41" t="n">
        <f aca="false">100*0.952</f>
        <v>95.2</v>
      </c>
      <c r="BT9" s="41" t="n">
        <f aca="false">100*0.0023</f>
        <v>0.23</v>
      </c>
      <c r="BU9" s="41" t="n">
        <f aca="false">100*0.00019</f>
        <v>0.019</v>
      </c>
      <c r="BV9" s="41" t="n">
        <f aca="false">100*0.0457</f>
        <v>4.57</v>
      </c>
      <c r="BW9" s="41" t="n">
        <f aca="false">100*0.00019</f>
        <v>0.019</v>
      </c>
      <c r="BX9" s="41" t="n">
        <v>0</v>
      </c>
      <c r="BY9" s="41" t="n">
        <f aca="false">100*0.0023</f>
        <v>0.23</v>
      </c>
      <c r="BZ9" s="41" t="n">
        <f aca="false">100*0.998</f>
        <v>99.8</v>
      </c>
      <c r="CA9" s="53" t="n">
        <f aca="false">AE9/CB9</f>
        <v>0.204016187695302</v>
      </c>
      <c r="CB9" s="54" t="n">
        <v>976050</v>
      </c>
      <c r="CC9" s="54"/>
      <c r="CD9" s="55"/>
      <c r="CE9" s="55"/>
      <c r="CF9" s="55"/>
      <c r="CG9" s="55"/>
      <c r="CH9" s="55"/>
      <c r="CI9" s="55"/>
      <c r="CJ9" s="55"/>
      <c r="CK9" s="55"/>
      <c r="CL9" s="55"/>
      <c r="CM9" s="55"/>
      <c r="CN9" s="55"/>
      <c r="CO9" s="55"/>
      <c r="CP9" s="55"/>
      <c r="CQ9" s="55"/>
      <c r="CR9" s="55"/>
      <c r="CS9" s="55"/>
      <c r="CT9" s="55"/>
      <c r="CU9" s="55"/>
      <c r="CV9" s="55"/>
      <c r="CW9" s="41"/>
      <c r="CX9" s="41"/>
    </row>
    <row r="10" s="85" customFormat="true" ht="12.8" hidden="false" customHeight="false" outlineLevel="0" collapsed="false">
      <c r="A10" s="106" t="s">
        <v>148</v>
      </c>
      <c r="B10" s="106" t="s">
        <v>113</v>
      </c>
      <c r="C10" s="106" t="s">
        <v>135</v>
      </c>
      <c r="D10" s="106" t="s">
        <v>102</v>
      </c>
      <c r="E10" s="107" t="n">
        <v>16873</v>
      </c>
      <c r="F10" s="107" t="n">
        <v>42114</v>
      </c>
      <c r="G10" s="107" t="n">
        <v>43222</v>
      </c>
      <c r="H10" s="107" t="s">
        <v>103</v>
      </c>
      <c r="I10" s="108" t="n">
        <v>72.1396303901437</v>
      </c>
      <c r="J10" s="108" t="n">
        <v>26349</v>
      </c>
      <c r="K10" s="108" t="n">
        <v>1108</v>
      </c>
      <c r="L10" s="109" t="s">
        <v>114</v>
      </c>
      <c r="M10" s="109" t="s">
        <v>114</v>
      </c>
      <c r="N10" s="110" t="s">
        <v>115</v>
      </c>
      <c r="O10" s="111"/>
      <c r="P10" s="111"/>
      <c r="Q10" s="112" t="s">
        <v>116</v>
      </c>
      <c r="R10" s="112"/>
      <c r="S10" s="113" t="s">
        <v>149</v>
      </c>
      <c r="T10" s="114" t="n">
        <v>10</v>
      </c>
      <c r="U10" s="115" t="n">
        <v>1971.83</v>
      </c>
      <c r="V10" s="115" t="n">
        <v>83.41</v>
      </c>
      <c r="W10" s="116" t="n">
        <f aca="false">U10-V10</f>
        <v>1888.42</v>
      </c>
      <c r="X10" s="117" t="s">
        <v>109</v>
      </c>
      <c r="Y10" s="118"/>
      <c r="Z10" s="119" t="n">
        <v>17100000</v>
      </c>
      <c r="AA10" s="118"/>
      <c r="AB10" s="120"/>
      <c r="AC10" s="121" t="n">
        <v>29500000</v>
      </c>
      <c r="AD10" s="106" t="s">
        <v>129</v>
      </c>
      <c r="AE10" s="106" t="n">
        <v>224132</v>
      </c>
      <c r="AF10" s="106" t="n">
        <v>299</v>
      </c>
      <c r="AG10" s="106" t="n">
        <f aca="false">100*0.0013</f>
        <v>0.13</v>
      </c>
      <c r="AH10" s="106" t="n">
        <f aca="false">100*0.1795</f>
        <v>17.95</v>
      </c>
      <c r="AI10" s="106" t="n">
        <v>1835</v>
      </c>
      <c r="AJ10" s="106" t="n">
        <f aca="false">100*0.00845</f>
        <v>0.845</v>
      </c>
      <c r="AK10" s="106" t="n">
        <v>1002</v>
      </c>
      <c r="AL10" s="106" t="n">
        <f aca="false">100*0.0046</f>
        <v>0.46</v>
      </c>
      <c r="AM10" s="106" t="n">
        <f aca="false">100*0.0011</f>
        <v>0.11</v>
      </c>
      <c r="AN10" s="106" t="n">
        <f aca="false">100*0.0011</f>
        <v>0.11</v>
      </c>
      <c r="AO10" s="106" t="n">
        <f aca="false">100*0.751</f>
        <v>75.1</v>
      </c>
      <c r="AP10" s="106" t="n">
        <v>0.0509</v>
      </c>
      <c r="AQ10" s="106" t="n">
        <v>64274</v>
      </c>
      <c r="AR10" s="106" t="n">
        <v>0.07398</v>
      </c>
      <c r="AS10" s="106" t="n">
        <v>0.107</v>
      </c>
      <c r="AT10" s="106" t="n">
        <v>0.091945</v>
      </c>
      <c r="AU10" s="106" t="n">
        <v>0.50415</v>
      </c>
      <c r="AV10" s="106" t="n">
        <v>0.29</v>
      </c>
      <c r="AW10" s="106" t="n">
        <v>0.0797494</v>
      </c>
      <c r="AX10" s="106" t="n">
        <v>0.07705285</v>
      </c>
      <c r="AY10" s="106" t="n">
        <v>0.52</v>
      </c>
      <c r="AZ10" s="106" t="n">
        <v>0.315</v>
      </c>
      <c r="BA10" s="106" t="n">
        <v>150981</v>
      </c>
      <c r="BB10" s="106" t="n">
        <v>0.0663338</v>
      </c>
      <c r="BC10" s="106" t="n">
        <v>0.6079</v>
      </c>
      <c r="BD10" s="106" t="n">
        <v>0.25442</v>
      </c>
      <c r="BE10" s="106" t="n">
        <v>0.0087</v>
      </c>
      <c r="BF10" s="106" t="n">
        <v>0.112</v>
      </c>
      <c r="BG10" s="106" t="n">
        <v>0.67882</v>
      </c>
      <c r="BH10" s="106" t="n">
        <v>0.265924</v>
      </c>
      <c r="BI10" s="106" t="n">
        <v>0.00816</v>
      </c>
      <c r="BJ10" s="106" t="n">
        <v>0.0473</v>
      </c>
      <c r="BK10" s="106" t="n">
        <v>0.3013</v>
      </c>
      <c r="BL10" s="106" t="n">
        <v>0.27825</v>
      </c>
      <c r="BM10" s="106" t="n">
        <v>0.195</v>
      </c>
      <c r="BN10" s="106" t="n">
        <v>0.186</v>
      </c>
      <c r="BO10" s="106" t="n">
        <v>0.311</v>
      </c>
      <c r="BP10" s="106" t="n">
        <v>0.213</v>
      </c>
      <c r="BQ10" s="106" t="n">
        <v>0.295</v>
      </c>
      <c r="BR10" s="106" t="n">
        <v>0.186</v>
      </c>
      <c r="BS10" s="106" t="n">
        <v>0.7334</v>
      </c>
      <c r="BT10" s="106" t="n">
        <v>0.10845</v>
      </c>
      <c r="BU10" s="106" t="n">
        <v>0.02</v>
      </c>
      <c r="BV10" s="106" t="n">
        <v>0.133</v>
      </c>
      <c r="BW10" s="106" t="n">
        <v>0.114</v>
      </c>
      <c r="BX10" s="106" t="n">
        <v>0.019</v>
      </c>
      <c r="BY10" s="106" t="n">
        <v>0.11</v>
      </c>
      <c r="BZ10" s="106" t="n">
        <v>0.757</v>
      </c>
      <c r="CA10" s="122" t="n">
        <f aca="false">AE10/CB10</f>
        <v>0.252330998394589</v>
      </c>
      <c r="CB10" s="123" t="n">
        <v>888246</v>
      </c>
      <c r="CC10" s="123"/>
      <c r="CD10" s="124"/>
      <c r="CE10" s="124"/>
      <c r="CF10" s="124"/>
      <c r="CG10" s="124"/>
      <c r="CH10" s="124"/>
      <c r="CI10" s="124"/>
      <c r="CJ10" s="124"/>
      <c r="CK10" s="124"/>
      <c r="CL10" s="124"/>
      <c r="CM10" s="124"/>
      <c r="CN10" s="124"/>
      <c r="CO10" s="124"/>
      <c r="CP10" s="124"/>
      <c r="CQ10" s="124"/>
      <c r="CR10" s="124"/>
      <c r="CS10" s="124"/>
      <c r="CT10" s="124"/>
      <c r="CU10" s="124"/>
      <c r="CV10" s="124"/>
      <c r="CW10" s="106"/>
      <c r="CX10" s="106"/>
    </row>
    <row r="11" s="22" customFormat="true" ht="12.8" hidden="false" customHeight="false" outlineLevel="0" collapsed="false">
      <c r="A11" s="41" t="s">
        <v>150</v>
      </c>
      <c r="B11" s="41" t="s">
        <v>113</v>
      </c>
      <c r="C11" s="41"/>
      <c r="D11" s="41" t="s">
        <v>102</v>
      </c>
      <c r="E11" s="125" t="n">
        <v>16873</v>
      </c>
      <c r="F11" s="125" t="n">
        <v>42114</v>
      </c>
      <c r="G11" s="125" t="n">
        <v>43243</v>
      </c>
      <c r="H11" s="125" t="s">
        <v>103</v>
      </c>
      <c r="I11" s="126" t="n">
        <v>72.1971252566735</v>
      </c>
      <c r="J11" s="126" t="n">
        <v>26370</v>
      </c>
      <c r="K11" s="126" t="n">
        <v>1129</v>
      </c>
      <c r="L11" s="127" t="s">
        <v>114</v>
      </c>
      <c r="M11" s="127" t="s">
        <v>114</v>
      </c>
      <c r="N11" s="45" t="s">
        <v>115</v>
      </c>
      <c r="O11" s="128"/>
      <c r="P11" s="128"/>
      <c r="Q11" s="129" t="s">
        <v>116</v>
      </c>
      <c r="R11" s="129"/>
      <c r="S11" s="130" t="s">
        <v>149</v>
      </c>
      <c r="T11" s="131" t="n">
        <v>10</v>
      </c>
      <c r="U11" s="132" t="n">
        <v>2047.5</v>
      </c>
      <c r="V11" s="132" t="n">
        <v>89.26</v>
      </c>
      <c r="W11" s="50" t="n">
        <f aca="false">U11-V11</f>
        <v>1958.24</v>
      </c>
      <c r="X11" s="103" t="s">
        <v>109</v>
      </c>
      <c r="Y11" s="104"/>
      <c r="Z11" s="105" t="n">
        <v>11500000</v>
      </c>
      <c r="AA11" s="104"/>
      <c r="AB11" s="130"/>
      <c r="AC11" s="133" t="n">
        <v>29500000</v>
      </c>
      <c r="AD11" s="41" t="s">
        <v>151</v>
      </c>
      <c r="AE11" s="41" t="n">
        <v>1350000</v>
      </c>
      <c r="AF11" s="41" t="n">
        <v>3137</v>
      </c>
      <c r="AG11" s="41" t="n">
        <f aca="false">100*0.0026</f>
        <v>0.26</v>
      </c>
      <c r="AH11" s="41" t="n">
        <f aca="false">100*0.118</f>
        <v>11.8</v>
      </c>
      <c r="AI11" s="41" t="n">
        <v>2191</v>
      </c>
      <c r="AJ11" s="41" t="n">
        <f aca="false">100*0.0018</f>
        <v>0.18</v>
      </c>
      <c r="AK11" s="41" t="n">
        <v>4336</v>
      </c>
      <c r="AL11" s="41" t="n">
        <f aca="false">100*0.0037</f>
        <v>0.37</v>
      </c>
      <c r="AM11" s="41" t="n">
        <f aca="false">100*0.0187</f>
        <v>1.87</v>
      </c>
      <c r="AN11" s="41" t="n">
        <f aca="false">100*0.0157</f>
        <v>1.57</v>
      </c>
      <c r="AO11" s="41" t="n">
        <f aca="false">100*0.735</f>
        <v>73.5</v>
      </c>
      <c r="AP11" s="41" t="n">
        <f aca="false">100*0.108</f>
        <v>10.8</v>
      </c>
      <c r="AQ11" s="41" t="n">
        <v>347699</v>
      </c>
      <c r="AR11" s="41" t="n">
        <f aca="false">100*0.0554</f>
        <v>5.54</v>
      </c>
      <c r="AS11" s="41" t="n">
        <f aca="false">100*0.0757</f>
        <v>7.57</v>
      </c>
      <c r="AT11" s="41" t="n">
        <f aca="false">100*0.0993</f>
        <v>9.93</v>
      </c>
      <c r="AU11" s="41" t="n">
        <f aca="false">100*0.534</f>
        <v>53.4</v>
      </c>
      <c r="AV11" s="41" t="n">
        <f aca="false">100*0.291</f>
        <v>29.1</v>
      </c>
      <c r="AW11" s="41" t="n">
        <f aca="false">100*0.0475</f>
        <v>4.75</v>
      </c>
      <c r="AX11" s="41" t="n">
        <f aca="false">100*0.087</f>
        <v>8.7</v>
      </c>
      <c r="AY11" s="41" t="n">
        <f aca="false">100*0.556</f>
        <v>55.6</v>
      </c>
      <c r="AZ11" s="41" t="n">
        <f aca="false">100*0.309</f>
        <v>30.9</v>
      </c>
      <c r="BA11" s="41" t="n">
        <v>774000</v>
      </c>
      <c r="BB11" s="41" t="n">
        <f aca="false">100*0.0972</f>
        <v>9.72</v>
      </c>
      <c r="BC11" s="41" t="n">
        <f aca="false">100*0.502</f>
        <v>50.2</v>
      </c>
      <c r="BD11" s="41" t="n">
        <f aca="false">100*0.367</f>
        <v>36.7</v>
      </c>
      <c r="BE11" s="41" t="n">
        <f aca="false">100*0.0175</f>
        <v>1.75</v>
      </c>
      <c r="BF11" s="41" t="n">
        <f aca="false">100*0.114</f>
        <v>11.4</v>
      </c>
      <c r="BG11" s="41" t="n">
        <f aca="false">100*0.484</f>
        <v>48.4</v>
      </c>
      <c r="BH11" s="41" t="n">
        <f aca="false">100*0.365</f>
        <v>36.5</v>
      </c>
      <c r="BI11" s="41" t="n">
        <f aca="false">100*0.0192</f>
        <v>1.92</v>
      </c>
      <c r="BJ11" s="41" t="n">
        <f aca="false">100*0.132</f>
        <v>13.2</v>
      </c>
      <c r="BK11" s="41" t="n">
        <f aca="false">100*0.293</f>
        <v>29.3</v>
      </c>
      <c r="BL11" s="41" t="n">
        <f aca="false">100*0.409</f>
        <v>40.9</v>
      </c>
      <c r="BM11" s="41" t="n">
        <f aca="false">100*0.148</f>
        <v>14.8</v>
      </c>
      <c r="BN11" s="41" t="n">
        <f aca="false">100*0.151</f>
        <v>15.1</v>
      </c>
      <c r="BO11" s="41" t="n">
        <f aca="false">100*0.179</f>
        <v>17.9</v>
      </c>
      <c r="BP11" s="41" t="n">
        <f aca="false">100*0.151</f>
        <v>15.1</v>
      </c>
      <c r="BQ11" s="41" t="n">
        <f aca="false">100*0.347</f>
        <v>34.7</v>
      </c>
      <c r="BR11" s="41" t="n">
        <f aca="false">100*0.322</f>
        <v>32.2</v>
      </c>
      <c r="BS11" s="41" t="n">
        <f aca="false">100*0.64</f>
        <v>64</v>
      </c>
      <c r="BT11" s="41" t="n">
        <f aca="false">100*0.186</f>
        <v>18.6</v>
      </c>
      <c r="BU11" s="41" t="n">
        <f aca="false">100*0.042</f>
        <v>4.2</v>
      </c>
      <c r="BV11" s="41" t="n">
        <f aca="false">100*0.132</f>
        <v>13.2</v>
      </c>
      <c r="BW11" s="41" t="n">
        <f aca="false">100*0.0839</f>
        <v>8.39</v>
      </c>
      <c r="BX11" s="41" t="n">
        <f aca="false">100*0.0125</f>
        <v>1.25</v>
      </c>
      <c r="BY11" s="41" t="n">
        <f aca="false">100*0.216</f>
        <v>21.6</v>
      </c>
      <c r="BZ11" s="41" t="n">
        <f aca="false">100*0.688</f>
        <v>68.8</v>
      </c>
      <c r="CA11" s="53"/>
      <c r="CB11" s="54"/>
      <c r="CC11" s="54"/>
      <c r="CD11" s="55"/>
      <c r="CE11" s="55"/>
      <c r="CF11" s="55"/>
      <c r="CG11" s="55"/>
      <c r="CH11" s="55"/>
      <c r="CI11" s="55"/>
      <c r="CJ11" s="55"/>
      <c r="CK11" s="55"/>
      <c r="CL11" s="55"/>
      <c r="CM11" s="55"/>
      <c r="CN11" s="55"/>
      <c r="CO11" s="55"/>
      <c r="CP11" s="55"/>
      <c r="CQ11" s="55"/>
      <c r="CR11" s="55"/>
      <c r="CS11" s="55"/>
      <c r="CT11" s="55"/>
      <c r="CU11" s="55"/>
      <c r="CV11" s="55"/>
      <c r="CW11" s="41"/>
      <c r="CX11" s="41"/>
    </row>
    <row r="12" s="22" customFormat="true" ht="12.6" hidden="false" customHeight="true" outlineLevel="0" collapsed="false">
      <c r="A12" s="41" t="s">
        <v>152</v>
      </c>
      <c r="B12" s="41" t="s">
        <v>113</v>
      </c>
      <c r="C12" s="41"/>
      <c r="D12" s="41" t="s">
        <v>102</v>
      </c>
      <c r="E12" s="42" t="n">
        <v>13862</v>
      </c>
      <c r="F12" s="42" t="n">
        <v>42191</v>
      </c>
      <c r="G12" s="42" t="n">
        <v>43180</v>
      </c>
      <c r="H12" s="42" t="s">
        <v>103</v>
      </c>
      <c r="I12" s="43" t="n">
        <f aca="false">(G12-E12)/365.25</f>
        <v>80.2683093771389</v>
      </c>
      <c r="J12" s="44" t="n">
        <f aca="false">G12-E12</f>
        <v>29318</v>
      </c>
      <c r="K12" s="44" t="n">
        <f aca="false">G12-F12</f>
        <v>989</v>
      </c>
      <c r="L12" s="44" t="s">
        <v>104</v>
      </c>
      <c r="M12" s="44" t="s">
        <v>114</v>
      </c>
      <c r="N12" s="45" t="s">
        <v>115</v>
      </c>
      <c r="O12" s="46" t="n">
        <v>0</v>
      </c>
      <c r="P12" s="46" t="n">
        <v>0</v>
      </c>
      <c r="Q12" s="42" t="s">
        <v>116</v>
      </c>
      <c r="R12" s="42"/>
      <c r="S12" s="47" t="s">
        <v>117</v>
      </c>
      <c r="T12" s="46" t="n">
        <v>10</v>
      </c>
      <c r="U12" s="48" t="n">
        <v>2744.4</v>
      </c>
      <c r="V12" s="49" t="n">
        <v>88.6</v>
      </c>
      <c r="W12" s="50" t="n">
        <f aca="false">U12-V12</f>
        <v>2655.8</v>
      </c>
      <c r="X12" s="103" t="s">
        <v>109</v>
      </c>
      <c r="Y12" s="51"/>
      <c r="Z12" s="52" t="n">
        <v>81600000</v>
      </c>
      <c r="AA12" s="51"/>
      <c r="AB12" s="47"/>
      <c r="AC12" s="52" t="n">
        <v>41500000</v>
      </c>
      <c r="AD12" s="41" t="s">
        <v>153</v>
      </c>
      <c r="AE12" s="41" t="n">
        <v>146524</v>
      </c>
      <c r="AF12" s="41" t="n">
        <v>1388</v>
      </c>
      <c r="AG12" s="41" t="n">
        <f aca="false">100*0.0095</f>
        <v>0.95</v>
      </c>
      <c r="AH12" s="41" t="n">
        <f aca="false">100*0.242</f>
        <v>24.2</v>
      </c>
      <c r="AI12" s="41" t="n">
        <v>252</v>
      </c>
      <c r="AJ12" s="41" t="n">
        <f aca="false">100*0.00215</f>
        <v>0.215</v>
      </c>
      <c r="AK12" s="41" t="n">
        <v>879</v>
      </c>
      <c r="AL12" s="41" t="n">
        <f aca="false">100*0.0076</f>
        <v>0.76</v>
      </c>
      <c r="AM12" s="41" t="n">
        <f aca="false">100*0.02565</f>
        <v>2.565</v>
      </c>
      <c r="AN12" s="41" t="n">
        <f aca="false">100*0.0177</f>
        <v>1.77</v>
      </c>
      <c r="AO12" s="41" t="n">
        <f aca="false">100*0.651</f>
        <v>65.1</v>
      </c>
      <c r="AP12" s="41" t="n">
        <f aca="false">100*0.0133</f>
        <v>1.33</v>
      </c>
      <c r="AQ12" s="41" t="n">
        <v>13918</v>
      </c>
      <c r="AR12" s="41" t="n">
        <f aca="false">100*0.2153</f>
        <v>21.53</v>
      </c>
      <c r="AS12" s="41" t="n">
        <f aca="false">100*0.155</f>
        <v>15.5</v>
      </c>
      <c r="AT12" s="41" t="n">
        <f aca="false">100*0.327</f>
        <v>32.7</v>
      </c>
      <c r="AU12" s="41" t="n">
        <f aca="false">100*0.4179507</f>
        <v>41.79507</v>
      </c>
      <c r="AV12" s="41" t="n">
        <f aca="false">100*0.0704</f>
        <v>7.04</v>
      </c>
      <c r="AW12" s="41" t="n">
        <f aca="false">100*0.0940057</f>
        <v>9.40057</v>
      </c>
      <c r="AX12" s="41" t="n">
        <f aca="false">100*0.272765</f>
        <v>27.2765</v>
      </c>
      <c r="AY12" s="41" t="n">
        <f aca="false">100*0.5069507</f>
        <v>50.69507</v>
      </c>
      <c r="AZ12" s="41" t="n">
        <f aca="false">100*0.145</f>
        <v>14.5</v>
      </c>
      <c r="BA12" s="41" t="n">
        <v>78881</v>
      </c>
      <c r="BB12" s="41" t="n">
        <f aca="false">100*0.06368</f>
        <v>6.368</v>
      </c>
      <c r="BC12" s="41" t="n">
        <f aca="false">100*0.3339741</f>
        <v>33.39741</v>
      </c>
      <c r="BD12" s="41" t="n">
        <f aca="false">100*0.228991385</f>
        <v>22.8991385</v>
      </c>
      <c r="BE12" s="41" t="n">
        <f aca="false">100*0.0859</f>
        <v>8.59</v>
      </c>
      <c r="BF12" s="41" t="n">
        <f aca="false">100*0.351</f>
        <v>35.1</v>
      </c>
      <c r="BG12" s="41" t="n">
        <f aca="false">100*0.3178</f>
        <v>31.78</v>
      </c>
      <c r="BH12" s="41" t="n">
        <f aca="false">100*0.208982045</f>
        <v>20.8982045</v>
      </c>
      <c r="BI12" s="41" t="n">
        <f aca="false">100*0.0802</f>
        <v>8.02</v>
      </c>
      <c r="BJ12" s="41" t="n">
        <f aca="false">100*0.304</f>
        <v>30.4</v>
      </c>
      <c r="BK12" s="41" t="n">
        <f aca="false">100*0.0839</f>
        <v>8.39</v>
      </c>
      <c r="BL12" s="41" t="n">
        <f aca="false">100*0.05354</f>
        <v>5.354</v>
      </c>
      <c r="BM12" s="41" t="n">
        <f aca="false">100*0.3558</f>
        <v>35.58</v>
      </c>
      <c r="BN12" s="41" t="n">
        <f aca="false">100*0.505</f>
        <v>50.5</v>
      </c>
      <c r="BO12" s="41" t="n">
        <f aca="false">100*0.0607</f>
        <v>6.07</v>
      </c>
      <c r="BP12" s="41" t="n">
        <f aca="false">100*0.0166</f>
        <v>1.66</v>
      </c>
      <c r="BQ12" s="41" t="n">
        <f aca="false">100*0.329</f>
        <v>32.9</v>
      </c>
      <c r="BR12" s="41" t="n">
        <f aca="false">100*0.593</f>
        <v>59.3</v>
      </c>
      <c r="BS12" s="41" t="n">
        <f aca="false">100*0.457</f>
        <v>45.7</v>
      </c>
      <c r="BT12" s="41" t="n">
        <f aca="false">100*0.4</f>
        <v>40</v>
      </c>
      <c r="BU12" s="41" t="n">
        <f aca="false">100*0.0676</f>
        <v>6.76</v>
      </c>
      <c r="BV12" s="41" t="n">
        <f aca="false">100*0.0761</f>
        <v>7.61</v>
      </c>
      <c r="BW12" s="41" t="n">
        <f aca="false">100*0.225</f>
        <v>22.5</v>
      </c>
      <c r="BX12" s="41" t="n">
        <f aca="false">100*0.19345</f>
        <v>19.345</v>
      </c>
      <c r="BY12" s="41" t="n">
        <f aca="false">100*0.232</f>
        <v>23.2</v>
      </c>
      <c r="BZ12" s="41" t="n">
        <f aca="false">100*0.349</f>
        <v>34.9</v>
      </c>
      <c r="CA12" s="53" t="n">
        <f aca="false">AE12/CB12</f>
        <v>0.146524</v>
      </c>
      <c r="CB12" s="54" t="n">
        <v>1000000</v>
      </c>
      <c r="CC12" s="54"/>
      <c r="CD12" s="55"/>
      <c r="CE12" s="55"/>
      <c r="CF12" s="55"/>
      <c r="CG12" s="55"/>
      <c r="CH12" s="55"/>
      <c r="CI12" s="55"/>
      <c r="CJ12" s="55"/>
      <c r="CK12" s="55"/>
      <c r="CL12" s="55"/>
      <c r="CM12" s="55"/>
      <c r="CN12" s="55"/>
      <c r="CO12" s="55"/>
      <c r="CP12" s="55"/>
      <c r="CQ12" s="55"/>
      <c r="CR12" s="55"/>
      <c r="CS12" s="55"/>
      <c r="CT12" s="55"/>
      <c r="CU12" s="55"/>
      <c r="CV12" s="55"/>
      <c r="CW12" s="41"/>
      <c r="CX12" s="41"/>
    </row>
    <row r="13" s="22" customFormat="true" ht="12.8" hidden="false" customHeight="false" outlineLevel="0" collapsed="false">
      <c r="A13" s="41" t="s">
        <v>154</v>
      </c>
      <c r="B13" s="41" t="s">
        <v>113</v>
      </c>
      <c r="C13" s="41"/>
      <c r="D13" s="41" t="s">
        <v>102</v>
      </c>
      <c r="E13" s="42" t="n">
        <v>13862</v>
      </c>
      <c r="F13" s="42" t="n">
        <v>42191</v>
      </c>
      <c r="G13" s="42" t="n">
        <v>43271</v>
      </c>
      <c r="H13" s="42" t="s">
        <v>103</v>
      </c>
      <c r="I13" s="43" t="n">
        <v>80.517453798768</v>
      </c>
      <c r="J13" s="44" t="n">
        <v>29409</v>
      </c>
      <c r="K13" s="44" t="n">
        <v>1080</v>
      </c>
      <c r="L13" s="44" t="s">
        <v>104</v>
      </c>
      <c r="M13" s="44" t="s">
        <v>114</v>
      </c>
      <c r="N13" s="45" t="s">
        <v>115</v>
      </c>
      <c r="O13" s="46"/>
      <c r="P13" s="46"/>
      <c r="Q13" s="42" t="s">
        <v>116</v>
      </c>
      <c r="R13" s="42"/>
      <c r="S13" s="47" t="s">
        <v>117</v>
      </c>
      <c r="T13" s="46" t="n">
        <v>10</v>
      </c>
      <c r="U13" s="48" t="n">
        <v>2568.01</v>
      </c>
      <c r="V13" s="49" t="n">
        <v>74.09</v>
      </c>
      <c r="W13" s="50" t="n">
        <f aca="false">U13-V13</f>
        <v>2493.92</v>
      </c>
      <c r="X13" s="103" t="s">
        <v>109</v>
      </c>
      <c r="Y13" s="51"/>
      <c r="Z13" s="52" t="n">
        <v>107500000</v>
      </c>
      <c r="AA13" s="51"/>
      <c r="AB13" s="47"/>
      <c r="AC13" s="52" t="n">
        <v>12750000</v>
      </c>
      <c r="AD13" s="41" t="s">
        <v>155</v>
      </c>
      <c r="AE13" s="41" t="n">
        <v>889000</v>
      </c>
      <c r="AF13" s="41" t="n">
        <v>6220</v>
      </c>
      <c r="AG13" s="41" t="n">
        <f aca="false">100*0.0073</f>
        <v>0.73</v>
      </c>
      <c r="AH13" s="41" t="n">
        <f aca="false">100*0.8</f>
        <v>80</v>
      </c>
      <c r="AI13" s="41" t="n">
        <v>946</v>
      </c>
      <c r="AJ13" s="41" t="n">
        <f aca="false">100*0.0011</f>
        <v>0.11</v>
      </c>
      <c r="AK13" s="41" t="n">
        <v>6975</v>
      </c>
      <c r="AL13" s="41" t="n">
        <f aca="false">100*0.0082</f>
        <v>0.82</v>
      </c>
      <c r="AM13" s="41" t="n">
        <f aca="false">100*0.16</f>
        <v>16</v>
      </c>
      <c r="AN13" s="41" t="n">
        <f aca="false">100*0.0794</f>
        <v>7.94</v>
      </c>
      <c r="AO13" s="41" t="n">
        <f aca="false">100*0.747</f>
        <v>74.7</v>
      </c>
      <c r="AP13" s="41" t="n">
        <f aca="false">100*0.0116</f>
        <v>1.16</v>
      </c>
      <c r="AQ13" s="41" t="n">
        <v>105976</v>
      </c>
      <c r="AR13" s="41" t="n">
        <f aca="false">100*0.132</f>
        <v>13.2</v>
      </c>
      <c r="AS13" s="41" t="n">
        <f aca="false">100*0.151</f>
        <v>15.1</v>
      </c>
      <c r="AT13" s="41" t="n">
        <f aca="false">100*0.228</f>
        <v>22.8</v>
      </c>
      <c r="AU13" s="41" t="n">
        <f aca="false">100*0.51</f>
        <v>51</v>
      </c>
      <c r="AV13" s="41" t="n">
        <f aca="false">100*0.111</f>
        <v>11.1</v>
      </c>
      <c r="AW13" s="41" t="n">
        <f aca="false">100*0.0966</f>
        <v>9.66</v>
      </c>
      <c r="AX13" s="41" t="n">
        <f aca="false">100*0.186</f>
        <v>18.6</v>
      </c>
      <c r="AY13" s="41" t="n">
        <f aca="false">100*0.585</f>
        <v>58.5</v>
      </c>
      <c r="AZ13" s="41" t="n">
        <f aca="false">100*0.133</f>
        <v>13.3</v>
      </c>
      <c r="BA13" s="41" t="n">
        <v>671000</v>
      </c>
      <c r="BB13" s="41" t="n">
        <f aca="false">100*0.263</f>
        <v>26.3</v>
      </c>
      <c r="BC13" s="41" t="n">
        <f aca="false">100*0.325</f>
        <v>32.5</v>
      </c>
      <c r="BD13" s="41" t="n">
        <f aca="false">100*0.281</f>
        <v>28.1</v>
      </c>
      <c r="BE13" s="41" t="n">
        <f aca="false">100*0.123</f>
        <v>12.3</v>
      </c>
      <c r="BF13" s="41" t="n">
        <f aca="false">100*0.271</f>
        <v>27.1</v>
      </c>
      <c r="BG13" s="41" t="n">
        <f aca="false">100*0.318</f>
        <v>31.8</v>
      </c>
      <c r="BH13" s="41" t="n">
        <f aca="false">100*0.279</f>
        <v>27.9</v>
      </c>
      <c r="BI13" s="41" t="n">
        <f aca="false">100*0.125</f>
        <v>12.5</v>
      </c>
      <c r="BJ13" s="41" t="n">
        <f aca="false">100*0.278</f>
        <v>27.8</v>
      </c>
      <c r="BK13" s="41" t="n">
        <f aca="false">100*0.231</f>
        <v>23.1</v>
      </c>
      <c r="BL13" s="41" t="n">
        <f aca="false">100*0.445</f>
        <v>44.5</v>
      </c>
      <c r="BM13" s="41" t="n">
        <f aca="false">100*0.359</f>
        <v>35.9</v>
      </c>
      <c r="BN13" s="41" t="n">
        <f aca="false">100*0.148</f>
        <v>14.8</v>
      </c>
      <c r="BO13" s="41" t="n">
        <f aca="false">100*0.0347</f>
        <v>3.47</v>
      </c>
      <c r="BP13" s="41" t="n">
        <f aca="false">100*0.0156</f>
        <v>1.56</v>
      </c>
      <c r="BQ13" s="41" t="n">
        <f aca="false">100*0.784</f>
        <v>78.4</v>
      </c>
      <c r="BR13" s="41" t="n">
        <f aca="false">100*0.35</f>
        <v>35</v>
      </c>
      <c r="BS13" s="41" t="n">
        <f aca="false">100*0.564</f>
        <v>56.4</v>
      </c>
      <c r="BT13" s="41" t="n">
        <f aca="false">100*0.28</f>
        <v>28</v>
      </c>
      <c r="BU13" s="41" t="n">
        <f aca="false">100*0.0609</f>
        <v>6.09</v>
      </c>
      <c r="BV13" s="41" t="n">
        <f aca="false">100*0.0953</f>
        <v>9.53</v>
      </c>
      <c r="BW13" s="41" t="n">
        <f aca="false">100*0.0875</f>
        <v>8.75</v>
      </c>
      <c r="BX13" s="41" t="n">
        <f aca="false">100*0.0333</f>
        <v>3.33</v>
      </c>
      <c r="BY13" s="41" t="n">
        <f aca="false">100*0.314</f>
        <v>31.4</v>
      </c>
      <c r="BZ13" s="41" t="n">
        <f aca="false">100*0.565</f>
        <v>56.5</v>
      </c>
      <c r="CA13" s="53"/>
      <c r="CB13" s="54"/>
      <c r="CC13" s="54"/>
      <c r="CD13" s="55"/>
      <c r="CE13" s="55"/>
      <c r="CF13" s="55"/>
      <c r="CG13" s="55"/>
      <c r="CH13" s="55"/>
      <c r="CI13" s="55"/>
      <c r="CJ13" s="55"/>
      <c r="CK13" s="55"/>
      <c r="CL13" s="55"/>
      <c r="CM13" s="55"/>
      <c r="CN13" s="55"/>
      <c r="CO13" s="55"/>
      <c r="CP13" s="55"/>
      <c r="CQ13" s="55"/>
      <c r="CR13" s="55"/>
      <c r="CS13" s="55"/>
      <c r="CT13" s="55"/>
      <c r="CU13" s="55"/>
      <c r="CV13" s="55"/>
      <c r="CW13" s="41"/>
      <c r="CX13" s="41"/>
    </row>
    <row r="14" s="22" customFormat="true" ht="12.8" hidden="false" customHeight="false" outlineLevel="0" collapsed="false">
      <c r="A14" s="41" t="s">
        <v>156</v>
      </c>
      <c r="B14" s="41" t="s">
        <v>113</v>
      </c>
      <c r="C14" s="41"/>
      <c r="D14" s="41" t="s">
        <v>102</v>
      </c>
      <c r="E14" s="42" t="n">
        <v>21486</v>
      </c>
      <c r="F14" s="42" t="n">
        <v>42233</v>
      </c>
      <c r="G14" s="42" t="n">
        <v>43222</v>
      </c>
      <c r="H14" s="42" t="s">
        <v>157</v>
      </c>
      <c r="I14" s="43" t="n">
        <v>59.5099247091034</v>
      </c>
      <c r="J14" s="44" t="n">
        <v>21736</v>
      </c>
      <c r="K14" s="44" t="n">
        <v>989</v>
      </c>
      <c r="L14" s="44" t="s">
        <v>104</v>
      </c>
      <c r="M14" s="44" t="s">
        <v>104</v>
      </c>
      <c r="N14" s="45" t="n">
        <v>42957</v>
      </c>
      <c r="O14" s="46"/>
      <c r="P14" s="46"/>
      <c r="Q14" s="42" t="s">
        <v>116</v>
      </c>
      <c r="R14" s="42"/>
      <c r="S14" s="47" t="s">
        <v>149</v>
      </c>
      <c r="T14" s="46" t="n">
        <v>10</v>
      </c>
      <c r="U14" s="48" t="n">
        <v>2223.19</v>
      </c>
      <c r="V14" s="49" t="n">
        <v>86.24</v>
      </c>
      <c r="W14" s="50" t="n">
        <f aca="false">U14-V14</f>
        <v>2136.95</v>
      </c>
      <c r="X14" s="103" t="s">
        <v>109</v>
      </c>
      <c r="Y14" s="51"/>
      <c r="Z14" s="52" t="n">
        <v>1000000</v>
      </c>
      <c r="AA14" s="51"/>
      <c r="AB14" s="47"/>
      <c r="AC14" s="52" t="n">
        <v>13950000</v>
      </c>
      <c r="AD14" s="60" t="s">
        <v>158</v>
      </c>
      <c r="AE14" s="41" t="n">
        <v>89349</v>
      </c>
      <c r="AF14" s="41" t="n">
        <v>507</v>
      </c>
      <c r="AG14" s="41" t="n">
        <f aca="false">100*0.0013</f>
        <v>0.13</v>
      </c>
      <c r="AH14" s="41" t="n">
        <f aca="false">100*0.2285</f>
        <v>22.85</v>
      </c>
      <c r="AI14" s="41" t="n">
        <v>163</v>
      </c>
      <c r="AJ14" s="41" t="n">
        <f aca="false">100*0.00155</f>
        <v>0.155</v>
      </c>
      <c r="AK14" s="41" t="n">
        <v>454</v>
      </c>
      <c r="AL14" s="41" t="n">
        <f aca="false">100*0.0062</f>
        <v>0.62</v>
      </c>
      <c r="AM14" s="41" t="n">
        <f aca="false">100*0.0021</f>
        <v>0.21</v>
      </c>
      <c r="AN14" s="41" t="n">
        <f aca="false">100*0.00385</f>
        <v>0.385</v>
      </c>
      <c r="AO14" s="41" t="n">
        <f aca="false">100*0.802</f>
        <v>80.2</v>
      </c>
      <c r="AP14" s="41" t="n">
        <f aca="false">100*0.0507</f>
        <v>5.07</v>
      </c>
      <c r="AQ14" s="41" t="n">
        <v>13364</v>
      </c>
      <c r="AR14" s="41" t="n">
        <f aca="false">100*0.14038</f>
        <v>14.038</v>
      </c>
      <c r="AS14" s="41" t="n">
        <f aca="false">100*0.153</f>
        <v>15.3</v>
      </c>
      <c r="AT14" s="41" t="n">
        <f aca="false">100*0.594215</f>
        <v>59.4215</v>
      </c>
      <c r="AU14" s="41" t="n">
        <f aca="false">100*0.2314</f>
        <v>23.14</v>
      </c>
      <c r="AV14" s="41" t="n">
        <f aca="false">100*0.0194</f>
        <v>1.94</v>
      </c>
      <c r="AW14" s="41" t="n">
        <f aca="false">100*0.1229355</f>
        <v>12.29355</v>
      </c>
      <c r="AX14" s="41" t="n">
        <f aca="false">100*0.46605</f>
        <v>46.605</v>
      </c>
      <c r="AY14" s="41" t="n">
        <f aca="false">100*0.3514</f>
        <v>35.14</v>
      </c>
      <c r="AZ14" s="41" t="n">
        <f aca="false">100*0.0544</f>
        <v>5.44</v>
      </c>
      <c r="BA14" s="41" t="n">
        <v>68285</v>
      </c>
      <c r="BB14" s="41" t="n">
        <f aca="false">100*0.08377</f>
        <v>8.377</v>
      </c>
      <c r="BC14" s="41" t="n">
        <f aca="false">100*0.45211</f>
        <v>45.211</v>
      </c>
      <c r="BD14" s="41" t="n">
        <f aca="false">100*0.493895</f>
        <v>49.3895</v>
      </c>
      <c r="BE14" s="41" t="n">
        <f aca="false">100*0.0031854</f>
        <v>0.31854</v>
      </c>
      <c r="BF14" s="41" t="n">
        <f aca="false">100*0.0468</f>
        <v>4.68</v>
      </c>
      <c r="BG14" s="41" t="n">
        <f aca="false">100*0.43576</f>
        <v>43.576</v>
      </c>
      <c r="BH14" s="41" t="n">
        <f aca="false">100*0.48903</f>
        <v>48.903</v>
      </c>
      <c r="BI14" s="41" t="n">
        <f aca="false">100*0.00761</f>
        <v>0.761</v>
      </c>
      <c r="BJ14" s="41" t="n">
        <f aca="false">100*0.064</f>
        <v>6.4</v>
      </c>
      <c r="BK14" s="41" t="n">
        <f aca="false">100*0.0532</f>
        <v>5.32</v>
      </c>
      <c r="BL14" s="41" t="n">
        <f aca="false">100*0.75605</f>
        <v>75.605</v>
      </c>
      <c r="BM14" s="41" t="n">
        <f aca="false">100*0.0509</f>
        <v>5.09</v>
      </c>
      <c r="BN14" s="41" t="n">
        <f aca="false">100*0.009</f>
        <v>0.9</v>
      </c>
      <c r="BO14" s="41" t="n">
        <f aca="false">100*0.0179</f>
        <v>1.79</v>
      </c>
      <c r="BP14" s="41" t="n">
        <f aca="false">100*0.1226</f>
        <v>12.26</v>
      </c>
      <c r="BQ14" s="41" t="n">
        <f aca="false">100*0.7661</f>
        <v>76.61</v>
      </c>
      <c r="BR14" s="41" t="n">
        <f aca="false">100*0.0645</f>
        <v>6.45</v>
      </c>
      <c r="BS14" s="41" t="n">
        <f aca="false">100*0.217</f>
        <v>21.7</v>
      </c>
      <c r="BT14" s="41" t="n">
        <f aca="false">100*0.681</f>
        <v>68.1</v>
      </c>
      <c r="BU14" s="41" t="n">
        <f aca="false">100*0.0805</f>
        <v>8.05</v>
      </c>
      <c r="BV14" s="41" t="n">
        <f aca="false">100*0.0345</f>
        <v>3.45</v>
      </c>
      <c r="BW14" s="41" t="n">
        <f aca="false">100*0.0274</f>
        <v>2.74</v>
      </c>
      <c r="BX14" s="41" t="n">
        <f aca="false">100*0.108</f>
        <v>10.8</v>
      </c>
      <c r="BY14" s="41" t="n">
        <f aca="false">100*0.671</f>
        <v>67.1</v>
      </c>
      <c r="BZ14" s="41" t="n">
        <f aca="false">100*0.146</f>
        <v>14.6</v>
      </c>
      <c r="CA14" s="53" t="n">
        <f aca="false">AE14/CB14</f>
        <v>0.0258683959938425</v>
      </c>
      <c r="CB14" s="54" t="n">
        <v>3453983</v>
      </c>
      <c r="CC14" s="54"/>
      <c r="CD14" s="41"/>
      <c r="CE14" s="41"/>
      <c r="CF14" s="41"/>
      <c r="CG14" s="41"/>
      <c r="CH14" s="41"/>
      <c r="CI14" s="41"/>
      <c r="CJ14" s="41"/>
      <c r="CK14" s="41"/>
      <c r="CL14" s="41"/>
      <c r="CM14" s="41"/>
      <c r="CN14" s="41"/>
      <c r="CO14" s="41"/>
      <c r="CP14" s="41"/>
      <c r="CQ14" s="41"/>
      <c r="CR14" s="41"/>
      <c r="CS14" s="41"/>
      <c r="CT14" s="41"/>
      <c r="CU14" s="41"/>
      <c r="CV14" s="41"/>
      <c r="CW14" s="41"/>
      <c r="CX14" s="41"/>
    </row>
    <row r="15" s="22" customFormat="true" ht="12.8" hidden="false" customHeight="false" outlineLevel="0" collapsed="false">
      <c r="A15" s="41" t="s">
        <v>159</v>
      </c>
      <c r="B15" s="41" t="s">
        <v>113</v>
      </c>
      <c r="C15" s="41"/>
      <c r="D15" s="41" t="s">
        <v>102</v>
      </c>
      <c r="E15" s="134" t="n">
        <v>21486</v>
      </c>
      <c r="F15" s="134" t="n">
        <v>42233</v>
      </c>
      <c r="G15" s="134" t="n">
        <v>43425</v>
      </c>
      <c r="H15" s="42" t="s">
        <v>157</v>
      </c>
      <c r="I15" s="43" t="n">
        <v>60.0657084188912</v>
      </c>
      <c r="J15" s="44" t="n">
        <v>21939</v>
      </c>
      <c r="K15" s="44" t="n">
        <v>1192</v>
      </c>
      <c r="L15" s="44" t="s">
        <v>104</v>
      </c>
      <c r="M15" s="44" t="s">
        <v>104</v>
      </c>
      <c r="N15" s="135" t="n">
        <v>42957</v>
      </c>
      <c r="O15" s="41"/>
      <c r="P15" s="136" t="s">
        <v>160</v>
      </c>
      <c r="Q15" s="134" t="s">
        <v>116</v>
      </c>
      <c r="R15" s="134"/>
      <c r="S15" s="47" t="s">
        <v>117</v>
      </c>
      <c r="T15" s="46" t="n">
        <v>10</v>
      </c>
      <c r="U15" s="137" t="n">
        <v>2189.1</v>
      </c>
      <c r="V15" s="138" t="n">
        <v>83.89</v>
      </c>
      <c r="W15" s="50" t="n">
        <f aca="false">U15-V15</f>
        <v>2105.21</v>
      </c>
      <c r="X15" s="103" t="s">
        <v>109</v>
      </c>
      <c r="Y15" s="51"/>
      <c r="Z15" s="133" t="n">
        <v>8700000</v>
      </c>
      <c r="AA15" s="51"/>
      <c r="AB15" s="47"/>
      <c r="AC15" s="133" t="n">
        <v>15900000</v>
      </c>
      <c r="AD15" s="60" t="s">
        <v>161</v>
      </c>
      <c r="AE15" s="41" t="n">
        <v>273359</v>
      </c>
      <c r="AF15" s="41" t="n">
        <v>2513</v>
      </c>
      <c r="AG15" s="41" t="n">
        <f aca="false">100*0.0085</f>
        <v>0.85</v>
      </c>
      <c r="AH15" s="41" t="n">
        <f aca="false">100*0.3008</f>
        <v>30.08</v>
      </c>
      <c r="AI15" s="41" t="n">
        <v>46</v>
      </c>
      <c r="AJ15" s="41" t="n">
        <f aca="false">100*0.000215</f>
        <v>0.0215</v>
      </c>
      <c r="AK15" s="41" t="n">
        <v>1182</v>
      </c>
      <c r="AL15" s="41" t="n">
        <f aca="false">100*0.0038</f>
        <v>0.38</v>
      </c>
      <c r="AM15" s="41" t="n">
        <f aca="false">100*0.1458</f>
        <v>14.58</v>
      </c>
      <c r="AN15" s="41" t="n">
        <f aca="false">100*0.03443</f>
        <v>3.443</v>
      </c>
      <c r="AO15" s="41" t="n">
        <f aca="false">100*0.807</f>
        <v>80.7</v>
      </c>
      <c r="AP15" s="41" t="n">
        <f aca="false">100*0.0288</f>
        <v>2.88</v>
      </c>
      <c r="AQ15" s="41" t="n">
        <f aca="false">100*66428</f>
        <v>6642800</v>
      </c>
      <c r="AR15" s="41" t="n">
        <f aca="false">100*0.0616248</f>
        <v>6.16248</v>
      </c>
      <c r="AS15" s="41" t="n">
        <f aca="false">100*0.2129096</f>
        <v>21.29096</v>
      </c>
      <c r="AT15" s="41" t="n">
        <f aca="false">100*0.44795985</f>
        <v>44.795985</v>
      </c>
      <c r="AU15" s="41" t="n">
        <f aca="false">100*0.3069824</f>
        <v>30.69824</v>
      </c>
      <c r="AV15" s="41" t="n">
        <f aca="false">100*0.031</f>
        <v>3.1</v>
      </c>
      <c r="AW15" s="41" t="n">
        <f aca="false">100*0.1419507</f>
        <v>14.19507</v>
      </c>
      <c r="AX15" s="41" t="n">
        <f aca="false">100*0.38991</f>
        <v>38.991</v>
      </c>
      <c r="AY15" s="41" t="n">
        <f aca="false">100*0.3699473</f>
        <v>36.99473</v>
      </c>
      <c r="AZ15" s="41" t="n">
        <f aca="false">100*0.0757</f>
        <v>7.57</v>
      </c>
      <c r="BA15" s="41" t="n">
        <v>180218</v>
      </c>
      <c r="BB15" s="41" t="n">
        <f aca="false">100*0.023085</f>
        <v>2.3085</v>
      </c>
      <c r="BC15" s="41" t="n">
        <f aca="false">100*0.55177</f>
        <v>55.177</v>
      </c>
      <c r="BD15" s="41" t="n">
        <f aca="false">100*0.40292095</f>
        <v>40.292095</v>
      </c>
      <c r="BE15" s="41" t="n">
        <f aca="false">100*0.00149315</f>
        <v>0.149315</v>
      </c>
      <c r="BF15" s="41" t="n">
        <f aca="false">100*0.0493</f>
        <v>4.93</v>
      </c>
      <c r="BG15" s="41" t="n">
        <f aca="false">100*0.45922</f>
        <v>45.922</v>
      </c>
      <c r="BH15" s="41" t="n">
        <f aca="false">100*0.38060945</f>
        <v>38.060945</v>
      </c>
      <c r="BI15" s="41" t="n">
        <f aca="false">100*0.0052589</f>
        <v>0.52589</v>
      </c>
      <c r="BJ15" s="41" t="n">
        <f aca="false">100*0.121</f>
        <v>12.1</v>
      </c>
      <c r="BK15" s="41" t="n">
        <f aca="false">100*0.19</f>
        <v>19</v>
      </c>
      <c r="BL15" s="41" t="n">
        <f aca="false">100*0.30585</f>
        <v>30.585</v>
      </c>
      <c r="BM15" s="41" t="n">
        <f aca="false">100*0.3554</f>
        <v>35.54</v>
      </c>
      <c r="BN15" s="41" t="n">
        <f aca="false">100*0.11</f>
        <v>11</v>
      </c>
      <c r="BO15" s="41" t="n">
        <f aca="false">100*0.06225</f>
        <v>6.225</v>
      </c>
      <c r="BP15" s="41" t="n">
        <f aca="false">100*0.09755</f>
        <v>9.755</v>
      </c>
      <c r="BQ15" s="41" t="n">
        <f aca="false">100*0.599</f>
        <v>59.9</v>
      </c>
      <c r="BR15" s="41" t="n">
        <f aca="false">100*0.227</f>
        <v>22.7</v>
      </c>
      <c r="BS15" s="41" t="n">
        <f aca="false">100*0.651</f>
        <v>65.1</v>
      </c>
      <c r="BT15" s="41" t="n">
        <f aca="false">100*0.0305</f>
        <v>3.05</v>
      </c>
      <c r="BU15" s="41" t="n">
        <f aca="false">100*0.0148</f>
        <v>1.48</v>
      </c>
      <c r="BV15" s="41" t="n">
        <f aca="false">100*0.257</f>
        <v>25.7</v>
      </c>
      <c r="BW15" s="41" t="n">
        <f aca="false">100*0.0754</f>
        <v>7.54</v>
      </c>
      <c r="BX15" s="41" t="n">
        <f aca="false">100*0.0041</f>
        <v>0.41</v>
      </c>
      <c r="BY15" s="41" t="n">
        <f aca="false">100*0.0461</f>
        <v>4.61</v>
      </c>
      <c r="BZ15" s="41" t="n">
        <f aca="false">100*0.875</f>
        <v>87.5</v>
      </c>
      <c r="CA15" s="53"/>
      <c r="CB15" s="54"/>
      <c r="CC15" s="54"/>
      <c r="CD15" s="41"/>
      <c r="CE15" s="41"/>
      <c r="CF15" s="41"/>
      <c r="CG15" s="41"/>
      <c r="CH15" s="41"/>
      <c r="CI15" s="41"/>
      <c r="CJ15" s="41"/>
      <c r="CK15" s="41"/>
      <c r="CL15" s="41"/>
      <c r="CM15" s="41"/>
      <c r="CN15" s="41"/>
      <c r="CO15" s="41"/>
      <c r="CP15" s="41"/>
      <c r="CQ15" s="41"/>
      <c r="CR15" s="41"/>
      <c r="CS15" s="41"/>
      <c r="CT15" s="41"/>
      <c r="CU15" s="41"/>
      <c r="CV15" s="41"/>
      <c r="CW15" s="41"/>
      <c r="CX15" s="41"/>
    </row>
    <row r="16" s="22" customFormat="true" ht="12.8" hidden="false" customHeight="false" outlineLevel="0" collapsed="false">
      <c r="A16" s="41" t="s">
        <v>162</v>
      </c>
      <c r="B16" s="41" t="s">
        <v>113</v>
      </c>
      <c r="C16" s="41"/>
      <c r="D16" s="41" t="s">
        <v>102</v>
      </c>
      <c r="E16" s="42" t="n">
        <v>28187</v>
      </c>
      <c r="F16" s="42" t="n">
        <v>42338</v>
      </c>
      <c r="G16" s="42" t="n">
        <v>43131</v>
      </c>
      <c r="H16" s="42" t="s">
        <v>157</v>
      </c>
      <c r="I16" s="43" t="n">
        <f aca="false">(G16-E16)/365.25</f>
        <v>40.9144421629021</v>
      </c>
      <c r="J16" s="44" t="n">
        <f aca="false">G16-E16</f>
        <v>14944</v>
      </c>
      <c r="K16" s="44" t="n">
        <f aca="false">G16-F16</f>
        <v>793</v>
      </c>
      <c r="L16" s="44" t="s">
        <v>104</v>
      </c>
      <c r="M16" s="44" t="s">
        <v>104</v>
      </c>
      <c r="N16" s="45" t="n">
        <v>39299</v>
      </c>
      <c r="O16" s="46" t="n">
        <v>0</v>
      </c>
      <c r="P16" s="46" t="n">
        <v>0</v>
      </c>
      <c r="Q16" s="42" t="s">
        <v>116</v>
      </c>
      <c r="R16" s="42"/>
      <c r="S16" s="47" t="s">
        <v>117</v>
      </c>
      <c r="T16" s="46" t="n">
        <v>10</v>
      </c>
      <c r="U16" s="48" t="n">
        <v>2121.99</v>
      </c>
      <c r="V16" s="49" t="n">
        <v>82.19</v>
      </c>
      <c r="W16" s="50" t="n">
        <f aca="false">U16-V16</f>
        <v>2039.8</v>
      </c>
      <c r="X16" s="103" t="s">
        <v>109</v>
      </c>
      <c r="Y16" s="51"/>
      <c r="Z16" s="52" t="n">
        <v>18000000</v>
      </c>
      <c r="AA16" s="51"/>
      <c r="AB16" s="47"/>
      <c r="AC16" s="52" t="n">
        <v>3600000</v>
      </c>
      <c r="AD16" s="41" t="s">
        <v>163</v>
      </c>
      <c r="AE16" s="41" t="n">
        <v>328006</v>
      </c>
      <c r="AF16" s="41" t="n">
        <v>560</v>
      </c>
      <c r="AG16" s="41" t="n">
        <f aca="false">100*0.0017</f>
        <v>0.17</v>
      </c>
      <c r="AH16" s="41" t="n">
        <f aca="false">100*0.2216</f>
        <v>22.16</v>
      </c>
      <c r="AI16" s="41" t="n">
        <v>58</v>
      </c>
      <c r="AJ16" s="41" t="n">
        <f aca="false">100*0.00014</f>
        <v>0.014</v>
      </c>
      <c r="AK16" s="41" t="n">
        <v>211</v>
      </c>
      <c r="AL16" s="41" t="n">
        <f aca="false">100*0.00065</f>
        <v>0.065</v>
      </c>
      <c r="AM16" s="41" t="n">
        <f aca="false">100*0.03825</f>
        <v>3.825</v>
      </c>
      <c r="AN16" s="41" t="n">
        <f aca="false">100*0.0105</f>
        <v>1.05</v>
      </c>
      <c r="AO16" s="41" t="n">
        <f aca="false">100*0.716</f>
        <v>71.6</v>
      </c>
      <c r="AP16" s="41" t="n">
        <f aca="false">100*0.14</f>
        <v>14</v>
      </c>
      <c r="AQ16" s="41" t="n">
        <v>104097</v>
      </c>
      <c r="AR16" s="41" t="n">
        <f aca="false">100*0.0408197</f>
        <v>4.08197</v>
      </c>
      <c r="AS16" s="41" t="n">
        <f aca="false">100*0.0478</f>
        <v>4.78</v>
      </c>
      <c r="AT16" s="41" t="n">
        <f aca="false">100*0.15099335</f>
        <v>15.099335</v>
      </c>
      <c r="AU16" s="41" t="n">
        <f aca="false">100*0.51499283</f>
        <v>51.499283</v>
      </c>
      <c r="AV16" s="41" t="n">
        <f aca="false">100*0.285</f>
        <v>28.5</v>
      </c>
      <c r="AW16" s="41" t="n">
        <f aca="false">100*0.01967</f>
        <v>1.967</v>
      </c>
      <c r="AX16" s="41" t="n">
        <f aca="false">100*0.121096415</f>
        <v>12.1096415</v>
      </c>
      <c r="AY16" s="41" t="n">
        <f aca="false">100*0.6279857</f>
        <v>62.79857</v>
      </c>
      <c r="AZ16" s="41" t="n">
        <f aca="false">100*0.23</f>
        <v>23</v>
      </c>
      <c r="BA16" s="41" t="n">
        <v>107830</v>
      </c>
      <c r="BB16" s="41" t="n">
        <f aca="false">100*0.0449309</f>
        <v>4.49309</v>
      </c>
      <c r="BC16" s="41" t="n">
        <f aca="false">100*0.39</f>
        <v>39</v>
      </c>
      <c r="BD16" s="41" t="n">
        <f aca="false">100*0.4619605</f>
        <v>46.19605</v>
      </c>
      <c r="BE16" s="41" t="n">
        <f aca="false">100*0.0614</f>
        <v>6.14</v>
      </c>
      <c r="BF16" s="41" t="n">
        <f aca="false">100*0.0844</f>
        <v>8.44</v>
      </c>
      <c r="BG16" s="41" t="n">
        <f aca="false">100*0.25733</f>
        <v>25.733</v>
      </c>
      <c r="BH16" s="41" t="n">
        <f aca="false">100*0.43364815</f>
        <v>43.364815</v>
      </c>
      <c r="BI16" s="41" t="n">
        <f aca="false">100*0.0821782</f>
        <v>8.21782</v>
      </c>
      <c r="BJ16" s="41" t="n">
        <f aca="false">100*0.224</f>
        <v>22.4</v>
      </c>
      <c r="BK16" s="41" t="n">
        <f aca="false">100*0.214</f>
        <v>21.4</v>
      </c>
      <c r="BL16" s="41" t="n">
        <f aca="false">100*0.2917</f>
        <v>29.17</v>
      </c>
      <c r="BM16" s="41" t="n">
        <f aca="false">100*0.3052</f>
        <v>30.52</v>
      </c>
      <c r="BN16" s="41" t="n">
        <f aca="false">100*0.184</f>
        <v>18.4</v>
      </c>
      <c r="BO16" s="41" t="n">
        <f aca="false">100*0.129</f>
        <v>12.9</v>
      </c>
      <c r="BP16" s="41" t="n">
        <f aca="false">100*0.18755</f>
        <v>18.755</v>
      </c>
      <c r="BQ16" s="41" t="n">
        <f aca="false">100*0.354</f>
        <v>35.4</v>
      </c>
      <c r="BR16" s="41" t="n">
        <f aca="false">100*0.283</f>
        <v>28.3</v>
      </c>
      <c r="BS16" s="41" t="n">
        <f aca="false">100*0.195</f>
        <v>19.5</v>
      </c>
      <c r="BT16" s="41" t="n">
        <f aca="false">100*0.558</f>
        <v>55.8</v>
      </c>
      <c r="BU16" s="41" t="n">
        <f aca="false">100*0.172</f>
        <v>17.2</v>
      </c>
      <c r="BV16" s="41" t="n">
        <f aca="false">100*0.0465</f>
        <v>4.65</v>
      </c>
      <c r="BW16" s="41" t="n">
        <f aca="false">100*0.0823</f>
        <v>8.23</v>
      </c>
      <c r="BX16" s="41" t="n">
        <f aca="false">100*0.13235</f>
        <v>13.235</v>
      </c>
      <c r="BY16" s="41" t="n">
        <f aca="false">100*0.661</f>
        <v>66.1</v>
      </c>
      <c r="BZ16" s="41" t="n">
        <f aca="false">100*0.186</f>
        <v>18.6</v>
      </c>
      <c r="CA16" s="139" t="e">
        <f aca="false">AE16/CB16</f>
        <v>#DIV/0!</v>
      </c>
      <c r="CB16" s="54"/>
      <c r="CC16" s="54"/>
      <c r="CD16" s="41"/>
      <c r="CE16" s="41"/>
      <c r="CF16" s="41"/>
      <c r="CG16" s="41"/>
      <c r="CH16" s="41"/>
      <c r="CI16" s="41"/>
      <c r="CJ16" s="41"/>
      <c r="CK16" s="41"/>
      <c r="CL16" s="41"/>
      <c r="CM16" s="41"/>
      <c r="CN16" s="41"/>
      <c r="CO16" s="41"/>
      <c r="CP16" s="41"/>
      <c r="CQ16" s="41"/>
      <c r="CR16" s="41"/>
      <c r="CS16" s="41"/>
      <c r="CT16" s="41"/>
      <c r="CU16" s="41"/>
      <c r="CV16" s="41"/>
      <c r="CW16" s="41"/>
      <c r="CX16" s="41"/>
    </row>
    <row r="17" s="22" customFormat="true" ht="12.8" hidden="false" customHeight="false" outlineLevel="0" collapsed="false">
      <c r="A17" s="41" t="s">
        <v>164</v>
      </c>
      <c r="B17" s="41" t="s">
        <v>113</v>
      </c>
      <c r="C17" s="41"/>
      <c r="D17" s="41" t="s">
        <v>102</v>
      </c>
      <c r="E17" s="42" t="n">
        <v>28187</v>
      </c>
      <c r="F17" s="42" t="n">
        <v>42338</v>
      </c>
      <c r="G17" s="42" t="n">
        <v>43313</v>
      </c>
      <c r="H17" s="42" t="s">
        <v>157</v>
      </c>
      <c r="I17" s="43" t="n">
        <v>41.4127310061602</v>
      </c>
      <c r="J17" s="44" t="n">
        <v>15126</v>
      </c>
      <c r="K17" s="44" t="n">
        <v>975</v>
      </c>
      <c r="L17" s="44" t="s">
        <v>104</v>
      </c>
      <c r="M17" s="44" t="s">
        <v>104</v>
      </c>
      <c r="N17" s="45" t="n">
        <v>39299</v>
      </c>
      <c r="O17" s="46"/>
      <c r="P17" s="46"/>
      <c r="Q17" s="42" t="s">
        <v>116</v>
      </c>
      <c r="R17" s="42"/>
      <c r="S17" s="47" t="s">
        <v>117</v>
      </c>
      <c r="T17" s="46" t="n">
        <v>10</v>
      </c>
      <c r="U17" s="48" t="n">
        <v>2470.34</v>
      </c>
      <c r="V17" s="49" t="n">
        <v>81.22</v>
      </c>
      <c r="W17" s="50" t="n">
        <f aca="false">U17-V17</f>
        <v>2389.12</v>
      </c>
      <c r="X17" s="103" t="s">
        <v>109</v>
      </c>
      <c r="Y17" s="51"/>
      <c r="Z17" s="52" t="n">
        <v>16330000</v>
      </c>
      <c r="AA17" s="51"/>
      <c r="AB17" s="47"/>
      <c r="AC17" s="52" t="n">
        <v>11500000</v>
      </c>
      <c r="AD17" s="41" t="s">
        <v>165</v>
      </c>
      <c r="AE17" s="41" t="n">
        <v>1190000</v>
      </c>
      <c r="AF17" s="41" t="n">
        <v>3492</v>
      </c>
      <c r="AG17" s="41" t="n">
        <f aca="false">100*0.003</f>
        <v>0.3</v>
      </c>
      <c r="AH17" s="41" t="n">
        <f aca="false">100*0.213</f>
        <v>21.3</v>
      </c>
      <c r="AI17" s="41" t="n">
        <v>59</v>
      </c>
      <c r="AJ17" s="41" t="n">
        <f aca="false">100*0.00005</f>
        <v>0.005</v>
      </c>
      <c r="AK17" s="41" t="n">
        <v>2941</v>
      </c>
      <c r="AL17" s="41" t="n">
        <f aca="false">100*0.0025</f>
        <v>0.25</v>
      </c>
      <c r="AM17" s="41" t="n">
        <f aca="false">100*0.0258</f>
        <v>2.58</v>
      </c>
      <c r="AN17" s="41" t="n">
        <f aca="false">100*0.016</f>
        <v>1.6</v>
      </c>
      <c r="AO17" s="41" t="n">
        <f aca="false">100*0.809</f>
        <v>80.9</v>
      </c>
      <c r="AP17" s="41" t="n">
        <f aca="false">100*0.0524</f>
        <v>5.24</v>
      </c>
      <c r="AQ17" s="41" t="n">
        <v>469000</v>
      </c>
      <c r="AR17" s="41" t="n">
        <f aca="false">100*0.0523</f>
        <v>5.23</v>
      </c>
      <c r="AS17" s="41" t="n">
        <f aca="false">100*0.0864</f>
        <v>8.64</v>
      </c>
      <c r="AT17" s="41" t="n">
        <f aca="false">100*0.296</f>
        <v>29.6</v>
      </c>
      <c r="AU17" s="41" t="n">
        <f aca="false">100*0.473</f>
        <v>47.3</v>
      </c>
      <c r="AV17" s="41" t="n">
        <f aca="false">100*0.145</f>
        <v>14.5</v>
      </c>
      <c r="AW17" s="41" t="n">
        <f aca="false">100*0.0419</f>
        <v>4.19</v>
      </c>
      <c r="AX17" s="41" t="n">
        <f aca="false">100*0.187</f>
        <v>18.7</v>
      </c>
      <c r="AY17" s="41" t="n">
        <f aca="false">100*0.582</f>
        <v>58.2</v>
      </c>
      <c r="AZ17" s="41" t="n">
        <f aca="false">100*0.189</f>
        <v>18.9</v>
      </c>
      <c r="BA17" s="41" t="n">
        <v>664000</v>
      </c>
      <c r="BB17" s="41" t="n">
        <f aca="false">100*0.0708</f>
        <v>7.08</v>
      </c>
      <c r="BC17" s="41" t="n">
        <f aca="false">100*0.535</f>
        <v>53.5</v>
      </c>
      <c r="BD17" s="41" t="n">
        <f aca="false">100*0.361</f>
        <v>36.1</v>
      </c>
      <c r="BE17" s="41" t="n">
        <f aca="false">100*0.0283</f>
        <v>2.83</v>
      </c>
      <c r="BF17" s="41" t="n">
        <f aca="false">100*0.0758</f>
        <v>7.58</v>
      </c>
      <c r="BG17" s="41" t="n">
        <f aca="false">100*0.498</f>
        <v>49.8</v>
      </c>
      <c r="BH17" s="41" t="n">
        <f aca="false">100*0.357</f>
        <v>35.7</v>
      </c>
      <c r="BI17" s="41" t="n">
        <f aca="false">100*0.0338</f>
        <v>3.38</v>
      </c>
      <c r="BJ17" s="41" t="n">
        <f aca="false">100*0.111</f>
        <v>11.1</v>
      </c>
      <c r="BK17" s="41" t="n">
        <f aca="false">100*0.327</f>
        <v>32.7</v>
      </c>
      <c r="BL17" s="41" t="n">
        <f aca="false">100*0.493</f>
        <v>49.3</v>
      </c>
      <c r="BM17" s="41" t="n">
        <f aca="false">100*0.148</f>
        <v>14.8</v>
      </c>
      <c r="BN17" s="41" t="n">
        <f aca="false">100*0.0312</f>
        <v>3.12</v>
      </c>
      <c r="BO17" s="41" t="n">
        <f aca="false">100*0.172</f>
        <v>17.2</v>
      </c>
      <c r="BP17" s="41" t="n">
        <f aca="false">100*0.316</f>
        <v>31.6</v>
      </c>
      <c r="BQ17" s="41" t="n">
        <f aca="false">100*0.357</f>
        <v>35.7</v>
      </c>
      <c r="BR17" s="41" t="n">
        <f aca="false">100*0.155</f>
        <v>15.5</v>
      </c>
      <c r="BS17" s="41" t="n">
        <f aca="false">100*0.616</f>
        <v>61.6</v>
      </c>
      <c r="BT17" s="41" t="n">
        <f aca="false">100*0.201</f>
        <v>20.1</v>
      </c>
      <c r="BU17" s="41" t="n">
        <f aca="false">100*0.0456</f>
        <v>4.56</v>
      </c>
      <c r="BV17" s="41" t="n">
        <f aca="false">100*0.137</f>
        <v>13.7</v>
      </c>
      <c r="BW17" s="41" t="n">
        <f aca="false">100*0.0466</f>
        <v>4.66</v>
      </c>
      <c r="BX17" s="41" t="n">
        <f aca="false">100*0.0099</f>
        <v>0.99</v>
      </c>
      <c r="BY17" s="41" t="n">
        <f aca="false">100*0.237</f>
        <v>23.7</v>
      </c>
      <c r="BZ17" s="41" t="n">
        <f aca="false">100*0.707</f>
        <v>70.7</v>
      </c>
      <c r="CA17" s="139" t="n">
        <v>0.147</v>
      </c>
      <c r="CB17" s="54"/>
      <c r="CC17" s="54"/>
      <c r="CD17" s="41"/>
      <c r="CE17" s="41"/>
      <c r="CF17" s="41"/>
      <c r="CG17" s="41"/>
      <c r="CH17" s="41"/>
      <c r="CI17" s="41"/>
      <c r="CJ17" s="41"/>
      <c r="CK17" s="41"/>
      <c r="CL17" s="41"/>
      <c r="CM17" s="41"/>
      <c r="CN17" s="41"/>
      <c r="CO17" s="41"/>
      <c r="CP17" s="41"/>
      <c r="CQ17" s="41"/>
      <c r="CR17" s="41"/>
      <c r="CS17" s="41"/>
      <c r="CT17" s="41"/>
      <c r="CU17" s="41"/>
      <c r="CV17" s="41"/>
      <c r="CW17" s="41"/>
      <c r="CX17" s="41"/>
    </row>
    <row r="18" s="22" customFormat="true" ht="12.8" hidden="false" customHeight="false" outlineLevel="0" collapsed="false">
      <c r="A18" s="22" t="s">
        <v>166</v>
      </c>
      <c r="B18" s="22" t="s">
        <v>101</v>
      </c>
      <c r="C18" s="22" t="s">
        <v>167</v>
      </c>
      <c r="D18" s="22" t="s">
        <v>102</v>
      </c>
      <c r="E18" s="23" t="n">
        <v>26622</v>
      </c>
      <c r="F18" s="23" t="n">
        <v>42430</v>
      </c>
      <c r="G18" s="23" t="n">
        <v>42997</v>
      </c>
      <c r="H18" s="23" t="s">
        <v>103</v>
      </c>
      <c r="I18" s="24" t="n">
        <f aca="false">(G18-E18)/365.25</f>
        <v>44.8323066392882</v>
      </c>
      <c r="J18" s="25" t="n">
        <f aca="false">G18-E18</f>
        <v>16375</v>
      </c>
      <c r="K18" s="25" t="n">
        <f aca="false">G18-F18</f>
        <v>567</v>
      </c>
      <c r="L18" s="26" t="s">
        <v>114</v>
      </c>
      <c r="M18" s="26" t="s">
        <v>114</v>
      </c>
      <c r="N18" s="27" t="s">
        <v>168</v>
      </c>
      <c r="O18" s="28"/>
      <c r="P18" s="28"/>
      <c r="Q18" s="29" t="s">
        <v>106</v>
      </c>
      <c r="R18" s="29" t="s">
        <v>169</v>
      </c>
      <c r="S18" s="30" t="s">
        <v>107</v>
      </c>
      <c r="T18" s="31" t="s">
        <v>170</v>
      </c>
      <c r="U18" s="32" t="n">
        <v>194</v>
      </c>
      <c r="V18" s="32" t="n">
        <v>92.6</v>
      </c>
      <c r="W18" s="33" t="n">
        <f aca="false">U18-V18</f>
        <v>101.4</v>
      </c>
      <c r="X18" s="34" t="s">
        <v>109</v>
      </c>
      <c r="Y18" s="35" t="n">
        <v>61400000</v>
      </c>
      <c r="Z18" s="36" t="n">
        <f aca="false">Y18*W18</f>
        <v>6225960000</v>
      </c>
      <c r="AA18" s="35" t="n">
        <v>122800000</v>
      </c>
      <c r="AB18" s="30" t="s">
        <v>171</v>
      </c>
      <c r="AC18" s="37" t="n">
        <v>16400000</v>
      </c>
      <c r="AD18" s="22" t="s">
        <v>172</v>
      </c>
      <c r="AE18" s="22" t="n">
        <v>51899</v>
      </c>
      <c r="AF18" s="22" t="n">
        <v>1319</v>
      </c>
      <c r="AG18" s="22" t="n">
        <v>0.0256</v>
      </c>
      <c r="AH18" s="22" t="n">
        <v>0</v>
      </c>
      <c r="AI18" s="22" t="n">
        <v>0</v>
      </c>
      <c r="AJ18" s="22" t="n">
        <v>0</v>
      </c>
      <c r="AK18" s="22" t="n">
        <v>639</v>
      </c>
      <c r="AL18" s="22" t="n">
        <v>0.0127</v>
      </c>
      <c r="AM18" s="22" t="n">
        <v>0</v>
      </c>
      <c r="AN18" s="22" t="n">
        <v>0</v>
      </c>
      <c r="AO18" s="22" t="n">
        <v>0</v>
      </c>
      <c r="AP18" s="22" t="n">
        <v>0</v>
      </c>
      <c r="AQ18" s="22" t="n">
        <v>0</v>
      </c>
      <c r="AR18" s="22" t="n">
        <v>0</v>
      </c>
      <c r="AS18" s="22" t="n">
        <v>0</v>
      </c>
      <c r="AT18" s="22" t="n">
        <v>0</v>
      </c>
      <c r="AU18" s="22" t="n">
        <v>0</v>
      </c>
      <c r="AV18" s="22" t="n">
        <v>0</v>
      </c>
      <c r="AW18" s="22" t="n">
        <v>0</v>
      </c>
      <c r="AX18" s="22" t="n">
        <v>0</v>
      </c>
      <c r="AY18" s="22" t="n">
        <v>0</v>
      </c>
      <c r="AZ18" s="22" t="n">
        <v>0</v>
      </c>
      <c r="BA18" s="22" t="n">
        <v>3</v>
      </c>
      <c r="BB18" s="22" t="n">
        <v>0</v>
      </c>
      <c r="BC18" s="22" t="n">
        <v>0</v>
      </c>
      <c r="BD18" s="22" t="n">
        <v>0.333</v>
      </c>
      <c r="BE18" s="22" t="n">
        <v>0.667</v>
      </c>
      <c r="BF18" s="22" t="n">
        <v>0</v>
      </c>
      <c r="BG18" s="22" t="n">
        <v>0</v>
      </c>
      <c r="BH18" s="22" t="n">
        <v>0.667</v>
      </c>
      <c r="BI18" s="22" t="n">
        <v>0.333</v>
      </c>
      <c r="BJ18" s="22" t="n">
        <v>0</v>
      </c>
      <c r="BK18" s="22" t="n">
        <v>0.161</v>
      </c>
      <c r="BL18" s="22" t="n">
        <v>0.0023</v>
      </c>
      <c r="BM18" s="22" t="n">
        <v>0.00076</v>
      </c>
      <c r="BN18" s="22" t="n">
        <v>0.835</v>
      </c>
      <c r="BO18" s="22" t="n">
        <v>0.0053</v>
      </c>
      <c r="BP18" s="22" t="n">
        <v>0</v>
      </c>
      <c r="BQ18" s="22" t="n">
        <v>0.003</v>
      </c>
      <c r="BR18" s="22" t="n">
        <v>0.992</v>
      </c>
      <c r="BS18" s="22" t="n">
        <v>0</v>
      </c>
      <c r="BT18" s="22" t="n">
        <v>0</v>
      </c>
      <c r="BU18" s="22" t="n">
        <v>0</v>
      </c>
      <c r="BV18" s="22" t="n">
        <v>1</v>
      </c>
      <c r="BW18" s="22" t="n">
        <v>0</v>
      </c>
      <c r="BX18" s="22" t="n">
        <v>0</v>
      </c>
      <c r="BY18" s="22" t="n">
        <v>0</v>
      </c>
      <c r="BZ18" s="22" t="n">
        <v>1</v>
      </c>
      <c r="CA18" s="38" t="n">
        <f aca="false">AE18/CB18</f>
        <v>0.0467885656999849</v>
      </c>
      <c r="CB18" s="39" t="n">
        <v>1109224</v>
      </c>
      <c r="CC18" s="39"/>
      <c r="CD18" s="40"/>
      <c r="CE18" s="40"/>
      <c r="CF18" s="40"/>
      <c r="CG18" s="40"/>
      <c r="CH18" s="40"/>
      <c r="CI18" s="40"/>
      <c r="CJ18" s="40"/>
      <c r="CK18" s="40"/>
      <c r="CL18" s="40"/>
      <c r="CM18" s="40"/>
      <c r="CN18" s="40"/>
      <c r="CO18" s="40"/>
      <c r="CP18" s="40"/>
      <c r="CQ18" s="40"/>
      <c r="CR18" s="40"/>
      <c r="CS18" s="40"/>
      <c r="CT18" s="40"/>
      <c r="CU18" s="40"/>
      <c r="CV18" s="40"/>
    </row>
    <row r="19" s="22" customFormat="true" ht="12.8" hidden="false" customHeight="false" outlineLevel="0" collapsed="false">
      <c r="A19" s="41" t="s">
        <v>173</v>
      </c>
      <c r="B19" s="41" t="s">
        <v>113</v>
      </c>
      <c r="C19" s="41"/>
      <c r="D19" s="41" t="s">
        <v>102</v>
      </c>
      <c r="E19" s="42" t="n">
        <v>14351</v>
      </c>
      <c r="F19" s="42" t="n">
        <v>42355</v>
      </c>
      <c r="G19" s="42" t="n">
        <v>43110</v>
      </c>
      <c r="H19" s="42" t="s">
        <v>157</v>
      </c>
      <c r="I19" s="43" t="n">
        <f aca="false">(G19-E19)/365.25</f>
        <v>78.7378507871321</v>
      </c>
      <c r="J19" s="44" t="n">
        <f aca="false">G19-E19</f>
        <v>28759</v>
      </c>
      <c r="K19" s="44" t="n">
        <f aca="false">G19-F19</f>
        <v>755</v>
      </c>
      <c r="L19" s="44" t="s">
        <v>114</v>
      </c>
      <c r="M19" s="44" t="s">
        <v>104</v>
      </c>
      <c r="N19" s="45" t="s">
        <v>115</v>
      </c>
      <c r="O19" s="46" t="n">
        <v>0</v>
      </c>
      <c r="P19" s="46" t="n">
        <v>0</v>
      </c>
      <c r="Q19" s="42" t="s">
        <v>116</v>
      </c>
      <c r="R19" s="42"/>
      <c r="S19" s="47" t="s">
        <v>117</v>
      </c>
      <c r="T19" s="46" t="n">
        <v>10</v>
      </c>
      <c r="U19" s="48" t="n">
        <v>2591.63</v>
      </c>
      <c r="V19" s="49" t="n">
        <v>62.39</v>
      </c>
      <c r="W19" s="50" t="n">
        <f aca="false">U19-V19</f>
        <v>2529.24</v>
      </c>
      <c r="X19" s="103" t="s">
        <v>109</v>
      </c>
      <c r="Y19" s="51"/>
      <c r="Z19" s="52" t="n">
        <v>47500000</v>
      </c>
      <c r="AA19" s="51"/>
      <c r="AB19" s="47"/>
      <c r="AC19" s="52" t="n">
        <v>42400000</v>
      </c>
      <c r="AD19" s="41" t="s">
        <v>174</v>
      </c>
      <c r="AE19" s="41" t="n">
        <v>114234</v>
      </c>
      <c r="AF19" s="41" t="n">
        <v>8132</v>
      </c>
      <c r="AG19" s="41" t="n">
        <f aca="false">100*0.0735</f>
        <v>7.35</v>
      </c>
      <c r="AH19" s="41" t="n">
        <f aca="false">100*0.07092</f>
        <v>7.092</v>
      </c>
      <c r="AI19" s="41" t="n">
        <v>797</v>
      </c>
      <c r="AJ19" s="41" t="n">
        <f aca="false">100*0.0076</f>
        <v>0.76</v>
      </c>
      <c r="AK19" s="41" t="n">
        <v>637</v>
      </c>
      <c r="AL19" s="41" t="n">
        <f aca="false">100*0.0063</f>
        <v>0.63</v>
      </c>
      <c r="AM19" s="41" t="n">
        <f aca="false">100*0.03975</f>
        <v>3.975</v>
      </c>
      <c r="AN19" s="41" t="n">
        <f aca="false">100*0.0108</f>
        <v>1.08</v>
      </c>
      <c r="AO19" s="41" t="n">
        <f aca="false">100*0.719</f>
        <v>71.9</v>
      </c>
      <c r="AP19" s="41" t="n">
        <f aca="false">100*0.0362</f>
        <v>3.62</v>
      </c>
      <c r="AQ19" s="41" t="n">
        <v>25075</v>
      </c>
      <c r="AR19" s="41" t="n">
        <f aca="false">100*0.1149657</f>
        <v>11.49657</v>
      </c>
      <c r="AS19" s="41" t="n">
        <f aca="false">100*0.21253</f>
        <v>21.253</v>
      </c>
      <c r="AT19" s="41" t="n">
        <f aca="false">100*0.52102</f>
        <v>52.102</v>
      </c>
      <c r="AU19" s="41" t="n">
        <f aca="false">100*0.2073</f>
        <v>20.73</v>
      </c>
      <c r="AV19" s="41" t="n">
        <f aca="false">100*0.0336</f>
        <v>3.36</v>
      </c>
      <c r="AW19" s="41" t="n">
        <f aca="false">100*0.172</f>
        <v>17.2</v>
      </c>
      <c r="AX19" s="41" t="n">
        <f aca="false">100*0.4601</f>
        <v>46.01</v>
      </c>
      <c r="AY19" s="41" t="n">
        <f aca="false">100*0.255</f>
        <v>25.5</v>
      </c>
      <c r="AZ19" s="41" t="n">
        <f aca="false">100*0.0744</f>
        <v>7.44</v>
      </c>
      <c r="BA19" s="41" t="n">
        <v>73487</v>
      </c>
      <c r="BB19" s="41" t="n">
        <f aca="false">100*0.0223023</f>
        <v>2.23023</v>
      </c>
      <c r="BC19" s="41" t="n">
        <f aca="false">100*0.5418</f>
        <v>54.18</v>
      </c>
      <c r="BD19" s="41" t="n">
        <f aca="false">100*0.22932</f>
        <v>22.932</v>
      </c>
      <c r="BE19" s="41" t="n">
        <f aca="false">100*0.0921</f>
        <v>9.21</v>
      </c>
      <c r="BF19" s="41" t="n">
        <f aca="false">100*0.128</f>
        <v>12.8</v>
      </c>
      <c r="BG19" s="41" t="n">
        <f aca="false">100*0.3899</f>
        <v>38.99</v>
      </c>
      <c r="BH19" s="41" t="n">
        <f aca="false">100*0.2052</f>
        <v>20.52</v>
      </c>
      <c r="BI19" s="41" t="n">
        <f aca="false">100*0.1003</f>
        <v>10.03</v>
      </c>
      <c r="BJ19" s="41" t="n">
        <f aca="false">100*0.314</f>
        <v>31.4</v>
      </c>
      <c r="BK19" s="41" t="n">
        <f aca="false">100*0.164</f>
        <v>16.4</v>
      </c>
      <c r="BL19" s="41" t="n">
        <f aca="false">100*0.2796</f>
        <v>27.96</v>
      </c>
      <c r="BM19" s="41" t="n">
        <f aca="false">100*0.048</f>
        <v>4.8</v>
      </c>
      <c r="BN19" s="41" t="n">
        <f aca="false">100*0.0228</f>
        <v>2.28</v>
      </c>
      <c r="BO19" s="41" t="n">
        <f aca="false">100*0.1772</f>
        <v>17.72</v>
      </c>
      <c r="BP19" s="41" t="n">
        <f aca="false">100*0.10307</f>
        <v>10.307</v>
      </c>
      <c r="BQ19" s="41" t="n">
        <f aca="false">100*0.3152</f>
        <v>31.52</v>
      </c>
      <c r="BR19" s="41" t="n">
        <f aca="false">100*0.382</f>
        <v>38.2</v>
      </c>
      <c r="BS19" s="41" t="n">
        <f aca="false">100*0.271</f>
        <v>27.1</v>
      </c>
      <c r="BT19" s="41" t="n">
        <f aca="false">100*0.526</f>
        <v>52.6</v>
      </c>
      <c r="BU19" s="41" t="n">
        <f aca="false">100*0.133</f>
        <v>13.3</v>
      </c>
      <c r="BV19" s="41" t="n">
        <f aca="false">100*0.0501</f>
        <v>5.01</v>
      </c>
      <c r="BW19" s="41" t="n">
        <f aca="false">100*0.1899</f>
        <v>18.99</v>
      </c>
      <c r="BX19" s="41" t="n">
        <f aca="false">100*0.24095</f>
        <v>24.095</v>
      </c>
      <c r="BY19" s="41" t="n">
        <f aca="false">100*0.3196</f>
        <v>31.96</v>
      </c>
      <c r="BZ19" s="41" t="n">
        <f aca="false">100*0.225</f>
        <v>22.5</v>
      </c>
      <c r="CA19" s="140" t="n">
        <f aca="false">AE19/CB19</f>
        <v>0.0607601481000021</v>
      </c>
      <c r="CB19" s="54" t="n">
        <v>1880081</v>
      </c>
      <c r="CC19" s="54"/>
      <c r="CD19" s="55"/>
      <c r="CE19" s="55"/>
      <c r="CF19" s="55"/>
      <c r="CG19" s="55"/>
      <c r="CH19" s="55"/>
      <c r="CI19" s="55"/>
      <c r="CJ19" s="55"/>
      <c r="CK19" s="55"/>
      <c r="CL19" s="55"/>
      <c r="CM19" s="55"/>
      <c r="CN19" s="55"/>
      <c r="CO19" s="55"/>
      <c r="CP19" s="55"/>
      <c r="CQ19" s="55"/>
      <c r="CR19" s="55"/>
      <c r="CS19" s="55"/>
      <c r="CT19" s="55"/>
      <c r="CU19" s="55"/>
      <c r="CV19" s="55"/>
      <c r="CW19" s="41"/>
      <c r="CX19" s="41"/>
    </row>
    <row r="20" s="41" customFormat="true" ht="12.8" hidden="false" customHeight="false" outlineLevel="0" collapsed="false">
      <c r="A20" s="22" t="s">
        <v>175</v>
      </c>
      <c r="B20" s="22" t="s">
        <v>101</v>
      </c>
      <c r="C20" s="22"/>
      <c r="D20" s="22" t="s">
        <v>102</v>
      </c>
      <c r="E20" s="23" t="n">
        <v>21225</v>
      </c>
      <c r="F20" s="23" t="n">
        <v>42514</v>
      </c>
      <c r="G20" s="23" t="n">
        <v>43222</v>
      </c>
      <c r="H20" s="23" t="s">
        <v>103</v>
      </c>
      <c r="I20" s="24" t="n">
        <f aca="false">(G20-E20)/365.25</f>
        <v>60.2245037645448</v>
      </c>
      <c r="J20" s="25" t="n">
        <f aca="false">G20-E20</f>
        <v>21997</v>
      </c>
      <c r="K20" s="25" t="n">
        <f aca="false">G20-F20</f>
        <v>708</v>
      </c>
      <c r="L20" s="26" t="s">
        <v>114</v>
      </c>
      <c r="M20" s="26" t="s">
        <v>104</v>
      </c>
      <c r="N20" s="27" t="s">
        <v>176</v>
      </c>
      <c r="O20" s="28"/>
      <c r="P20" s="28"/>
      <c r="Q20" s="29" t="s">
        <v>116</v>
      </c>
      <c r="R20" s="29" t="s">
        <v>177</v>
      </c>
      <c r="S20" s="30" t="s">
        <v>107</v>
      </c>
      <c r="T20" s="31" t="s">
        <v>178</v>
      </c>
      <c r="U20" s="32" t="n">
        <v>1941.87</v>
      </c>
      <c r="V20" s="32" t="n">
        <v>75.28</v>
      </c>
      <c r="W20" s="33" t="n">
        <f aca="false">U20-V20</f>
        <v>1866.59</v>
      </c>
      <c r="X20" s="34" t="s">
        <v>109</v>
      </c>
      <c r="Y20" s="35" t="n">
        <v>8500000</v>
      </c>
      <c r="Z20" s="36" t="n">
        <f aca="false">Y20*W20</f>
        <v>15866015000</v>
      </c>
      <c r="AA20" s="35" t="n">
        <v>111600000</v>
      </c>
      <c r="AB20" s="30" t="s">
        <v>179</v>
      </c>
      <c r="AC20" s="36" t="n">
        <v>76800000</v>
      </c>
      <c r="AD20" s="141" t="s">
        <v>180</v>
      </c>
      <c r="AE20" s="22" t="n">
        <v>112525</v>
      </c>
      <c r="AF20" s="22" t="n">
        <v>2059</v>
      </c>
      <c r="AG20" s="22" t="n">
        <f aca="false">100*0.0196</f>
        <v>1.96</v>
      </c>
      <c r="AH20" s="22" t="n">
        <f aca="false">100*0.0593</f>
        <v>5.93</v>
      </c>
      <c r="AI20" s="22" t="n">
        <v>360</v>
      </c>
      <c r="AJ20" s="22" t="n">
        <f aca="false">100*0.0034</f>
        <v>0.34</v>
      </c>
      <c r="AK20" s="22" t="n">
        <v>1109</v>
      </c>
      <c r="AL20" s="22" t="n">
        <f aca="false">100*0.0108</f>
        <v>1.08</v>
      </c>
      <c r="AM20" s="22" t="n">
        <f aca="false">100*0.0117</f>
        <v>1.17</v>
      </c>
      <c r="AN20" s="22" t="n">
        <f aca="false">100*0.0009</f>
        <v>0.09</v>
      </c>
      <c r="AO20" s="22" t="n">
        <f aca="false">100*0.83</f>
        <v>83</v>
      </c>
      <c r="AP20" s="22" t="n">
        <f aca="false">100*0.0117</f>
        <v>1.17</v>
      </c>
      <c r="AQ20" s="22" t="n">
        <v>41735</v>
      </c>
      <c r="AR20" s="22" t="n">
        <f aca="false">100*0.0314</f>
        <v>3.14</v>
      </c>
      <c r="AS20" s="22" t="n">
        <f aca="false">100*0.0302</f>
        <v>3.02</v>
      </c>
      <c r="AT20" s="22" t="n">
        <f aca="false">100*0.242</f>
        <v>24.2</v>
      </c>
      <c r="AU20" s="22" t="n">
        <f aca="false">100*0.675</f>
        <v>67.5</v>
      </c>
      <c r="AV20" s="22" t="n">
        <f aca="false">100*0.0529</f>
        <v>5.29</v>
      </c>
      <c r="AW20" s="22" t="n">
        <f aca="false">100*0.0128</f>
        <v>1.28</v>
      </c>
      <c r="AX20" s="22" t="n">
        <f aca="false">100*0.215</f>
        <v>21.5</v>
      </c>
      <c r="AY20" s="22" t="n">
        <f aca="false">100*0.731</f>
        <v>73.1</v>
      </c>
      <c r="AZ20" s="22" t="n">
        <f aca="false">100*0.0406</f>
        <v>4.06</v>
      </c>
      <c r="BA20" s="22" t="n">
        <v>52802</v>
      </c>
      <c r="BB20" s="22" t="n">
        <f aca="false">100*0.0212</f>
        <v>2.12</v>
      </c>
      <c r="BC20" s="22" t="n">
        <f aca="false">100*0.276</f>
        <v>27.6</v>
      </c>
      <c r="BD20" s="22" t="n">
        <f aca="false">100*0.409</f>
        <v>40.9</v>
      </c>
      <c r="BE20" s="22" t="n">
        <f aca="false">100*0.0469</f>
        <v>4.69</v>
      </c>
      <c r="BF20" s="22" t="n">
        <f aca="false">100*0.268</f>
        <v>26.8</v>
      </c>
      <c r="BG20" s="22" t="n">
        <f aca="false">100*0.247</f>
        <v>24.7</v>
      </c>
      <c r="BH20" s="22" t="n">
        <f aca="false">100*0.408</f>
        <v>40.8</v>
      </c>
      <c r="BI20" s="22" t="n">
        <f aca="false">100*0.0471</f>
        <v>4.71</v>
      </c>
      <c r="BJ20" s="22" t="n">
        <f aca="false">100*0.297</f>
        <v>29.7</v>
      </c>
      <c r="BK20" s="22" t="n">
        <f aca="false">100*0.234</f>
        <v>23.4</v>
      </c>
      <c r="BL20" s="22" t="n">
        <f aca="false">100*0.57</f>
        <v>57</v>
      </c>
      <c r="BM20" s="22" t="n">
        <f aca="false">100*0.124</f>
        <v>12.4</v>
      </c>
      <c r="BN20" s="22" t="n">
        <f aca="false">100*0.0714</f>
        <v>7.14</v>
      </c>
      <c r="BO20" s="22" t="n">
        <f aca="false">100*0.0024</f>
        <v>0.24</v>
      </c>
      <c r="BP20" s="22" t="n">
        <f aca="false">100*0.0092</f>
        <v>0.92</v>
      </c>
      <c r="BQ20" s="22" t="n">
        <f aca="false">100*0.688</f>
        <v>68.8</v>
      </c>
      <c r="BR20" s="22" t="n">
        <f aca="false">100*0.301</f>
        <v>30.1</v>
      </c>
      <c r="BS20" s="22" t="n">
        <f aca="false">100*0.615</f>
        <v>61.5</v>
      </c>
      <c r="BT20" s="22" t="n">
        <f aca="false">100*0.176</f>
        <v>17.6</v>
      </c>
      <c r="BU20" s="22" t="n">
        <f aca="false">100*0.0252</f>
        <v>2.52</v>
      </c>
      <c r="BV20" s="22" t="n">
        <f aca="false">100*0.184</f>
        <v>18.4</v>
      </c>
      <c r="BW20" s="22" t="n">
        <f aca="false">100*0.0099</f>
        <v>0.99</v>
      </c>
      <c r="BX20" s="22" t="n">
        <f aca="false">100*0.0036</f>
        <v>0.36</v>
      </c>
      <c r="BY20" s="22" t="n">
        <f aca="false">100*0.197</f>
        <v>19.7</v>
      </c>
      <c r="BZ20" s="22" t="n">
        <f aca="false">100*0.789</f>
        <v>78.9</v>
      </c>
      <c r="CA20" s="38" t="n">
        <f aca="false">100*0.0233</f>
        <v>2.33</v>
      </c>
      <c r="CB20" s="39"/>
      <c r="CC20" s="39"/>
      <c r="CD20" s="40"/>
      <c r="CE20" s="40"/>
      <c r="CF20" s="40"/>
      <c r="CG20" s="40"/>
      <c r="CH20" s="40"/>
      <c r="CI20" s="40"/>
      <c r="CJ20" s="40"/>
      <c r="CK20" s="40"/>
      <c r="CL20" s="40"/>
      <c r="CM20" s="40"/>
      <c r="CN20" s="40"/>
      <c r="CO20" s="40"/>
      <c r="CP20" s="40"/>
      <c r="CQ20" s="40"/>
      <c r="CR20" s="40"/>
      <c r="CS20" s="40"/>
      <c r="CT20" s="40"/>
      <c r="CU20" s="40"/>
      <c r="CV20" s="40"/>
      <c r="CW20" s="22"/>
      <c r="CX20" s="22"/>
    </row>
    <row r="21" s="41" customFormat="true" ht="12.8" hidden="false" customHeight="false" outlineLevel="0" collapsed="false">
      <c r="A21" s="41" t="s">
        <v>181</v>
      </c>
      <c r="B21" s="41" t="s">
        <v>113</v>
      </c>
      <c r="D21" s="41" t="s">
        <v>102</v>
      </c>
      <c r="E21" s="42" t="n">
        <v>21274</v>
      </c>
      <c r="F21" s="42" t="n">
        <v>42543</v>
      </c>
      <c r="G21" s="42" t="n">
        <v>43194</v>
      </c>
      <c r="H21" s="42" t="s">
        <v>157</v>
      </c>
      <c r="I21" s="43" t="n">
        <v>60.0136892539357</v>
      </c>
      <c r="J21" s="44" t="n">
        <v>21920</v>
      </c>
      <c r="K21" s="44" t="n">
        <v>651</v>
      </c>
      <c r="L21" s="44" t="s">
        <v>114</v>
      </c>
      <c r="M21" s="44" t="s">
        <v>104</v>
      </c>
      <c r="N21" s="45" t="s">
        <v>115</v>
      </c>
      <c r="O21" s="48"/>
      <c r="P21" s="128"/>
      <c r="Q21" s="42" t="s">
        <v>116</v>
      </c>
      <c r="R21" s="42"/>
      <c r="S21" s="47" t="s">
        <v>117</v>
      </c>
      <c r="T21" s="46" t="n">
        <v>10</v>
      </c>
      <c r="U21" s="48" t="n">
        <v>2108.48</v>
      </c>
      <c r="V21" s="49" t="n">
        <v>89.33</v>
      </c>
      <c r="W21" s="50" t="n">
        <f aca="false">U21-V21</f>
        <v>2019.15</v>
      </c>
      <c r="X21" s="103" t="s">
        <v>109</v>
      </c>
      <c r="Y21" s="51"/>
      <c r="Z21" s="52" t="n">
        <v>26300000</v>
      </c>
      <c r="AA21" s="51"/>
      <c r="AB21" s="47"/>
      <c r="AC21" s="52" t="n">
        <v>53800000</v>
      </c>
      <c r="AD21" s="60" t="s">
        <v>182</v>
      </c>
      <c r="AE21" s="41" t="n">
        <v>201509</v>
      </c>
      <c r="AF21" s="41" t="n">
        <v>300</v>
      </c>
      <c r="AG21" s="41" t="n">
        <f aca="false">100*0.0016</f>
        <v>0.16</v>
      </c>
      <c r="AH21" s="41" t="n">
        <f aca="false">100*0.05445</f>
        <v>5.445</v>
      </c>
      <c r="AI21" s="41" t="n">
        <v>177</v>
      </c>
      <c r="AJ21" s="41" t="n">
        <f aca="false">100*0.00092</f>
        <v>0.092</v>
      </c>
      <c r="AK21" s="41" t="n">
        <v>1563</v>
      </c>
      <c r="AL21" s="41" t="n">
        <f aca="false">100*0.0082</f>
        <v>0.82</v>
      </c>
      <c r="AM21" s="41" t="n">
        <f aca="false">100*0.000335</f>
        <v>0.0335</v>
      </c>
      <c r="AN21" s="41" t="n">
        <f aca="false">100*0.000625</f>
        <v>0.0625</v>
      </c>
      <c r="AO21" s="41" t="n">
        <f aca="false">100*0.97</f>
        <v>97</v>
      </c>
      <c r="AP21" s="41" t="n">
        <f aca="false">100*0.0087</f>
        <v>0.87</v>
      </c>
      <c r="AQ21" s="41" t="n">
        <v>53804</v>
      </c>
      <c r="AR21" s="41" t="n">
        <f aca="false">100*0.1654794</f>
        <v>16.54794</v>
      </c>
      <c r="AS21" s="41" t="n">
        <f aca="false">100*0.0695814</f>
        <v>6.95814</v>
      </c>
      <c r="AT21" s="41" t="n">
        <f aca="false">100*0.62098155</f>
        <v>62.098155</v>
      </c>
      <c r="AU21" s="41" t="n">
        <f aca="false">100*0.2739816</f>
        <v>27.39816</v>
      </c>
      <c r="AV21" s="41" t="n">
        <f aca="false">100*0.0435</f>
        <v>4.35</v>
      </c>
      <c r="AW21" s="41" t="n">
        <f aca="false">100*0.0238</f>
        <v>2.38</v>
      </c>
      <c r="AX21" s="41" t="n">
        <f aca="false">100*0.47692335</f>
        <v>47.692335</v>
      </c>
      <c r="AY21" s="41" t="n">
        <f aca="false">100*0.4119816</f>
        <v>41.19816</v>
      </c>
      <c r="AZ21" s="41" t="n">
        <f aca="false">100*0.087</f>
        <v>8.7</v>
      </c>
      <c r="BA21" s="41" t="n">
        <v>123333</v>
      </c>
      <c r="BB21" s="41" t="n">
        <f aca="false">100*0.0775231</f>
        <v>7.75231</v>
      </c>
      <c r="BC21" s="41" t="n">
        <f aca="false">100*0.34196</f>
        <v>34.196</v>
      </c>
      <c r="BD21" s="41" t="n">
        <f aca="false">100*0.5109555</f>
        <v>51.09555</v>
      </c>
      <c r="BE21" s="41" t="n">
        <f aca="false">100*0.0259</f>
        <v>2.59</v>
      </c>
      <c r="BF21" s="41" t="n">
        <f aca="false">100*0.122</f>
        <v>12.2</v>
      </c>
      <c r="BG21" s="41" t="n">
        <f aca="false">100*0.331955</f>
        <v>33.1955</v>
      </c>
      <c r="BH21" s="41" t="n">
        <f aca="false">100*0.463973445</f>
        <v>46.3973445</v>
      </c>
      <c r="BI21" s="41" t="n">
        <f aca="false">100*0.0220838</f>
        <v>2.20838</v>
      </c>
      <c r="BJ21" s="41" t="n">
        <f aca="false">100*0.183</f>
        <v>18.3</v>
      </c>
      <c r="BK21" s="41" t="n">
        <f aca="false">100*0.385</f>
        <v>38.5</v>
      </c>
      <c r="BL21" s="41" t="n">
        <f aca="false">100*0.2293</f>
        <v>22.93</v>
      </c>
      <c r="BM21" s="41" t="n">
        <f aca="false">100*0.182</f>
        <v>18.2</v>
      </c>
      <c r="BN21" s="41" t="n">
        <f aca="false">100*0.238</f>
        <v>23.8</v>
      </c>
      <c r="BO21" s="41" t="n">
        <f aca="false">100*0.062</f>
        <v>6.2</v>
      </c>
      <c r="BP21" s="41" t="n">
        <f aca="false">100*0.07</f>
        <v>7</v>
      </c>
      <c r="BQ21" s="41" t="n">
        <f aca="false">100*0.3257</f>
        <v>32.57</v>
      </c>
      <c r="BR21" s="41" t="n">
        <f aca="false">100*0.546</f>
        <v>54.6</v>
      </c>
      <c r="BS21" s="41" t="n">
        <f aca="false">100*0.464</f>
        <v>46.4</v>
      </c>
      <c r="BT21" s="41" t="n">
        <f aca="false">100*0.38068</f>
        <v>38.068</v>
      </c>
      <c r="BU21" s="41" t="n">
        <f aca="false">100*0.0946</f>
        <v>9.46</v>
      </c>
      <c r="BV21" s="41" t="n">
        <f aca="false">100*0.0604</f>
        <v>6.04</v>
      </c>
      <c r="BW21" s="41" t="n">
        <f aca="false">100*0.008</f>
        <v>0.8</v>
      </c>
      <c r="BX21" s="41" t="n">
        <f aca="false">100*0.0018</f>
        <v>0.18</v>
      </c>
      <c r="BY21" s="41" t="n">
        <f aca="false">100*0.42836</f>
        <v>42.836</v>
      </c>
      <c r="BZ21" s="41" t="n">
        <f aca="false">100*0.564</f>
        <v>56.4</v>
      </c>
      <c r="CA21" s="53" t="n">
        <f aca="false">100*0.0533</f>
        <v>5.33</v>
      </c>
      <c r="CB21" s="54"/>
      <c r="CC21" s="54"/>
    </row>
    <row r="22" s="41" customFormat="true" ht="12.8" hidden="false" customHeight="false" outlineLevel="0" collapsed="false">
      <c r="A22" s="22" t="s">
        <v>183</v>
      </c>
      <c r="B22" s="22" t="s">
        <v>101</v>
      </c>
      <c r="C22" s="22"/>
      <c r="D22" s="22" t="s">
        <v>102</v>
      </c>
      <c r="E22" s="23" t="n">
        <v>15290</v>
      </c>
      <c r="F22" s="23" t="n">
        <v>42586</v>
      </c>
      <c r="G22" s="23" t="n">
        <v>43111</v>
      </c>
      <c r="H22" s="23" t="s">
        <v>103</v>
      </c>
      <c r="I22" s="25" t="n">
        <f aca="false">(G22-E22)/365.25</f>
        <v>76.1697467488022</v>
      </c>
      <c r="J22" s="25" t="n">
        <f aca="false">G22-E22</f>
        <v>27821</v>
      </c>
      <c r="K22" s="25" t="n">
        <f aca="false">G22-F22</f>
        <v>525</v>
      </c>
      <c r="L22" s="26" t="s">
        <v>114</v>
      </c>
      <c r="M22" s="26" t="s">
        <v>104</v>
      </c>
      <c r="N22" s="27" t="s">
        <v>184</v>
      </c>
      <c r="O22" s="28"/>
      <c r="P22" s="28"/>
      <c r="Q22" s="29" t="s">
        <v>116</v>
      </c>
      <c r="R22" s="29" t="s">
        <v>185</v>
      </c>
      <c r="S22" s="30" t="s">
        <v>107</v>
      </c>
      <c r="T22" s="31" t="n">
        <v>36</v>
      </c>
      <c r="U22" s="32" t="n">
        <v>1087.41</v>
      </c>
      <c r="V22" s="32" t="n">
        <v>98.39</v>
      </c>
      <c r="W22" s="33" t="n">
        <f aca="false">U22-V22</f>
        <v>989.02</v>
      </c>
      <c r="X22" s="34" t="s">
        <v>109</v>
      </c>
      <c r="Y22" s="35" t="n">
        <v>60200000</v>
      </c>
      <c r="Z22" s="36" t="n">
        <f aca="false">Y22*W22</f>
        <v>59539004000</v>
      </c>
      <c r="AA22" s="35" t="n">
        <v>80400000</v>
      </c>
      <c r="AB22" s="30" t="s">
        <v>186</v>
      </c>
      <c r="AC22" s="36" t="n">
        <v>84000000</v>
      </c>
      <c r="AD22" s="22" t="s">
        <v>187</v>
      </c>
      <c r="AE22" s="22" t="n">
        <v>34994</v>
      </c>
      <c r="AF22" s="22" t="n">
        <v>281</v>
      </c>
      <c r="AG22" s="22" t="n">
        <f aca="false">100*0.008</f>
        <v>0.8</v>
      </c>
      <c r="AH22" s="22" t="n">
        <f aca="false">100*0.00875</f>
        <v>0.875</v>
      </c>
      <c r="AI22" s="22" t="n">
        <v>36</v>
      </c>
      <c r="AJ22" s="22" t="n">
        <f aca="false">100*0.00098</f>
        <v>0.098</v>
      </c>
      <c r="AK22" s="22" t="n">
        <v>90</v>
      </c>
      <c r="AL22" s="22" t="n">
        <f aca="false">100*0.0029</f>
        <v>0.29</v>
      </c>
      <c r="AM22" s="22" t="n">
        <v>0</v>
      </c>
      <c r="AN22" s="22" t="n">
        <v>0</v>
      </c>
      <c r="AO22" s="22" t="n">
        <f aca="false">100*0.822</f>
        <v>82.2</v>
      </c>
      <c r="AP22" s="22" t="n">
        <f aca="false">100*0.0504</f>
        <v>5.04</v>
      </c>
      <c r="AQ22" s="22" t="n">
        <v>16135</v>
      </c>
      <c r="AR22" s="22" t="n">
        <f aca="false">100*0.0014</f>
        <v>0.14</v>
      </c>
      <c r="AS22" s="22" t="n">
        <f aca="false">100*0.3801</f>
        <v>38.01</v>
      </c>
      <c r="AT22" s="22" t="n">
        <f aca="false">100*0.33485</f>
        <v>33.485</v>
      </c>
      <c r="AU22" s="22" t="n">
        <f aca="false">100*0.1613</f>
        <v>16.13</v>
      </c>
      <c r="AV22" s="22" t="n">
        <f aca="false">100*0.0891</f>
        <v>8.91</v>
      </c>
      <c r="AW22" s="22" t="n">
        <f aca="false">100*0.2018</f>
        <v>20.18</v>
      </c>
      <c r="AX22" s="22" t="n">
        <f aca="false">100*0.21055</f>
        <v>21.055</v>
      </c>
      <c r="AY22" s="22" t="n">
        <f aca="false">100*0.2593</f>
        <v>25.93</v>
      </c>
      <c r="AZ22" s="22" t="n">
        <f aca="false">100*0.303</f>
        <v>30.3</v>
      </c>
      <c r="BA22" s="22" t="n">
        <v>14407</v>
      </c>
      <c r="BB22" s="22" t="n">
        <f aca="false">100*0.000305</f>
        <v>0.0305</v>
      </c>
      <c r="BC22" s="22" t="n">
        <f aca="false">100*0.6262</f>
        <v>62.62</v>
      </c>
      <c r="BD22" s="22" t="n">
        <f aca="false">100*0.212895</f>
        <v>21.2895</v>
      </c>
      <c r="BE22" s="22" t="n">
        <f aca="false">100*0.01661</f>
        <v>1.661</v>
      </c>
      <c r="BF22" s="22" t="n">
        <f aca="false">100*0.135</f>
        <v>13.5</v>
      </c>
      <c r="BG22" s="22" t="n">
        <f aca="false">100*0.4903</f>
        <v>49.03</v>
      </c>
      <c r="BH22" s="22" t="n">
        <f aca="false">100*0.209</f>
        <v>20.9</v>
      </c>
      <c r="BI22" s="22" t="n">
        <f aca="false">100*0.0242</f>
        <v>2.42</v>
      </c>
      <c r="BJ22" s="22" t="n">
        <f aca="false">100*0.257</f>
        <v>25.7</v>
      </c>
      <c r="BK22" s="22" t="n">
        <f aca="false">100*0.194</f>
        <v>19.4</v>
      </c>
      <c r="BL22" s="22" t="n">
        <f aca="false">100*0.5969</f>
        <v>59.69</v>
      </c>
      <c r="BM22" s="22" t="n">
        <f aca="false">100*0.135</f>
        <v>13.5</v>
      </c>
      <c r="BN22" s="22" t="n">
        <f aca="false">100*0.0925</f>
        <v>9.25</v>
      </c>
      <c r="BO22" s="22" t="n">
        <f aca="false">100*0.0452</f>
        <v>4.52</v>
      </c>
      <c r="BP22" s="22" t="n">
        <f aca="false">100*0.088</f>
        <v>8.8</v>
      </c>
      <c r="BQ22" s="22" t="n">
        <f aca="false">100*0.5789</f>
        <v>57.89</v>
      </c>
      <c r="BR22" s="22" t="n">
        <f aca="false">100*0.235</f>
        <v>23.5</v>
      </c>
      <c r="BS22" s="22" t="n">
        <f aca="false">100*0.269</f>
        <v>26.9</v>
      </c>
      <c r="BT22" s="22" t="n">
        <f aca="false">100*0.655</f>
        <v>65.5</v>
      </c>
      <c r="BU22" s="22" t="n">
        <f aca="false">100*0.0563</f>
        <v>5.63</v>
      </c>
      <c r="BV22" s="22" t="n">
        <f aca="false">100*0.0168</f>
        <v>1.68</v>
      </c>
      <c r="BW22" s="22" t="n">
        <f aca="false">100*0.0628</f>
        <v>6.28</v>
      </c>
      <c r="BX22" s="22" t="n">
        <f aca="false">100*0.164</f>
        <v>16.4</v>
      </c>
      <c r="BY22" s="22" t="n">
        <f aca="false">100*0.571</f>
        <v>57.1</v>
      </c>
      <c r="BZ22" s="22" t="n">
        <f aca="false">100*0.185</f>
        <v>18.5</v>
      </c>
      <c r="CA22" s="142" t="e">
        <f aca="false">AE22/CB22</f>
        <v>#DIV/0!</v>
      </c>
      <c r="CB22" s="39"/>
      <c r="CC22" s="39"/>
      <c r="CD22" s="40"/>
      <c r="CE22" s="40"/>
      <c r="CF22" s="40"/>
      <c r="CG22" s="40"/>
      <c r="CH22" s="40"/>
      <c r="CI22" s="40"/>
      <c r="CJ22" s="40"/>
      <c r="CK22" s="40"/>
      <c r="CL22" s="40"/>
      <c r="CM22" s="40"/>
      <c r="CN22" s="40"/>
      <c r="CO22" s="40"/>
      <c r="CP22" s="40"/>
      <c r="CQ22" s="40"/>
      <c r="CR22" s="40"/>
      <c r="CS22" s="40"/>
      <c r="CT22" s="40"/>
      <c r="CU22" s="40"/>
      <c r="CV22" s="40"/>
      <c r="CW22" s="22"/>
      <c r="CX22" s="22"/>
    </row>
    <row r="23" s="41" customFormat="true" ht="12.8" hidden="false" customHeight="false" outlineLevel="0" collapsed="false">
      <c r="A23" s="22" t="s">
        <v>188</v>
      </c>
      <c r="B23" s="22" t="s">
        <v>101</v>
      </c>
      <c r="C23" s="22"/>
      <c r="D23" s="22" t="s">
        <v>102</v>
      </c>
      <c r="E23" s="23" t="n">
        <v>15290</v>
      </c>
      <c r="F23" s="23" t="n">
        <v>20620</v>
      </c>
      <c r="G23" s="23" t="n">
        <v>43071</v>
      </c>
      <c r="H23" s="23" t="s">
        <v>103</v>
      </c>
      <c r="I23" s="25" t="n">
        <f aca="false">(G23-E23)/365.25</f>
        <v>76.0602327173169</v>
      </c>
      <c r="J23" s="25" t="n">
        <f aca="false">G23-E23</f>
        <v>27781</v>
      </c>
      <c r="K23" s="25" t="n">
        <f aca="false">G23-F23</f>
        <v>22451</v>
      </c>
      <c r="L23" s="26" t="s">
        <v>114</v>
      </c>
      <c r="M23" s="26" t="s">
        <v>104</v>
      </c>
      <c r="N23" s="143" t="s">
        <v>189</v>
      </c>
      <c r="O23" s="22"/>
      <c r="P23" s="22"/>
      <c r="Q23" s="144" t="s">
        <v>106</v>
      </c>
      <c r="R23" s="144"/>
      <c r="S23" s="22" t="s">
        <v>106</v>
      </c>
      <c r="T23" s="144" t="s">
        <v>106</v>
      </c>
      <c r="U23" s="144" t="n">
        <v>2624.62</v>
      </c>
      <c r="V23" s="144" t="n">
        <v>74.39</v>
      </c>
      <c r="W23" s="145" t="n">
        <v>2550.23</v>
      </c>
      <c r="X23" s="146" t="s">
        <v>190</v>
      </c>
      <c r="Y23" s="145" t="n">
        <v>28000000</v>
      </c>
      <c r="Z23" s="144" t="n">
        <v>71406440000</v>
      </c>
      <c r="AA23" s="145" t="n">
        <v>3540000</v>
      </c>
      <c r="AB23" s="146" t="s">
        <v>191</v>
      </c>
      <c r="AC23" s="147" t="n">
        <v>740000000</v>
      </c>
      <c r="AD23" s="22" t="s">
        <v>192</v>
      </c>
      <c r="AE23" s="22" t="n">
        <v>26131</v>
      </c>
      <c r="AF23" s="22" t="n">
        <v>210</v>
      </c>
      <c r="AG23" s="22" t="n">
        <f aca="false">100*0.0079</f>
        <v>0.79</v>
      </c>
      <c r="AH23" s="22" t="n">
        <f aca="false">100*0.3285</f>
        <v>32.85</v>
      </c>
      <c r="AI23" s="22" t="n">
        <v>2</v>
      </c>
      <c r="AJ23" s="22" t="n">
        <f aca="false">100*0.0000783</f>
        <v>0.00783</v>
      </c>
      <c r="AK23" s="22" t="n">
        <v>41</v>
      </c>
      <c r="AL23" s="22" t="n">
        <f aca="false">100*0.0016</f>
        <v>0.16</v>
      </c>
      <c r="AM23" s="22" t="n">
        <f aca="false">100*0.3365</f>
        <v>33.65</v>
      </c>
      <c r="AN23" s="22" t="n">
        <f aca="false">100*0.102</f>
        <v>10.2</v>
      </c>
      <c r="AO23" s="22" t="n">
        <f aca="false">100*0.714</f>
        <v>71.4</v>
      </c>
      <c r="AP23" s="22" t="n">
        <v>0</v>
      </c>
      <c r="AQ23" s="22" t="n">
        <v>6207</v>
      </c>
      <c r="AR23" s="22" t="n">
        <f aca="false">100*0.32469</f>
        <v>32.469</v>
      </c>
      <c r="AS23" s="22" t="n">
        <f aca="false">100*0.0809</f>
        <v>8.09</v>
      </c>
      <c r="AT23" s="22" t="n">
        <f aca="false">100*0.16192</f>
        <v>16.192</v>
      </c>
      <c r="AU23" s="22" t="n">
        <f aca="false">100*0.72154</f>
        <v>72.154</v>
      </c>
      <c r="AV23" s="22" t="n">
        <f aca="false">100*0.0365</f>
        <v>3.65</v>
      </c>
      <c r="AW23" s="22" t="n">
        <f aca="false">100*0.0727</f>
        <v>7.27</v>
      </c>
      <c r="AX23" s="22" t="n">
        <f aca="false">100*0.193925</f>
        <v>19.3925</v>
      </c>
      <c r="AY23" s="22" t="n">
        <f aca="false">100*0.68869</f>
        <v>68.869</v>
      </c>
      <c r="AZ23" s="22" t="n">
        <f aca="false">100*0.0442</f>
        <v>4.42</v>
      </c>
      <c r="BA23" s="22" t="n">
        <v>16135</v>
      </c>
      <c r="BB23" s="22" t="n">
        <f aca="false">100*0.21796</f>
        <v>21.796</v>
      </c>
      <c r="BC23" s="22" t="n">
        <f aca="false">100*0.45088</f>
        <v>45.088</v>
      </c>
      <c r="BD23" s="22" t="n">
        <f aca="false">100*0.38293845</f>
        <v>38.293845</v>
      </c>
      <c r="BE23" s="22" t="n">
        <f aca="false">100*0.0273389</f>
        <v>2.73389</v>
      </c>
      <c r="BF23" s="22" t="n">
        <f aca="false">100*0.136</f>
        <v>13.6</v>
      </c>
      <c r="BG23" s="22" t="n">
        <f aca="false">100*0.45931</f>
        <v>45.931</v>
      </c>
      <c r="BH23" s="22" t="n">
        <f aca="false">100*0.380875</f>
        <v>38.0875</v>
      </c>
      <c r="BI23" s="22" t="n">
        <f aca="false">100*0.0293</f>
        <v>2.93</v>
      </c>
      <c r="BJ23" s="22" t="n">
        <f aca="false">100*0.1325</f>
        <v>13.25</v>
      </c>
      <c r="BK23" s="22" t="n">
        <f aca="false">100*0.1377</f>
        <v>13.77</v>
      </c>
      <c r="BL23" s="22" t="n">
        <f aca="false">100*0.0561</f>
        <v>5.61</v>
      </c>
      <c r="BM23" s="22" t="n">
        <f aca="false">100*0.519</f>
        <v>51.9</v>
      </c>
      <c r="BN23" s="22" t="n">
        <f aca="false">100*0.224</f>
        <v>22.4</v>
      </c>
      <c r="BO23" s="22" t="n">
        <f aca="false">100*0.114</f>
        <v>11.4</v>
      </c>
      <c r="BP23" s="22" t="n">
        <f aca="false">100*0.27645</f>
        <v>27.645</v>
      </c>
      <c r="BQ23" s="22" t="n">
        <f aca="false">100*0.5244</f>
        <v>52.44</v>
      </c>
      <c r="BR23" s="22" t="n">
        <f aca="false">100*0.0762</f>
        <v>7.62</v>
      </c>
      <c r="BS23" s="22" t="n">
        <f aca="false">100*0.157</f>
        <v>15.7</v>
      </c>
      <c r="BT23" s="22" t="n">
        <f aca="false">100*0.286</f>
        <v>28.6</v>
      </c>
      <c r="BU23" s="22" t="n">
        <f aca="false">100*0.314</f>
        <v>31.4</v>
      </c>
      <c r="BV23" s="22" t="n">
        <f aca="false">100*0.253</f>
        <v>25.3</v>
      </c>
      <c r="BW23" s="22" t="n">
        <f aca="false">100*0.238</f>
        <v>23.8</v>
      </c>
      <c r="BX23" s="22" t="n">
        <f aca="false">100*0.381</f>
        <v>38.1</v>
      </c>
      <c r="BY23" s="22" t="n">
        <f aca="false">100*0.257</f>
        <v>25.7</v>
      </c>
      <c r="BZ23" s="22" t="n">
        <f aca="false">100*0.114</f>
        <v>11.4</v>
      </c>
      <c r="CA23" s="38" t="n">
        <f aca="false">AE23/CB23</f>
        <v>0.0445655325317643</v>
      </c>
      <c r="CB23" s="39" t="n">
        <v>586350</v>
      </c>
      <c r="CC23" s="39"/>
      <c r="CD23" s="40"/>
      <c r="CE23" s="40"/>
      <c r="CF23" s="40"/>
      <c r="CG23" s="40"/>
      <c r="CH23" s="40"/>
      <c r="CI23" s="40"/>
      <c r="CJ23" s="40"/>
      <c r="CK23" s="40"/>
      <c r="CL23" s="40"/>
      <c r="CM23" s="40"/>
      <c r="CN23" s="40"/>
      <c r="CO23" s="40"/>
      <c r="CP23" s="40"/>
      <c r="CQ23" s="40"/>
      <c r="CR23" s="40"/>
      <c r="CS23" s="40"/>
      <c r="CT23" s="40"/>
      <c r="CU23" s="40"/>
      <c r="CV23" s="40"/>
      <c r="CW23" s="22"/>
      <c r="CX23" s="22"/>
    </row>
    <row r="24" s="61" customFormat="true" ht="12.8" hidden="false" customHeight="false" outlineLevel="0" collapsed="false">
      <c r="A24" s="61" t="s">
        <v>193</v>
      </c>
      <c r="B24" s="61" t="s">
        <v>101</v>
      </c>
      <c r="D24" s="61" t="s">
        <v>102</v>
      </c>
      <c r="E24" s="62" t="n">
        <v>15414</v>
      </c>
      <c r="F24" s="62" t="n">
        <v>42436</v>
      </c>
      <c r="G24" s="62" t="n">
        <v>43213</v>
      </c>
      <c r="H24" s="62" t="s">
        <v>103</v>
      </c>
      <c r="I24" s="148" t="n">
        <f aca="false">(G24-E24)/365.25</f>
        <v>76.1095140314853</v>
      </c>
      <c r="J24" s="148" t="n">
        <f aca="false">G24-E24</f>
        <v>27799</v>
      </c>
      <c r="K24" s="148" t="n">
        <f aca="false">G24-F24</f>
        <v>777</v>
      </c>
      <c r="L24" s="149" t="s">
        <v>114</v>
      </c>
      <c r="M24" s="149" t="s">
        <v>114</v>
      </c>
      <c r="N24" s="66" t="s">
        <v>194</v>
      </c>
      <c r="O24" s="67"/>
      <c r="P24" s="67"/>
      <c r="Q24" s="150" t="s">
        <v>106</v>
      </c>
      <c r="R24" s="150" t="s">
        <v>195</v>
      </c>
      <c r="S24" s="151" t="s">
        <v>107</v>
      </c>
      <c r="T24" s="152" t="s">
        <v>196</v>
      </c>
      <c r="U24" s="69" t="n">
        <v>1758.87</v>
      </c>
      <c r="V24" s="69" t="n">
        <v>83.02</v>
      </c>
      <c r="W24" s="70" t="n">
        <f aca="false">U24-V24</f>
        <v>1675.85</v>
      </c>
      <c r="X24" s="81" t="s">
        <v>109</v>
      </c>
      <c r="Y24" s="71" t="n">
        <v>2800000</v>
      </c>
      <c r="Z24" s="72" t="n">
        <f aca="false">Y24*W24</f>
        <v>4692380000</v>
      </c>
      <c r="AA24" s="71" t="n">
        <v>122000000</v>
      </c>
      <c r="AB24" s="151" t="s">
        <v>197</v>
      </c>
      <c r="AC24" s="72" t="n">
        <v>1000000</v>
      </c>
      <c r="AD24" s="61" t="s">
        <v>198</v>
      </c>
      <c r="AE24" s="61" t="n">
        <v>80320</v>
      </c>
      <c r="AF24" s="61" t="n">
        <v>235</v>
      </c>
      <c r="AG24" s="61" t="n">
        <f aca="false">100*0.003</f>
        <v>0.3</v>
      </c>
      <c r="AH24" s="61" t="n">
        <f aca="false">100*0.443</f>
        <v>44.3</v>
      </c>
      <c r="AI24" s="61" t="n">
        <v>54</v>
      </c>
      <c r="AJ24" s="61" t="n">
        <f aca="false">100*0.00068</f>
        <v>0.068</v>
      </c>
      <c r="AK24" s="61" t="n">
        <v>532</v>
      </c>
      <c r="AL24" s="61" t="n">
        <f aca="false">100*0.0067</f>
        <v>0.67</v>
      </c>
      <c r="AM24" s="61" t="n">
        <f aca="false">100*0.147</f>
        <v>14.7</v>
      </c>
      <c r="AN24" s="61" t="n">
        <f aca="false">100*0.0132</f>
        <v>1.32</v>
      </c>
      <c r="AO24" s="61" t="n">
        <f aca="false">100*0.925</f>
        <v>92.5</v>
      </c>
      <c r="AP24" s="61" t="n">
        <f aca="false">100*0.0451</f>
        <v>4.51</v>
      </c>
      <c r="AQ24" s="61" t="n">
        <v>28872</v>
      </c>
      <c r="AR24" s="61" t="n">
        <f aca="false">100*0.113</f>
        <v>11.3</v>
      </c>
      <c r="AS24" s="61" t="n">
        <f aca="false">100*0.157</f>
        <v>15.7</v>
      </c>
      <c r="AT24" s="61" t="n">
        <f aca="false">100*0.104</f>
        <v>10.4</v>
      </c>
      <c r="AU24" s="61" t="n">
        <f aca="false">100*0.679</f>
        <v>67.9</v>
      </c>
      <c r="AV24" s="61" t="n">
        <f aca="false">100*0.0596</f>
        <v>5.96</v>
      </c>
      <c r="AW24" s="61" t="n">
        <f aca="false">100*0.0749</f>
        <v>7.49</v>
      </c>
      <c r="AX24" s="61" t="n">
        <f aca="false">100*0.0747</f>
        <v>7.47</v>
      </c>
      <c r="AY24" s="61" t="n">
        <f aca="false">100*0.729</f>
        <v>72.9</v>
      </c>
      <c r="AZ24" s="61" t="n">
        <f aca="false">100*0.122</f>
        <v>12.2</v>
      </c>
      <c r="BA24" s="61" t="n">
        <v>46881</v>
      </c>
      <c r="BB24" s="61" t="n">
        <f aca="false">100*0.198</f>
        <v>19.8</v>
      </c>
      <c r="BC24" s="61" t="n">
        <f aca="false">100*0.663</f>
        <v>66.3</v>
      </c>
      <c r="BD24" s="61" t="n">
        <f aca="false">100*0.139</f>
        <v>13.9</v>
      </c>
      <c r="BE24" s="61" t="n">
        <f aca="false">100*0.0033</f>
        <v>0.33</v>
      </c>
      <c r="BF24" s="61" t="n">
        <f aca="false">100*0.195</f>
        <v>19.5</v>
      </c>
      <c r="BG24" s="61" t="n">
        <f aca="false">100*0.521</f>
        <v>52.1</v>
      </c>
      <c r="BH24" s="61" t="n">
        <f aca="false">100*0.136</f>
        <v>13.6</v>
      </c>
      <c r="BI24" s="61" t="n">
        <f aca="false">100*0.0058</f>
        <v>0.58</v>
      </c>
      <c r="BJ24" s="61" t="n">
        <f aca="false">100*0.337</f>
        <v>33.7</v>
      </c>
      <c r="BK24" s="61" t="n">
        <f aca="false">100*0.647</f>
        <v>64.7</v>
      </c>
      <c r="BL24" s="61" t="n">
        <f aca="false">100*0.0809</f>
        <v>8.09</v>
      </c>
      <c r="BM24" s="61" t="n">
        <f aca="false">10*0.162</f>
        <v>1.62</v>
      </c>
      <c r="BN24" s="61" t="n">
        <f aca="false">100*0.111</f>
        <v>11.1</v>
      </c>
      <c r="BO24" s="61" t="n">
        <f aca="false">100*0.179</f>
        <v>17.9</v>
      </c>
      <c r="BP24" s="61" t="n">
        <f aca="false">100*0.0043</f>
        <v>0.43</v>
      </c>
      <c r="BQ24" s="61" t="n">
        <f aca="false">100*0.238</f>
        <v>23.8</v>
      </c>
      <c r="BR24" s="61" t="n">
        <f aca="false">100*0.579</f>
        <v>57.9</v>
      </c>
      <c r="BS24" s="61" t="n">
        <f aca="false">100*0.361</f>
        <v>36.1</v>
      </c>
      <c r="BT24" s="61" t="n">
        <f aca="false">100*0.015</f>
        <v>1.5</v>
      </c>
      <c r="BU24" s="61" t="n">
        <f aca="false">100*0.0921</f>
        <v>9.21</v>
      </c>
      <c r="BV24" s="61" t="n">
        <f aca="false">100*0.532</f>
        <v>53.2</v>
      </c>
      <c r="BW24" s="61" t="n">
        <f aca="false">100*0.0282</f>
        <v>2.82</v>
      </c>
      <c r="BX24" s="61" t="n">
        <v>0</v>
      </c>
      <c r="BY24" s="61" t="n">
        <f aca="false">100*0.107</f>
        <v>10.7</v>
      </c>
      <c r="BZ24" s="61" t="n">
        <f aca="false">100*0.865</f>
        <v>86.5</v>
      </c>
      <c r="CA24" s="84" t="n">
        <f aca="false">AE24/CB24</f>
        <v>0.0582470903649363</v>
      </c>
      <c r="CB24" s="74" t="n">
        <v>1378953</v>
      </c>
      <c r="CC24" s="74"/>
    </row>
    <row r="25" s="61" customFormat="true" ht="12.8" hidden="false" customHeight="false" outlineLevel="0" collapsed="false">
      <c r="A25" s="61" t="s">
        <v>199</v>
      </c>
      <c r="B25" s="61" t="s">
        <v>113</v>
      </c>
      <c r="D25" s="61" t="s">
        <v>102</v>
      </c>
      <c r="E25" s="76" t="n">
        <v>15414</v>
      </c>
      <c r="F25" s="76" t="n">
        <v>42436</v>
      </c>
      <c r="G25" s="76" t="n">
        <v>43369</v>
      </c>
      <c r="H25" s="76" t="s">
        <v>103</v>
      </c>
      <c r="I25" s="64" t="n">
        <v>76.5366187542779</v>
      </c>
      <c r="J25" s="65" t="n">
        <v>27955</v>
      </c>
      <c r="K25" s="65" t="n">
        <v>933</v>
      </c>
      <c r="L25" s="65" t="s">
        <v>114</v>
      </c>
      <c r="M25" s="65" t="s">
        <v>114</v>
      </c>
      <c r="N25" s="66" t="n">
        <v>43159</v>
      </c>
      <c r="O25" s="77"/>
      <c r="P25" s="67"/>
      <c r="Q25" s="76" t="s">
        <v>116</v>
      </c>
      <c r="R25" s="76"/>
      <c r="S25" s="68" t="s">
        <v>117</v>
      </c>
      <c r="T25" s="78" t="n">
        <v>10</v>
      </c>
      <c r="U25" s="77" t="n">
        <v>2186.34</v>
      </c>
      <c r="V25" s="79" t="n">
        <v>72.12</v>
      </c>
      <c r="W25" s="80" t="n">
        <f aca="false">U25-V25</f>
        <v>2114.22</v>
      </c>
      <c r="X25" s="81" t="s">
        <v>109</v>
      </c>
      <c r="Y25" s="82"/>
      <c r="Z25" s="69" t="n">
        <v>6750000</v>
      </c>
      <c r="AA25" s="82"/>
      <c r="AB25" s="68"/>
      <c r="AC25" s="83" t="n">
        <v>10660000</v>
      </c>
      <c r="AD25" s="153" t="s">
        <v>200</v>
      </c>
      <c r="AE25" s="61" t="n">
        <v>112552</v>
      </c>
      <c r="AF25" s="61" t="n">
        <v>490</v>
      </c>
      <c r="AG25" s="61" t="n">
        <f aca="false">100*0.0042</f>
        <v>0.42</v>
      </c>
      <c r="AH25" s="61" t="n">
        <f aca="false">100*0.2421</f>
        <v>24.21</v>
      </c>
      <c r="AI25" s="61" t="n">
        <v>20</v>
      </c>
      <c r="AJ25" s="61" t="n">
        <f aca="false">100*0.000185</f>
        <v>0.0185</v>
      </c>
      <c r="AK25" s="61" t="n">
        <v>1053</v>
      </c>
      <c r="AL25" s="61" t="n">
        <f aca="false">100*0.0095</f>
        <v>0.95</v>
      </c>
      <c r="AM25" s="61" t="n">
        <f aca="false">100*0.05215</f>
        <v>5.215</v>
      </c>
      <c r="AN25" s="61" t="n">
        <f aca="false">100*0.00585</f>
        <v>0.585</v>
      </c>
      <c r="AO25" s="61" t="n">
        <f aca="false">100*0.914</f>
        <v>91.4</v>
      </c>
      <c r="AP25" s="61" t="n">
        <f aca="false">100*0.0487</f>
        <v>4.87</v>
      </c>
      <c r="AQ25" s="61" t="n">
        <v>41397</v>
      </c>
      <c r="AR25" s="61" t="n">
        <f aca="false">100*0.1635</f>
        <v>16.35</v>
      </c>
      <c r="AS25" s="61" t="n">
        <f aca="false">100*0.10866</f>
        <v>10.866</v>
      </c>
      <c r="AT25" s="61" t="n">
        <f aca="false">100*0.069255</f>
        <v>6.9255</v>
      </c>
      <c r="AU25" s="61" t="n">
        <f aca="false">100*0.7205</f>
        <v>72.05</v>
      </c>
      <c r="AV25" s="61" t="n">
        <f aca="false">100*0.0687</f>
        <v>6.87</v>
      </c>
      <c r="AW25" s="61" t="n">
        <f aca="false">100*0.0648418</f>
        <v>6.48418</v>
      </c>
      <c r="AX25" s="61" t="n">
        <f aca="false">100*0.05635</f>
        <v>5.635</v>
      </c>
      <c r="AY25" s="61" t="n">
        <f aca="false">100*0.718</f>
        <v>71.8</v>
      </c>
      <c r="AZ25" s="61" t="n">
        <f aca="false">100*0.123</f>
        <v>12.3</v>
      </c>
      <c r="BA25" s="61" t="n">
        <v>61751</v>
      </c>
      <c r="BB25" s="61" t="n">
        <f aca="false">100*0.1439721</f>
        <v>14.39721</v>
      </c>
      <c r="BC25" s="61" t="n">
        <f aca="false">100*0.5106</f>
        <v>51.06</v>
      </c>
      <c r="BD25" s="61" t="n">
        <f aca="false">100*0.17025</f>
        <v>17.025</v>
      </c>
      <c r="BE25" s="61" t="n">
        <f aca="false">100*0.0091</f>
        <v>0.91</v>
      </c>
      <c r="BF25" s="61" t="n">
        <f aca="false">100*0.255</f>
        <v>25.5</v>
      </c>
      <c r="BG25" s="61" t="n">
        <f aca="false">100*0.4788</f>
        <v>47.88</v>
      </c>
      <c r="BH25" s="61" t="n">
        <f aca="false">100*0.17147</f>
        <v>17.147</v>
      </c>
      <c r="BI25" s="61" t="n">
        <f aca="false">100*0.01148</f>
        <v>1.148</v>
      </c>
      <c r="BJ25" s="61" t="n">
        <f aca="false">100*0.329</f>
        <v>32.9</v>
      </c>
      <c r="BK25" s="61" t="n">
        <f aca="false">100*0.197</f>
        <v>19.7</v>
      </c>
      <c r="BL25" s="61" t="n">
        <f aca="false">100*0.0333</f>
        <v>3.33</v>
      </c>
      <c r="BM25" s="61" t="n">
        <f aca="false">100*0.489</f>
        <v>48.9</v>
      </c>
      <c r="BN25" s="61" t="n">
        <f aca="false">100*0.262</f>
        <v>26.2</v>
      </c>
      <c r="BO25" s="61" t="n">
        <f aca="false">100*0.0633</f>
        <v>6.33</v>
      </c>
      <c r="BP25" s="61" t="n">
        <f aca="false">100*0.0056</f>
        <v>0.56</v>
      </c>
      <c r="BQ25" s="61" t="n">
        <f aca="false">100*0.488</f>
        <v>48.8</v>
      </c>
      <c r="BR25" s="61" t="n">
        <f aca="false">100*0.441</f>
        <v>44.1</v>
      </c>
      <c r="BS25" s="61" t="n">
        <f aca="false">100*0.2815</f>
        <v>28.15</v>
      </c>
      <c r="BT25" s="61" t="n">
        <f aca="false">100*0.103</f>
        <v>10.3</v>
      </c>
      <c r="BU25" s="61" t="n">
        <f aca="false">100*0.348</f>
        <v>34.8</v>
      </c>
      <c r="BV25" s="61" t="n">
        <f aca="false">100*0.274</f>
        <v>27.4</v>
      </c>
      <c r="BW25" s="61" t="n">
        <f aca="false">100*0.0675</f>
        <v>6.75</v>
      </c>
      <c r="BX25" s="61" t="n">
        <f aca="false">100*0.0076</f>
        <v>0.76</v>
      </c>
      <c r="BY25" s="61" t="n">
        <f aca="false">100*0.264</f>
        <v>26.4</v>
      </c>
      <c r="BZ25" s="61" t="n">
        <f aca="false">100*0.682</f>
        <v>68.2</v>
      </c>
      <c r="CA25" s="84"/>
      <c r="CB25" s="74"/>
      <c r="CC25" s="74"/>
    </row>
    <row r="26" s="41" customFormat="true" ht="12.8" hidden="false" customHeight="false" outlineLevel="0" collapsed="false">
      <c r="A26" s="41" t="s">
        <v>201</v>
      </c>
      <c r="B26" s="41" t="s">
        <v>113</v>
      </c>
      <c r="D26" s="41" t="s">
        <v>102</v>
      </c>
      <c r="E26" s="125" t="n">
        <v>27389</v>
      </c>
      <c r="F26" s="125" t="n">
        <v>42605</v>
      </c>
      <c r="G26" s="125" t="n">
        <v>43012</v>
      </c>
      <c r="H26" s="125" t="s">
        <v>157</v>
      </c>
      <c r="I26" s="43" t="n">
        <v>42.7734428473648</v>
      </c>
      <c r="J26" s="126" t="n">
        <v>15623</v>
      </c>
      <c r="K26" s="126" t="n">
        <v>407</v>
      </c>
      <c r="L26" s="44" t="s">
        <v>104</v>
      </c>
      <c r="M26" s="127" t="s">
        <v>114</v>
      </c>
      <c r="N26" s="154" t="n">
        <v>42895</v>
      </c>
      <c r="O26" s="130" t="n">
        <v>1</v>
      </c>
      <c r="P26" s="130" t="s">
        <v>202</v>
      </c>
      <c r="Q26" s="58" t="s">
        <v>116</v>
      </c>
      <c r="R26" s="58"/>
      <c r="S26" s="41" t="s">
        <v>117</v>
      </c>
      <c r="T26" s="131" t="n">
        <v>10</v>
      </c>
      <c r="U26" s="132" t="n">
        <v>1290.09</v>
      </c>
      <c r="V26" s="132" t="n">
        <v>83.6</v>
      </c>
      <c r="W26" s="155" t="n">
        <f aca="false">U26-V26</f>
        <v>1206.49</v>
      </c>
      <c r="X26" s="103" t="s">
        <v>109</v>
      </c>
      <c r="Y26" s="104" t="n">
        <v>135000</v>
      </c>
      <c r="Z26" s="105" t="n">
        <v>6600000</v>
      </c>
      <c r="AA26" s="51"/>
      <c r="AB26" s="130"/>
      <c r="AC26" s="105" t="n">
        <v>19800000</v>
      </c>
      <c r="AD26" s="41" t="s">
        <v>203</v>
      </c>
      <c r="AE26" s="41" t="n">
        <v>230111</v>
      </c>
      <c r="AF26" s="41" t="n">
        <v>2452</v>
      </c>
      <c r="AG26" s="41" t="n">
        <f aca="false">100*0.0105</f>
        <v>1.05</v>
      </c>
      <c r="AH26" s="41" t="n">
        <f aca="false">100*0.06825</f>
        <v>6.825</v>
      </c>
      <c r="AI26" s="41" t="n">
        <v>368</v>
      </c>
      <c r="AJ26" s="41" t="n">
        <f aca="false">100*0.0018</f>
        <v>0.18</v>
      </c>
      <c r="AK26" s="41" t="n">
        <v>3233</v>
      </c>
      <c r="AL26" s="41" t="n">
        <f aca="false">100*0.0141</f>
        <v>1.41</v>
      </c>
      <c r="AM26" s="41" t="n">
        <f aca="false">100*0.00546</f>
        <v>0.546</v>
      </c>
      <c r="AN26" s="41" t="n">
        <f aca="false">100*0.000485</f>
        <v>0.0485</v>
      </c>
      <c r="AO26" s="41" t="n">
        <f aca="false">100*0.878</f>
        <v>87.8</v>
      </c>
      <c r="AP26" s="41" t="n">
        <f aca="false">100*0.0496</f>
        <v>4.96</v>
      </c>
      <c r="AQ26" s="41" t="n">
        <v>26842</v>
      </c>
      <c r="AR26" s="41" t="n">
        <f aca="false">100*0.0416</f>
        <v>4.16</v>
      </c>
      <c r="AS26" s="41" t="n">
        <f aca="false">100*0.2209255</f>
        <v>22.09255</v>
      </c>
      <c r="AT26" s="41" t="n">
        <f aca="false">100*0.69770265</f>
        <v>69.770265</v>
      </c>
      <c r="AU26" s="41" t="n">
        <f aca="false">100*0.051</f>
        <v>5.1</v>
      </c>
      <c r="AV26" s="41" t="n">
        <f aca="false">100*0.0184</f>
        <v>1.84</v>
      </c>
      <c r="AW26" s="41" t="n">
        <f aca="false">100*0.0464</f>
        <v>4.64</v>
      </c>
      <c r="AX26" s="41" t="n">
        <f aca="false">100*0.4587153</f>
        <v>45.87153</v>
      </c>
      <c r="AY26" s="41" t="n">
        <f aca="false">100*0.285</f>
        <v>28.5</v>
      </c>
      <c r="AZ26" s="41" t="n">
        <f aca="false">100*0.204</f>
        <v>20.4</v>
      </c>
      <c r="BA26" s="41" t="n">
        <v>187504</v>
      </c>
      <c r="BB26" s="41" t="n">
        <f aca="false">100*0.00397</f>
        <v>0.397</v>
      </c>
      <c r="BC26" s="41" t="n">
        <f aca="false">100*0.40089</f>
        <v>40.089</v>
      </c>
      <c r="BD26" s="41" t="n">
        <f aca="false">100*0.500865</f>
        <v>50.0865</v>
      </c>
      <c r="BE26" s="41" t="n">
        <f aca="false">100*0.0054861</f>
        <v>0.54861</v>
      </c>
      <c r="BF26" s="41" t="n">
        <f aca="false">100*0.0801</f>
        <v>8.01</v>
      </c>
      <c r="BG26" s="41" t="n">
        <f aca="false">100*0.2557</f>
        <v>25.57</v>
      </c>
      <c r="BH26" s="41" t="n">
        <f aca="false">100*0.4632083</f>
        <v>46.32083</v>
      </c>
      <c r="BI26" s="41" t="n">
        <f aca="false">100*0.0219629</f>
        <v>2.19629</v>
      </c>
      <c r="BJ26" s="41" t="n">
        <f aca="false">100*0.248</f>
        <v>24.8</v>
      </c>
      <c r="BK26" s="41" t="n">
        <f aca="false">100*0.076</f>
        <v>7.6</v>
      </c>
      <c r="BL26" s="41" t="n">
        <f aca="false">100*0.348</f>
        <v>34.8</v>
      </c>
      <c r="BM26" s="41" t="n">
        <f aca="false">100*0.0209</f>
        <v>2.09</v>
      </c>
      <c r="BN26" s="41" t="n">
        <f aca="false">100*0.0054</f>
        <v>0.54</v>
      </c>
      <c r="BO26" s="41" t="n">
        <f aca="false">100*0.0154</f>
        <v>1.54</v>
      </c>
      <c r="BP26" s="41" t="n">
        <f aca="false">100*0.039745</f>
        <v>3.9745</v>
      </c>
      <c r="BQ26" s="41" t="n">
        <f aca="false">100*0.579</f>
        <v>57.9</v>
      </c>
      <c r="BR26" s="41" t="n">
        <f aca="false">100*0.255</f>
        <v>25.5</v>
      </c>
      <c r="BS26" s="41" t="n">
        <f aca="false">100*0.35971</f>
        <v>35.971</v>
      </c>
      <c r="BT26" s="41" t="n">
        <f aca="false">100*0.499565</f>
        <v>49.9565</v>
      </c>
      <c r="BU26" s="41" t="n">
        <f aca="false">100*0.0417</f>
        <v>4.17</v>
      </c>
      <c r="BV26" s="41" t="n">
        <f aca="false">100*0.0235</f>
        <v>2.35</v>
      </c>
      <c r="BW26" s="41" t="n">
        <f aca="false">100*0.0086</f>
        <v>0.86</v>
      </c>
      <c r="BX26" s="41" t="n">
        <f aca="false">100*0.0285</f>
        <v>2.85</v>
      </c>
      <c r="BY26" s="41" t="n">
        <f aca="false">100*0.539</f>
        <v>53.9</v>
      </c>
      <c r="BZ26" s="41" t="n">
        <f aca="false">100*0.425</f>
        <v>42.5</v>
      </c>
      <c r="CA26" s="53" t="n">
        <f aca="false">AE26/CB26</f>
        <v>0.121777560447946</v>
      </c>
      <c r="CB26" s="54" t="n">
        <v>1889601</v>
      </c>
      <c r="CC26" s="54"/>
      <c r="CD26" s="55"/>
      <c r="CE26" s="55"/>
      <c r="CF26" s="55"/>
      <c r="CG26" s="55"/>
      <c r="CH26" s="55"/>
      <c r="CI26" s="55"/>
      <c r="CJ26" s="55"/>
      <c r="CK26" s="55"/>
      <c r="CL26" s="55"/>
      <c r="CM26" s="55"/>
      <c r="CN26" s="55"/>
      <c r="CO26" s="55"/>
      <c r="CP26" s="55"/>
      <c r="CQ26" s="55"/>
      <c r="CR26" s="55"/>
      <c r="CS26" s="55"/>
      <c r="CT26" s="55"/>
      <c r="CU26" s="55"/>
      <c r="CV26" s="55"/>
    </row>
    <row r="27" s="41" customFormat="true" ht="19.4" hidden="false" customHeight="false" outlineLevel="0" collapsed="false">
      <c r="A27" s="41" t="s">
        <v>204</v>
      </c>
      <c r="B27" s="41" t="s">
        <v>113</v>
      </c>
      <c r="D27" s="41" t="s">
        <v>102</v>
      </c>
      <c r="E27" s="42" t="n">
        <v>27389</v>
      </c>
      <c r="F27" s="42" t="n">
        <v>42605</v>
      </c>
      <c r="G27" s="42" t="n">
        <v>43110</v>
      </c>
      <c r="H27" s="42" t="s">
        <v>157</v>
      </c>
      <c r="I27" s="43" t="n">
        <f aca="false">(G27-E27)/365.25</f>
        <v>43.0417522245038</v>
      </c>
      <c r="J27" s="44" t="n">
        <f aca="false">G27-E27</f>
        <v>15721</v>
      </c>
      <c r="K27" s="44" t="n">
        <f aca="false">G27-F27</f>
        <v>505</v>
      </c>
      <c r="L27" s="44" t="s">
        <v>104</v>
      </c>
      <c r="M27" s="44" t="s">
        <v>114</v>
      </c>
      <c r="N27" s="45" t="s">
        <v>205</v>
      </c>
      <c r="O27" s="48" t="e">
        <f aca="false">N27-G27</f>
        <v>#VALUE!</v>
      </c>
      <c r="P27" s="128" t="s">
        <v>206</v>
      </c>
      <c r="Q27" s="42" t="s">
        <v>116</v>
      </c>
      <c r="R27" s="42"/>
      <c r="S27" s="47" t="s">
        <v>117</v>
      </c>
      <c r="T27" s="46" t="n">
        <v>10</v>
      </c>
      <c r="U27" s="48" t="n">
        <v>2902.66</v>
      </c>
      <c r="V27" s="49" t="n">
        <v>68.77</v>
      </c>
      <c r="W27" s="50" t="n">
        <f aca="false">U27-V27</f>
        <v>2833.89</v>
      </c>
      <c r="X27" s="47"/>
      <c r="Y27" s="51"/>
      <c r="Z27" s="52" t="n">
        <v>13000000</v>
      </c>
      <c r="AA27" s="51"/>
      <c r="AB27" s="47"/>
      <c r="AC27" s="52" t="n">
        <v>50900000</v>
      </c>
      <c r="AD27" s="41" t="s">
        <v>207</v>
      </c>
      <c r="AE27" s="41" t="n">
        <v>82529</v>
      </c>
      <c r="AF27" s="41" t="n">
        <v>537</v>
      </c>
      <c r="AG27" s="41" t="n">
        <f aca="false">100*0.0066</f>
        <v>0.66</v>
      </c>
      <c r="AH27" s="41" t="n">
        <v>0.4234</v>
      </c>
      <c r="AI27" s="41" t="n">
        <v>173</v>
      </c>
      <c r="AJ27" s="41" t="n">
        <v>0.00215</v>
      </c>
      <c r="AK27" s="41" t="n">
        <v>719</v>
      </c>
      <c r="AL27" s="41" t="n">
        <v>0.0089</v>
      </c>
      <c r="AM27" s="41" t="n">
        <v>0.1176</v>
      </c>
      <c r="AN27" s="41" t="n">
        <v>0.015</v>
      </c>
      <c r="AO27" s="41" t="n">
        <v>0.917</v>
      </c>
      <c r="AP27" s="41" t="n">
        <v>0.0071</v>
      </c>
      <c r="AQ27" s="41" t="n">
        <v>10030</v>
      </c>
      <c r="AR27" s="41" t="n">
        <v>0.3488</v>
      </c>
      <c r="AS27" s="41" t="n">
        <v>0.1079</v>
      </c>
      <c r="AT27" s="41" t="n">
        <v>0.85365</v>
      </c>
      <c r="AU27" s="41" t="n">
        <v>0.02593</v>
      </c>
      <c r="AV27" s="41" t="n">
        <v>0.0101</v>
      </c>
      <c r="AW27" s="41" t="n">
        <v>0.0614</v>
      </c>
      <c r="AX27" s="41" t="n">
        <v>0.76145</v>
      </c>
      <c r="AY27" s="41" t="n">
        <v>0.08571</v>
      </c>
      <c r="AZ27" s="41" t="n">
        <v>0.0518</v>
      </c>
      <c r="BA27" s="41" t="n">
        <v>67417</v>
      </c>
      <c r="BB27" s="41" t="n">
        <v>0.0505</v>
      </c>
      <c r="BC27" s="41" t="n">
        <v>0.2514</v>
      </c>
      <c r="BD27" s="41" t="n">
        <v>0.694405</v>
      </c>
      <c r="BE27" s="41" t="n">
        <v>0.0070461</v>
      </c>
      <c r="BF27" s="41" t="n">
        <v>0.047</v>
      </c>
      <c r="BG27" s="41" t="n">
        <v>0.1415</v>
      </c>
      <c r="BH27" s="41" t="n">
        <v>0.638785</v>
      </c>
      <c r="BI27" s="41" t="n">
        <v>0.03714</v>
      </c>
      <c r="BJ27" s="41" t="n">
        <v>0.163</v>
      </c>
      <c r="BK27" s="41" t="n">
        <v>0.2625</v>
      </c>
      <c r="BL27" s="41" t="n">
        <v>0.37745</v>
      </c>
      <c r="BM27" s="41" t="n">
        <v>0.256</v>
      </c>
      <c r="BN27" s="41" t="n">
        <v>0.0685</v>
      </c>
      <c r="BO27" s="41" t="n">
        <v>0.0321</v>
      </c>
      <c r="BP27" s="41" t="n">
        <v>0.07635</v>
      </c>
      <c r="BQ27" s="41" t="n">
        <v>0.5409</v>
      </c>
      <c r="BR27" s="41" t="n">
        <v>0.343</v>
      </c>
      <c r="BS27" s="41" t="n">
        <v>0.1472</v>
      </c>
      <c r="BT27" s="41" t="n">
        <v>0.7911</v>
      </c>
      <c r="BU27" s="41" t="n">
        <v>0.0469</v>
      </c>
      <c r="BV27" s="41" t="n">
        <v>0.0128</v>
      </c>
      <c r="BW27" s="41" t="n">
        <v>0.0125</v>
      </c>
      <c r="BX27" s="41" t="n">
        <v>0.0446</v>
      </c>
      <c r="BY27" s="41" t="n">
        <v>0.763</v>
      </c>
      <c r="BZ27" s="41" t="n">
        <v>0.168</v>
      </c>
      <c r="CA27" s="53" t="n">
        <f aca="false">AE27/CB27</f>
        <v>0.282246922024624</v>
      </c>
      <c r="CB27" s="54" t="n">
        <v>292400</v>
      </c>
      <c r="CC27" s="54"/>
      <c r="CD27" s="55"/>
      <c r="CE27" s="55"/>
      <c r="CF27" s="55"/>
      <c r="CG27" s="55"/>
      <c r="CH27" s="55"/>
      <c r="CI27" s="55"/>
      <c r="CJ27" s="55"/>
      <c r="CK27" s="55"/>
      <c r="CL27" s="55"/>
      <c r="CM27" s="55"/>
      <c r="CN27" s="55"/>
      <c r="CO27" s="55"/>
      <c r="CP27" s="55"/>
      <c r="CQ27" s="55"/>
      <c r="CR27" s="55"/>
      <c r="CS27" s="55"/>
      <c r="CT27" s="55"/>
      <c r="CU27" s="55"/>
      <c r="CV27" s="55"/>
    </row>
    <row r="28" s="41" customFormat="true" ht="12.8" hidden="false" customHeight="false" outlineLevel="0" collapsed="false">
      <c r="A28" s="22" t="s">
        <v>208</v>
      </c>
      <c r="B28" s="22" t="s">
        <v>101</v>
      </c>
      <c r="C28" s="22"/>
      <c r="D28" s="22" t="s">
        <v>102</v>
      </c>
      <c r="E28" s="23" t="n">
        <v>25572</v>
      </c>
      <c r="F28" s="23" t="n">
        <v>42826</v>
      </c>
      <c r="G28" s="23" t="n">
        <v>42947</v>
      </c>
      <c r="H28" s="23" t="s">
        <v>103</v>
      </c>
      <c r="I28" s="24" t="n">
        <f aca="false">(G28-E28)/365.25</f>
        <v>47.5701574264203</v>
      </c>
      <c r="J28" s="25" t="n">
        <f aca="false">G28-E28</f>
        <v>17375</v>
      </c>
      <c r="K28" s="25" t="n">
        <f aca="false">G28-F28</f>
        <v>121</v>
      </c>
      <c r="L28" s="156" t="s">
        <v>114</v>
      </c>
      <c r="M28" s="26" t="s">
        <v>114</v>
      </c>
      <c r="N28" s="30" t="s">
        <v>209</v>
      </c>
      <c r="O28" s="30"/>
      <c r="P28" s="30"/>
      <c r="Q28" s="29" t="s">
        <v>210</v>
      </c>
      <c r="R28" s="29"/>
      <c r="S28" s="30" t="s">
        <v>107</v>
      </c>
      <c r="T28" s="31" t="s">
        <v>211</v>
      </c>
      <c r="U28" s="32" t="n">
        <v>2331.34</v>
      </c>
      <c r="V28" s="32" t="n">
        <v>72.08</v>
      </c>
      <c r="W28" s="33" t="n">
        <f aca="false">U28-V28</f>
        <v>2259.26</v>
      </c>
      <c r="X28" s="34" t="s">
        <v>109</v>
      </c>
      <c r="Y28" s="35" t="n">
        <v>135000</v>
      </c>
      <c r="Z28" s="36" t="n">
        <f aca="false">Y28*W28</f>
        <v>305000100</v>
      </c>
      <c r="AA28" s="35" t="n">
        <v>12000000</v>
      </c>
      <c r="AB28" s="30" t="s">
        <v>212</v>
      </c>
      <c r="AC28" s="37" t="n">
        <v>2250000</v>
      </c>
      <c r="AD28" s="22" t="s">
        <v>213</v>
      </c>
      <c r="AE28" s="22" t="n">
        <v>6082</v>
      </c>
      <c r="AF28" s="22" t="n">
        <v>27</v>
      </c>
      <c r="AG28" s="22" t="n">
        <f aca="false">100*0.0045</f>
        <v>0.45</v>
      </c>
      <c r="AH28" s="22" t="n">
        <f aca="false">100*0.148</f>
        <v>14.8</v>
      </c>
      <c r="AI28" s="22" t="n">
        <v>0</v>
      </c>
      <c r="AJ28" s="22" t="n">
        <v>0</v>
      </c>
      <c r="AK28" s="22" t="n">
        <v>32</v>
      </c>
      <c r="AL28" s="22" t="n">
        <f aca="false">100*0.0054</f>
        <v>0.54</v>
      </c>
      <c r="AM28" s="22" t="n">
        <f aca="false">100*0.312</f>
        <v>31.2</v>
      </c>
      <c r="AN28" s="22" t="n">
        <f aca="false">100*0.188</f>
        <v>18.8</v>
      </c>
      <c r="AO28" s="22" t="n">
        <f aca="false">100*0.688</f>
        <v>68.8</v>
      </c>
      <c r="AP28" s="22" t="n">
        <f aca="false">100*0.0938</f>
        <v>9.38</v>
      </c>
      <c r="AQ28" s="22" t="n">
        <v>1113</v>
      </c>
      <c r="AR28" s="22" t="n">
        <f aca="false">100*0.364</f>
        <v>36.4</v>
      </c>
      <c r="AS28" s="22" t="n">
        <f aca="false">100*0.146</f>
        <v>14.6</v>
      </c>
      <c r="AT28" s="22" t="n">
        <f aca="false">100*0.823</f>
        <v>82.3</v>
      </c>
      <c r="AU28" s="22" t="n">
        <f aca="false">100*0.0153</f>
        <v>1.53</v>
      </c>
      <c r="AV28" s="22" t="n">
        <f aca="false">100*0.0153</f>
        <v>1.53</v>
      </c>
      <c r="AW28" s="22" t="n">
        <f aca="false">100*0.0027</f>
        <v>0.27</v>
      </c>
      <c r="AX28" s="22" t="n">
        <f aca="false">100*0.0234</f>
        <v>2.34</v>
      </c>
      <c r="AY28" s="22" t="n">
        <f aca="false">100*0.81</f>
        <v>81</v>
      </c>
      <c r="AZ28" s="22" t="n">
        <f aca="false">100*0.164</f>
        <v>16.4</v>
      </c>
      <c r="BA28" s="22" t="n">
        <v>4528</v>
      </c>
      <c r="BB28" s="22" t="n">
        <f aca="false">100*0.127</f>
        <v>12.7</v>
      </c>
      <c r="BC28" s="22" t="n">
        <f aca="false">100*0.386</f>
        <v>38.6</v>
      </c>
      <c r="BD28" s="22" t="n">
        <f aca="false">100*0.574</f>
        <v>57.4</v>
      </c>
      <c r="BE28" s="22" t="n">
        <f aca="false">100*0.00022</f>
        <v>0.022</v>
      </c>
      <c r="BF28" s="22" t="n">
        <f aca="false">100*0.0395</f>
        <v>3.95</v>
      </c>
      <c r="BG28" s="22" t="n">
        <f aca="false">100*0.0157</f>
        <v>1.57</v>
      </c>
      <c r="BH28" s="22" t="n">
        <f aca="false">100*0.0133</f>
        <v>1.33</v>
      </c>
      <c r="BI28" s="22" t="n">
        <f aca="false">100*0.557</f>
        <v>55.7</v>
      </c>
      <c r="BJ28" s="22" t="n">
        <f aca="false">100*0.414</f>
        <v>41.4</v>
      </c>
      <c r="BK28" s="22" t="n">
        <f aca="false">100*0.111</f>
        <v>11.1</v>
      </c>
      <c r="BL28" s="22" t="n">
        <f aca="false">100*0.556</f>
        <v>55.6</v>
      </c>
      <c r="BM28" s="22" t="n">
        <f aca="false">100*0.259</f>
        <v>25.9</v>
      </c>
      <c r="BN28" s="22" t="n">
        <f aca="false">100*0.0741</f>
        <v>7.41</v>
      </c>
      <c r="BO28" s="22" t="n">
        <f aca="false">100*0.222</f>
        <v>22.2</v>
      </c>
      <c r="BP28" s="22" t="n">
        <f aca="false">100*0.519</f>
        <v>51.9</v>
      </c>
      <c r="BQ28" s="22" t="n">
        <f aca="false">100*0.148</f>
        <v>14.8</v>
      </c>
      <c r="BR28" s="22" t="n">
        <f aca="false">100*0.111</f>
        <v>11.1</v>
      </c>
      <c r="BS28" s="22" t="n">
        <f aca="false">100*0.469</f>
        <v>46.9</v>
      </c>
      <c r="BT28" s="22" t="n">
        <f aca="false">100*0.25</f>
        <v>25</v>
      </c>
      <c r="BU28" s="22" t="n">
        <f aca="false">100*0.125</f>
        <v>12.5</v>
      </c>
      <c r="BV28" s="22" t="n">
        <f aca="false">100*0.156</f>
        <v>15.6</v>
      </c>
      <c r="BW28" s="22" t="n">
        <v>0</v>
      </c>
      <c r="BX28" s="22" t="n">
        <v>0</v>
      </c>
      <c r="BY28" s="22" t="n">
        <f aca="false">100*0.375</f>
        <v>37.5</v>
      </c>
      <c r="BZ28" s="22" t="n">
        <f aca="false">100*0.625</f>
        <v>62.5</v>
      </c>
      <c r="CA28" s="38" t="n">
        <f aca="false">AE28/CB28</f>
        <v>0.00297224600540302</v>
      </c>
      <c r="CB28" s="39" t="n">
        <v>2046264</v>
      </c>
      <c r="CC28" s="39"/>
      <c r="CD28" s="40"/>
      <c r="CE28" s="40"/>
      <c r="CF28" s="40"/>
      <c r="CG28" s="40"/>
      <c r="CH28" s="40"/>
      <c r="CI28" s="40"/>
      <c r="CJ28" s="40"/>
      <c r="CK28" s="40"/>
      <c r="CL28" s="40"/>
      <c r="CM28" s="40"/>
      <c r="CN28" s="40"/>
      <c r="CO28" s="40"/>
      <c r="CP28" s="40"/>
      <c r="CQ28" s="40"/>
      <c r="CR28" s="40"/>
      <c r="CS28" s="40"/>
      <c r="CT28" s="40"/>
      <c r="CU28" s="40"/>
      <c r="CV28" s="40"/>
      <c r="CW28" s="22"/>
      <c r="CX28" s="22"/>
    </row>
    <row r="29" s="41" customFormat="true" ht="12.8" hidden="false" customHeight="false" outlineLevel="0" collapsed="false">
      <c r="A29" s="41" t="s">
        <v>214</v>
      </c>
      <c r="B29" s="41" t="s">
        <v>113</v>
      </c>
      <c r="D29" s="41" t="s">
        <v>102</v>
      </c>
      <c r="E29" s="42" t="n">
        <v>27991</v>
      </c>
      <c r="F29" s="42" t="n">
        <v>42725</v>
      </c>
      <c r="G29" s="42" t="n">
        <v>43132</v>
      </c>
      <c r="H29" s="42" t="s">
        <v>157</v>
      </c>
      <c r="I29" s="43" t="n">
        <f aca="false">(G29-E29)/365.25</f>
        <v>41.4537987679671</v>
      </c>
      <c r="J29" s="44" t="n">
        <f aca="false">G29-E29</f>
        <v>15141</v>
      </c>
      <c r="K29" s="44" t="n">
        <f aca="false">G29-F29</f>
        <v>407</v>
      </c>
      <c r="L29" s="44" t="s">
        <v>114</v>
      </c>
      <c r="M29" s="44" t="s">
        <v>104</v>
      </c>
      <c r="N29" s="45" t="s">
        <v>115</v>
      </c>
      <c r="O29" s="46" t="n">
        <v>0</v>
      </c>
      <c r="P29" s="46" t="n">
        <v>0</v>
      </c>
      <c r="Q29" s="42" t="s">
        <v>116</v>
      </c>
      <c r="R29" s="42"/>
      <c r="S29" s="47" t="s">
        <v>117</v>
      </c>
      <c r="T29" s="46" t="n">
        <v>10</v>
      </c>
      <c r="U29" s="48" t="n">
        <v>1839.74</v>
      </c>
      <c r="V29" s="49" t="n">
        <v>70.65</v>
      </c>
      <c r="W29" s="50" t="n">
        <f aca="false">U29-V29</f>
        <v>1769.09</v>
      </c>
      <c r="X29" s="47"/>
      <c r="Y29" s="51"/>
      <c r="Z29" s="52" t="n">
        <v>8500000</v>
      </c>
      <c r="AA29" s="51"/>
      <c r="AB29" s="47"/>
      <c r="AC29" s="52" t="n">
        <v>1300000</v>
      </c>
      <c r="AD29" s="41" t="s">
        <v>215</v>
      </c>
      <c r="AE29" s="41" t="n">
        <v>222941</v>
      </c>
      <c r="AF29" s="41" t="n">
        <v>2966</v>
      </c>
      <c r="AG29" s="41" t="n">
        <f aca="false">100*0.0135</f>
        <v>1.35</v>
      </c>
      <c r="AH29" s="41" t="n">
        <f aca="false">100*0.839</f>
        <v>83.9</v>
      </c>
      <c r="AI29" s="41" t="n">
        <v>2163</v>
      </c>
      <c r="AJ29" s="41" t="n">
        <f aca="false">100*0.01</f>
        <v>1</v>
      </c>
      <c r="AK29" s="41" t="n">
        <v>1978</v>
      </c>
      <c r="AL29" s="41" t="n">
        <f aca="false">100*0.0095</f>
        <v>0.95</v>
      </c>
      <c r="AM29" s="41" t="n">
        <f aca="false">100*0.3625</f>
        <v>36.25</v>
      </c>
      <c r="AN29" s="41" t="n">
        <f aca="false">100*0.0408</f>
        <v>4.08</v>
      </c>
      <c r="AO29" s="41" t="n">
        <f aca="false">100*0.889</f>
        <v>88.9</v>
      </c>
      <c r="AP29" s="41" t="n">
        <f aca="false">100*0.0647</f>
        <v>6.47</v>
      </c>
      <c r="AQ29" s="41" t="n">
        <v>25149</v>
      </c>
      <c r="AR29" s="41" t="n">
        <f aca="false">100*0.35076</f>
        <v>35.076</v>
      </c>
      <c r="AS29" s="41" t="n">
        <f aca="false">100*0.33672</f>
        <v>33.672</v>
      </c>
      <c r="AT29" s="41" t="n">
        <f aca="false">100*0.418805</f>
        <v>41.8805</v>
      </c>
      <c r="AU29" s="41" t="n">
        <f aca="false">100*0.19783</f>
        <v>19.783</v>
      </c>
      <c r="AV29" s="41" t="n">
        <f aca="false">100*0.0414</f>
        <v>4.14</v>
      </c>
      <c r="AW29" s="41" t="n">
        <f aca="false">100*0.1538</f>
        <v>15.38</v>
      </c>
      <c r="AX29" s="41" t="n">
        <f aca="false">100*0.33155</f>
        <v>33.155</v>
      </c>
      <c r="AY29" s="41" t="n">
        <f aca="false">100*0.29872</f>
        <v>29.872</v>
      </c>
      <c r="AZ29" s="41" t="n">
        <f aca="false">100*0.191</f>
        <v>19.1</v>
      </c>
      <c r="BA29" s="41" t="n">
        <v>185135</v>
      </c>
      <c r="BB29" s="41" t="n">
        <f aca="false">100*0.20333</f>
        <v>20.333</v>
      </c>
      <c r="BC29" s="41" t="n">
        <f aca="false">100*0.29749</f>
        <v>29.749</v>
      </c>
      <c r="BD29" s="41" t="n">
        <f aca="false">100*0.59375915</f>
        <v>59.375915</v>
      </c>
      <c r="BE29" s="41" t="n">
        <f aca="false">100*0.01969193</f>
        <v>1.969193</v>
      </c>
      <c r="BF29" s="41" t="n">
        <f aca="false">100*0.0899</f>
        <v>8.99</v>
      </c>
      <c r="BG29" s="41" t="n">
        <f aca="false">100*0.2349</f>
        <v>23.49</v>
      </c>
      <c r="BH29" s="41" t="n">
        <f aca="false">100*0.54120565</f>
        <v>54.120565</v>
      </c>
      <c r="BI29" s="41" t="n">
        <f aca="false">100*0.0276</f>
        <v>2.76</v>
      </c>
      <c r="BJ29" s="41" t="n">
        <f aca="false">100*0.119</f>
        <v>11.9</v>
      </c>
      <c r="BK29" s="41" t="n">
        <f aca="false">100*0.153</f>
        <v>15.3</v>
      </c>
      <c r="BL29" s="41" t="n">
        <f aca="false">100*0.06284</f>
        <v>6.284</v>
      </c>
      <c r="BM29" s="41" t="n">
        <f aca="false">100*0.36951</f>
        <v>36.951</v>
      </c>
      <c r="BN29" s="41" t="n">
        <f aca="false">100*0.413</f>
        <v>41.3</v>
      </c>
      <c r="BO29" s="41" t="n">
        <f aca="false">100*0.075</f>
        <v>7.5</v>
      </c>
      <c r="BP29" s="41" t="n">
        <f aca="false">100*0.068205</f>
        <v>6.8205</v>
      </c>
      <c r="BQ29" s="41" t="n">
        <f aca="false">100*0.4415</f>
        <v>44.15</v>
      </c>
      <c r="BR29" s="41" t="n">
        <f aca="false">100*0.36</f>
        <v>36</v>
      </c>
      <c r="BS29" s="41" t="n">
        <f aca="false">100*0.3244</f>
        <v>32.44</v>
      </c>
      <c r="BT29" s="41" t="n">
        <f aca="false">100*0.538</f>
        <v>53.8</v>
      </c>
      <c r="BU29" s="41" t="n">
        <f aca="false">100*0.0688</f>
        <v>6.88</v>
      </c>
      <c r="BV29" s="41" t="n">
        <f aca="false">100*0.0788</f>
        <v>7.88</v>
      </c>
      <c r="BW29" s="41" t="n">
        <f aca="false">100*0.1666</f>
        <v>16.66</v>
      </c>
      <c r="BX29" s="41" t="n">
        <f aca="false">100*0.2422</f>
        <v>24.22</v>
      </c>
      <c r="BY29" s="41" t="n">
        <f aca="false">100*0.359</f>
        <v>35.9</v>
      </c>
      <c r="BZ29" s="41" t="n">
        <f aca="false">100*0.214</f>
        <v>21.4</v>
      </c>
      <c r="CA29" s="53" t="n">
        <f aca="false">AE29/CB29</f>
        <v>0.107627342841805</v>
      </c>
      <c r="CB29" s="54" t="n">
        <v>2071416</v>
      </c>
      <c r="CC29" s="54"/>
      <c r="CD29" s="55"/>
      <c r="CE29" s="55"/>
      <c r="CF29" s="55"/>
      <c r="CG29" s="55"/>
      <c r="CH29" s="55"/>
      <c r="CI29" s="55"/>
      <c r="CJ29" s="55"/>
      <c r="CK29" s="55"/>
      <c r="CL29" s="55"/>
      <c r="CM29" s="55"/>
      <c r="CN29" s="55"/>
      <c r="CO29" s="55"/>
      <c r="CP29" s="55"/>
      <c r="CQ29" s="55"/>
      <c r="CR29" s="55"/>
      <c r="CS29" s="55"/>
      <c r="CT29" s="55"/>
      <c r="CU29" s="55"/>
      <c r="CV29" s="55"/>
    </row>
    <row r="30" s="61" customFormat="true" ht="19.4" hidden="false" customHeight="false" outlineLevel="0" collapsed="false">
      <c r="A30" s="61" t="s">
        <v>216</v>
      </c>
      <c r="B30" s="61" t="s">
        <v>101</v>
      </c>
      <c r="D30" s="61" t="s">
        <v>102</v>
      </c>
      <c r="E30" s="62" t="n">
        <v>24133</v>
      </c>
      <c r="F30" s="62" t="n">
        <v>43046</v>
      </c>
      <c r="G30" s="62" t="n">
        <v>43071</v>
      </c>
      <c r="H30" s="62" t="s">
        <v>157</v>
      </c>
      <c r="I30" s="148" t="n">
        <f aca="false">(G30-E30)/365.25</f>
        <v>51.8494182067077</v>
      </c>
      <c r="J30" s="148" t="n">
        <f aca="false">G30-E30</f>
        <v>18938</v>
      </c>
      <c r="K30" s="148" t="n">
        <f aca="false">G30-F30</f>
        <v>25</v>
      </c>
      <c r="L30" s="149" t="s">
        <v>104</v>
      </c>
      <c r="M30" s="149" t="s">
        <v>114</v>
      </c>
      <c r="N30" s="66" t="s">
        <v>206</v>
      </c>
      <c r="O30" s="67"/>
      <c r="P30" s="67"/>
      <c r="Q30" s="150" t="s">
        <v>106</v>
      </c>
      <c r="R30" s="150" t="s">
        <v>217</v>
      </c>
      <c r="S30" s="151" t="s">
        <v>106</v>
      </c>
      <c r="T30" s="152" t="s">
        <v>218</v>
      </c>
      <c r="U30" s="69" t="n">
        <v>1738.53</v>
      </c>
      <c r="V30" s="69" t="n">
        <v>74.73</v>
      </c>
      <c r="W30" s="70" t="n">
        <f aca="false">U30-V30</f>
        <v>1663.8</v>
      </c>
      <c r="X30" s="81" t="s">
        <v>190</v>
      </c>
      <c r="Y30" s="71" t="n">
        <v>24600000</v>
      </c>
      <c r="Z30" s="72" t="n">
        <f aca="false">Y30*W30</f>
        <v>40929480000</v>
      </c>
      <c r="AA30" s="71" t="n">
        <v>39200000</v>
      </c>
      <c r="AB30" s="151" t="s">
        <v>144</v>
      </c>
      <c r="AC30" s="157" t="n">
        <v>29100000</v>
      </c>
      <c r="AD30" s="61" t="s">
        <v>219</v>
      </c>
      <c r="AE30" s="61" t="n">
        <v>37351</v>
      </c>
      <c r="AF30" s="61" t="n">
        <v>86</v>
      </c>
      <c r="AG30" s="61" t="n">
        <f aca="false">100*0.0024</f>
        <v>0.24</v>
      </c>
      <c r="AH30" s="61" t="n">
        <f aca="false">100*0.151</f>
        <v>15.1</v>
      </c>
      <c r="AI30" s="61" t="n">
        <v>206</v>
      </c>
      <c r="AJ30" s="61" t="n">
        <f aca="false">100*0.0058</f>
        <v>0.58</v>
      </c>
      <c r="AK30" s="61" t="n">
        <v>8</v>
      </c>
      <c r="AL30" s="61" t="n">
        <f aca="false">100*0.00021</f>
        <v>0.021</v>
      </c>
      <c r="AM30" s="61" t="s">
        <v>220</v>
      </c>
      <c r="AN30" s="61" t="s">
        <v>221</v>
      </c>
      <c r="AO30" s="61" t="s">
        <v>221</v>
      </c>
      <c r="AP30" s="61" t="s">
        <v>220</v>
      </c>
      <c r="AQ30" s="61" t="n">
        <v>10055</v>
      </c>
      <c r="AR30" s="61" t="n">
        <f aca="false">100*0.231</f>
        <v>23.1</v>
      </c>
      <c r="AS30" s="61" t="n">
        <f aca="false">100*0.0222</f>
        <v>2.22</v>
      </c>
      <c r="AT30" s="61" t="n">
        <f aca="false">100*0.1999005</f>
        <v>19.99005</v>
      </c>
      <c r="AU30" s="61" t="n">
        <f aca="false">100*0.4869083</f>
        <v>48.69083</v>
      </c>
      <c r="AV30" s="61" t="n">
        <f aca="false">100*0.291</f>
        <v>29.1</v>
      </c>
      <c r="AW30" s="61" t="n">
        <f aca="false">100*0.197</f>
        <v>19.7</v>
      </c>
      <c r="AX30" s="61" t="n">
        <f aca="false">100*0.368</f>
        <v>36.8</v>
      </c>
      <c r="AY30" s="61" t="n">
        <f aca="false">100*0.3499083</f>
        <v>34.99083</v>
      </c>
      <c r="AZ30" s="61" t="n">
        <f aca="false">100*0.0841</f>
        <v>8.41</v>
      </c>
      <c r="BA30" s="61" t="n">
        <v>24268</v>
      </c>
      <c r="BB30" s="61" t="n">
        <f aca="false">100*0.0474</f>
        <v>4.74</v>
      </c>
      <c r="BC30" s="61" t="n">
        <f aca="false">100*0.2249176</f>
        <v>22.49176</v>
      </c>
      <c r="BD30" s="61" t="n">
        <f aca="false">100*0.3639176</f>
        <v>36.39176</v>
      </c>
      <c r="BE30" s="61" t="n">
        <f aca="false">100*0.095</f>
        <v>9.5</v>
      </c>
      <c r="BF30" s="61" t="n">
        <f aca="false">100*0.316</f>
        <v>31.6</v>
      </c>
      <c r="BG30" s="61" t="n">
        <f aca="false">100*0.325</f>
        <v>32.5</v>
      </c>
      <c r="BH30" s="61" t="n">
        <f aca="false">100*0.335</f>
        <v>33.5</v>
      </c>
      <c r="BI30" s="61" t="n">
        <f aca="false">100*0.0715</f>
        <v>7.15</v>
      </c>
      <c r="BJ30" s="61" t="n">
        <f aca="false">100*0.269</f>
        <v>26.9</v>
      </c>
      <c r="BK30" s="61" t="n">
        <f aca="false">100*0.226</f>
        <v>22.6</v>
      </c>
      <c r="BL30" s="61" t="n">
        <f aca="false">100*0.1284</f>
        <v>12.84</v>
      </c>
      <c r="BM30" s="61" t="n">
        <f aca="false">100*0.237</f>
        <v>23.7</v>
      </c>
      <c r="BN30" s="61" t="n">
        <f aca="false">100*0.398</f>
        <v>39.8</v>
      </c>
      <c r="BO30" s="61" t="n">
        <f aca="false">100*0.314</f>
        <v>31.4</v>
      </c>
      <c r="BP30" s="61" t="n">
        <f aca="false">100*0.496</f>
        <v>49.6</v>
      </c>
      <c r="BQ30" s="61" t="n">
        <f aca="false">100*0.279</f>
        <v>27.9</v>
      </c>
      <c r="BR30" s="61" t="n">
        <f aca="false">100*0.186</f>
        <v>18.6</v>
      </c>
      <c r="BS30" s="61" t="s">
        <v>221</v>
      </c>
      <c r="BT30" s="61" t="s">
        <v>221</v>
      </c>
      <c r="BU30" s="61" t="s">
        <v>221</v>
      </c>
      <c r="BV30" s="61" t="s">
        <v>221</v>
      </c>
      <c r="BW30" s="61" t="s">
        <v>221</v>
      </c>
      <c r="BX30" s="61" t="s">
        <v>221</v>
      </c>
      <c r="BY30" s="61" t="s">
        <v>221</v>
      </c>
      <c r="BZ30" s="61" t="s">
        <v>221</v>
      </c>
      <c r="CA30" s="84" t="n">
        <f aca="false">AE30/CB30</f>
        <v>0.0379978371823552</v>
      </c>
      <c r="CB30" s="74" t="n">
        <v>982977</v>
      </c>
      <c r="CC30" s="74"/>
      <c r="CD30" s="75"/>
      <c r="CE30" s="75"/>
      <c r="CF30" s="75"/>
      <c r="CG30" s="75"/>
      <c r="CH30" s="75"/>
      <c r="CI30" s="75"/>
      <c r="CJ30" s="75"/>
      <c r="CK30" s="75"/>
      <c r="CL30" s="75"/>
      <c r="CM30" s="75"/>
      <c r="CN30" s="75"/>
      <c r="CO30" s="75"/>
      <c r="CP30" s="75"/>
      <c r="CQ30" s="75"/>
      <c r="CR30" s="75"/>
      <c r="CS30" s="75"/>
      <c r="CT30" s="75"/>
      <c r="CU30" s="75"/>
      <c r="CV30" s="75"/>
    </row>
    <row r="31" s="61" customFormat="true" ht="19.4" hidden="false" customHeight="false" outlineLevel="0" collapsed="false">
      <c r="A31" s="61" t="s">
        <v>222</v>
      </c>
      <c r="B31" s="61" t="s">
        <v>113</v>
      </c>
      <c r="C31" s="61" t="s">
        <v>223</v>
      </c>
      <c r="D31" s="61" t="s">
        <v>102</v>
      </c>
      <c r="E31" s="76" t="n">
        <v>24133</v>
      </c>
      <c r="F31" s="76" t="n">
        <v>43046</v>
      </c>
      <c r="G31" s="76" t="n">
        <v>43180</v>
      </c>
      <c r="H31" s="76" t="s">
        <v>157</v>
      </c>
      <c r="I31" s="64" t="n">
        <f aca="false">(G31-E31)/365.25</f>
        <v>52.1478439425051</v>
      </c>
      <c r="J31" s="65" t="n">
        <f aca="false">G31-E31</f>
        <v>19047</v>
      </c>
      <c r="K31" s="65" t="n">
        <f aca="false">G31-F31</f>
        <v>134</v>
      </c>
      <c r="L31" s="65" t="s">
        <v>104</v>
      </c>
      <c r="M31" s="65" t="s">
        <v>114</v>
      </c>
      <c r="N31" s="66" t="s">
        <v>224</v>
      </c>
      <c r="O31" s="77" t="e">
        <f aca="false">N31-G31</f>
        <v>#VALUE!</v>
      </c>
      <c r="P31" s="78" t="s">
        <v>202</v>
      </c>
      <c r="Q31" s="76" t="s">
        <v>116</v>
      </c>
      <c r="R31" s="76"/>
      <c r="S31" s="68" t="s">
        <v>225</v>
      </c>
      <c r="T31" s="78" t="n">
        <v>10</v>
      </c>
      <c r="U31" s="77" t="n">
        <v>2265.15</v>
      </c>
      <c r="V31" s="79" t="n">
        <v>82.62</v>
      </c>
      <c r="W31" s="80" t="n">
        <f aca="false">U31-V31</f>
        <v>2182.53</v>
      </c>
      <c r="X31" s="68" t="s">
        <v>109</v>
      </c>
      <c r="Y31" s="82"/>
      <c r="Z31" s="83" t="n">
        <v>65500000</v>
      </c>
      <c r="AA31" s="82"/>
      <c r="AB31" s="68"/>
      <c r="AC31" s="83" t="n">
        <v>45800000</v>
      </c>
      <c r="AD31" s="61" t="s">
        <v>226</v>
      </c>
      <c r="AE31" s="61" t="n">
        <v>154129</v>
      </c>
      <c r="AF31" s="61" t="n">
        <v>1344</v>
      </c>
      <c r="AG31" s="61" t="n">
        <f aca="false">100*0.0087</f>
        <v>0.87</v>
      </c>
      <c r="AH31" s="61" t="n">
        <f aca="false">100*0.45121</f>
        <v>45.121</v>
      </c>
      <c r="AI31" s="61" t="n">
        <v>1685</v>
      </c>
      <c r="AJ31" s="61" t="n">
        <f aca="false">100*0.0116</f>
        <v>1.16</v>
      </c>
      <c r="AK31" s="61" t="n">
        <v>1770</v>
      </c>
      <c r="AL31" s="61" t="n">
        <f aca="false">100*0.0117</f>
        <v>1.17</v>
      </c>
      <c r="AM31" s="61" t="n">
        <f aca="false">100*0.10125</f>
        <v>10.125</v>
      </c>
      <c r="AN31" s="61" t="n">
        <f aca="false">100*0.03105</f>
        <v>3.105</v>
      </c>
      <c r="AO31" s="61" t="n">
        <f aca="false">100*0.727</f>
        <v>72.7</v>
      </c>
      <c r="AP31" s="61" t="n">
        <f aca="false">100*0.0634</f>
        <v>6.34</v>
      </c>
      <c r="AQ31" s="61" t="n">
        <v>27677</v>
      </c>
      <c r="AR31" s="61" t="n">
        <f aca="false">100*0.4169277</f>
        <v>41.69277</v>
      </c>
      <c r="AS31" s="61" t="n">
        <f aca="false">100*0.1339732</f>
        <v>13.39732</v>
      </c>
      <c r="AT31" s="61" t="n">
        <f aca="false">100*0.3529443</f>
        <v>35.29443</v>
      </c>
      <c r="AU31" s="61" t="n">
        <f aca="false">100*0.329</f>
        <v>32.9</v>
      </c>
      <c r="AV31" s="61" t="n">
        <f aca="false">100*0.149</f>
        <v>14.9</v>
      </c>
      <c r="AW31" s="61" t="n">
        <f aca="false">100*0.04285</f>
        <v>4.285</v>
      </c>
      <c r="AX31" s="61" t="n">
        <f aca="false">100*0.2708</f>
        <v>27.08</v>
      </c>
      <c r="AY31" s="61" t="n">
        <f aca="false">100*0.4419154</f>
        <v>44.19154</v>
      </c>
      <c r="AZ31" s="61" t="n">
        <f aca="false">100*0.263</f>
        <v>26.3</v>
      </c>
      <c r="BA31" s="61" t="n">
        <v>110537</v>
      </c>
      <c r="BB31" s="61" t="n">
        <f aca="false">100*0.1394471</f>
        <v>13.94471</v>
      </c>
      <c r="BC31" s="61" t="n">
        <f aca="false">100*0.4919742</f>
        <v>49.19742</v>
      </c>
      <c r="BD31" s="61" t="n">
        <f aca="false">100*0.2849659</f>
        <v>28.49659</v>
      </c>
      <c r="BE31" s="61" t="n">
        <f aca="false">100*0.046882</f>
        <v>4.6882</v>
      </c>
      <c r="BF31" s="61" t="n">
        <f aca="false">100*0.196</f>
        <v>19.6</v>
      </c>
      <c r="BG31" s="61" t="n">
        <f aca="false">100*0.27486</f>
        <v>27.486</v>
      </c>
      <c r="BH31" s="61" t="n">
        <f aca="false">100*0.29397905</f>
        <v>29.397905</v>
      </c>
      <c r="BI31" s="61" t="n">
        <f aca="false">100*0.0627461</f>
        <v>6.27461</v>
      </c>
      <c r="BJ31" s="61" t="n">
        <f aca="false">100*0.339</f>
        <v>33.9</v>
      </c>
      <c r="BK31" s="61" t="n">
        <f aca="false">100*0.0567</f>
        <v>5.67</v>
      </c>
      <c r="BL31" s="61" t="n">
        <f aca="false">100*0.0079</f>
        <v>0.79</v>
      </c>
      <c r="BM31" s="61" t="n">
        <f aca="false">100*0.0811</f>
        <v>8.11</v>
      </c>
      <c r="BN31" s="61" t="n">
        <f aca="false">100*0.854</f>
        <v>85.4</v>
      </c>
      <c r="BO31" s="61" t="n">
        <f aca="false">100*0.07259</f>
        <v>7.259</v>
      </c>
      <c r="BP31" s="61" t="n">
        <f aca="false">100*0.008995</f>
        <v>0.8995</v>
      </c>
      <c r="BQ31" s="61" t="n">
        <f aca="false">100*0.0685</f>
        <v>6.85</v>
      </c>
      <c r="BR31" s="61" t="n">
        <f aca="false">100*0.846</f>
        <v>84.6</v>
      </c>
      <c r="BS31" s="61" t="n">
        <f aca="false">100*0.632</f>
        <v>63.2</v>
      </c>
      <c r="BT31" s="61" t="n">
        <f aca="false">100*0.101</f>
        <v>10.1</v>
      </c>
      <c r="BU31" s="61" t="n">
        <f aca="false">100*0.0484</f>
        <v>4.84</v>
      </c>
      <c r="BV31" s="61" t="n">
        <f aca="false">100*0.218</f>
        <v>21.8</v>
      </c>
      <c r="BW31" s="61" t="n">
        <f aca="false">100*0.2373</f>
        <v>23.73</v>
      </c>
      <c r="BX31" s="61" t="n">
        <f aca="false">100*0.12915</f>
        <v>12.915</v>
      </c>
      <c r="BY31" s="61" t="n">
        <f aca="false">100*0.172</f>
        <v>17.2</v>
      </c>
      <c r="BZ31" s="61" t="n">
        <f aca="false">100*0.459</f>
        <v>45.9</v>
      </c>
      <c r="CA31" s="84" t="n">
        <f aca="false">AE31/CB31</f>
        <v>0.120888239810945</v>
      </c>
      <c r="CB31" s="74" t="n">
        <v>1274971</v>
      </c>
      <c r="CC31" s="74"/>
      <c r="CD31" s="75"/>
      <c r="CE31" s="75"/>
      <c r="CF31" s="75"/>
      <c r="CG31" s="75"/>
      <c r="CH31" s="75"/>
      <c r="CI31" s="75"/>
      <c r="CJ31" s="75"/>
      <c r="CK31" s="75"/>
      <c r="CL31" s="75"/>
      <c r="CM31" s="75"/>
      <c r="CN31" s="75"/>
      <c r="CO31" s="75"/>
      <c r="CP31" s="75"/>
      <c r="CQ31" s="75"/>
      <c r="CR31" s="75"/>
      <c r="CS31" s="75"/>
      <c r="CT31" s="75"/>
      <c r="CU31" s="75"/>
      <c r="CV31" s="75"/>
    </row>
    <row r="32" s="61" customFormat="true" ht="12.8" hidden="false" customHeight="false" outlineLevel="0" collapsed="false">
      <c r="A32" s="61" t="s">
        <v>227</v>
      </c>
      <c r="B32" s="61" t="s">
        <v>113</v>
      </c>
      <c r="D32" s="61" t="s">
        <v>102</v>
      </c>
      <c r="E32" s="76" t="n">
        <v>24133</v>
      </c>
      <c r="F32" s="76" t="n">
        <v>43046</v>
      </c>
      <c r="G32" s="76" t="n">
        <v>43313</v>
      </c>
      <c r="H32" s="76" t="s">
        <v>157</v>
      </c>
      <c r="I32" s="64" t="n">
        <v>52.5119780971937</v>
      </c>
      <c r="J32" s="65" t="n">
        <v>19180</v>
      </c>
      <c r="K32" s="65" t="n">
        <v>267</v>
      </c>
      <c r="L32" s="65" t="s">
        <v>104</v>
      </c>
      <c r="M32" s="65" t="s">
        <v>114</v>
      </c>
      <c r="N32" s="66" t="n">
        <v>43071</v>
      </c>
      <c r="O32" s="77"/>
      <c r="P32" s="78"/>
      <c r="Q32" s="76" t="s">
        <v>116</v>
      </c>
      <c r="R32" s="76"/>
      <c r="S32" s="68" t="s">
        <v>117</v>
      </c>
      <c r="T32" s="78" t="n">
        <v>10</v>
      </c>
      <c r="U32" s="77" t="n">
        <v>1890.82</v>
      </c>
      <c r="V32" s="79" t="n">
        <v>80.4</v>
      </c>
      <c r="W32" s="80" t="n">
        <f aca="false">U32-V32</f>
        <v>1810.42</v>
      </c>
      <c r="X32" s="68"/>
      <c r="Y32" s="82"/>
      <c r="Z32" s="83" t="n">
        <v>17000000</v>
      </c>
      <c r="AA32" s="82"/>
      <c r="AB32" s="68"/>
      <c r="AC32" s="83" t="n">
        <v>21000000</v>
      </c>
      <c r="AD32" s="61" t="s">
        <v>228</v>
      </c>
      <c r="AE32" s="61" t="n">
        <v>476000</v>
      </c>
      <c r="AF32" s="61" t="n">
        <v>5530</v>
      </c>
      <c r="AG32" s="61" t="n">
        <f aca="false">100*0.0117</f>
        <v>1.17</v>
      </c>
      <c r="AH32" s="61" t="n">
        <f aca="false">100*0.55471</f>
        <v>55.471</v>
      </c>
      <c r="AI32" s="61" t="n">
        <v>587</v>
      </c>
      <c r="AJ32" s="61" t="n">
        <f aca="false">100*0.0011</f>
        <v>0.11</v>
      </c>
      <c r="AK32" s="61" t="n">
        <v>10148</v>
      </c>
      <c r="AL32" s="61" t="n">
        <f aca="false">100*0.0206</f>
        <v>2.06</v>
      </c>
      <c r="AM32" s="61" t="n">
        <f aca="false">100*0.1555</f>
        <v>15.55</v>
      </c>
      <c r="AN32" s="61" t="n">
        <f aca="false">100*0.0091161</f>
        <v>0.91161</v>
      </c>
      <c r="AO32" s="61" t="n">
        <f aca="false">100*0.946</f>
        <v>94.6</v>
      </c>
      <c r="AP32" s="61" t="n">
        <f aca="false">100*0.0131</f>
        <v>1.31</v>
      </c>
      <c r="AQ32" s="61" t="n">
        <v>89255</v>
      </c>
      <c r="AR32" s="61" t="n">
        <f aca="false">100*0.31089</f>
        <v>31.089</v>
      </c>
      <c r="AS32" s="61" t="n">
        <f aca="false">100*0.2431</f>
        <v>24.31</v>
      </c>
      <c r="AT32" s="61" t="n">
        <f aca="false">100*0.574615</f>
        <v>57.4615</v>
      </c>
      <c r="AU32" s="61" t="n">
        <f aca="false">100*0.09234</f>
        <v>9.234</v>
      </c>
      <c r="AV32" s="61" t="n">
        <f aca="false">100*0.0819</f>
        <v>8.19</v>
      </c>
      <c r="AW32" s="61" t="n">
        <f aca="false">100*0.08485</f>
        <v>8.485</v>
      </c>
      <c r="AX32" s="61" t="n">
        <f aca="false">100*0.55334</f>
        <v>55.334</v>
      </c>
      <c r="AY32" s="61" t="n">
        <f aca="false">100*0.17715</f>
        <v>17.715</v>
      </c>
      <c r="AZ32" s="61" t="n">
        <f aca="false">100*0.173</f>
        <v>17.3</v>
      </c>
      <c r="BA32" s="61" t="n">
        <v>362716</v>
      </c>
      <c r="BB32" s="61" t="n">
        <f aca="false">100*0.1489589</f>
        <v>14.89589</v>
      </c>
      <c r="BC32" s="61" t="n">
        <f aca="false">100*0.4084</f>
        <v>40.84</v>
      </c>
      <c r="BD32" s="61" t="n">
        <f aca="false">100*0.508435</f>
        <v>50.8435</v>
      </c>
      <c r="BE32" s="61" t="n">
        <f aca="false">100*0.00189449</f>
        <v>0.189449</v>
      </c>
      <c r="BF32" s="61" t="n">
        <f aca="false">100*0.0712</f>
        <v>7.12</v>
      </c>
      <c r="BG32" s="61" t="n">
        <f aca="false">100*0.30638</f>
        <v>30.638</v>
      </c>
      <c r="BH32" s="61" t="n">
        <f aca="false">100*0.5236</f>
        <v>52.36</v>
      </c>
      <c r="BI32" s="61" t="n">
        <f aca="false">100*0.00715</f>
        <v>0.715</v>
      </c>
      <c r="BJ32" s="61" t="n">
        <f aca="false">100*0.162</f>
        <v>16.2</v>
      </c>
      <c r="BK32" s="61" t="n">
        <f aca="false">100*0.6245</f>
        <v>62.45</v>
      </c>
      <c r="BL32" s="61" t="n">
        <f aca="false">100*0.09235</f>
        <v>9.235</v>
      </c>
      <c r="BM32" s="61" t="n">
        <f aca="false">100*0.04736</f>
        <v>4.736</v>
      </c>
      <c r="BN32" s="61" t="n">
        <f aca="false">100*0.24</f>
        <v>24</v>
      </c>
      <c r="BO32" s="61" t="n">
        <f aca="false">100*0.16664</f>
        <v>16.664</v>
      </c>
      <c r="BP32" s="61" t="n">
        <f aca="false">100*0.01783</f>
        <v>1.783</v>
      </c>
      <c r="BQ32" s="61" t="n">
        <f aca="false">100*0.1384</f>
        <v>13.84</v>
      </c>
      <c r="BR32" s="61" t="n">
        <f aca="false">100*0.66</f>
        <v>66</v>
      </c>
      <c r="BS32" s="61" t="n">
        <f aca="false">100*0.8237</f>
        <v>82.37</v>
      </c>
      <c r="BT32" s="61" t="n">
        <f aca="false">100*0.04595</f>
        <v>4.595</v>
      </c>
      <c r="BU32" s="61" t="n">
        <f aca="false">100*0.0051</f>
        <v>0.51</v>
      </c>
      <c r="BV32" s="61" t="n">
        <f aca="false">100*0.102</f>
        <v>10.2</v>
      </c>
      <c r="BW32" s="61" t="n">
        <f aca="false">100*0.23001</f>
        <v>23.001</v>
      </c>
      <c r="BX32" s="61" t="n">
        <f aca="false">100*0.060455</f>
        <v>6.0455</v>
      </c>
      <c r="BY32" s="61" t="n">
        <f aca="false">100*0.0677</f>
        <v>6.77</v>
      </c>
      <c r="BZ32" s="61" t="n">
        <f aca="false">100*0.563</f>
        <v>56.3</v>
      </c>
      <c r="CA32" s="84" t="e">
        <f aca="false">AE32/CB32</f>
        <v>#DIV/0!</v>
      </c>
      <c r="CB32" s="74"/>
      <c r="CC32" s="74"/>
      <c r="CD32" s="75"/>
      <c r="CE32" s="75"/>
      <c r="CF32" s="75"/>
      <c r="CG32" s="75"/>
      <c r="CH32" s="75"/>
      <c r="CI32" s="75"/>
      <c r="CJ32" s="75"/>
      <c r="CK32" s="75"/>
      <c r="CL32" s="75"/>
      <c r="CM32" s="75"/>
      <c r="CN32" s="75"/>
      <c r="CO32" s="75"/>
      <c r="CP32" s="75"/>
      <c r="CQ32" s="75"/>
      <c r="CR32" s="75"/>
      <c r="CS32" s="75"/>
      <c r="CT32" s="75"/>
      <c r="CU32" s="75"/>
      <c r="CV32" s="75"/>
    </row>
    <row r="33" s="41" customFormat="true" ht="12.8" hidden="false" customHeight="false" outlineLevel="0" collapsed="false">
      <c r="A33" s="22" t="s">
        <v>229</v>
      </c>
      <c r="B33" s="22" t="s">
        <v>101</v>
      </c>
      <c r="C33" s="22"/>
      <c r="D33" s="22" t="s">
        <v>102</v>
      </c>
      <c r="E33" s="23" t="n">
        <v>20000</v>
      </c>
      <c r="F33" s="23" t="n">
        <v>43053</v>
      </c>
      <c r="G33" s="23" t="n">
        <v>43094</v>
      </c>
      <c r="H33" s="23" t="s">
        <v>157</v>
      </c>
      <c r="I33" s="25" t="n">
        <f aca="false">(G33-E33)/365.25</f>
        <v>63.2279260780287</v>
      </c>
      <c r="J33" s="25" t="n">
        <f aca="false">G33-E33</f>
        <v>23094</v>
      </c>
      <c r="K33" s="25" t="n">
        <f aca="false">G33-F33</f>
        <v>41</v>
      </c>
      <c r="L33" s="26" t="s">
        <v>104</v>
      </c>
      <c r="M33" s="26" t="s">
        <v>104</v>
      </c>
      <c r="N33" s="27" t="s">
        <v>230</v>
      </c>
      <c r="O33" s="28"/>
      <c r="P33" s="28"/>
      <c r="Q33" s="29" t="s">
        <v>106</v>
      </c>
      <c r="R33" s="29" t="s">
        <v>231</v>
      </c>
      <c r="S33" s="30" t="s">
        <v>107</v>
      </c>
      <c r="T33" s="31" t="s">
        <v>232</v>
      </c>
      <c r="U33" s="32" t="n">
        <v>2175.9</v>
      </c>
      <c r="V33" s="32" t="n">
        <v>76.42</v>
      </c>
      <c r="W33" s="33" t="n">
        <f aca="false">U33-V33</f>
        <v>2099.48</v>
      </c>
      <c r="X33" s="30" t="s">
        <v>233</v>
      </c>
      <c r="Y33" s="35" t="n">
        <f aca="false">15000000/2</f>
        <v>7500000</v>
      </c>
      <c r="Z33" s="36" t="n">
        <f aca="false">Y33*W33</f>
        <v>15746100000</v>
      </c>
      <c r="AA33" s="35" t="n">
        <f aca="false">2700000000/2</f>
        <v>1350000000</v>
      </c>
      <c r="AB33" s="30" t="s">
        <v>231</v>
      </c>
      <c r="AC33" s="36" t="n">
        <v>17000000</v>
      </c>
      <c r="AD33" s="22" t="s">
        <v>234</v>
      </c>
      <c r="AE33" s="22" t="n">
        <v>34472</v>
      </c>
      <c r="AF33" s="22" t="n">
        <v>1408</v>
      </c>
      <c r="AG33" s="22" t="n">
        <f aca="false">100*0.0399</f>
        <v>3.99</v>
      </c>
      <c r="AH33" s="22" t="n">
        <f aca="false">100*0.23914</f>
        <v>23.914</v>
      </c>
      <c r="AI33" s="22" t="n">
        <v>14</v>
      </c>
      <c r="AJ33" s="22" t="n">
        <f aca="false">100*0.000425</f>
        <v>0.0425</v>
      </c>
      <c r="AK33" s="22" t="n">
        <v>153</v>
      </c>
      <c r="AL33" s="22" t="n">
        <f aca="false">100*0.0044</f>
        <v>0.44</v>
      </c>
      <c r="AM33" s="22" t="n">
        <v>0</v>
      </c>
      <c r="AN33" s="22" t="n">
        <v>0</v>
      </c>
      <c r="AO33" s="22" t="n">
        <f aca="false">100*0.64</f>
        <v>64</v>
      </c>
      <c r="AP33" s="22" t="n">
        <f aca="false">100*0.071</f>
        <v>7.1</v>
      </c>
      <c r="AQ33" s="22" t="n">
        <v>10969</v>
      </c>
      <c r="AR33" s="22" t="n">
        <f aca="false">100*0.09914</f>
        <v>9.914</v>
      </c>
      <c r="AS33" s="22" t="n">
        <f aca="false">100*0.08473</f>
        <v>8.473</v>
      </c>
      <c r="AT33" s="22" t="n">
        <f aca="false">100*0.2449544</f>
        <v>24.49544</v>
      </c>
      <c r="AU33" s="22" t="n">
        <f aca="false">100*0.58554</f>
        <v>58.554</v>
      </c>
      <c r="AV33" s="22" t="n">
        <f aca="false">100*0.0832</f>
        <v>8.32</v>
      </c>
      <c r="AW33" s="22" t="n">
        <f aca="false">100*0.04561</f>
        <v>4.561</v>
      </c>
      <c r="AX33" s="22" t="n">
        <f aca="false">100*0.1844544</f>
        <v>18.44544</v>
      </c>
      <c r="AY33" s="22" t="n">
        <f aca="false">100*0.64154</f>
        <v>64.154</v>
      </c>
      <c r="AZ33" s="22" t="n">
        <f aca="false">100*0.126</f>
        <v>12.6</v>
      </c>
      <c r="BA33" s="22" t="n">
        <v>18131</v>
      </c>
      <c r="BB33" s="22" t="n">
        <f aca="false">100*0.06342</f>
        <v>6.342</v>
      </c>
      <c r="BC33" s="22" t="n">
        <f aca="false">100*0.32406</f>
        <v>32.406</v>
      </c>
      <c r="BD33" s="22" t="n">
        <f aca="false">100*0.27791</f>
        <v>27.791</v>
      </c>
      <c r="BE33" s="22" t="n">
        <f aca="false">100*0.0493416</f>
        <v>4.93416</v>
      </c>
      <c r="BF33" s="22" t="n">
        <f aca="false">100*0.354</f>
        <v>35.4</v>
      </c>
      <c r="BG33" s="22" t="n">
        <f aca="false">100*0.25722</f>
        <v>25.722</v>
      </c>
      <c r="BH33" s="22" t="n">
        <f aca="false">100*0.2737858</f>
        <v>27.37858</v>
      </c>
      <c r="BI33" s="22" t="n">
        <f aca="false">100*0.05122</f>
        <v>5.122</v>
      </c>
      <c r="BJ33" s="22" t="n">
        <f aca="false">100*0.415</f>
        <v>41.5</v>
      </c>
      <c r="BK33" s="22" t="n">
        <f aca="false">100*0.558</f>
        <v>55.8</v>
      </c>
      <c r="BL33" s="22" t="n">
        <f aca="false">100*0.21775</f>
        <v>21.775</v>
      </c>
      <c r="BM33" s="22" t="n">
        <f aca="false">100*0.0219</f>
        <v>2.19</v>
      </c>
      <c r="BN33" s="22" t="n">
        <f aca="false">100*0.031</f>
        <v>3.1</v>
      </c>
      <c r="BO33" s="22" t="n">
        <f aca="false">100*0.0761</f>
        <v>7.61</v>
      </c>
      <c r="BP33" s="22" t="n">
        <f aca="false">100*0.013155</f>
        <v>1.3155</v>
      </c>
      <c r="BQ33" s="22" t="n">
        <f aca="false">100*0.2419</f>
        <v>24.19</v>
      </c>
      <c r="BR33" s="22" t="n">
        <f aca="false">100*0.663</f>
        <v>66.3</v>
      </c>
      <c r="BS33" s="22" t="n">
        <f aca="false">100*0.435</f>
        <v>43.5</v>
      </c>
      <c r="BT33" s="22" t="n">
        <f aca="false">100*0.115</f>
        <v>11.5</v>
      </c>
      <c r="BU33" s="22" t="n">
        <f aca="false">100*0.169</f>
        <v>16.9</v>
      </c>
      <c r="BV33" s="22" t="n">
        <f aca="false">100*0.266</f>
        <v>26.6</v>
      </c>
      <c r="BW33" s="22" t="n">
        <f aca="false">100*0.0645</f>
        <v>6.45</v>
      </c>
      <c r="BX33" s="22" t="n">
        <f aca="false">100*0.0688</f>
        <v>6.88</v>
      </c>
      <c r="BY33" s="22" t="n">
        <f aca="false">100*0.19</f>
        <v>19</v>
      </c>
      <c r="BZ33" s="22" t="n">
        <f aca="false">100*0.645</f>
        <v>64.5</v>
      </c>
      <c r="CA33" s="38" t="n">
        <f aca="false">AE33/CB33</f>
        <v>0.064603304003973</v>
      </c>
      <c r="CB33" s="39" t="n">
        <v>533595</v>
      </c>
      <c r="CC33" s="39"/>
      <c r="CD33" s="40"/>
      <c r="CE33" s="40"/>
      <c r="CF33" s="40"/>
      <c r="CG33" s="40"/>
      <c r="CH33" s="40"/>
      <c r="CI33" s="40"/>
      <c r="CJ33" s="40"/>
      <c r="CK33" s="40"/>
      <c r="CL33" s="40"/>
      <c r="CM33" s="40"/>
      <c r="CN33" s="40"/>
      <c r="CO33" s="40"/>
      <c r="CP33" s="40"/>
      <c r="CQ33" s="40"/>
      <c r="CR33" s="40"/>
      <c r="CS33" s="40"/>
      <c r="CT33" s="40"/>
      <c r="CU33" s="40"/>
      <c r="CV33" s="40"/>
      <c r="CW33" s="22"/>
      <c r="CX33" s="22"/>
    </row>
    <row r="34" s="61" customFormat="true" ht="12.8" hidden="false" customHeight="false" outlineLevel="0" collapsed="false">
      <c r="A34" s="61" t="s">
        <v>235</v>
      </c>
      <c r="B34" s="61" t="s">
        <v>113</v>
      </c>
      <c r="D34" s="61" t="s">
        <v>102</v>
      </c>
      <c r="E34" s="76" t="n">
        <v>23937</v>
      </c>
      <c r="F34" s="76" t="n">
        <v>42746</v>
      </c>
      <c r="G34" s="76" t="n">
        <v>43131</v>
      </c>
      <c r="H34" s="76" t="s">
        <v>157</v>
      </c>
      <c r="I34" s="64" t="n">
        <f aca="false">(G34-E34)/365.25</f>
        <v>52.5503080082136</v>
      </c>
      <c r="J34" s="65" t="n">
        <f aca="false">G34-E34</f>
        <v>19194</v>
      </c>
      <c r="K34" s="65" t="n">
        <f aca="false">G34-F34</f>
        <v>385</v>
      </c>
      <c r="L34" s="65" t="s">
        <v>104</v>
      </c>
      <c r="M34" s="65" t="s">
        <v>104</v>
      </c>
      <c r="N34" s="66" t="s">
        <v>115</v>
      </c>
      <c r="O34" s="77" t="n">
        <v>0</v>
      </c>
      <c r="P34" s="67" t="s">
        <v>236</v>
      </c>
      <c r="Q34" s="76" t="s">
        <v>116</v>
      </c>
      <c r="R34" s="76"/>
      <c r="S34" s="68" t="s">
        <v>117</v>
      </c>
      <c r="T34" s="78" t="n">
        <v>10</v>
      </c>
      <c r="U34" s="77" t="n">
        <v>1863.1</v>
      </c>
      <c r="V34" s="79" t="n">
        <v>82.24</v>
      </c>
      <c r="W34" s="80" t="n">
        <f aca="false">U34-V34</f>
        <v>1780.86</v>
      </c>
      <c r="X34" s="68"/>
      <c r="Y34" s="82"/>
      <c r="Z34" s="83" t="n">
        <v>18000000</v>
      </c>
      <c r="AA34" s="82"/>
      <c r="AB34" s="68"/>
      <c r="AC34" s="83" t="n">
        <v>2100000</v>
      </c>
      <c r="AD34" s="61" t="s">
        <v>237</v>
      </c>
      <c r="AE34" s="61" t="n">
        <v>215781</v>
      </c>
      <c r="AF34" s="61" t="n">
        <v>883</v>
      </c>
      <c r="AG34" s="61" t="n">
        <f aca="false">100*0.0045</f>
        <v>0.45</v>
      </c>
      <c r="AH34" s="61" t="n">
        <f aca="false">100*0.4369</f>
        <v>43.69</v>
      </c>
      <c r="AI34" s="61" t="n">
        <v>227</v>
      </c>
      <c r="AJ34" s="61" t="n">
        <v>0.00088</v>
      </c>
      <c r="AK34" s="61" t="n">
        <v>4110</v>
      </c>
      <c r="AL34" s="61" t="n">
        <f aca="false">100*0.0201</f>
        <v>2.01</v>
      </c>
      <c r="AM34" s="61" t="n">
        <f aca="false">100*0.1033</f>
        <v>10.33</v>
      </c>
      <c r="AN34" s="61" t="n">
        <f aca="false">100*0.1073</f>
        <v>10.73</v>
      </c>
      <c r="AO34" s="61" t="n">
        <f aca="false">100*0.431</f>
        <v>43.1</v>
      </c>
      <c r="AP34" s="61" t="n">
        <v>0.0265</v>
      </c>
      <c r="AQ34" s="61" t="n">
        <v>27219</v>
      </c>
      <c r="AR34" s="61" t="n">
        <f aca="false">100*0.09021</f>
        <v>9.021</v>
      </c>
      <c r="AS34" s="61" t="n">
        <f aca="false">100*0.298</f>
        <v>29.8</v>
      </c>
      <c r="AT34" s="61" t="n">
        <f aca="false">100*0.4987385</f>
        <v>49.87385</v>
      </c>
      <c r="AU34" s="61" t="n">
        <f aca="false">100*0.14783</f>
        <v>14.783</v>
      </c>
      <c r="AV34" s="61" t="n">
        <f aca="false">100*0.0567</f>
        <v>5.67</v>
      </c>
      <c r="AW34" s="61" t="n">
        <f aca="false">100*0.2127</f>
        <v>21.27</v>
      </c>
      <c r="AX34" s="61" t="n">
        <f aca="false">100*0.32627</f>
        <v>32.627</v>
      </c>
      <c r="AY34" s="61" t="n">
        <f aca="false">100*0.29666</f>
        <v>29.666</v>
      </c>
      <c r="AZ34" s="61" t="n">
        <f aca="false">100*0.164</f>
        <v>16.4</v>
      </c>
      <c r="BA34" s="61" t="n">
        <v>95995</v>
      </c>
      <c r="BB34" s="61" t="n">
        <f aca="false">100*0.10114</f>
        <v>10.114</v>
      </c>
      <c r="BC34" s="61" t="n">
        <f aca="false">100*0.5009775</f>
        <v>50.09775</v>
      </c>
      <c r="BD34" s="61" t="n">
        <f aca="false">100*0.361825</f>
        <v>36.1825</v>
      </c>
      <c r="BE34" s="61" t="n">
        <f aca="false">100*0.0218683</f>
        <v>2.18683</v>
      </c>
      <c r="BF34" s="61" t="n">
        <f aca="false">100*0.115</f>
        <v>11.5</v>
      </c>
      <c r="BG34" s="61" t="n">
        <f aca="false">100*0.4312</f>
        <v>43.12</v>
      </c>
      <c r="BH34" s="61" t="n">
        <f aca="false">100*0.342895</f>
        <v>34.2895</v>
      </c>
      <c r="BI34" s="61" t="n">
        <f aca="false">100*0.04016</f>
        <v>4.016</v>
      </c>
      <c r="BJ34" s="61" t="n">
        <f aca="false">100*0.182</f>
        <v>18.2</v>
      </c>
      <c r="BK34" s="61" t="n">
        <f aca="false">100*0.197</f>
        <v>19.7</v>
      </c>
      <c r="BL34" s="61" t="n">
        <f aca="false">100*0.46185</f>
        <v>46.185</v>
      </c>
      <c r="BM34" s="61" t="n">
        <f aca="false">100*0.0311</f>
        <v>3.11</v>
      </c>
      <c r="BN34" s="61" t="n">
        <f aca="false">100*0.0334</f>
        <v>3.34</v>
      </c>
      <c r="BO34" s="61" t="n">
        <v>0.1929</v>
      </c>
      <c r="BP34" s="61" t="n">
        <v>0.2357</v>
      </c>
      <c r="BQ34" s="61" t="n">
        <v>0.378</v>
      </c>
      <c r="BR34" s="61" t="n">
        <v>0.197</v>
      </c>
      <c r="BS34" s="61" t="n">
        <f aca="false">100*0.388</f>
        <v>38.8</v>
      </c>
      <c r="BT34" s="61" t="n">
        <f aca="false">100*0.56</f>
        <v>56</v>
      </c>
      <c r="BU34" s="61" t="n">
        <f aca="false">100*0.0347</f>
        <v>3.47</v>
      </c>
      <c r="BV34" s="61" t="n">
        <f aca="false">100*0.0241</f>
        <v>2.41</v>
      </c>
      <c r="BW34" s="61" t="n">
        <v>0.1239</v>
      </c>
      <c r="BX34" s="61" t="n">
        <v>0.1682</v>
      </c>
      <c r="BY34" s="61" t="n">
        <v>0.397</v>
      </c>
      <c r="BZ34" s="61" t="n">
        <v>0.312</v>
      </c>
      <c r="CA34" s="84" t="n">
        <f aca="false">AE34/CB34</f>
        <v>0.191847283939421</v>
      </c>
      <c r="CB34" s="74" t="n">
        <v>1124754</v>
      </c>
      <c r="CC34" s="74"/>
      <c r="CD34" s="75"/>
      <c r="CE34" s="75"/>
      <c r="CF34" s="75"/>
      <c r="CG34" s="75"/>
      <c r="CH34" s="75"/>
      <c r="CI34" s="75"/>
      <c r="CJ34" s="75"/>
      <c r="CK34" s="75"/>
      <c r="CL34" s="75"/>
      <c r="CM34" s="75"/>
      <c r="CN34" s="75"/>
      <c r="CO34" s="75"/>
      <c r="CP34" s="75"/>
      <c r="CQ34" s="75"/>
      <c r="CR34" s="75"/>
      <c r="CS34" s="75"/>
      <c r="CT34" s="75"/>
      <c r="CU34" s="75"/>
      <c r="CV34" s="75"/>
    </row>
    <row r="35" s="61" customFormat="true" ht="13.15" hidden="false" customHeight="true" outlineLevel="0" collapsed="false">
      <c r="A35" s="61" t="s">
        <v>238</v>
      </c>
      <c r="B35" s="61" t="s">
        <v>101</v>
      </c>
      <c r="C35" s="61" t="s">
        <v>239</v>
      </c>
      <c r="D35" s="61" t="s">
        <v>102</v>
      </c>
      <c r="E35" s="62" t="n">
        <v>23937</v>
      </c>
      <c r="F35" s="62" t="n">
        <v>42746</v>
      </c>
      <c r="G35" s="62" t="n">
        <v>43178</v>
      </c>
      <c r="H35" s="62" t="s">
        <v>157</v>
      </c>
      <c r="I35" s="148" t="n">
        <f aca="false">(G35-E35)/365.25</f>
        <v>52.6789869952088</v>
      </c>
      <c r="J35" s="148" t="n">
        <f aca="false">G35-E35</f>
        <v>19241</v>
      </c>
      <c r="K35" s="148" t="n">
        <f aca="false">G35-F35</f>
        <v>432</v>
      </c>
      <c r="L35" s="149" t="s">
        <v>104</v>
      </c>
      <c r="M35" s="149" t="s">
        <v>104</v>
      </c>
      <c r="N35" s="66" t="s">
        <v>240</v>
      </c>
      <c r="Q35" s="150" t="s">
        <v>106</v>
      </c>
      <c r="R35" s="150" t="s">
        <v>241</v>
      </c>
      <c r="S35" s="151" t="s">
        <v>107</v>
      </c>
      <c r="T35" s="152" t="s">
        <v>178</v>
      </c>
      <c r="U35" s="69" t="n">
        <v>1670.97</v>
      </c>
      <c r="V35" s="69" t="n">
        <v>86.35</v>
      </c>
      <c r="W35" s="70" t="n">
        <f aca="false">U35-V35</f>
        <v>1584.62</v>
      </c>
      <c r="X35" s="81" t="s">
        <v>109</v>
      </c>
      <c r="Y35" s="71" t="n">
        <v>8200000</v>
      </c>
      <c r="Z35" s="72" t="n">
        <f aca="false">Y35*W35</f>
        <v>12993884000</v>
      </c>
      <c r="AA35" s="71" t="n">
        <f aca="false">155000000</f>
        <v>155000000</v>
      </c>
      <c r="AB35" s="68" t="s">
        <v>242</v>
      </c>
      <c r="AC35" s="72" t="n">
        <v>10000000</v>
      </c>
      <c r="AD35" s="61" t="s">
        <v>243</v>
      </c>
      <c r="AE35" s="61" t="n">
        <v>86563</v>
      </c>
      <c r="AF35" s="61" t="n">
        <v>398</v>
      </c>
      <c r="AG35" s="61" t="n">
        <f aca="false">100*0.0045</f>
        <v>0.45</v>
      </c>
      <c r="AH35" s="61" t="n">
        <f aca="false">100*0.405</f>
        <v>40.5</v>
      </c>
      <c r="AI35" s="61" t="n">
        <v>702</v>
      </c>
      <c r="AJ35" s="61" t="n">
        <f aca="false">100*0.008</f>
        <v>0.8</v>
      </c>
      <c r="AK35" s="61" t="n">
        <v>1637</v>
      </c>
      <c r="AL35" s="61" t="n">
        <f aca="false">100*0.019</f>
        <v>1.9</v>
      </c>
      <c r="AM35" s="61" t="n">
        <f aca="false">100*0.152</f>
        <v>15.2</v>
      </c>
      <c r="AN35" s="61" t="n">
        <f aca="false">100*0.215</f>
        <v>21.5</v>
      </c>
      <c r="AO35" s="61" t="n">
        <f aca="false">100*0.371</f>
        <v>37.1</v>
      </c>
      <c r="AP35" s="61" t="n">
        <f aca="false">100*0.0538</f>
        <v>5.38</v>
      </c>
      <c r="AQ35" s="61" t="n">
        <v>25218</v>
      </c>
      <c r="AR35" s="61" t="n">
        <f aca="false">100*0.0556</f>
        <v>5.56</v>
      </c>
      <c r="AS35" s="61" t="n">
        <f aca="false">100*0.4</f>
        <v>40</v>
      </c>
      <c r="AT35" s="61" t="n">
        <f aca="false">100*0.295</f>
        <v>29.5</v>
      </c>
      <c r="AU35" s="61" t="n">
        <f aca="false">100*0.195</f>
        <v>19.5</v>
      </c>
      <c r="AV35" s="61" t="n">
        <f aca="false">100*0.11</f>
        <v>11</v>
      </c>
      <c r="AW35" s="61" t="n">
        <f aca="false">10*0.132</f>
        <v>1.32</v>
      </c>
      <c r="AX35" s="61" t="n">
        <f aca="false">100*0.108</f>
        <v>10.8</v>
      </c>
      <c r="AY35" s="61" t="n">
        <f aca="false">100*0.363</f>
        <v>36.3</v>
      </c>
      <c r="AZ35" s="61" t="n">
        <f aca="false">100*0.398</f>
        <v>39.8</v>
      </c>
      <c r="BA35" s="61" t="n">
        <v>54211</v>
      </c>
      <c r="BB35" s="61" t="n">
        <f aca="false">100*0.0865</f>
        <v>8.65</v>
      </c>
      <c r="BC35" s="61" t="n">
        <f aca="false">100*0.636</f>
        <v>63.6</v>
      </c>
      <c r="BD35" s="61" t="n">
        <f aca="false">100*0.21</f>
        <v>21</v>
      </c>
      <c r="BE35" s="61" t="n">
        <f aca="false">100*0.0058</f>
        <v>0.58</v>
      </c>
      <c r="BF35" s="61" t="n">
        <f aca="false">100*0.149</f>
        <v>14.9</v>
      </c>
      <c r="BG35" s="61" t="n">
        <f aca="false">100*0.413</f>
        <v>41.3</v>
      </c>
      <c r="BH35" s="61" t="n">
        <f aca="false">100*0.212</f>
        <v>21.2</v>
      </c>
      <c r="BI35" s="61" t="n">
        <f aca="false">100*0.0165</f>
        <v>1.65</v>
      </c>
      <c r="BJ35" s="61" t="n">
        <f aca="false">100*0.359</f>
        <v>35.9</v>
      </c>
      <c r="BK35" s="61" t="n">
        <f aca="false">100*0.726</f>
        <v>72.6</v>
      </c>
      <c r="BL35" s="61" t="n">
        <f aca="false">100*0.126</f>
        <v>12.6</v>
      </c>
      <c r="BM35" s="61" t="n">
        <f aca="false">100*0.0402</f>
        <v>4.02</v>
      </c>
      <c r="BN35" s="61" t="n">
        <f aca="false">100*0.108</f>
        <v>10.8</v>
      </c>
      <c r="BO35" s="61" t="n">
        <f aca="false">100*0.148</f>
        <v>14.8</v>
      </c>
      <c r="BP35" s="61" t="n">
        <v>0</v>
      </c>
      <c r="BQ35" s="61" t="n">
        <f aca="false">100*0.166</f>
        <v>16.6</v>
      </c>
      <c r="BR35" s="61" t="n">
        <f aca="false">100*0.686</f>
        <v>68.6</v>
      </c>
      <c r="BS35" s="61" t="n">
        <f aca="false">100*0.779</f>
        <v>77.9</v>
      </c>
      <c r="BT35" s="61" t="n">
        <f aca="false">100*0.0672</f>
        <v>6.72</v>
      </c>
      <c r="BU35" s="61" t="n">
        <f aca="false">100*0.0165</f>
        <v>1.65</v>
      </c>
      <c r="BV35" s="61" t="n">
        <f aca="false">100*0.137</f>
        <v>13.7</v>
      </c>
      <c r="BW35" s="61" t="n">
        <f aca="false">100*0.0922</f>
        <v>9.22</v>
      </c>
      <c r="BX35" s="61" t="s">
        <v>244</v>
      </c>
      <c r="BY35" s="61" t="n">
        <f aca="false">100*0.0739</f>
        <v>7.39</v>
      </c>
      <c r="BZ35" s="61" t="n">
        <f aca="false">100*0.822</f>
        <v>82.2</v>
      </c>
      <c r="CA35" s="84" t="n">
        <f aca="false">AE35/CB35</f>
        <v>0.0287049622779596</v>
      </c>
      <c r="CB35" s="74" t="n">
        <v>3015611</v>
      </c>
      <c r="CC35" s="74"/>
    </row>
    <row r="36" s="61" customFormat="true" ht="12.8" hidden="false" customHeight="false" outlineLevel="0" collapsed="false">
      <c r="A36" s="61" t="s">
        <v>245</v>
      </c>
      <c r="B36" s="61" t="s">
        <v>101</v>
      </c>
      <c r="D36" s="61" t="s">
        <v>102</v>
      </c>
      <c r="E36" s="62" t="n">
        <v>23937</v>
      </c>
      <c r="F36" s="62" t="n">
        <v>42746</v>
      </c>
      <c r="G36" s="62" t="n">
        <v>43223</v>
      </c>
      <c r="H36" s="62" t="s">
        <v>157</v>
      </c>
      <c r="I36" s="148" t="n">
        <f aca="false">(G36-E36)/365.25</f>
        <v>52.8021902806297</v>
      </c>
      <c r="J36" s="148" t="n">
        <f aca="false">G36-E36</f>
        <v>19286</v>
      </c>
      <c r="K36" s="148" t="n">
        <f aca="false">G36-F36</f>
        <v>477</v>
      </c>
      <c r="L36" s="149" t="s">
        <v>104</v>
      </c>
      <c r="M36" s="149" t="s">
        <v>104</v>
      </c>
      <c r="N36" s="66" t="s">
        <v>240</v>
      </c>
      <c r="O36" s="67"/>
      <c r="P36" s="67"/>
      <c r="Q36" s="150" t="s">
        <v>116</v>
      </c>
      <c r="R36" s="150" t="s">
        <v>246</v>
      </c>
      <c r="S36" s="151"/>
      <c r="T36" s="152"/>
      <c r="U36" s="69" t="n">
        <v>1530.1</v>
      </c>
      <c r="V36" s="69" t="n">
        <v>102.72</v>
      </c>
      <c r="W36" s="70" t="n">
        <f aca="false">U36-V36</f>
        <v>1427.38</v>
      </c>
      <c r="X36" s="81" t="s">
        <v>109</v>
      </c>
      <c r="Y36" s="71" t="n">
        <v>20000000</v>
      </c>
      <c r="Z36" s="72" t="n">
        <f aca="false">Y36*W36</f>
        <v>28547600000</v>
      </c>
      <c r="AA36" s="71" t="n">
        <v>50500000</v>
      </c>
      <c r="AB36" s="151" t="s">
        <v>179</v>
      </c>
      <c r="AC36" s="157" t="n">
        <v>15400000</v>
      </c>
      <c r="AD36" s="61" t="s">
        <v>247</v>
      </c>
      <c r="AE36" s="61" t="n">
        <v>87005</v>
      </c>
      <c r="AF36" s="61" t="n">
        <v>550</v>
      </c>
      <c r="AG36" s="61" t="n">
        <f aca="false">100*0.0064</f>
        <v>0.64</v>
      </c>
      <c r="AH36" s="61" t="n">
        <f aca="false">100*0.396</f>
        <v>39.6</v>
      </c>
      <c r="AI36" s="61" t="n">
        <v>575</v>
      </c>
      <c r="AJ36" s="61" t="n">
        <f aca="false">100*0.0067</f>
        <v>0.67</v>
      </c>
      <c r="AK36" s="61" t="n">
        <v>2882</v>
      </c>
      <c r="AL36" s="61" t="n">
        <f aca="false">100*0.034</f>
        <v>3.4</v>
      </c>
      <c r="AM36" s="61" t="n">
        <f aca="false">100*0.0486</f>
        <v>4.86</v>
      </c>
      <c r="AN36" s="61" t="n">
        <f aca="false">100*0.0371</f>
        <v>3.71</v>
      </c>
      <c r="AO36" s="61" t="n">
        <f aca="false">100*0.515</f>
        <v>51.5</v>
      </c>
      <c r="AP36" s="61" t="n">
        <f aca="false">100*0.018</f>
        <v>1.8</v>
      </c>
      <c r="AQ36" s="61" t="n">
        <v>18121</v>
      </c>
      <c r="AR36" s="61" t="n">
        <f aca="false">100*0.0658</f>
        <v>6.58</v>
      </c>
      <c r="AS36" s="61" t="n">
        <f aca="false">100*0.338</f>
        <v>33.8</v>
      </c>
      <c r="AT36" s="61" t="n">
        <f aca="false">100*0.391</f>
        <v>39.1</v>
      </c>
      <c r="AU36" s="61" t="n">
        <f aca="false">100*0.196</f>
        <v>19.6</v>
      </c>
      <c r="AV36" s="61" t="n">
        <f aca="false">100*0.0754</f>
        <v>7.54</v>
      </c>
      <c r="AW36" s="61" t="n">
        <f aca="false">100*0.132</f>
        <v>13.2</v>
      </c>
      <c r="AX36" s="61" t="n">
        <f aca="false">100*0.172</f>
        <v>17.2</v>
      </c>
      <c r="AY36" s="61" t="n">
        <f aca="false">100*0.469</f>
        <v>46.9</v>
      </c>
      <c r="AZ36" s="61" t="n">
        <f aca="false">100*0.227</f>
        <v>22.7</v>
      </c>
      <c r="BA36" s="61" t="n">
        <v>60627</v>
      </c>
      <c r="BB36" s="61" t="n">
        <f aca="false">100*0.0299</f>
        <v>2.99</v>
      </c>
      <c r="BC36" s="61" t="n">
        <f aca="false">100*0.556</f>
        <v>55.6</v>
      </c>
      <c r="BD36" s="61" t="n">
        <f aca="false">100*0.262</f>
        <v>26.2</v>
      </c>
      <c r="BE36" s="61" t="n">
        <f aca="false">100*0.0137</f>
        <v>1.37</v>
      </c>
      <c r="BF36" s="61" t="n">
        <f aca="false">100*0.168</f>
        <v>16.8</v>
      </c>
      <c r="BG36" s="61" t="n">
        <f aca="false">100*0.421</f>
        <v>42.1</v>
      </c>
      <c r="BH36" s="61" t="n">
        <f aca="false">100*0.251</f>
        <v>25.1</v>
      </c>
      <c r="BI36" s="61" t="n">
        <f aca="false">100*0.0254</f>
        <v>2.54</v>
      </c>
      <c r="BJ36" s="61" t="n">
        <f aca="false">100*0.302</f>
        <v>30.2</v>
      </c>
      <c r="BK36" s="61" t="n">
        <f aca="false">100*0.333</f>
        <v>33.3</v>
      </c>
      <c r="BL36" s="61" t="n">
        <f aca="false">100*0.624</f>
        <v>62.4</v>
      </c>
      <c r="BM36" s="61" t="n">
        <f aca="false">100*0.0327</f>
        <v>3.27</v>
      </c>
      <c r="BN36" s="61" t="n">
        <f aca="false">100*0.0109</f>
        <v>1.09</v>
      </c>
      <c r="BO36" s="61" t="n">
        <f aca="false">100*0.0982</f>
        <v>9.82</v>
      </c>
      <c r="BP36" s="61" t="n">
        <f aca="false">100*0.149</f>
        <v>14.9</v>
      </c>
      <c r="BQ36" s="61" t="n">
        <f aca="false">100*0.507</f>
        <v>50.7</v>
      </c>
      <c r="BR36" s="61" t="n">
        <f aca="false">100*0.245</f>
        <v>24.5</v>
      </c>
      <c r="BS36" s="61" t="n">
        <f aca="false">100*0.616</f>
        <v>61.6</v>
      </c>
      <c r="BT36" s="61" t="n">
        <f aca="false">100*0.301</f>
        <v>30.1</v>
      </c>
      <c r="BU36" s="61" t="n">
        <f aca="false">100*0.0396</f>
        <v>3.96</v>
      </c>
      <c r="BV36" s="61" t="n">
        <f aca="false">100*0.0441</f>
        <v>4.41</v>
      </c>
      <c r="BW36" s="61" t="n">
        <f aca="false">100*0.0687</f>
        <v>6.87</v>
      </c>
      <c r="BX36" s="61" t="n">
        <f aca="false">100*0.0271</f>
        <v>2.71</v>
      </c>
      <c r="BY36" s="61" t="n">
        <f aca="false">100*0.319</f>
        <v>31.9</v>
      </c>
      <c r="BZ36" s="61" t="n">
        <f aca="false">100*0.585</f>
        <v>58.5</v>
      </c>
      <c r="CA36" s="84" t="n">
        <f aca="false">100*0.0236</f>
        <v>2.36</v>
      </c>
      <c r="CB36" s="74"/>
      <c r="CC36" s="74"/>
      <c r="CD36" s="75"/>
      <c r="CE36" s="75"/>
      <c r="CF36" s="75"/>
      <c r="CG36" s="75"/>
      <c r="CH36" s="75"/>
      <c r="CI36" s="75"/>
      <c r="CJ36" s="75"/>
      <c r="CK36" s="75"/>
      <c r="CL36" s="75"/>
      <c r="CM36" s="75"/>
      <c r="CN36" s="75"/>
      <c r="CO36" s="75"/>
      <c r="CP36" s="75"/>
      <c r="CQ36" s="75"/>
      <c r="CR36" s="75"/>
      <c r="CS36" s="75"/>
      <c r="CT36" s="75"/>
      <c r="CU36" s="75"/>
      <c r="CV36" s="75"/>
    </row>
    <row r="37" s="61" customFormat="true" ht="13.9" hidden="false" customHeight="true" outlineLevel="0" collapsed="false">
      <c r="A37" s="61" t="s">
        <v>248</v>
      </c>
      <c r="B37" s="61" t="s">
        <v>113</v>
      </c>
      <c r="D37" s="61" t="s">
        <v>102</v>
      </c>
      <c r="E37" s="76" t="n">
        <v>23937</v>
      </c>
      <c r="F37" s="76" t="n">
        <v>42746</v>
      </c>
      <c r="G37" s="76" t="n">
        <v>43355</v>
      </c>
      <c r="H37" s="76" t="s">
        <v>157</v>
      </c>
      <c r="I37" s="64" t="n">
        <v>53.1635865845311</v>
      </c>
      <c r="J37" s="65" t="n">
        <v>19418</v>
      </c>
      <c r="K37" s="65" t="n">
        <v>609</v>
      </c>
      <c r="L37" s="65" t="s">
        <v>104</v>
      </c>
      <c r="M37" s="65" t="s">
        <v>104</v>
      </c>
      <c r="N37" s="66" t="n">
        <v>43223</v>
      </c>
      <c r="O37" s="77"/>
      <c r="P37" s="67"/>
      <c r="Q37" s="76" t="s">
        <v>116</v>
      </c>
      <c r="R37" s="76"/>
      <c r="S37" s="68" t="s">
        <v>117</v>
      </c>
      <c r="T37" s="158" t="n">
        <v>10</v>
      </c>
      <c r="U37" s="159" t="n">
        <v>1779.54</v>
      </c>
      <c r="V37" s="160" t="n">
        <v>85.09</v>
      </c>
      <c r="W37" s="80" t="n">
        <f aca="false">U37-V37</f>
        <v>1694.45</v>
      </c>
      <c r="X37" s="68"/>
      <c r="Y37" s="82"/>
      <c r="Z37" s="161" t="n">
        <v>590000</v>
      </c>
      <c r="AA37" s="82"/>
      <c r="AB37" s="68"/>
      <c r="AC37" s="161" t="n">
        <v>8500000</v>
      </c>
      <c r="AD37" s="61" t="s">
        <v>249</v>
      </c>
      <c r="AE37" s="61" t="n">
        <v>484000</v>
      </c>
      <c r="AF37" s="61" t="n">
        <v>1796</v>
      </c>
      <c r="AG37" s="61" t="n">
        <f aca="false">100*0.0038</f>
        <v>0.38</v>
      </c>
      <c r="AH37" s="61" t="n">
        <f aca="false">100*0.519</f>
        <v>51.9</v>
      </c>
      <c r="AI37" s="61" t="n">
        <v>77</v>
      </c>
      <c r="AJ37" s="61" t="n">
        <f aca="false">100*0.00016</f>
        <v>0.016</v>
      </c>
      <c r="AK37" s="61" t="n">
        <v>12080</v>
      </c>
      <c r="AL37" s="61" t="n">
        <f aca="false">100*0.0256</f>
        <v>2.56</v>
      </c>
      <c r="AM37" s="61" t="n">
        <f aca="false">100*0.0612</f>
        <v>6.12</v>
      </c>
      <c r="AN37" s="61" t="n">
        <f aca="false">100*0.0396</f>
        <v>3.96</v>
      </c>
      <c r="AO37" s="61" t="n">
        <f aca="false">100*0.504</f>
        <v>50.4</v>
      </c>
      <c r="AP37" s="61" t="n">
        <f aca="false">100*0.0209</f>
        <v>2.09</v>
      </c>
      <c r="AQ37" s="61" t="n">
        <v>107956</v>
      </c>
      <c r="AR37" s="61" t="n">
        <f aca="false">100*0.293</f>
        <v>29.3</v>
      </c>
      <c r="AS37" s="61" t="n">
        <f aca="false">100*0.288</f>
        <v>28.8</v>
      </c>
      <c r="AT37" s="61" t="n">
        <f aca="false">100*0.363</f>
        <v>36.3</v>
      </c>
      <c r="AU37" s="61" t="n">
        <f aca="false">100*0.252</f>
        <v>25.2</v>
      </c>
      <c r="AV37" s="61" t="n">
        <f aca="false">100*0.0968</f>
        <v>9.68</v>
      </c>
      <c r="AW37" s="61" t="n">
        <f aca="false">100*0.123</f>
        <v>12.3</v>
      </c>
      <c r="AX37" s="61" t="n">
        <f aca="false">100*0.237</f>
        <v>23.7</v>
      </c>
      <c r="AY37" s="61" t="n">
        <f aca="false">100*0.487</f>
        <v>48.7</v>
      </c>
      <c r="AZ37" s="61" t="n">
        <f aca="false">100*0.153</f>
        <v>15.3</v>
      </c>
      <c r="BA37" s="61" t="n">
        <v>329566</v>
      </c>
      <c r="BB37" s="61" t="n">
        <f aca="false">100*0.274</f>
        <v>27.4</v>
      </c>
      <c r="BC37" s="61" t="n">
        <f aca="false">100*0.496</f>
        <v>49.6</v>
      </c>
      <c r="BD37" s="61" t="n">
        <f aca="false">100*0.303</f>
        <v>30.3</v>
      </c>
      <c r="BE37" s="61" t="n">
        <f aca="false">100*0.0157</f>
        <v>1.57</v>
      </c>
      <c r="BF37" s="61" t="n">
        <f aca="false">100*0.185</f>
        <v>18.5</v>
      </c>
      <c r="BG37" s="61" t="n">
        <f aca="false">100*0.279</f>
        <v>27.9</v>
      </c>
      <c r="BH37" s="61" t="n">
        <f aca="false">100*0.306</f>
        <v>30.6</v>
      </c>
      <c r="BI37" s="61" t="n">
        <f aca="false">100*0.0574</f>
        <v>5.74</v>
      </c>
      <c r="BJ37" s="61" t="n">
        <f aca="false">100*0.358</f>
        <v>35.8</v>
      </c>
      <c r="BK37" s="61" t="n">
        <f aca="false">100*0.148</f>
        <v>14.8</v>
      </c>
      <c r="BL37" s="61" t="n">
        <f aca="false">100*0.496</f>
        <v>49.6</v>
      </c>
      <c r="BM37" s="61" t="n">
        <f aca="false">100*0.302</f>
        <v>30.2</v>
      </c>
      <c r="BN37" s="61" t="n">
        <f aca="false">100*0.0546</f>
        <v>5.46</v>
      </c>
      <c r="BO37" s="61" t="n">
        <f aca="false">100*0.054</f>
        <v>5.4</v>
      </c>
      <c r="BP37" s="61" t="n">
        <f aca="false">100*0.123</f>
        <v>12.3</v>
      </c>
      <c r="BQ37" s="61" t="n">
        <f aca="false">100*0.675</f>
        <v>67.5</v>
      </c>
      <c r="BR37" s="61" t="n">
        <f aca="false">100*0.148</f>
        <v>14.8</v>
      </c>
      <c r="BS37" s="61" t="n">
        <f aca="false">100*0.485</f>
        <v>48.5</v>
      </c>
      <c r="BT37" s="61" t="n">
        <f aca="false">100*0.429</f>
        <v>42.9</v>
      </c>
      <c r="BU37" s="61" t="n">
        <f aca="false">100*0.0473</f>
        <v>4.73</v>
      </c>
      <c r="BV37" s="61" t="n">
        <f aca="false">100*0.0387</f>
        <v>3.87</v>
      </c>
      <c r="BW37" s="61" t="n">
        <f aca="false">100*0.0697</f>
        <v>6.97</v>
      </c>
      <c r="BX37" s="61" t="n">
        <f aca="false">100*0.0589</f>
        <v>5.89</v>
      </c>
      <c r="BY37" s="61" t="n">
        <f aca="false">100*0.417</f>
        <v>41.7</v>
      </c>
      <c r="BZ37" s="61" t="n">
        <f aca="false">100*0.454</f>
        <v>45.4</v>
      </c>
      <c r="CA37" s="84" t="n">
        <f aca="false">100*1</f>
        <v>100</v>
      </c>
      <c r="CB37" s="74"/>
      <c r="CC37" s="74"/>
      <c r="CD37" s="75"/>
      <c r="CE37" s="75"/>
      <c r="CF37" s="75"/>
      <c r="CG37" s="75"/>
      <c r="CH37" s="75"/>
      <c r="CI37" s="75"/>
      <c r="CJ37" s="75"/>
      <c r="CK37" s="75"/>
      <c r="CL37" s="75"/>
      <c r="CM37" s="75"/>
      <c r="CN37" s="75"/>
      <c r="CO37" s="75"/>
      <c r="CP37" s="75"/>
      <c r="CQ37" s="75"/>
      <c r="CR37" s="75"/>
      <c r="CS37" s="75"/>
      <c r="CT37" s="75"/>
      <c r="CU37" s="75"/>
      <c r="CV37" s="75"/>
    </row>
    <row r="38" s="41" customFormat="true" ht="11.45" hidden="false" customHeight="true" outlineLevel="0" collapsed="false">
      <c r="A38" s="22" t="s">
        <v>250</v>
      </c>
      <c r="B38" s="22" t="s">
        <v>101</v>
      </c>
      <c r="C38" s="22"/>
      <c r="D38" s="22" t="s">
        <v>102</v>
      </c>
      <c r="E38" s="23" t="n">
        <v>25179</v>
      </c>
      <c r="F38" s="23" t="n">
        <v>43145</v>
      </c>
      <c r="G38" s="23" t="n">
        <v>43167</v>
      </c>
      <c r="H38" s="23" t="s">
        <v>157</v>
      </c>
      <c r="I38" s="25" t="n">
        <f aca="false">(G38-E38)/365.25</f>
        <v>49.2484599589322</v>
      </c>
      <c r="J38" s="25" t="n">
        <f aca="false">G38-E38</f>
        <v>17988</v>
      </c>
      <c r="K38" s="25" t="n">
        <f aca="false">G38-F38</f>
        <v>22</v>
      </c>
      <c r="L38" s="26" t="s">
        <v>104</v>
      </c>
      <c r="M38" s="26" t="s">
        <v>104</v>
      </c>
      <c r="N38" s="27" t="s">
        <v>251</v>
      </c>
      <c r="O38" s="28"/>
      <c r="P38" s="28"/>
      <c r="Q38" s="29" t="s">
        <v>252</v>
      </c>
      <c r="R38" s="29" t="s">
        <v>253</v>
      </c>
      <c r="S38" s="30" t="s">
        <v>107</v>
      </c>
      <c r="T38" s="31" t="s">
        <v>178</v>
      </c>
      <c r="U38" s="32" t="n">
        <f aca="false">1244.81+890</f>
        <v>2134.81</v>
      </c>
      <c r="V38" s="32" t="n">
        <v>73.17</v>
      </c>
      <c r="W38" s="33" t="n">
        <f aca="false">U38-V38</f>
        <v>2061.64</v>
      </c>
      <c r="X38" s="34" t="s">
        <v>109</v>
      </c>
      <c r="Y38" s="35" t="n">
        <v>1700000</v>
      </c>
      <c r="Z38" s="36" t="n">
        <f aca="false">Y38*W38</f>
        <v>3504788000</v>
      </c>
      <c r="AA38" s="35" t="n">
        <f aca="false">54000000*5</f>
        <v>270000000</v>
      </c>
      <c r="AB38" s="30" t="s">
        <v>253</v>
      </c>
      <c r="AC38" s="36" t="n">
        <v>40000000</v>
      </c>
      <c r="AD38" s="22" t="s">
        <v>254</v>
      </c>
      <c r="AE38" s="22" t="n">
        <v>295694</v>
      </c>
      <c r="AF38" s="22" t="n">
        <v>188</v>
      </c>
      <c r="AG38" s="22" t="n">
        <f aca="false">100*0.00063</f>
        <v>0.063</v>
      </c>
      <c r="AH38" s="22" t="n">
        <f aca="false">100*0.519</f>
        <v>51.9</v>
      </c>
      <c r="AI38" s="22" t="n">
        <v>5749</v>
      </c>
      <c r="AJ38" s="22" t="n">
        <f aca="false">100*0.01665</f>
        <v>1.665</v>
      </c>
      <c r="AK38" s="22" t="n">
        <v>1093</v>
      </c>
      <c r="AL38" s="22" t="n">
        <f aca="false">100*0.0037</f>
        <v>0.37</v>
      </c>
      <c r="AM38" s="22" t="n">
        <f aca="false">100*0.0333</f>
        <v>3.33</v>
      </c>
      <c r="AN38" s="22" t="n">
        <f aca="false">100*0.026</f>
        <v>2.6</v>
      </c>
      <c r="AO38" s="22" t="n">
        <f aca="false">100*0.607</f>
        <v>60.7</v>
      </c>
      <c r="AP38" s="22" t="n">
        <f aca="false">100*0.058</f>
        <v>5.8</v>
      </c>
      <c r="AQ38" s="22" t="n">
        <v>168678</v>
      </c>
      <c r="AR38" s="22" t="n">
        <f aca="false">100*0.252434</f>
        <v>25.2434</v>
      </c>
      <c r="AS38" s="22" t="n">
        <f aca="false">100*0.0939</f>
        <v>9.39</v>
      </c>
      <c r="AT38" s="22" t="n">
        <f aca="false">100*0.1249689</f>
        <v>12.49689</v>
      </c>
      <c r="AU38" s="22" t="n">
        <f aca="false">100*0.56</f>
        <v>56</v>
      </c>
      <c r="AV38" s="22" t="n">
        <f aca="false">100*0.21</f>
        <v>21</v>
      </c>
      <c r="AW38" s="22" t="n">
        <f aca="false">100*0.0379289</f>
        <v>3.79289</v>
      </c>
      <c r="AX38" s="22" t="n">
        <f aca="false">100*0.039495</f>
        <v>3.9495</v>
      </c>
      <c r="AY38" s="22" t="n">
        <f aca="false">100*0.617</f>
        <v>61.7</v>
      </c>
      <c r="AZ38" s="22" t="n">
        <f aca="false">100*0.303</f>
        <v>30.3</v>
      </c>
      <c r="BA38" s="22" t="n">
        <v>64230</v>
      </c>
      <c r="BB38" s="22" t="n">
        <f aca="false">100*0.2534423</f>
        <v>25.34423</v>
      </c>
      <c r="BC38" s="22" t="n">
        <f aca="false">100*0.5019833</f>
        <v>50.19833</v>
      </c>
      <c r="BD38" s="22" t="n">
        <f aca="false">100*0.17698185</f>
        <v>17.698185</v>
      </c>
      <c r="BE38" s="22" t="n">
        <f aca="false">100*0.048</f>
        <v>4.8</v>
      </c>
      <c r="BF38" s="22" t="n">
        <f aca="false">100*0.274</f>
        <v>27.4</v>
      </c>
      <c r="BG38" s="22" t="n">
        <f aca="false">100*0.4229377</f>
        <v>42.29377</v>
      </c>
      <c r="BH38" s="22" t="n">
        <f aca="false">100*0.19797465</f>
        <v>19.797465</v>
      </c>
      <c r="BI38" s="22" t="n">
        <f aca="false">100*0.057</f>
        <v>5.7</v>
      </c>
      <c r="BJ38" s="22" t="n">
        <f aca="false">100*0.329</f>
        <v>32.9</v>
      </c>
      <c r="BK38" s="22" t="n">
        <f aca="false">100*0.401</f>
        <v>40.1</v>
      </c>
      <c r="BL38" s="22" t="n">
        <f aca="false">100*0.09335</f>
        <v>9.335</v>
      </c>
      <c r="BM38" s="22" t="n">
        <f aca="false">100*0.207</f>
        <v>20.7</v>
      </c>
      <c r="BN38" s="22" t="n">
        <f aca="false">100*0.333</f>
        <v>33.3</v>
      </c>
      <c r="BO38" s="22" t="n">
        <f aca="false">100*0.101</f>
        <v>10.1</v>
      </c>
      <c r="BP38" s="22" t="n">
        <f aca="false">100*0.04275</f>
        <v>4.275</v>
      </c>
      <c r="BQ38" s="22" t="n">
        <f aca="false">100*0.272</f>
        <v>27.2</v>
      </c>
      <c r="BR38" s="22" t="n">
        <f aca="false">100*0.593</f>
        <v>59.3</v>
      </c>
      <c r="BS38" s="22" t="n">
        <f aca="false">100*0.722</f>
        <v>72.2</v>
      </c>
      <c r="BT38" s="22" t="n">
        <f aca="false">100*0.090845</f>
        <v>9.0845</v>
      </c>
      <c r="BU38" s="22" t="n">
        <f aca="false">100*0.0309</f>
        <v>3.09</v>
      </c>
      <c r="BV38" s="22" t="n">
        <f aca="false">100*0.137</f>
        <v>13.7</v>
      </c>
      <c r="BW38" s="22" t="n">
        <f aca="false">100*0.0586</f>
        <v>5.86</v>
      </c>
      <c r="BX38" s="22" t="n">
        <f aca="false">100*0.00328</f>
        <v>0.328</v>
      </c>
      <c r="BY38" s="22" t="n">
        <f aca="false">100*0.0495</f>
        <v>4.95</v>
      </c>
      <c r="BZ38" s="22" t="n">
        <f aca="false">100*0.887</f>
        <v>88.7</v>
      </c>
      <c r="CA38" s="38" t="n">
        <f aca="false">AE38/CB38</f>
        <v>0.142367625994535</v>
      </c>
      <c r="CB38" s="39" t="n">
        <v>2076975</v>
      </c>
      <c r="CC38" s="39"/>
      <c r="CD38" s="22"/>
      <c r="CE38" s="22"/>
      <c r="CF38" s="22"/>
      <c r="CG38" s="22"/>
      <c r="CH38" s="22"/>
      <c r="CI38" s="22"/>
      <c r="CJ38" s="22"/>
      <c r="CK38" s="22"/>
      <c r="CL38" s="22"/>
      <c r="CM38" s="22"/>
      <c r="CN38" s="22"/>
      <c r="CO38" s="22"/>
      <c r="CP38" s="22"/>
      <c r="CQ38" s="22"/>
      <c r="CR38" s="22"/>
      <c r="CS38" s="22"/>
      <c r="CT38" s="22"/>
      <c r="CU38" s="22"/>
      <c r="CV38" s="22"/>
      <c r="CW38" s="22"/>
      <c r="CX38" s="22"/>
    </row>
    <row r="39" s="61" customFormat="true" ht="12.8" hidden="false" customHeight="false" outlineLevel="0" collapsed="false">
      <c r="A39" s="61" t="s">
        <v>255</v>
      </c>
      <c r="B39" s="61" t="s">
        <v>101</v>
      </c>
      <c r="D39" s="61" t="s">
        <v>102</v>
      </c>
      <c r="E39" s="76" t="n">
        <v>25372</v>
      </c>
      <c r="F39" s="76" t="n">
        <v>42866</v>
      </c>
      <c r="G39" s="76" t="n">
        <v>43241</v>
      </c>
      <c r="H39" s="76" t="s">
        <v>103</v>
      </c>
      <c r="I39" s="64" t="n">
        <f aca="false">(G39-E39)/365.25</f>
        <v>48.9226557152635</v>
      </c>
      <c r="J39" s="65" t="n">
        <f aca="false">G39-E39</f>
        <v>17869</v>
      </c>
      <c r="K39" s="65" t="n">
        <f aca="false">G39-F39</f>
        <v>375</v>
      </c>
      <c r="L39" s="149" t="s">
        <v>114</v>
      </c>
      <c r="M39" s="149" t="s">
        <v>114</v>
      </c>
      <c r="N39" s="66" t="s">
        <v>240</v>
      </c>
      <c r="O39" s="67"/>
      <c r="P39" s="67"/>
      <c r="Q39" s="150" t="s">
        <v>252</v>
      </c>
      <c r="R39" s="150" t="s">
        <v>256</v>
      </c>
      <c r="S39" s="151" t="s">
        <v>257</v>
      </c>
      <c r="T39" s="152" t="s">
        <v>258</v>
      </c>
      <c r="U39" s="159" t="n">
        <f aca="false">1066.45+1260.87</f>
        <v>2327.32</v>
      </c>
      <c r="V39" s="160" t="n">
        <f aca="false">(60.24+49.61)/2</f>
        <v>54.925</v>
      </c>
      <c r="W39" s="80" t="n">
        <f aca="false">U39-V39</f>
        <v>2272.395</v>
      </c>
      <c r="X39" s="68" t="s">
        <v>109</v>
      </c>
      <c r="Y39" s="82" t="n">
        <v>610000</v>
      </c>
      <c r="Z39" s="161" t="n">
        <f aca="false">Y39*W39</f>
        <v>1386160950</v>
      </c>
      <c r="AA39" s="71" t="n">
        <v>270000000</v>
      </c>
      <c r="AB39" s="151"/>
      <c r="AC39" s="161" t="n">
        <v>19800000</v>
      </c>
      <c r="AD39" s="61" t="s">
        <v>259</v>
      </c>
      <c r="AE39" s="61" t="n">
        <v>285709</v>
      </c>
      <c r="AF39" s="61" t="n">
        <v>15902</v>
      </c>
      <c r="AG39" s="61" t="n">
        <f aca="false">100*0.0568</f>
        <v>5.68</v>
      </c>
      <c r="AH39" s="61" t="n">
        <f aca="false">100*0.103</f>
        <v>10.3</v>
      </c>
      <c r="AI39" s="61" t="n">
        <v>202</v>
      </c>
      <c r="AJ39" s="61" t="n">
        <f aca="false">100*0.00072</f>
        <v>0.072</v>
      </c>
      <c r="AK39" s="61" t="n">
        <v>9379</v>
      </c>
      <c r="AL39" s="61" t="n">
        <f aca="false">100*0.0357</f>
        <v>3.57</v>
      </c>
      <c r="AM39" s="61" t="n">
        <f aca="false">100*0.0068</f>
        <v>0.68</v>
      </c>
      <c r="AN39" s="61" t="n">
        <f aca="false">100*0.0027</f>
        <v>0.27</v>
      </c>
      <c r="AO39" s="61" t="n">
        <f aca="false">100*0.741</f>
        <v>74.1</v>
      </c>
      <c r="AP39" s="61" t="n">
        <f aca="false">100*0.0261</f>
        <v>2.61</v>
      </c>
      <c r="AQ39" s="61" t="n">
        <v>44599</v>
      </c>
      <c r="AR39" s="61" t="n">
        <f aca="false">100*0.236</f>
        <v>23.6</v>
      </c>
      <c r="AS39" s="61" t="n">
        <f aca="false">100*0.468</f>
        <v>46.8</v>
      </c>
      <c r="AT39" s="61" t="n">
        <f aca="false">100*0.361</f>
        <v>36.1</v>
      </c>
      <c r="AU39" s="61" t="n">
        <f aca="false">100*0.13</f>
        <v>13</v>
      </c>
      <c r="AV39" s="61" t="n">
        <f aca="false">100*0.0407</f>
        <v>4.07</v>
      </c>
      <c r="AW39" s="61" t="n">
        <f aca="false">100*0.153</f>
        <v>15.3</v>
      </c>
      <c r="AX39" s="61" t="n">
        <f aca="false">100*0.289</f>
        <v>28.9</v>
      </c>
      <c r="AY39" s="61" t="n">
        <f aca="false">100*0.208</f>
        <v>20.8</v>
      </c>
      <c r="AZ39" s="61" t="n">
        <f aca="false">100*0.349</f>
        <v>34.9</v>
      </c>
      <c r="BA39" s="61" t="n">
        <v>197024</v>
      </c>
      <c r="BB39" s="61" t="n">
        <f aca="false">100*0.158</f>
        <v>15.8</v>
      </c>
      <c r="BC39" s="61" t="n">
        <f aca="false">100*0.659</f>
        <v>65.9</v>
      </c>
      <c r="BD39" s="61" t="n">
        <f aca="false">100*0.227</f>
        <v>22.7</v>
      </c>
      <c r="BE39" s="61" t="n">
        <f aca="false">100*0.0057</f>
        <v>0.57</v>
      </c>
      <c r="BF39" s="61" t="n">
        <f aca="false">100*0.108</f>
        <v>10.8</v>
      </c>
      <c r="BG39" s="61" t="n">
        <f aca="false">100*0.564</f>
        <v>56.4</v>
      </c>
      <c r="BH39" s="61" t="n">
        <f aca="false">100*0.224</f>
        <v>22.4</v>
      </c>
      <c r="BI39" s="61" t="n">
        <f aca="false">100*0.0088</f>
        <v>0.88</v>
      </c>
      <c r="BJ39" s="61" t="n">
        <f aca="false">100*0.203</f>
        <v>20.3</v>
      </c>
      <c r="BK39" s="61" t="n">
        <f aca="false">100*0.108</f>
        <v>10.8</v>
      </c>
      <c r="BL39" s="61" t="n">
        <f aca="false">100*0.0568</f>
        <v>5.68</v>
      </c>
      <c r="BM39" s="61" t="n">
        <f aca="false">100*0.581</f>
        <v>58.1</v>
      </c>
      <c r="BN39" s="61" t="n">
        <f aca="false">100*0.254</f>
        <v>25.4</v>
      </c>
      <c r="BO39" s="61" t="n">
        <f aca="false">100*0.0301</f>
        <v>3.01</v>
      </c>
      <c r="BP39" s="61" t="n">
        <f aca="false">100*0.0061</f>
        <v>0.61</v>
      </c>
      <c r="BQ39" s="61" t="n">
        <f aca="false">100*0.637</f>
        <v>63.7</v>
      </c>
      <c r="BR39" s="61" t="n">
        <f aca="false">100*0.326</f>
        <v>32.6</v>
      </c>
      <c r="BS39" s="61" t="n">
        <f aca="false">100*0.397</f>
        <v>39.7</v>
      </c>
      <c r="BT39" s="61" t="n">
        <f aca="false">100*0.0967</f>
        <v>9.67</v>
      </c>
      <c r="BU39" s="61" t="n">
        <f aca="false">100*0.158</f>
        <v>15.8</v>
      </c>
      <c r="BV39" s="61" t="n">
        <f aca="false">100*0.348</f>
        <v>34.8</v>
      </c>
      <c r="BW39" s="61" t="n">
        <f aca="false">100*0.0352</f>
        <v>3.52</v>
      </c>
      <c r="BX39" s="61" t="n">
        <f aca="false">100*0.0109</f>
        <v>1.09</v>
      </c>
      <c r="BY39" s="61" t="n">
        <f aca="false">100*0.249</f>
        <v>24.9</v>
      </c>
      <c r="BZ39" s="61" t="n">
        <f aca="false">100*0.705</f>
        <v>70.5</v>
      </c>
      <c r="CA39" s="84" t="n">
        <v>0.127</v>
      </c>
      <c r="CB39" s="74"/>
      <c r="CC39" s="74"/>
    </row>
    <row r="40" s="61" customFormat="true" ht="12.8" hidden="false" customHeight="false" outlineLevel="0" collapsed="false">
      <c r="A40" s="61" t="s">
        <v>260</v>
      </c>
      <c r="B40" s="61" t="s">
        <v>113</v>
      </c>
      <c r="D40" s="61" t="s">
        <v>102</v>
      </c>
      <c r="E40" s="76" t="n">
        <v>25372</v>
      </c>
      <c r="F40" s="76" t="n">
        <v>42866</v>
      </c>
      <c r="G40" s="76" t="n">
        <v>43370</v>
      </c>
      <c r="H40" s="76" t="s">
        <v>103</v>
      </c>
      <c r="I40" s="64" t="n">
        <v>49.2758384668036</v>
      </c>
      <c r="J40" s="65" t="n">
        <v>17998</v>
      </c>
      <c r="K40" s="65" t="n">
        <v>504</v>
      </c>
      <c r="L40" s="65" t="s">
        <v>114</v>
      </c>
      <c r="M40" s="65" t="s">
        <v>114</v>
      </c>
      <c r="N40" s="66" t="n">
        <v>43254</v>
      </c>
      <c r="O40" s="77"/>
      <c r="P40" s="67"/>
      <c r="Q40" s="76" t="s">
        <v>116</v>
      </c>
      <c r="R40" s="76"/>
      <c r="S40" s="68" t="s">
        <v>261</v>
      </c>
      <c r="T40" s="158" t="n">
        <v>10</v>
      </c>
      <c r="U40" s="159" t="n">
        <v>1268.48</v>
      </c>
      <c r="V40" s="160" t="n">
        <v>51.49</v>
      </c>
      <c r="W40" s="80" t="n">
        <f aca="false">U40-V40</f>
        <v>1216.99</v>
      </c>
      <c r="X40" s="68"/>
      <c r="Y40" s="82"/>
      <c r="Z40" s="161" t="n">
        <v>24900000</v>
      </c>
      <c r="AA40" s="82"/>
      <c r="AB40" s="68"/>
      <c r="AC40" s="161" t="n">
        <v>9750000</v>
      </c>
      <c r="AD40" s="61" t="s">
        <v>262</v>
      </c>
      <c r="AE40" s="61" t="n">
        <v>520000</v>
      </c>
      <c r="AF40" s="61" t="n">
        <v>12036</v>
      </c>
      <c r="AG40" s="61" t="n">
        <f aca="false">100*0.0236</f>
        <v>2.36</v>
      </c>
      <c r="AH40" s="61" t="n">
        <f aca="false">100*0.15758</f>
        <v>15.758</v>
      </c>
      <c r="AI40" s="61" t="n">
        <v>174</v>
      </c>
      <c r="AJ40" s="61" t="n">
        <f aca="false">100*0.0003</f>
        <v>0.03</v>
      </c>
      <c r="AK40" s="61" t="n">
        <v>11491</v>
      </c>
      <c r="AL40" s="61" t="n">
        <f aca="false">100*0.0228</f>
        <v>2.28</v>
      </c>
      <c r="AM40" s="61" t="n">
        <f aca="false">100*0.0144092</f>
        <v>1.44092</v>
      </c>
      <c r="AN40" s="61" t="n">
        <f aca="false">100*0.0041592</f>
        <v>0.41592</v>
      </c>
      <c r="AO40" s="61" t="n">
        <f aca="false">100*0.754</f>
        <v>75.4</v>
      </c>
      <c r="AP40" s="61" t="n">
        <f aca="false">100*0.0335</f>
        <v>3.35</v>
      </c>
      <c r="AQ40" s="61" t="n">
        <v>81968</v>
      </c>
      <c r="AR40" s="61" t="n">
        <f aca="false">100*0.1644024</f>
        <v>16.44024</v>
      </c>
      <c r="AS40" s="61" t="n">
        <f aca="false">100*0.3219235</f>
        <v>32.19235</v>
      </c>
      <c r="AT40" s="61" t="n">
        <f aca="false">100*0.578795</f>
        <v>57.8795</v>
      </c>
      <c r="AU40" s="61" t="n">
        <f aca="false">100*0.0779882</f>
        <v>7.79882</v>
      </c>
      <c r="AV40" s="61" t="n">
        <f aca="false">100*0.0227</f>
        <v>2.27</v>
      </c>
      <c r="AW40" s="61" t="n">
        <f aca="false">100*0.1489264</f>
        <v>14.89264</v>
      </c>
      <c r="AX40" s="61" t="n">
        <f aca="false">100*0.5187</f>
        <v>51.87</v>
      </c>
      <c r="AY40" s="61" t="n">
        <f aca="false">100*0.15075</f>
        <v>15.075</v>
      </c>
      <c r="AZ40" s="61" t="n">
        <f aca="false">100*0.175</f>
        <v>17.5</v>
      </c>
      <c r="BA40" s="61" t="n">
        <v>405000</v>
      </c>
      <c r="BB40" s="61" t="n">
        <f aca="false">100*0.077176</f>
        <v>7.7176</v>
      </c>
      <c r="BC40" s="61" t="n">
        <f aca="false">100*0.5584</f>
        <v>55.84</v>
      </c>
      <c r="BD40" s="61" t="n">
        <f aca="false">100*0.3765265</f>
        <v>37.65265</v>
      </c>
      <c r="BE40" s="61" t="n">
        <f aca="false">100*0.0032</f>
        <v>0.32</v>
      </c>
      <c r="BF40" s="61" t="n">
        <f aca="false">100*0.0599</f>
        <v>5.99</v>
      </c>
      <c r="BG40" s="61" t="n">
        <f aca="false">100*0.51069</f>
        <v>51.069</v>
      </c>
      <c r="BH40" s="61" t="n">
        <f aca="false">100*0.36493513</f>
        <v>36.493513</v>
      </c>
      <c r="BI40" s="61" t="n">
        <f aca="false">100*0.0057927</f>
        <v>0.57927</v>
      </c>
      <c r="BJ40" s="61" t="n">
        <f aca="false">100*0.112</f>
        <v>11.2</v>
      </c>
      <c r="BK40" s="61" t="n">
        <f aca="false">100*0.13353</f>
        <v>13.353</v>
      </c>
      <c r="BL40" s="61" t="n">
        <f aca="false">100*0.05747375</f>
        <v>5.747375</v>
      </c>
      <c r="BM40" s="61" t="n">
        <f aca="false">100*0.653</f>
        <v>65.3</v>
      </c>
      <c r="BN40" s="61" t="n">
        <f aca="false">100*0.157</f>
        <v>15.7</v>
      </c>
      <c r="BO40" s="61" t="n">
        <f aca="false">100*0.04</f>
        <v>4</v>
      </c>
      <c r="BP40" s="61" t="n">
        <f aca="false">100*0.01429875</f>
        <v>1.429875</v>
      </c>
      <c r="BQ40" s="61" t="n">
        <f aca="false">100*0.696</f>
        <v>69.6</v>
      </c>
      <c r="BR40" s="61" t="n">
        <f aca="false">100*0.251</f>
        <v>25.1</v>
      </c>
      <c r="BS40" s="61" t="n">
        <f aca="false">100*0.2517</f>
        <v>25.17</v>
      </c>
      <c r="BT40" s="61" t="n">
        <f aca="false">100*0.25791005</f>
        <v>25.791005</v>
      </c>
      <c r="BU40" s="61" t="n">
        <f aca="false">100*0.3399201</f>
        <v>33.99201</v>
      </c>
      <c r="BV40" s="61" t="n">
        <f aca="false">100*0.15</f>
        <v>15</v>
      </c>
      <c r="BW40" s="61" t="n">
        <f aca="false">100*0.0132</f>
        <v>1.32</v>
      </c>
      <c r="BX40" s="61" t="n">
        <f aca="false">100*0.0075</f>
        <v>0.75</v>
      </c>
      <c r="BY40" s="61" t="n">
        <f aca="false">100*0.56984</f>
        <v>56.984</v>
      </c>
      <c r="BZ40" s="61" t="n">
        <f aca="false">100*0.411</f>
        <v>41.1</v>
      </c>
      <c r="CA40" s="84"/>
      <c r="CB40" s="74"/>
      <c r="CC40" s="74"/>
      <c r="CD40" s="75"/>
      <c r="CE40" s="75"/>
      <c r="CF40" s="75"/>
      <c r="CG40" s="75"/>
      <c r="CH40" s="75"/>
      <c r="CI40" s="75"/>
      <c r="CJ40" s="75"/>
      <c r="CK40" s="75"/>
      <c r="CL40" s="75"/>
      <c r="CM40" s="75"/>
      <c r="CN40" s="75"/>
      <c r="CO40" s="75"/>
      <c r="CP40" s="75"/>
      <c r="CQ40" s="75"/>
      <c r="CR40" s="75"/>
      <c r="CS40" s="75"/>
      <c r="CT40" s="75"/>
      <c r="CU40" s="75"/>
      <c r="CV40" s="75"/>
    </row>
    <row r="41" s="41" customFormat="true" ht="12.8" hidden="false" customHeight="false" outlineLevel="0" collapsed="false">
      <c r="A41" s="22" t="s">
        <v>263</v>
      </c>
      <c r="B41" s="22" t="s">
        <v>101</v>
      </c>
      <c r="C41" s="22"/>
      <c r="D41" s="22" t="s">
        <v>102</v>
      </c>
      <c r="E41" s="23" t="n">
        <v>13611</v>
      </c>
      <c r="F41" s="23" t="n">
        <v>42583</v>
      </c>
      <c r="G41" s="23" t="n">
        <v>43305</v>
      </c>
      <c r="H41" s="23" t="s">
        <v>103</v>
      </c>
      <c r="I41" s="25" t="n">
        <v>81.2977412731006</v>
      </c>
      <c r="J41" s="25" t="n">
        <v>29694</v>
      </c>
      <c r="K41" s="25" t="n">
        <v>722</v>
      </c>
      <c r="L41" s="26" t="s">
        <v>114</v>
      </c>
      <c r="M41" s="26" t="s">
        <v>114</v>
      </c>
      <c r="N41" s="27" t="s">
        <v>209</v>
      </c>
      <c r="O41" s="28"/>
      <c r="P41" s="28"/>
      <c r="Q41" s="29" t="s">
        <v>252</v>
      </c>
      <c r="R41" s="29" t="s">
        <v>264</v>
      </c>
      <c r="S41" s="30" t="s">
        <v>265</v>
      </c>
      <c r="T41" s="31" t="n">
        <v>5</v>
      </c>
      <c r="U41" s="32" t="n">
        <v>1200.89</v>
      </c>
      <c r="V41" s="32" t="n">
        <v>72.42</v>
      </c>
      <c r="W41" s="33" t="n">
        <v>1128.47</v>
      </c>
      <c r="X41" s="34" t="s">
        <v>109</v>
      </c>
      <c r="Y41" s="35" t="n">
        <v>177000000</v>
      </c>
      <c r="Z41" s="36" t="n">
        <v>199739190000</v>
      </c>
      <c r="AA41" s="35" t="n">
        <v>177000000</v>
      </c>
      <c r="AB41" s="30" t="s">
        <v>266</v>
      </c>
      <c r="AC41" s="37" t="n">
        <v>25900000</v>
      </c>
      <c r="AD41" s="22" t="s">
        <v>267</v>
      </c>
      <c r="AE41" s="22" t="n">
        <v>675000</v>
      </c>
      <c r="AF41" s="22" t="n">
        <v>35824</v>
      </c>
      <c r="AG41" s="22" t="n">
        <f aca="false">100*0.0538</f>
        <v>5.38</v>
      </c>
      <c r="AH41" s="22" t="n">
        <f aca="false">100*0.0833</f>
        <v>8.33</v>
      </c>
      <c r="AI41" s="22" t="n">
        <v>237</v>
      </c>
      <c r="AJ41" s="22" t="n">
        <f aca="false">100*0.00036</f>
        <v>0.036</v>
      </c>
      <c r="AK41" s="22" t="n">
        <v>2499</v>
      </c>
      <c r="AL41" s="22" t="n">
        <f aca="false">100*0.004</f>
        <v>0.4</v>
      </c>
      <c r="AM41" s="22" t="n">
        <f aca="false">100*0.157</f>
        <v>15.7</v>
      </c>
      <c r="AN41" s="22" t="n">
        <f aca="false">100*0.0276</f>
        <v>2.76</v>
      </c>
      <c r="AO41" s="22" t="n">
        <f aca="false">100*0.639</f>
        <v>63.9</v>
      </c>
      <c r="AP41" s="22" t="n">
        <f aca="false">100*0.0724</f>
        <v>7.24</v>
      </c>
      <c r="AQ41" s="22" t="n">
        <v>259862</v>
      </c>
      <c r="AR41" s="22" t="n">
        <f aca="false">100*0.0647</f>
        <v>6.47</v>
      </c>
      <c r="AS41" s="22" t="n">
        <f aca="false">100*0.151</f>
        <v>15.1</v>
      </c>
      <c r="AT41" s="22" t="n">
        <f aca="false">100*0.191</f>
        <v>19.1</v>
      </c>
      <c r="AU41" s="22" t="n">
        <f aca="false">100*0.561</f>
        <v>56.1</v>
      </c>
      <c r="AV41" s="22" t="n">
        <f aca="false">100*0.0963</f>
        <v>9.63</v>
      </c>
      <c r="AW41" s="22" t="n">
        <f aca="false">100*0.054</f>
        <v>5.4</v>
      </c>
      <c r="AX41" s="22" t="n">
        <f aca="false">100*0.0612</f>
        <v>6.12</v>
      </c>
      <c r="AY41" s="22" t="n">
        <f aca="false">100*0.739</f>
        <v>73.9</v>
      </c>
      <c r="AZ41" s="22" t="n">
        <f aca="false">100*0.146</f>
        <v>14.6</v>
      </c>
      <c r="BA41" s="22" t="n">
        <v>348118</v>
      </c>
      <c r="BB41" s="22" t="n">
        <f aca="false">100*0.0845</f>
        <v>8.45</v>
      </c>
      <c r="BC41" s="22" t="n">
        <f aca="false">100*0.489</f>
        <v>48.9</v>
      </c>
      <c r="BD41" s="22" t="n">
        <f aca="false">100*0.225</f>
        <v>22.5</v>
      </c>
      <c r="BE41" s="22" t="n">
        <f aca="false">100*0.0833</f>
        <v>8.33</v>
      </c>
      <c r="BF41" s="22" t="n">
        <f aca="false">100*0.203</f>
        <v>20.3</v>
      </c>
      <c r="BG41" s="22" t="n">
        <f aca="false">100*0.454</f>
        <v>45.4</v>
      </c>
      <c r="BH41" s="22" t="n">
        <f aca="false">100*0.222</f>
        <v>22.2</v>
      </c>
      <c r="BI41" s="22" t="n">
        <f aca="false">100*0.0859</f>
        <v>8.59</v>
      </c>
      <c r="BJ41" s="22" t="n">
        <f aca="false">100*0.238</f>
        <v>23.8</v>
      </c>
      <c r="BK41" s="22" t="n">
        <f aca="false">100*0.503</f>
        <v>50.3</v>
      </c>
      <c r="BL41" s="22" t="n">
        <f aca="false">100*0.062</f>
        <v>6.2</v>
      </c>
      <c r="BM41" s="22" t="n">
        <f aca="false">100*0.121</f>
        <v>12.1</v>
      </c>
      <c r="BN41" s="22" t="n">
        <f aca="false">100*0.314</f>
        <v>31.4</v>
      </c>
      <c r="BO41" s="22" t="n">
        <f aca="false">100*0.086</f>
        <v>8.6</v>
      </c>
      <c r="BP41" s="22" t="n">
        <f aca="false">100*0.0023</f>
        <v>0.23</v>
      </c>
      <c r="BQ41" s="22" t="n">
        <f aca="false">100*0.183</f>
        <v>18.3</v>
      </c>
      <c r="BR41" s="22" t="n">
        <f aca="false">100*0.728</f>
        <v>72.8</v>
      </c>
      <c r="BS41" s="22" t="n">
        <f aca="false">100*0.832</f>
        <v>83.2</v>
      </c>
      <c r="BT41" s="22" t="n">
        <f aca="false">100*0.0144</f>
        <v>1.44</v>
      </c>
      <c r="BU41" s="22" t="n">
        <f aca="false">100*0.0076</f>
        <v>0.76</v>
      </c>
      <c r="BV41" s="22" t="n">
        <f aca="false">100*0.146</f>
        <v>14.6</v>
      </c>
      <c r="BW41" s="22" t="n">
        <f aca="false">100*0.321</f>
        <v>32.1</v>
      </c>
      <c r="BX41" s="22" t="n">
        <f aca="false">100*0.0072</f>
        <v>0.72</v>
      </c>
      <c r="BY41" s="22" t="n">
        <f aca="false">100*0.0156</f>
        <v>1.56</v>
      </c>
      <c r="BZ41" s="22" t="n">
        <f aca="false">100*0.656</f>
        <v>65.6</v>
      </c>
      <c r="CA41" s="38" t="n">
        <v>0.116</v>
      </c>
      <c r="CB41" s="39"/>
      <c r="CC41" s="39"/>
      <c r="CD41" s="40"/>
      <c r="CE41" s="40"/>
      <c r="CF41" s="40"/>
      <c r="CG41" s="40"/>
      <c r="CH41" s="40"/>
      <c r="CI41" s="40"/>
      <c r="CJ41" s="40"/>
      <c r="CK41" s="40"/>
      <c r="CL41" s="40"/>
      <c r="CM41" s="40"/>
      <c r="CN41" s="40"/>
      <c r="CO41" s="40"/>
      <c r="CP41" s="40"/>
      <c r="CQ41" s="40"/>
      <c r="CR41" s="40"/>
      <c r="CS41" s="40"/>
      <c r="CT41" s="40"/>
      <c r="CU41" s="40"/>
      <c r="CV41" s="40"/>
      <c r="CW41" s="22"/>
      <c r="CX41" s="22"/>
    </row>
    <row r="42" s="41" customFormat="true" ht="12.8" hidden="false" customHeight="false" outlineLevel="0" collapsed="false">
      <c r="A42" s="41" t="s">
        <v>268</v>
      </c>
      <c r="B42" s="41" t="s">
        <v>113</v>
      </c>
      <c r="D42" s="41" t="s">
        <v>102</v>
      </c>
      <c r="E42" s="42" t="n">
        <v>18194</v>
      </c>
      <c r="F42" s="42" t="n">
        <v>43270</v>
      </c>
      <c r="G42" s="42" t="n">
        <v>43341</v>
      </c>
      <c r="H42" s="42" t="s">
        <v>103</v>
      </c>
      <c r="I42" s="43" t="n">
        <v>68.848733744011</v>
      </c>
      <c r="J42" s="44" t="n">
        <v>25147</v>
      </c>
      <c r="K42" s="44" t="n">
        <v>71</v>
      </c>
      <c r="L42" s="44" t="s">
        <v>104</v>
      </c>
      <c r="M42" s="44" t="s">
        <v>114</v>
      </c>
      <c r="N42" s="45" t="s">
        <v>115</v>
      </c>
      <c r="O42" s="48"/>
      <c r="P42" s="128"/>
      <c r="Q42" s="42" t="s">
        <v>116</v>
      </c>
      <c r="R42" s="42"/>
      <c r="S42" s="47" t="s">
        <v>117</v>
      </c>
      <c r="T42" s="162" t="n">
        <v>10</v>
      </c>
      <c r="U42" s="137" t="n">
        <v>2452.48</v>
      </c>
      <c r="V42" s="138" t="n">
        <v>86.65</v>
      </c>
      <c r="W42" s="50" t="n">
        <f aca="false">U42-V42</f>
        <v>2365.83</v>
      </c>
      <c r="X42" s="47"/>
      <c r="Y42" s="51"/>
      <c r="Z42" s="133" t="n">
        <v>4500000</v>
      </c>
      <c r="AA42" s="51"/>
      <c r="AB42" s="47"/>
      <c r="AC42" s="133" t="n">
        <v>25000000</v>
      </c>
      <c r="AD42" s="41" t="s">
        <v>269</v>
      </c>
      <c r="AE42" s="41" t="n">
        <v>681000</v>
      </c>
      <c r="AF42" s="41" t="n">
        <v>19199</v>
      </c>
      <c r="AG42" s="41" t="n">
        <f aca="false">100*0.0309</f>
        <v>3.09</v>
      </c>
      <c r="AH42" s="41" t="n">
        <f aca="false">100*0.78714</f>
        <v>78.714</v>
      </c>
      <c r="AI42" s="41" t="n">
        <v>893</v>
      </c>
      <c r="AJ42" s="41" t="n">
        <f aca="false">100*0.00118</f>
        <v>0.118</v>
      </c>
      <c r="AK42" s="41" t="n">
        <v>3446</v>
      </c>
      <c r="AL42" s="41" t="n">
        <f aca="false">100*0.0058</f>
        <v>0.58</v>
      </c>
      <c r="AM42" s="41" t="n">
        <f aca="false">100*0.05505</f>
        <v>5.505</v>
      </c>
      <c r="AN42" s="41" t="n">
        <f aca="false">100*0.0221</f>
        <v>2.21</v>
      </c>
      <c r="AO42" s="41" t="n">
        <f aca="false">100*0.841</f>
        <v>84.1</v>
      </c>
      <c r="AP42" s="41" t="n">
        <f aca="false">100*0.0454</f>
        <v>4.54</v>
      </c>
      <c r="AQ42" s="41" t="n">
        <v>97556</v>
      </c>
      <c r="AR42" s="41" t="n">
        <f aca="false">100*0.4849551</f>
        <v>48.49551</v>
      </c>
      <c r="AS42" s="41" t="n">
        <f aca="false">100*0.6889867</f>
        <v>68.89867</v>
      </c>
      <c r="AT42" s="41" t="n">
        <f aca="false">100*0.229835</f>
        <v>22.9835</v>
      </c>
      <c r="AU42" s="41" t="n">
        <f aca="false">100*0.0188</f>
        <v>1.88</v>
      </c>
      <c r="AV42" s="41" t="n">
        <f aca="false">100*0.0614</f>
        <v>6.14</v>
      </c>
      <c r="AW42" s="41" t="n">
        <f aca="false">100*0.3219282</f>
        <v>32.19282</v>
      </c>
      <c r="AX42" s="41" t="n">
        <f aca="false">100*0.17498975</f>
        <v>17.498975</v>
      </c>
      <c r="AY42" s="41" t="n">
        <f aca="false">100*0.157</f>
        <v>15.7</v>
      </c>
      <c r="AZ42" s="41" t="n">
        <f aca="false">100*0.351</f>
        <v>35.1</v>
      </c>
      <c r="BA42" s="41" t="n">
        <v>482000</v>
      </c>
      <c r="BB42" s="41" t="n">
        <f aca="false">100*0.2344689</f>
        <v>23.44689</v>
      </c>
      <c r="BC42" s="41" t="n">
        <f aca="false">100*0.6409754</f>
        <v>64.09754</v>
      </c>
      <c r="BD42" s="41" t="n">
        <f aca="false">100*0.2859814</f>
        <v>28.59814</v>
      </c>
      <c r="BE42" s="41" t="n">
        <f aca="false">100*0.0017</f>
        <v>0.17</v>
      </c>
      <c r="BF42" s="41" t="n">
        <f aca="false">100*0.0654</f>
        <v>6.54</v>
      </c>
      <c r="BG42" s="41" t="n">
        <f aca="false">100*0.5239704</f>
        <v>52.39704</v>
      </c>
      <c r="BH42" s="41" t="n">
        <f aca="false">100*0.286982865</f>
        <v>28.6982865</v>
      </c>
      <c r="BI42" s="41" t="n">
        <f aca="false">100*0.007086</f>
        <v>0.7086</v>
      </c>
      <c r="BJ42" s="41" t="n">
        <f aca="false">100*0.215</f>
        <v>21.5</v>
      </c>
      <c r="BK42" s="41" t="n">
        <f aca="false">100*0.324</f>
        <v>32.4</v>
      </c>
      <c r="BL42" s="41" t="n">
        <f aca="false">100*0.15456</f>
        <v>15.456</v>
      </c>
      <c r="BM42" s="41" t="n">
        <f aca="false">100*0.12564</f>
        <v>12.564</v>
      </c>
      <c r="BN42" s="41" t="n">
        <f aca="false">100*0.39</f>
        <v>39</v>
      </c>
      <c r="BO42" s="41" t="n">
        <f aca="false">100*0.12278</f>
        <v>12.278</v>
      </c>
      <c r="BP42" s="41" t="n">
        <f aca="false">100*0.07635</f>
        <v>7.635</v>
      </c>
      <c r="BQ42" s="41" t="n">
        <f aca="false">100*0.25207</f>
        <v>25.207</v>
      </c>
      <c r="BR42" s="41" t="n">
        <f aca="false">100*0.548</f>
        <v>54.8</v>
      </c>
      <c r="BS42" s="41" t="n">
        <f aca="false">100*0.63068</f>
        <v>63.068</v>
      </c>
      <c r="BT42" s="41" t="n">
        <f aca="false">100*0.191</f>
        <v>19.1</v>
      </c>
      <c r="BU42" s="41" t="n">
        <f aca="false">100*0.0328</f>
        <v>3.28</v>
      </c>
      <c r="BV42" s="41" t="n">
        <f aca="false">100*0.145</f>
        <v>14.5</v>
      </c>
      <c r="BW42" s="41" t="n">
        <f aca="false">100*0.0768</f>
        <v>7.68</v>
      </c>
      <c r="BX42" s="41" t="n">
        <f aca="false">100*0.04034</f>
        <v>4.034</v>
      </c>
      <c r="BY42" s="41" t="n">
        <f aca="false">100*0.395</f>
        <v>39.5</v>
      </c>
      <c r="BZ42" s="41" t="n">
        <f aca="false">100*0.498</f>
        <v>49.8</v>
      </c>
      <c r="CA42" s="53" t="s">
        <v>270</v>
      </c>
      <c r="CB42" s="54"/>
      <c r="CC42" s="54"/>
      <c r="CD42" s="55"/>
      <c r="CE42" s="55"/>
      <c r="CF42" s="55"/>
      <c r="CG42" s="55"/>
      <c r="CH42" s="55"/>
      <c r="CI42" s="55"/>
      <c r="CJ42" s="55"/>
      <c r="CK42" s="55"/>
      <c r="CL42" s="55"/>
      <c r="CM42" s="55"/>
      <c r="CN42" s="55"/>
      <c r="CO42" s="55"/>
      <c r="CP42" s="55"/>
      <c r="CQ42" s="55"/>
      <c r="CR42" s="55"/>
      <c r="CS42" s="55"/>
      <c r="CT42" s="55"/>
      <c r="CU42" s="55"/>
      <c r="CV42" s="55"/>
    </row>
    <row r="43" s="41" customFormat="true" ht="12.8" hidden="false" customHeight="false" outlineLevel="0" collapsed="false">
      <c r="A43" s="22" t="s">
        <v>271</v>
      </c>
      <c r="B43" s="22" t="s">
        <v>101</v>
      </c>
      <c r="C43" s="22"/>
      <c r="D43" s="22" t="s">
        <v>102</v>
      </c>
      <c r="E43" s="23" t="n">
        <v>27494</v>
      </c>
      <c r="F43" s="23" t="n">
        <v>43325</v>
      </c>
      <c r="G43" s="23" t="n">
        <v>43434</v>
      </c>
      <c r="H43" s="23" t="s">
        <v>157</v>
      </c>
      <c r="I43" s="25" t="n">
        <v>43.6413415468857</v>
      </c>
      <c r="J43" s="25" t="n">
        <v>15940</v>
      </c>
      <c r="K43" s="25" t="n">
        <v>109</v>
      </c>
      <c r="L43" s="26" t="s">
        <v>104</v>
      </c>
      <c r="M43" s="26" t="s">
        <v>104</v>
      </c>
      <c r="N43" s="27" t="s">
        <v>272</v>
      </c>
      <c r="O43" s="28"/>
      <c r="P43" s="28"/>
      <c r="Q43" s="29" t="s">
        <v>252</v>
      </c>
      <c r="R43" s="29" t="s">
        <v>273</v>
      </c>
      <c r="S43" s="30" t="s">
        <v>274</v>
      </c>
      <c r="T43" s="31" t="s">
        <v>178</v>
      </c>
      <c r="U43" s="32" t="n">
        <v>880.45</v>
      </c>
      <c r="V43" s="32" t="n">
        <v>74.12</v>
      </c>
      <c r="W43" s="33" t="n">
        <v>806.33</v>
      </c>
      <c r="X43" s="34" t="s">
        <v>109</v>
      </c>
      <c r="Y43" s="35" t="n">
        <v>35000000</v>
      </c>
      <c r="Z43" s="36" t="n">
        <v>28221550000</v>
      </c>
      <c r="AA43" s="35" t="n">
        <v>35000000</v>
      </c>
      <c r="AB43" s="30" t="s">
        <v>179</v>
      </c>
      <c r="AC43" s="36" t="n">
        <v>25500000</v>
      </c>
      <c r="AD43" s="141" t="s">
        <v>275</v>
      </c>
      <c r="AE43" s="22" t="n">
        <v>329690</v>
      </c>
      <c r="AF43" s="22" t="n">
        <v>4290</v>
      </c>
      <c r="AG43" s="22" t="n">
        <f aca="false">100*0.0131</f>
        <v>1.31</v>
      </c>
      <c r="AH43" s="22" t="n">
        <f aca="false">100*0.25</f>
        <v>25</v>
      </c>
      <c r="AI43" s="22" t="n">
        <v>1006</v>
      </c>
      <c r="AJ43" s="22" t="n">
        <f aca="false">100*0.0031</f>
        <v>0.31</v>
      </c>
      <c r="AK43" s="22" t="n">
        <v>3426</v>
      </c>
      <c r="AL43" s="22" t="n">
        <f aca="false">100*0.0107</f>
        <v>1.07</v>
      </c>
      <c r="AM43" s="22" t="n">
        <f aca="false">100*0.0283</f>
        <v>2.83</v>
      </c>
      <c r="AN43" s="22" t="n">
        <f aca="false">100*0.0123</f>
        <v>1.23</v>
      </c>
      <c r="AO43" s="22" t="n">
        <f aca="false">100*0.802</f>
        <v>80.2</v>
      </c>
      <c r="AP43" s="22" t="n">
        <f aca="false">100*0.0388</f>
        <v>3.88</v>
      </c>
      <c r="AQ43" s="22" t="n">
        <v>55895</v>
      </c>
      <c r="AR43" s="22" t="n">
        <f aca="false">100*0.443</f>
        <v>44.3</v>
      </c>
      <c r="AS43" s="22" t="n">
        <f aca="false">100*0.18</f>
        <v>18</v>
      </c>
      <c r="AT43" s="22" t="n">
        <f aca="false">100*0.756</f>
        <v>75.6</v>
      </c>
      <c r="AU43" s="22" t="n">
        <f aca="false">100*0.0308</f>
        <v>3.08</v>
      </c>
      <c r="AV43" s="22" t="n">
        <f aca="false">100*0.0331</f>
        <v>3.31</v>
      </c>
      <c r="AW43" s="22" t="n">
        <f aca="false">100*0.138</f>
        <v>13.8</v>
      </c>
      <c r="AX43" s="22" t="n">
        <f aca="false">100*0.743</f>
        <v>74.3</v>
      </c>
      <c r="AY43" s="22" t="n">
        <f aca="false">100*0.0593</f>
        <v>5.93</v>
      </c>
      <c r="AZ43" s="22" t="n">
        <f aca="false">100*0.06</f>
        <v>6</v>
      </c>
      <c r="BA43" s="22" t="n">
        <v>256089</v>
      </c>
      <c r="BB43" s="22" t="n">
        <f aca="false">100*0.262</f>
        <v>26.2</v>
      </c>
      <c r="BC43" s="22" t="n">
        <f aca="false">100*0.598</f>
        <v>59.8</v>
      </c>
      <c r="BD43" s="22" t="n">
        <f aca="false">100*0.307</f>
        <v>30.7</v>
      </c>
      <c r="BE43" s="22" t="n">
        <f aca="false">100*0.001</f>
        <v>0.1</v>
      </c>
      <c r="BF43" s="22" t="n">
        <f aca="false">100*0.0938</f>
        <v>9.38</v>
      </c>
      <c r="BG43" s="22" t="n">
        <f aca="false">100*0.492</f>
        <v>49.2</v>
      </c>
      <c r="BH43" s="22" t="n">
        <f aca="false">100*0.306</f>
        <v>30.6</v>
      </c>
      <c r="BI43" s="22" t="n">
        <f aca="false">100*0.004</f>
        <v>0.4</v>
      </c>
      <c r="BJ43" s="22" t="n">
        <f aca="false">100*0.199</f>
        <v>19.9</v>
      </c>
      <c r="BK43" s="22" t="n">
        <f aca="false">100*0.484</f>
        <v>48.4</v>
      </c>
      <c r="BL43" s="22" t="n">
        <f aca="false">100*0.291</f>
        <v>29.1</v>
      </c>
      <c r="BM43" s="22" t="n">
        <f aca="false">100*0.133</f>
        <v>13.3</v>
      </c>
      <c r="BN43" s="22" t="n">
        <f aca="false">100*0.0916</f>
        <v>9.16</v>
      </c>
      <c r="BO43" s="22" t="n">
        <f aca="false">100*0.189</f>
        <v>18.9</v>
      </c>
      <c r="BP43" s="22" t="n">
        <f aca="false">100*0.0816</f>
        <v>8.16</v>
      </c>
      <c r="BQ43" s="22" t="n">
        <f aca="false">100*0.334</f>
        <v>33.4</v>
      </c>
      <c r="BR43" s="22" t="n">
        <f aca="false">100*0.395</f>
        <v>39.5</v>
      </c>
      <c r="BS43" s="22" t="n">
        <f aca="false">100*0.75</f>
        <v>75</v>
      </c>
      <c r="BT43" s="22" t="n">
        <f aca="false">100*0.0966</f>
        <v>9.66</v>
      </c>
      <c r="BU43" s="22" t="n">
        <f aca="false">100*0.0306</f>
        <v>3.06</v>
      </c>
      <c r="BV43" s="22" t="n">
        <f aca="false">100*0.123</f>
        <v>12.3</v>
      </c>
      <c r="BW43" s="22" t="n">
        <f aca="false">100*0.127</f>
        <v>12.7</v>
      </c>
      <c r="BX43" s="22" t="n">
        <f aca="false">100*0.0152</f>
        <v>1.52</v>
      </c>
      <c r="BY43" s="22" t="n">
        <f aca="false">100*0.112</f>
        <v>11.2</v>
      </c>
      <c r="BZ43" s="22" t="n">
        <f aca="false">100*0.746</f>
        <v>74.6</v>
      </c>
      <c r="CA43" s="38" t="n">
        <v>0.0956</v>
      </c>
      <c r="CB43" s="39"/>
      <c r="CC43" s="39"/>
      <c r="CD43" s="22"/>
      <c r="CE43" s="22"/>
      <c r="CF43" s="22"/>
      <c r="CG43" s="22"/>
      <c r="CH43" s="22"/>
      <c r="CI43" s="22"/>
      <c r="CJ43" s="22"/>
      <c r="CK43" s="22"/>
      <c r="CL43" s="22"/>
      <c r="CM43" s="22"/>
      <c r="CN43" s="22"/>
      <c r="CO43" s="22"/>
      <c r="CP43" s="22"/>
      <c r="CQ43" s="22"/>
      <c r="CR43" s="22"/>
      <c r="CS43" s="22"/>
      <c r="CT43" s="22"/>
      <c r="CU43" s="22"/>
      <c r="CV43" s="22"/>
      <c r="CW43" s="22"/>
      <c r="CX43" s="22"/>
    </row>
    <row r="44" s="41" customFormat="true" ht="12.8" hidden="false" customHeight="false" outlineLevel="0" collapsed="false">
      <c r="A44" s="41" t="s">
        <v>276</v>
      </c>
      <c r="B44" s="41" t="s">
        <v>113</v>
      </c>
      <c r="D44" s="41" t="s">
        <v>102</v>
      </c>
      <c r="E44" s="42" t="n">
        <v>28932</v>
      </c>
      <c r="F44" s="42" t="n">
        <v>43344</v>
      </c>
      <c r="G44" s="42" t="n">
        <v>43433</v>
      </c>
      <c r="H44" s="42" t="s">
        <v>157</v>
      </c>
      <c r="I44" s="43" t="n">
        <f aca="false">(G44-E44)/365.25</f>
        <v>39.7015742642026</v>
      </c>
      <c r="J44" s="44" t="n">
        <f aca="false">G44-E44</f>
        <v>14501</v>
      </c>
      <c r="K44" s="44" t="n">
        <f aca="false">G44-F44</f>
        <v>89</v>
      </c>
      <c r="L44" s="44" t="s">
        <v>104</v>
      </c>
      <c r="M44" s="44" t="s">
        <v>104</v>
      </c>
      <c r="N44" s="45" t="s">
        <v>115</v>
      </c>
      <c r="P44" s="128"/>
      <c r="Q44" s="42" t="s">
        <v>116</v>
      </c>
      <c r="R44" s="42"/>
      <c r="S44" s="47" t="s">
        <v>277</v>
      </c>
      <c r="T44" s="46" t="n">
        <v>10</v>
      </c>
      <c r="U44" s="137" t="n">
        <v>2162.13</v>
      </c>
      <c r="V44" s="138" t="n">
        <v>78.3</v>
      </c>
      <c r="W44" s="50" t="n">
        <f aca="false">U44-V44</f>
        <v>2083.83</v>
      </c>
      <c r="X44" s="47"/>
      <c r="Y44" s="51"/>
      <c r="Z44" s="133" t="n">
        <v>12000000</v>
      </c>
      <c r="AA44" s="51"/>
      <c r="AB44" s="47"/>
      <c r="AC44" s="133" t="n">
        <v>20800000</v>
      </c>
      <c r="AD44" s="41" t="s">
        <v>278</v>
      </c>
      <c r="AE44" s="41" t="n">
        <v>305637</v>
      </c>
      <c r="AF44" s="41" t="n">
        <v>10661</v>
      </c>
      <c r="AG44" s="41" t="n">
        <f aca="false">100*0.0363</f>
        <v>3.63</v>
      </c>
      <c r="AH44" s="41" t="n">
        <f aca="false">100*0.4566</f>
        <v>45.66</v>
      </c>
      <c r="AI44" s="41" t="n">
        <v>100</v>
      </c>
      <c r="AJ44" s="41" t="n">
        <f aca="false">100*0.00033</f>
        <v>0.033</v>
      </c>
      <c r="AK44" s="41" t="n">
        <v>3648</v>
      </c>
      <c r="AL44" s="41" t="n">
        <f aca="false">100*0.0125</f>
        <v>1.25</v>
      </c>
      <c r="AM44" s="41" t="n">
        <f aca="false">100*0.071</f>
        <v>7.1</v>
      </c>
      <c r="AN44" s="41" t="n">
        <f aca="false">100*0.00877</f>
        <v>0.877</v>
      </c>
      <c r="AO44" s="41" t="n">
        <f aca="false">100*0.865</f>
        <v>86.5</v>
      </c>
      <c r="AP44" s="41" t="n">
        <f aca="false">100*0.0275</f>
        <v>2.75</v>
      </c>
      <c r="AQ44" s="41" t="n">
        <v>26519</v>
      </c>
      <c r="AR44" s="41" t="n">
        <f aca="false">100*0.29051</f>
        <v>29.051</v>
      </c>
      <c r="AS44" s="41" t="n">
        <f aca="false">100*0.15317</f>
        <v>15.317</v>
      </c>
      <c r="AT44" s="41" t="n">
        <f aca="false">100*0.72415</f>
        <v>72.415</v>
      </c>
      <c r="AU44" s="41" t="n">
        <f aca="false">100*0.0907</f>
        <v>9.07</v>
      </c>
      <c r="AV44" s="41" t="n">
        <f aca="false">100*0.0261</f>
        <v>2.61</v>
      </c>
      <c r="AW44" s="41" t="n">
        <f aca="false">100*0.0827641</f>
        <v>8.27641</v>
      </c>
      <c r="AX44" s="41" t="n">
        <f aca="false">100*0.625325</f>
        <v>62.5325</v>
      </c>
      <c r="AY44" s="41" t="n">
        <f aca="false">100*0.2118</f>
        <v>21.18</v>
      </c>
      <c r="AZ44" s="41" t="n">
        <f aca="false">100*0.0721</f>
        <v>7.21</v>
      </c>
      <c r="BA44" s="41" t="n">
        <v>245305</v>
      </c>
      <c r="BB44" s="41" t="n">
        <f aca="false">100*0.0640919</f>
        <v>6.40919</v>
      </c>
      <c r="BC44" s="41" t="n">
        <f aca="false">100*0.356</f>
        <v>35.6</v>
      </c>
      <c r="BD44" s="41" t="n">
        <f aca="false">100*0.577885</f>
        <v>57.7885</v>
      </c>
      <c r="BE44" s="41" t="n">
        <f aca="false">100*0.00519612</f>
        <v>0.519612</v>
      </c>
      <c r="BF44" s="41" t="n">
        <f aca="false">100*0.0576</f>
        <v>5.76</v>
      </c>
      <c r="BG44" s="41" t="n">
        <f aca="false">100*0.2659253</f>
        <v>26.59253</v>
      </c>
      <c r="BH44" s="41" t="n">
        <f aca="false">100*0.56482765</f>
        <v>56.482765</v>
      </c>
      <c r="BI44" s="41" t="n">
        <f aca="false">100*0.0091419</f>
        <v>0.91419</v>
      </c>
      <c r="BJ44" s="41" t="n">
        <f aca="false">100*0.161</f>
        <v>16.1</v>
      </c>
      <c r="BK44" s="41" t="n">
        <f aca="false">100*0.3077</f>
        <v>30.77</v>
      </c>
      <c r="BL44" s="41" t="n">
        <f aca="false">100*0.24545</f>
        <v>24.545</v>
      </c>
      <c r="BM44" s="41" t="n">
        <f aca="false">100*0.28151</f>
        <v>28.151</v>
      </c>
      <c r="BN44" s="41" t="n">
        <f aca="false">100*0.157</f>
        <v>15.7</v>
      </c>
      <c r="BO44" s="41" t="n">
        <f aca="false">100*0.12084</f>
        <v>12.084</v>
      </c>
      <c r="BP44" s="41" t="n">
        <f aca="false">100*0.0433</f>
        <v>4.33</v>
      </c>
      <c r="BQ44" s="41" t="n">
        <f aca="false">100*0.5045</f>
        <v>50.45</v>
      </c>
      <c r="BR44" s="41" t="n">
        <f aca="false">100*0.313</f>
        <v>31.3</v>
      </c>
      <c r="BS44" s="41" t="n">
        <f aca="false">100*0.5588</f>
        <v>55.88</v>
      </c>
      <c r="BT44" s="41" t="n">
        <f aca="false">100*0.249685</f>
        <v>24.9685</v>
      </c>
      <c r="BU44" s="41" t="n">
        <f aca="false">100*0.0652</f>
        <v>6.52</v>
      </c>
      <c r="BV44" s="41" t="n">
        <f aca="false">100*0.119</f>
        <v>11.9</v>
      </c>
      <c r="BW44" s="41" t="n">
        <f aca="false">100*0.30577</f>
        <v>30.577</v>
      </c>
      <c r="BX44" s="41" t="n">
        <f aca="false">100*0.050485</f>
        <v>5.0485</v>
      </c>
      <c r="BY44" s="41" t="n">
        <f aca="false">100*0.124</f>
        <v>12.4</v>
      </c>
      <c r="BZ44" s="41" t="n">
        <f aca="false">100*0.539</f>
        <v>53.9</v>
      </c>
      <c r="CA44" s="53"/>
      <c r="CB44" s="54"/>
      <c r="CC44" s="54"/>
      <c r="CD44" s="55"/>
      <c r="CE44" s="55"/>
      <c r="CF44" s="55"/>
      <c r="CG44" s="55"/>
      <c r="CH44" s="55"/>
      <c r="CI44" s="55"/>
      <c r="CJ44" s="55"/>
      <c r="CK44" s="55"/>
      <c r="CL44" s="55"/>
      <c r="CM44" s="55"/>
      <c r="CN44" s="55"/>
      <c r="CO44" s="55"/>
      <c r="CP44" s="55"/>
      <c r="CQ44" s="55"/>
      <c r="CR44" s="55"/>
      <c r="CS44" s="55"/>
      <c r="CT44" s="55"/>
      <c r="CU44" s="55"/>
      <c r="CV44" s="55"/>
    </row>
    <row r="45" s="41" customFormat="true" ht="12.8" hidden="false" customHeight="false" outlineLevel="0" collapsed="false">
      <c r="A45" s="41" t="s">
        <v>279</v>
      </c>
      <c r="B45" s="41" t="s">
        <v>113</v>
      </c>
      <c r="D45" s="41" t="s">
        <v>102</v>
      </c>
      <c r="E45" s="42" t="n">
        <v>28290</v>
      </c>
      <c r="F45" s="42" t="n">
        <v>43344</v>
      </c>
      <c r="G45" s="42" t="n">
        <v>43440</v>
      </c>
      <c r="H45" s="42" t="s">
        <v>157</v>
      </c>
      <c r="I45" s="43" t="n">
        <v>41.4784394250513</v>
      </c>
      <c r="J45" s="44" t="n">
        <v>15150</v>
      </c>
      <c r="K45" s="44" t="n">
        <v>96</v>
      </c>
      <c r="L45" s="44" t="s">
        <v>104</v>
      </c>
      <c r="M45" s="44" t="s">
        <v>104</v>
      </c>
      <c r="N45" s="45" t="s">
        <v>115</v>
      </c>
      <c r="O45" s="48"/>
      <c r="P45" s="128"/>
      <c r="Q45" s="42" t="s">
        <v>116</v>
      </c>
      <c r="R45" s="42"/>
      <c r="S45" s="47" t="s">
        <v>277</v>
      </c>
      <c r="T45" s="46" t="n">
        <v>10</v>
      </c>
      <c r="U45" s="137" t="n">
        <v>2573.97</v>
      </c>
      <c r="V45" s="138" t="n">
        <v>78</v>
      </c>
      <c r="W45" s="50" t="n">
        <v>2495.97</v>
      </c>
      <c r="X45" s="47"/>
      <c r="Y45" s="51"/>
      <c r="Z45" s="133" t="n">
        <v>960000</v>
      </c>
      <c r="AA45" s="51"/>
      <c r="AB45" s="47"/>
      <c r="AC45" s="133" t="n">
        <v>15000000</v>
      </c>
      <c r="AD45" s="41" t="s">
        <v>280</v>
      </c>
      <c r="AE45" s="41" t="n">
        <v>440000</v>
      </c>
      <c r="AF45" s="41" t="n">
        <v>4844</v>
      </c>
      <c r="AG45" s="41" t="n">
        <f aca="false">100*0.0117</f>
        <v>1.17</v>
      </c>
      <c r="AH45" s="41" t="n">
        <f aca="false">100*0.2869</f>
        <v>28.69</v>
      </c>
      <c r="AI45" s="41" t="n">
        <v>654</v>
      </c>
      <c r="AJ45" s="41" t="n">
        <f aca="false">100*0.0022</f>
        <v>0.22</v>
      </c>
      <c r="AK45" s="41" t="n">
        <v>8183</v>
      </c>
      <c r="AL45" s="41" t="n">
        <f aca="false">100*0.0215</f>
        <v>2.15</v>
      </c>
      <c r="AM45" s="41" t="n">
        <f aca="false">100*0.02488</f>
        <v>2.488</v>
      </c>
      <c r="AN45" s="41" t="n">
        <f aca="false">100*0.0091</f>
        <v>0.91</v>
      </c>
      <c r="AO45" s="41" t="n">
        <f aca="false">100*0.749</f>
        <v>74.9</v>
      </c>
      <c r="AP45" s="41" t="n">
        <f aca="false">100*0.0507</f>
        <v>5.07</v>
      </c>
      <c r="AQ45" s="41" t="n">
        <v>113522</v>
      </c>
      <c r="AR45" s="41" t="n">
        <f aca="false">100*0.36492</f>
        <v>36.492</v>
      </c>
      <c r="AS45" s="41" t="n">
        <f aca="false">100*0.1579059</f>
        <v>15.79059</v>
      </c>
      <c r="AT45" s="41" t="n">
        <f aca="false">100*0.307888</f>
        <v>30.7888</v>
      </c>
      <c r="AU45" s="41" t="n">
        <f aca="false">100*0.46379</f>
        <v>46.379</v>
      </c>
      <c r="AV45" s="41" t="n">
        <f aca="false">100*0.0613</f>
        <v>6.13</v>
      </c>
      <c r="AW45" s="41" t="n">
        <f aca="false">100*0.10456</f>
        <v>10.456</v>
      </c>
      <c r="AX45" s="41" t="n">
        <f aca="false">100*0.20426585</f>
        <v>20.426585</v>
      </c>
      <c r="AY45" s="41" t="n">
        <f aca="false">100*0.53276</f>
        <v>53.276</v>
      </c>
      <c r="AZ45" s="41" t="n">
        <f aca="false">100*0.161</f>
        <v>16.1</v>
      </c>
      <c r="BA45" s="41" t="n">
        <v>250349</v>
      </c>
      <c r="BB45" s="41" t="n">
        <f aca="false">100*0.2433</f>
        <v>24.33</v>
      </c>
      <c r="BC45" s="41" t="n">
        <f aca="false">100*0.43674</f>
        <v>43.674</v>
      </c>
      <c r="BD45" s="41" t="n">
        <f aca="false">100*0.21998275</f>
        <v>21.998275</v>
      </c>
      <c r="BE45" s="41" t="n">
        <f aca="false">100*0.0628768</f>
        <v>6.28768</v>
      </c>
      <c r="BF45" s="41" t="n">
        <f aca="false">100*0.27</f>
        <v>27</v>
      </c>
      <c r="BG45" s="41" t="n">
        <f aca="false">100*0.3933</f>
        <v>39.33</v>
      </c>
      <c r="BH45" s="41" t="n">
        <f aca="false">100*0.2173442</f>
        <v>21.73442</v>
      </c>
      <c r="BI45" s="41" t="n">
        <f aca="false">100*0.0667729</f>
        <v>6.67729</v>
      </c>
      <c r="BJ45" s="41" t="n">
        <f aca="false">100*0.309</f>
        <v>30.9</v>
      </c>
      <c r="BK45" s="41" t="n">
        <f aca="false">100*0.068</f>
        <v>6.8</v>
      </c>
      <c r="BL45" s="41" t="n">
        <f aca="false">100*0.3633</f>
        <v>36.33</v>
      </c>
      <c r="BM45" s="41" t="n">
        <f aca="false">100*0.20819</f>
        <v>20.819</v>
      </c>
      <c r="BN45" s="41" t="n">
        <f aca="false">100*0.0365</f>
        <v>3.65</v>
      </c>
      <c r="BO45" s="41" t="n">
        <f aca="false">100*0.08069</f>
        <v>8.069</v>
      </c>
      <c r="BP45" s="41" t="n">
        <f aca="false">100*0.0524</f>
        <v>5.24</v>
      </c>
      <c r="BQ45" s="41" t="n">
        <f aca="false">100*0.7159</f>
        <v>71.59</v>
      </c>
      <c r="BR45" s="41" t="n">
        <f aca="false">100*0.115</f>
        <v>11.5</v>
      </c>
      <c r="BS45" s="41" t="n">
        <f aca="false">100*0.3955</f>
        <v>39.55</v>
      </c>
      <c r="BT45" s="41" t="n">
        <f aca="false">100*0.14994</f>
        <v>14.994</v>
      </c>
      <c r="BU45" s="41" t="n">
        <f aca="false">100*0.199</f>
        <v>19.9</v>
      </c>
      <c r="BV45" s="41" t="n">
        <f aca="false">100*0.255</f>
        <v>25.5</v>
      </c>
      <c r="BW45" s="41" t="n">
        <f aca="false">100*0.03418</f>
        <v>3.418</v>
      </c>
      <c r="BX45" s="41" t="n">
        <f aca="false">100*0.0241</f>
        <v>2.41</v>
      </c>
      <c r="BY45" s="41" t="n">
        <f aca="false">100*0.33388</f>
        <v>33.388</v>
      </c>
      <c r="BZ45" s="41" t="n">
        <f aca="false">100*0.647</f>
        <v>64.7</v>
      </c>
      <c r="CA45" s="53"/>
      <c r="CB45" s="54"/>
      <c r="CC45" s="54"/>
      <c r="CD45" s="55"/>
      <c r="CE45" s="55"/>
      <c r="CF45" s="55"/>
      <c r="CG45" s="55"/>
      <c r="CH45" s="55"/>
      <c r="CI45" s="55"/>
      <c r="CJ45" s="55"/>
      <c r="CK45" s="55"/>
      <c r="CL45" s="55"/>
      <c r="CM45" s="55"/>
      <c r="CN45" s="55"/>
      <c r="CO45" s="55"/>
      <c r="CP45" s="55"/>
      <c r="CQ45" s="55"/>
      <c r="CR45" s="55"/>
      <c r="CS45" s="55"/>
      <c r="CT45" s="55"/>
      <c r="CU45" s="55"/>
      <c r="CV45" s="55"/>
    </row>
    <row r="46" s="61" customFormat="true" ht="12.6" hidden="false" customHeight="true" outlineLevel="0" collapsed="false">
      <c r="A46" s="61" t="s">
        <v>281</v>
      </c>
      <c r="B46" s="61" t="s">
        <v>113</v>
      </c>
      <c r="D46" s="61" t="s">
        <v>102</v>
      </c>
      <c r="E46" s="163" t="n">
        <v>15977</v>
      </c>
      <c r="F46" s="163" t="n">
        <v>42948</v>
      </c>
      <c r="G46" s="163" t="n">
        <v>43445</v>
      </c>
      <c r="H46" s="76" t="s">
        <v>103</v>
      </c>
      <c r="I46" s="64" t="n">
        <v>75.2032854209446</v>
      </c>
      <c r="J46" s="65" t="n">
        <v>27468</v>
      </c>
      <c r="K46" s="65" t="n">
        <v>497</v>
      </c>
      <c r="L46" s="65" t="s">
        <v>114</v>
      </c>
      <c r="M46" s="65" t="s">
        <v>114</v>
      </c>
      <c r="N46" s="66" t="s">
        <v>282</v>
      </c>
      <c r="O46" s="77" t="n">
        <v>0</v>
      </c>
      <c r="P46" s="164" t="n">
        <v>0</v>
      </c>
      <c r="Q46" s="163" t="s">
        <v>116</v>
      </c>
      <c r="R46" s="163"/>
      <c r="S46" s="68" t="s">
        <v>277</v>
      </c>
      <c r="T46" s="78" t="n">
        <v>10</v>
      </c>
      <c r="U46" s="77" t="n">
        <v>1639.14</v>
      </c>
      <c r="V46" s="79" t="n">
        <v>86.96</v>
      </c>
      <c r="W46" s="80" t="n">
        <v>1552.18</v>
      </c>
      <c r="X46" s="68"/>
      <c r="Y46" s="82"/>
      <c r="Z46" s="161" t="n">
        <v>49600000</v>
      </c>
      <c r="AA46" s="161"/>
      <c r="AB46" s="165"/>
      <c r="AC46" s="161" t="n">
        <v>14600000</v>
      </c>
      <c r="AD46" s="61" t="s">
        <v>283</v>
      </c>
      <c r="AE46" s="61" t="n">
        <v>92562</v>
      </c>
      <c r="AF46" s="61" t="n">
        <v>2025</v>
      </c>
      <c r="AG46" s="61" t="n">
        <f aca="false">100*0.0219</f>
        <v>2.19</v>
      </c>
      <c r="AH46" s="61" t="n">
        <f aca="false">100*0.144</f>
        <v>14.4</v>
      </c>
      <c r="AI46" s="61" t="n">
        <v>109</v>
      </c>
      <c r="AJ46" s="61" t="n">
        <f aca="false">100*0.0014</f>
        <v>0.14</v>
      </c>
      <c r="AK46" s="61" t="n">
        <v>259</v>
      </c>
      <c r="AL46" s="61" t="n">
        <f aca="false">100*0.0025</f>
        <v>0.25</v>
      </c>
      <c r="AM46" s="61" t="n">
        <f aca="false">100*0.08525</f>
        <v>8.525</v>
      </c>
      <c r="AN46" s="61" t="n">
        <f aca="false">100*0.01925</f>
        <v>1.925</v>
      </c>
      <c r="AO46" s="61" t="n">
        <f aca="false">100*0.735</f>
        <v>73.5</v>
      </c>
      <c r="AP46" s="61" t="n">
        <f aca="false">100*0.0357</f>
        <v>3.57</v>
      </c>
      <c r="AQ46" s="61" t="n">
        <v>5307</v>
      </c>
      <c r="AR46" s="61" t="n">
        <f aca="false">100*0.215</f>
        <v>21.5</v>
      </c>
      <c r="AS46" s="61" t="n">
        <f aca="false">100*0.24409</f>
        <v>24.409</v>
      </c>
      <c r="AT46" s="61" t="n">
        <f aca="false">100*0.57355</f>
        <v>57.355</v>
      </c>
      <c r="AU46" s="61" t="n">
        <f aca="false">100*0.09927</f>
        <v>9.927</v>
      </c>
      <c r="AV46" s="61" t="n">
        <f aca="false">100*0.0727</f>
        <v>7.27</v>
      </c>
      <c r="AW46" s="61" t="n">
        <f aca="false">100*0.24444</f>
        <v>24.444</v>
      </c>
      <c r="AX46" s="61" t="n">
        <f aca="false">100*0.6682</f>
        <v>66.82</v>
      </c>
      <c r="AY46" s="61" t="n">
        <f aca="false">100*0.0418</f>
        <v>4.18</v>
      </c>
      <c r="AZ46" s="61" t="n">
        <f aca="false">100*0.0134</f>
        <v>1.34</v>
      </c>
      <c r="BA46" s="61" t="n">
        <v>75268</v>
      </c>
      <c r="BB46" s="61" t="n">
        <f aca="false">100*0.04554016</f>
        <v>4.554016</v>
      </c>
      <c r="BC46" s="61" t="n">
        <f aca="false">100*0.3518</f>
        <v>35.18</v>
      </c>
      <c r="BD46" s="61" t="n">
        <f aca="false">100*0.5766586</f>
        <v>57.66586</v>
      </c>
      <c r="BE46" s="61" t="n">
        <f aca="false">100*0.0012</f>
        <v>0.12</v>
      </c>
      <c r="BF46" s="61" t="n">
        <f aca="false">100*0.0352</f>
        <v>3.52</v>
      </c>
      <c r="BG46" s="61" t="n">
        <f aca="false">100*0.3014</f>
        <v>30.14</v>
      </c>
      <c r="BH46" s="61" t="n">
        <f aca="false">100*0.62222</f>
        <v>62.222</v>
      </c>
      <c r="BI46" s="61" t="n">
        <f aca="false">100*0.0036448</f>
        <v>0.36448</v>
      </c>
      <c r="BJ46" s="61" t="n">
        <f aca="false">100*0.0676</f>
        <v>6.76</v>
      </c>
      <c r="BK46" s="61" t="n">
        <f aca="false">100*0.0334</f>
        <v>3.34</v>
      </c>
      <c r="BL46" s="61" t="n">
        <f aca="false">100*0.46815</f>
        <v>46.815</v>
      </c>
      <c r="BM46" s="61" t="n">
        <f aca="false">100*0.11843</f>
        <v>11.843</v>
      </c>
      <c r="BN46" s="61" t="n">
        <f aca="false">100*0.0212</f>
        <v>2.12</v>
      </c>
      <c r="BO46" s="61" t="n">
        <f aca="false">100*0.0125</f>
        <v>1.25</v>
      </c>
      <c r="BP46" s="61" t="n">
        <f aca="false">100*0.026105</f>
        <v>2.6105</v>
      </c>
      <c r="BQ46" s="61" t="n">
        <f aca="false">100*0.8086</f>
        <v>80.86</v>
      </c>
      <c r="BR46" s="61" t="n">
        <f aca="false">100*0.132</f>
        <v>13.2</v>
      </c>
      <c r="BS46" s="61" t="n">
        <f aca="false">100*0.515</f>
        <v>51.5</v>
      </c>
      <c r="BT46" s="61" t="n">
        <f aca="false">100*0.201</f>
        <v>20.1</v>
      </c>
      <c r="BU46" s="61" t="n">
        <f aca="false">100*0.1</f>
        <v>10</v>
      </c>
      <c r="BV46" s="61" t="n">
        <f aca="false">100*0.162</f>
        <v>16.2</v>
      </c>
      <c r="BW46" s="61" t="n">
        <f aca="false">100*0.278</f>
        <v>27.8</v>
      </c>
      <c r="BX46" s="61" t="n">
        <f aca="false">100*0.131</f>
        <v>13.1</v>
      </c>
      <c r="BY46" s="61" t="n">
        <f aca="false">100*0.162</f>
        <v>16.2</v>
      </c>
      <c r="BZ46" s="61" t="n">
        <f aca="false">100*0.422</f>
        <v>42.2</v>
      </c>
      <c r="CA46" s="84"/>
      <c r="CB46" s="74"/>
      <c r="CC46" s="74"/>
      <c r="CD46" s="75"/>
      <c r="CE46" s="75"/>
      <c r="CF46" s="75"/>
      <c r="CG46" s="75"/>
      <c r="CH46" s="75"/>
      <c r="CI46" s="75"/>
      <c r="CJ46" s="75"/>
      <c r="CK46" s="75"/>
      <c r="CL46" s="75"/>
      <c r="CM46" s="75"/>
      <c r="CN46" s="75"/>
      <c r="CO46" s="75"/>
      <c r="CP46" s="75"/>
      <c r="CQ46" s="75"/>
      <c r="CR46" s="75"/>
      <c r="CS46" s="75"/>
      <c r="CT46" s="75"/>
      <c r="CU46" s="75"/>
      <c r="CV46" s="75"/>
    </row>
    <row r="47" s="61" customFormat="true" ht="13.15" hidden="false" customHeight="true" outlineLevel="0" collapsed="false">
      <c r="A47" s="61" t="s">
        <v>284</v>
      </c>
      <c r="B47" s="61" t="s">
        <v>101</v>
      </c>
      <c r="D47" s="61" t="s">
        <v>102</v>
      </c>
      <c r="E47" s="62" t="n">
        <v>15977</v>
      </c>
      <c r="F47" s="62" t="n">
        <v>42948</v>
      </c>
      <c r="G47" s="62" t="n">
        <v>43493</v>
      </c>
      <c r="H47" s="62" t="s">
        <v>103</v>
      </c>
      <c r="I47" s="148" t="n">
        <v>75.3347022587269</v>
      </c>
      <c r="J47" s="148" t="n">
        <v>27516</v>
      </c>
      <c r="K47" s="148" t="n">
        <v>545</v>
      </c>
      <c r="L47" s="149" t="s">
        <v>114</v>
      </c>
      <c r="M47" s="149" t="s">
        <v>114</v>
      </c>
      <c r="N47" s="66" t="s">
        <v>168</v>
      </c>
      <c r="O47" s="67"/>
      <c r="P47" s="67"/>
      <c r="Q47" s="150" t="s">
        <v>116</v>
      </c>
      <c r="R47" s="150" t="s">
        <v>285</v>
      </c>
      <c r="S47" s="151" t="s">
        <v>286</v>
      </c>
      <c r="T47" s="152" t="s">
        <v>106</v>
      </c>
      <c r="U47" s="69" t="n">
        <v>1760.59</v>
      </c>
      <c r="V47" s="69" t="n">
        <v>55.7</v>
      </c>
      <c r="W47" s="70" t="n">
        <v>1704.89</v>
      </c>
      <c r="X47" s="81" t="s">
        <v>287</v>
      </c>
      <c r="Y47" s="71" t="n">
        <v>1200000</v>
      </c>
      <c r="Z47" s="72" t="n">
        <v>2045868000</v>
      </c>
      <c r="AA47" s="71" t="n">
        <v>475000000</v>
      </c>
      <c r="AB47" s="151" t="s">
        <v>288</v>
      </c>
      <c r="AC47" s="157" t="n">
        <v>11000000</v>
      </c>
      <c r="AD47" s="61" t="s">
        <v>289</v>
      </c>
      <c r="AE47" s="61" t="n">
        <v>28630</v>
      </c>
      <c r="AF47" s="61" t="n">
        <v>122</v>
      </c>
      <c r="AG47" s="61" t="n">
        <f aca="false">100*0.0052</f>
        <v>0.52</v>
      </c>
      <c r="AH47" s="61" t="n">
        <f aca="false">100*0.0246</f>
        <v>2.46</v>
      </c>
      <c r="AI47" s="61" t="n">
        <v>42</v>
      </c>
      <c r="AJ47" s="61" t="n">
        <f aca="false">100*0.0018</f>
        <v>0.18</v>
      </c>
      <c r="AK47" s="61" t="n">
        <v>58</v>
      </c>
      <c r="AL47" s="61" t="n">
        <f aca="false">100*0.0025</f>
        <v>0.25</v>
      </c>
      <c r="AM47" s="61" t="n">
        <v>0</v>
      </c>
      <c r="AN47" s="61" t="n">
        <v>0</v>
      </c>
      <c r="AO47" s="61" t="n">
        <f aca="false">100*0.793</f>
        <v>79.3</v>
      </c>
      <c r="AP47" s="61" t="n">
        <f aca="false">100*0.138</f>
        <v>13.8</v>
      </c>
      <c r="AQ47" s="61" t="n">
        <v>2436</v>
      </c>
      <c r="AR47" s="61" t="n">
        <f aca="false">100*0.0263</f>
        <v>2.63</v>
      </c>
      <c r="AS47" s="61" t="n">
        <f aca="false">100*0.338</f>
        <v>33.8</v>
      </c>
      <c r="AT47" s="61" t="n">
        <f aca="false">100*0.476</f>
        <v>47.6</v>
      </c>
      <c r="AU47" s="61" t="n">
        <f aca="false">100*0.101</f>
        <v>10.1</v>
      </c>
      <c r="AV47" s="61" t="n">
        <f aca="false">100*0.0846</f>
        <v>8.46</v>
      </c>
      <c r="AW47" s="61" t="n">
        <f aca="false">100*0.19</f>
        <v>19</v>
      </c>
      <c r="AX47" s="61" t="n">
        <f aca="false">100*0.399</f>
        <v>39.9</v>
      </c>
      <c r="AY47" s="61" t="n">
        <f aca="false">100*0.205</f>
        <v>20.5</v>
      </c>
      <c r="AZ47" s="61" t="n">
        <f aca="false">100*0.206</f>
        <v>20.6</v>
      </c>
      <c r="BA47" s="61" t="n">
        <v>19699</v>
      </c>
      <c r="BB47" s="61" t="n">
        <f aca="false">100*0.0071</f>
        <v>0.71</v>
      </c>
      <c r="BC47" s="61" t="n">
        <f aca="false">100*0.409</f>
        <v>40.9</v>
      </c>
      <c r="BD47" s="61" t="n">
        <f aca="false">100*0.533</f>
        <v>53.3</v>
      </c>
      <c r="BE47" s="61" t="n">
        <f aca="false">100*0.0038</f>
        <v>0.38</v>
      </c>
      <c r="BF47" s="61" t="n">
        <f aca="false">100*0.0543</f>
        <v>5.43</v>
      </c>
      <c r="BG47" s="61" t="n">
        <f aca="false">100*0.348</f>
        <v>34.8</v>
      </c>
      <c r="BH47" s="61" t="n">
        <f aca="false">100*0.53</f>
        <v>53</v>
      </c>
      <c r="BI47" s="61" t="n">
        <f aca="false">100*0.0084</f>
        <v>0.84</v>
      </c>
      <c r="BJ47" s="61" t="n">
        <f aca="false">100*0.114</f>
        <v>11.4</v>
      </c>
      <c r="BK47" s="61" t="n">
        <f aca="false">100*0.0902</f>
        <v>9.02</v>
      </c>
      <c r="BL47" s="61" t="n">
        <f aca="false">100*0.262</f>
        <v>26.2</v>
      </c>
      <c r="BM47" s="61" t="n">
        <f aca="false">100*0.557</f>
        <v>55.7</v>
      </c>
      <c r="BN47" s="61" t="n">
        <f aca="false">100*0.0902</f>
        <v>9.02</v>
      </c>
      <c r="BO47" s="61" t="n">
        <f aca="false">100*0.0246</f>
        <v>2.46</v>
      </c>
      <c r="BP47" s="61" t="n">
        <f aca="false">100*0.0656</f>
        <v>6.56</v>
      </c>
      <c r="BQ47" s="61" t="n">
        <f aca="false">100*0.754</f>
        <v>75.4</v>
      </c>
      <c r="BR47" s="61" t="n">
        <f aca="false">100*0.156</f>
        <v>15.6</v>
      </c>
      <c r="BS47" s="61" t="n">
        <f aca="false">100*0.379</f>
        <v>37.9</v>
      </c>
      <c r="BT47" s="61" t="n">
        <f aca="false">100*0.362</f>
        <v>36.2</v>
      </c>
      <c r="BU47" s="61" t="n">
        <f aca="false">100*0.069</f>
        <v>6.9</v>
      </c>
      <c r="BV47" s="61" t="n">
        <f aca="false">100*0.19</f>
        <v>19</v>
      </c>
      <c r="BW47" s="61" t="n">
        <f aca="false">100*0.121</f>
        <v>12.1</v>
      </c>
      <c r="BX47" s="61" t="n">
        <f aca="false">100*0.0862</f>
        <v>8.62</v>
      </c>
      <c r="BY47" s="61" t="n">
        <f aca="false">100*0.345</f>
        <v>34.5</v>
      </c>
      <c r="BZ47" s="61" t="n">
        <f aca="false">100*0.448</f>
        <v>44.8</v>
      </c>
      <c r="CA47" s="84" t="n">
        <v>0.273</v>
      </c>
      <c r="CB47" s="74"/>
      <c r="CC47" s="74"/>
      <c r="CD47" s="75"/>
      <c r="CE47" s="75"/>
      <c r="CF47" s="75"/>
      <c r="CG47" s="75"/>
      <c r="CH47" s="75"/>
      <c r="CI47" s="75"/>
      <c r="CJ47" s="75"/>
      <c r="CK47" s="75"/>
      <c r="CL47" s="75"/>
      <c r="CM47" s="75"/>
      <c r="CN47" s="75"/>
      <c r="CO47" s="75"/>
      <c r="CP47" s="75"/>
      <c r="CQ47" s="75"/>
      <c r="CR47" s="75"/>
      <c r="CS47" s="75"/>
      <c r="CT47" s="75"/>
      <c r="CU47" s="75"/>
      <c r="CV47" s="75"/>
    </row>
    <row r="48" s="41" customFormat="true" ht="12.6" hidden="false" customHeight="true" outlineLevel="0" collapsed="false">
      <c r="A48" s="41" t="s">
        <v>290</v>
      </c>
      <c r="B48" s="41" t="s">
        <v>113</v>
      </c>
      <c r="D48" s="41" t="s">
        <v>102</v>
      </c>
      <c r="E48" s="134" t="n">
        <v>16873</v>
      </c>
      <c r="F48" s="134" t="n">
        <v>42993</v>
      </c>
      <c r="G48" s="134" t="n">
        <v>43418</v>
      </c>
      <c r="H48" s="42" t="s">
        <v>157</v>
      </c>
      <c r="I48" s="43" t="n">
        <v>72.6762491444216</v>
      </c>
      <c r="J48" s="44" t="n">
        <v>26545</v>
      </c>
      <c r="K48" s="44" t="n">
        <v>425</v>
      </c>
      <c r="L48" s="44" t="s">
        <v>104</v>
      </c>
      <c r="M48" s="44" t="s">
        <v>104</v>
      </c>
      <c r="N48" s="45" t="n">
        <v>43434</v>
      </c>
      <c r="O48" s="48" t="n">
        <v>1</v>
      </c>
      <c r="P48" s="128" t="s">
        <v>272</v>
      </c>
      <c r="Q48" s="134" t="s">
        <v>116</v>
      </c>
      <c r="R48" s="134"/>
      <c r="S48" s="47" t="s">
        <v>291</v>
      </c>
      <c r="T48" s="46" t="n">
        <v>10</v>
      </c>
      <c r="U48" s="166" t="s">
        <v>292</v>
      </c>
      <c r="V48" s="166"/>
      <c r="W48" s="50" t="n">
        <v>3185.64</v>
      </c>
      <c r="X48" s="47"/>
      <c r="Y48" s="51"/>
      <c r="Z48" s="133" t="n">
        <v>10800000</v>
      </c>
      <c r="AA48" s="133"/>
      <c r="AB48" s="167"/>
      <c r="AC48" s="133" t="n">
        <v>14400000</v>
      </c>
      <c r="AD48" s="41" t="s">
        <v>293</v>
      </c>
      <c r="AE48" s="41" t="n">
        <v>570000</v>
      </c>
      <c r="AF48" s="41" t="n">
        <v>2836</v>
      </c>
      <c r="AG48" s="41" t="n">
        <f aca="false">100*0.0053</f>
        <v>0.53</v>
      </c>
      <c r="AH48" s="41" t="n">
        <f aca="false">100*0.359</f>
        <v>35.9</v>
      </c>
      <c r="AI48" s="41" t="n">
        <v>8</v>
      </c>
      <c r="AJ48" s="41" t="n">
        <f aca="false">100*0.0000151</f>
        <v>0.00151</v>
      </c>
      <c r="AK48" s="41" t="n">
        <v>1304</v>
      </c>
      <c r="AL48" s="41" t="n">
        <f aca="false">100*0.0025</f>
        <v>0.25</v>
      </c>
      <c r="AM48" s="41" t="n">
        <f aca="false">100*0.0491</f>
        <v>4.91</v>
      </c>
      <c r="AN48" s="41" t="n">
        <f aca="false">100*0.0031</f>
        <v>0.31</v>
      </c>
      <c r="AO48" s="41" t="n">
        <f aca="false">100*0.893</f>
        <v>89.3</v>
      </c>
      <c r="AP48" s="41" t="n">
        <f aca="false">100*0.013</f>
        <v>1.3</v>
      </c>
      <c r="AQ48" s="41" t="n">
        <v>165860</v>
      </c>
      <c r="AR48" s="41" t="n">
        <f aca="false">100*0.264</f>
        <v>26.4</v>
      </c>
      <c r="AS48" s="41" t="n">
        <f aca="false">100*0.0364</f>
        <v>3.64</v>
      </c>
      <c r="AT48" s="41" t="n">
        <f aca="false">100*0.22</f>
        <v>22</v>
      </c>
      <c r="AU48" s="41" t="n">
        <f aca="false">100*0.217</f>
        <v>21.7</v>
      </c>
      <c r="AV48" s="41" t="n">
        <f aca="false">100*0.527</f>
        <v>52.7</v>
      </c>
      <c r="AW48" s="41" t="n">
        <f aca="false">100*0.0156</f>
        <v>1.56</v>
      </c>
      <c r="AX48" s="41" t="n">
        <f aca="false">100*0.126</f>
        <v>12.6</v>
      </c>
      <c r="AY48" s="41" t="n">
        <f aca="false">100*0.32</f>
        <v>32</v>
      </c>
      <c r="AZ48" s="41" t="n">
        <f aca="false">100*0.539</f>
        <v>53.9</v>
      </c>
      <c r="BA48" s="41" t="n">
        <v>330425</v>
      </c>
      <c r="BB48" s="41" t="n">
        <f aca="false">100*0.0779</f>
        <v>7.79</v>
      </c>
      <c r="BC48" s="41" t="n">
        <f aca="false">100*0.236</f>
        <v>23.6</v>
      </c>
      <c r="BD48" s="41" t="n">
        <f aca="false">100*0.688</f>
        <v>68.8</v>
      </c>
      <c r="BE48" s="41" t="n">
        <f aca="false">100*0.0254</f>
        <v>2.54</v>
      </c>
      <c r="BF48" s="41" t="n">
        <f aca="false">100*0.0504</f>
        <v>5.04</v>
      </c>
      <c r="BG48" s="41" t="n">
        <f aca="false">100*0.257</f>
        <v>25.7</v>
      </c>
      <c r="BH48" s="41" t="n">
        <f aca="false">100*0.658</f>
        <v>65.8</v>
      </c>
      <c r="BI48" s="41" t="n">
        <f aca="false">100*0.0208</f>
        <v>2.08</v>
      </c>
      <c r="BJ48" s="41" t="n">
        <f aca="false">100*0.0639</f>
        <v>6.39</v>
      </c>
      <c r="BK48" s="41" t="n">
        <f aca="false">100*0.213</f>
        <v>21.3</v>
      </c>
      <c r="BL48" s="41" t="n">
        <f aca="false">100*0.281</f>
        <v>28.1</v>
      </c>
      <c r="BM48" s="41" t="n">
        <f aca="false">100*0.443</f>
        <v>44.3</v>
      </c>
      <c r="BN48" s="41" t="n">
        <f aca="false">100*0.0635</f>
        <v>6.35</v>
      </c>
      <c r="BO48" s="41" t="n">
        <f aca="false">100*0.079</f>
        <v>7.9</v>
      </c>
      <c r="BP48" s="41" t="n">
        <f aca="false">100*0.0441</f>
        <v>4.41</v>
      </c>
      <c r="BQ48" s="41" t="n">
        <f aca="false">100*0.702</f>
        <v>70.2</v>
      </c>
      <c r="BR48" s="41" t="n">
        <f aca="false">100*0.175</f>
        <v>17.5</v>
      </c>
      <c r="BS48" s="41" t="n">
        <f aca="false">100*0.447</f>
        <v>44.7</v>
      </c>
      <c r="BT48" s="41" t="n">
        <f aca="false">100*0.327</f>
        <v>32.7</v>
      </c>
      <c r="BU48" s="41" t="n">
        <f aca="false">100*0.079</f>
        <v>7.9</v>
      </c>
      <c r="BV48" s="41" t="n">
        <f aca="false">100*0.147</f>
        <v>14.7</v>
      </c>
      <c r="BW48" s="41" t="n">
        <f aca="false">100*0.0867</f>
        <v>8.67</v>
      </c>
      <c r="BX48" s="41" t="n">
        <f aca="false">100*0.0284</f>
        <v>2.84</v>
      </c>
      <c r="BY48" s="41" t="n">
        <f aca="false">100*0.377</f>
        <v>37.7</v>
      </c>
      <c r="BZ48" s="41" t="n">
        <f aca="false">100*0.508</f>
        <v>50.8</v>
      </c>
      <c r="CA48" s="53" t="n">
        <v>0.093</v>
      </c>
      <c r="CB48" s="54"/>
      <c r="CC48" s="54"/>
      <c r="CD48" s="55"/>
      <c r="CE48" s="55"/>
      <c r="CF48" s="55"/>
      <c r="CG48" s="55"/>
      <c r="CH48" s="55"/>
      <c r="CI48" s="55"/>
      <c r="CJ48" s="55"/>
      <c r="CK48" s="55"/>
      <c r="CL48" s="55"/>
      <c r="CM48" s="55"/>
      <c r="CN48" s="55"/>
      <c r="CO48" s="55"/>
      <c r="CP48" s="55"/>
      <c r="CQ48" s="55"/>
      <c r="CR48" s="55"/>
      <c r="CS48" s="55"/>
      <c r="CT48" s="55"/>
      <c r="CU48" s="55"/>
      <c r="CV48" s="55"/>
    </row>
    <row r="49" s="168" customFormat="true" ht="13.9" hidden="false" customHeight="true" outlineLevel="0" collapsed="false">
      <c r="A49" s="41" t="s">
        <v>294</v>
      </c>
      <c r="B49" s="41" t="s">
        <v>113</v>
      </c>
      <c r="C49" s="41"/>
      <c r="D49" s="41" t="s">
        <v>102</v>
      </c>
      <c r="E49" s="134" t="n">
        <v>26786</v>
      </c>
      <c r="F49" s="134" t="n">
        <v>43012</v>
      </c>
      <c r="G49" s="134" t="n">
        <v>43469</v>
      </c>
      <c r="H49" s="134" t="s">
        <v>157</v>
      </c>
      <c r="I49" s="43" t="n">
        <v>45.6755646817248</v>
      </c>
      <c r="J49" s="44" t="n">
        <v>16683</v>
      </c>
      <c r="K49" s="44" t="n">
        <v>457</v>
      </c>
      <c r="L49" s="44" t="s">
        <v>114</v>
      </c>
      <c r="M49" s="44" t="s">
        <v>104</v>
      </c>
      <c r="N49" s="135" t="s">
        <v>282</v>
      </c>
      <c r="O49" s="137" t="n">
        <v>0</v>
      </c>
      <c r="P49" s="137" t="n">
        <v>0</v>
      </c>
      <c r="Q49" s="134" t="s">
        <v>116</v>
      </c>
      <c r="R49" s="134"/>
      <c r="S49" s="47" t="s">
        <v>277</v>
      </c>
      <c r="T49" s="166" t="n">
        <v>10</v>
      </c>
      <c r="U49" s="166" t="n">
        <v>2175.36</v>
      </c>
      <c r="V49" s="132" t="n">
        <v>67.66</v>
      </c>
      <c r="W49" s="50" t="n">
        <f aca="false">U49-V49</f>
        <v>2107.7</v>
      </c>
      <c r="X49" s="47"/>
      <c r="Y49" s="51"/>
      <c r="Z49" s="133" t="n">
        <v>10400000</v>
      </c>
      <c r="AA49" s="133"/>
      <c r="AB49" s="167"/>
      <c r="AC49" s="133" t="n">
        <v>10600000</v>
      </c>
      <c r="AD49" s="41" t="s">
        <v>295</v>
      </c>
      <c r="AE49" s="41" t="n">
        <v>1100000</v>
      </c>
      <c r="AF49" s="41" t="n">
        <v>42514</v>
      </c>
      <c r="AG49" s="41" t="n">
        <f aca="false">100*0.0429</f>
        <v>4.29</v>
      </c>
      <c r="AH49" s="41" t="n">
        <f aca="false">100*0.0949</f>
        <v>9.49</v>
      </c>
      <c r="AI49" s="41" t="n">
        <v>3568</v>
      </c>
      <c r="AJ49" s="41" t="n">
        <f aca="false">100*0.0036</f>
        <v>0.36</v>
      </c>
      <c r="AK49" s="41" t="n">
        <v>38267</v>
      </c>
      <c r="AL49" s="41" t="n">
        <f aca="false">100*0.0407</f>
        <v>4.07</v>
      </c>
      <c r="AM49" s="41" t="n">
        <f aca="false">100*0.0058</f>
        <v>0.58</v>
      </c>
      <c r="AN49" s="41" t="n">
        <f aca="false">100*0.0017</f>
        <v>0.17</v>
      </c>
      <c r="AO49" s="41" t="n">
        <f aca="false">100*0.831</f>
        <v>83.1</v>
      </c>
      <c r="AP49" s="41" t="n">
        <f aca="false">100*0.0086</f>
        <v>0.86</v>
      </c>
      <c r="AQ49" s="41" t="n">
        <v>183616</v>
      </c>
      <c r="AR49" s="41" t="n">
        <f aca="false">100*0.131</f>
        <v>13.1</v>
      </c>
      <c r="AS49" s="41" t="n">
        <f aca="false">100*0.103</f>
        <v>10.3</v>
      </c>
      <c r="AT49" s="41" t="n">
        <f aca="false">100*0.68</f>
        <v>68</v>
      </c>
      <c r="AU49" s="41" t="n">
        <f aca="false">100*0.17</f>
        <v>17</v>
      </c>
      <c r="AV49" s="41" t="n">
        <f aca="false">100*0.0462</f>
        <v>4.62</v>
      </c>
      <c r="AW49" s="41" t="n">
        <f aca="false">100*0.0324</f>
        <v>3.24</v>
      </c>
      <c r="AX49" s="41" t="n">
        <f aca="false">100*0.588</f>
        <v>58.8</v>
      </c>
      <c r="AY49" s="41" t="n">
        <f aca="false">100*0.306</f>
        <v>30.6</v>
      </c>
      <c r="AZ49" s="41" t="n">
        <f aca="false">100*0.0731</f>
        <v>7.31</v>
      </c>
      <c r="BA49" s="41" t="n">
        <f aca="false">100*599000</f>
        <v>59900000</v>
      </c>
      <c r="BB49" s="41" t="n">
        <f aca="false">100*0.0686</f>
        <v>6.86</v>
      </c>
      <c r="BC49" s="41" t="n">
        <f aca="false">100*0.483</f>
        <v>48.3</v>
      </c>
      <c r="BD49" s="41" t="n">
        <f aca="false">100*0.423</f>
        <v>42.3</v>
      </c>
      <c r="BE49" s="41" t="n">
        <f aca="false">100*0.0085</f>
        <v>0.85</v>
      </c>
      <c r="BF49" s="41" t="n">
        <f aca="false">100*0.0863</f>
        <v>8.63</v>
      </c>
      <c r="BG49" s="41" t="n">
        <f aca="false">100*0.424</f>
        <v>42.4</v>
      </c>
      <c r="BH49" s="41" t="n">
        <f aca="false">100*0.419</f>
        <v>41.9</v>
      </c>
      <c r="BI49" s="41" t="n">
        <f aca="false">100*0.0122</f>
        <v>1.22</v>
      </c>
      <c r="BJ49" s="41" t="n">
        <f aca="false">100*0.145</f>
        <v>14.5</v>
      </c>
      <c r="BK49" s="41" t="n">
        <f aca="false">100*0.425</f>
        <v>42.5</v>
      </c>
      <c r="BL49" s="41" t="n">
        <f aca="false">100*0.34</f>
        <v>34</v>
      </c>
      <c r="BM49" s="41" t="n">
        <f aca="false">100*0.0703</f>
        <v>7.03</v>
      </c>
      <c r="BN49" s="41" t="n">
        <f aca="false">100*0.164</f>
        <v>16.4</v>
      </c>
      <c r="BO49" s="41" t="n">
        <f aca="false">100*0.0096</f>
        <v>0.96</v>
      </c>
      <c r="BP49" s="41" t="n">
        <f aca="false">100*0.0086</f>
        <v>0.86</v>
      </c>
      <c r="BQ49" s="41" t="n">
        <f aca="false">100*0.825</f>
        <v>82.5</v>
      </c>
      <c r="BR49" s="41" t="n">
        <f aca="false">100*0.157</f>
        <v>15.7</v>
      </c>
      <c r="BS49" s="41" t="n">
        <f aca="false">100*0.734</f>
        <v>73.4</v>
      </c>
      <c r="BT49" s="41" t="n">
        <f aca="false">100*0.126</f>
        <v>12.6</v>
      </c>
      <c r="BU49" s="41" t="n">
        <f aca="false">100*0.007</f>
        <v>0.7</v>
      </c>
      <c r="BV49" s="41" t="n">
        <f aca="false">100*0.134</f>
        <v>13.4</v>
      </c>
      <c r="BW49" s="41" t="n">
        <f aca="false">100*0.0292</f>
        <v>2.92</v>
      </c>
      <c r="BX49" s="41" t="n">
        <f aca="false">100*0.0058</f>
        <v>0.58</v>
      </c>
      <c r="BY49" s="41" t="n">
        <f aca="false">100*0.365</f>
        <v>36.5</v>
      </c>
      <c r="BZ49" s="41" t="n">
        <f aca="false">100*0.6</f>
        <v>60</v>
      </c>
      <c r="CA49" s="53" t="n">
        <v>0.0495</v>
      </c>
      <c r="CB49" s="54"/>
      <c r="CC49" s="54"/>
      <c r="CD49" s="55"/>
      <c r="CE49" s="55"/>
      <c r="CF49" s="55"/>
      <c r="CG49" s="55"/>
      <c r="CH49" s="55"/>
      <c r="CI49" s="55"/>
      <c r="CJ49" s="55"/>
      <c r="CK49" s="55"/>
      <c r="CL49" s="55"/>
      <c r="CM49" s="55"/>
      <c r="CN49" s="55"/>
      <c r="CO49" s="55"/>
      <c r="CP49" s="55"/>
      <c r="CQ49" s="55"/>
      <c r="CR49" s="55"/>
      <c r="CS49" s="55"/>
      <c r="CT49" s="55"/>
      <c r="CU49" s="55"/>
      <c r="CV49" s="55"/>
      <c r="CW49" s="41"/>
      <c r="CX49" s="41"/>
    </row>
    <row r="50" s="168" customFormat="true" ht="19.4" hidden="false" customHeight="false" outlineLevel="0" collapsed="false">
      <c r="A50" s="168" t="s">
        <v>100</v>
      </c>
      <c r="B50" s="168" t="s">
        <v>101</v>
      </c>
      <c r="C50" s="168" t="s">
        <v>167</v>
      </c>
      <c r="D50" s="168" t="s">
        <v>296</v>
      </c>
      <c r="E50" s="169" t="n">
        <v>18328</v>
      </c>
      <c r="F50" s="169" t="n">
        <v>42184</v>
      </c>
      <c r="G50" s="169" t="n">
        <v>43004</v>
      </c>
      <c r="H50" s="169" t="s">
        <v>103</v>
      </c>
      <c r="I50" s="170" t="n">
        <f aca="false">(G50-E50)/365.25</f>
        <v>67.5592060232717</v>
      </c>
      <c r="J50" s="171" t="n">
        <f aca="false">G50-E50</f>
        <v>24676</v>
      </c>
      <c r="K50" s="171" t="n">
        <f aca="false">G50-F50</f>
        <v>820</v>
      </c>
      <c r="L50" s="172" t="s">
        <v>104</v>
      </c>
      <c r="M50" s="172" t="s">
        <v>104</v>
      </c>
      <c r="N50" s="173" t="s">
        <v>105</v>
      </c>
      <c r="O50" s="174"/>
      <c r="P50" s="174"/>
      <c r="Q50" s="175" t="s">
        <v>106</v>
      </c>
      <c r="R50" s="175"/>
      <c r="S50" s="176" t="s">
        <v>107</v>
      </c>
      <c r="T50" s="177" t="s">
        <v>108</v>
      </c>
      <c r="U50" s="178" t="n">
        <v>1583.16</v>
      </c>
      <c r="V50" s="178" t="n">
        <v>79.03</v>
      </c>
      <c r="W50" s="179" t="n">
        <f aca="false">U50-V50</f>
        <v>1504.13</v>
      </c>
      <c r="X50" s="180" t="s">
        <v>109</v>
      </c>
      <c r="Y50" s="181" t="n">
        <v>66000</v>
      </c>
      <c r="Z50" s="182" t="n">
        <f aca="false">Y50*W50</f>
        <v>99272580</v>
      </c>
      <c r="AA50" s="181" t="n">
        <v>146000000</v>
      </c>
      <c r="AB50" s="176" t="s">
        <v>110</v>
      </c>
      <c r="AC50" s="183" t="n">
        <v>5000000</v>
      </c>
      <c r="AD50" s="168" t="s">
        <v>111</v>
      </c>
      <c r="AE50" s="168" t="s">
        <v>220</v>
      </c>
      <c r="AF50" s="168" t="s">
        <v>220</v>
      </c>
      <c r="AG50" s="168" t="s">
        <v>220</v>
      </c>
      <c r="AH50" s="168" t="s">
        <v>220</v>
      </c>
      <c r="AI50" s="168" t="s">
        <v>220</v>
      </c>
      <c r="AJ50" s="168" t="s">
        <v>220</v>
      </c>
      <c r="AK50" s="168" t="s">
        <v>220</v>
      </c>
      <c r="AL50" s="168" t="s">
        <v>220</v>
      </c>
      <c r="AM50" s="168" t="s">
        <v>220</v>
      </c>
      <c r="AN50" s="168" t="s">
        <v>220</v>
      </c>
      <c r="AO50" s="168" t="s">
        <v>220</v>
      </c>
      <c r="AP50" s="168" t="s">
        <v>220</v>
      </c>
      <c r="AQ50" s="168" t="s">
        <v>220</v>
      </c>
      <c r="AR50" s="168" t="s">
        <v>220</v>
      </c>
      <c r="AS50" s="168" t="s">
        <v>220</v>
      </c>
      <c r="AT50" s="168" t="s">
        <v>220</v>
      </c>
      <c r="AU50" s="168" t="s">
        <v>220</v>
      </c>
      <c r="AV50" s="168" t="s">
        <v>220</v>
      </c>
      <c r="AW50" s="168" t="s">
        <v>220</v>
      </c>
      <c r="AX50" s="168" t="s">
        <v>220</v>
      </c>
      <c r="AY50" s="168" t="s">
        <v>220</v>
      </c>
      <c r="AZ50" s="168" t="s">
        <v>220</v>
      </c>
      <c r="BA50" s="168" t="s">
        <v>220</v>
      </c>
      <c r="BB50" s="168" t="s">
        <v>220</v>
      </c>
      <c r="BC50" s="168" t="s">
        <v>220</v>
      </c>
      <c r="BD50" s="168" t="s">
        <v>220</v>
      </c>
      <c r="BE50" s="168" t="s">
        <v>220</v>
      </c>
      <c r="BF50" s="168" t="s">
        <v>220</v>
      </c>
      <c r="BG50" s="168" t="s">
        <v>220</v>
      </c>
      <c r="BH50" s="168" t="s">
        <v>220</v>
      </c>
      <c r="BI50" s="168" t="s">
        <v>220</v>
      </c>
      <c r="BJ50" s="168" t="s">
        <v>220</v>
      </c>
      <c r="BK50" s="168" t="s">
        <v>220</v>
      </c>
      <c r="BL50" s="168" t="s">
        <v>220</v>
      </c>
      <c r="BM50" s="168" t="s">
        <v>220</v>
      </c>
      <c r="BN50" s="168" t="s">
        <v>220</v>
      </c>
      <c r="BO50" s="168" t="s">
        <v>220</v>
      </c>
      <c r="BP50" s="168" t="s">
        <v>220</v>
      </c>
      <c r="BQ50" s="168" t="s">
        <v>220</v>
      </c>
      <c r="BR50" s="168" t="s">
        <v>220</v>
      </c>
      <c r="BS50" s="168" t="s">
        <v>220</v>
      </c>
      <c r="BT50" s="168" t="s">
        <v>220</v>
      </c>
      <c r="BU50" s="168" t="s">
        <v>220</v>
      </c>
      <c r="BV50" s="168" t="s">
        <v>220</v>
      </c>
      <c r="BW50" s="168" t="s">
        <v>220</v>
      </c>
      <c r="BX50" s="168" t="s">
        <v>220</v>
      </c>
      <c r="BY50" s="168" t="s">
        <v>220</v>
      </c>
      <c r="BZ50" s="168" t="s">
        <v>220</v>
      </c>
      <c r="CA50" s="168" t="s">
        <v>220</v>
      </c>
      <c r="CB50" s="184" t="n">
        <v>1000000</v>
      </c>
      <c r="CC50" s="184" t="n">
        <v>750000</v>
      </c>
      <c r="CD50" s="185" t="n">
        <v>720000</v>
      </c>
      <c r="CE50" s="185" t="n">
        <v>366</v>
      </c>
      <c r="CF50" s="185" t="n">
        <v>0</v>
      </c>
      <c r="CG50" s="185" t="n">
        <v>3616</v>
      </c>
      <c r="CH50" s="185" t="n">
        <v>662000</v>
      </c>
      <c r="CI50" s="185" t="n">
        <v>5584</v>
      </c>
      <c r="CJ50" s="185" t="n">
        <v>67</v>
      </c>
      <c r="CK50" s="185" t="n">
        <v>0.96</v>
      </c>
      <c r="CL50" s="185" t="n">
        <v>0.00049</v>
      </c>
      <c r="CM50" s="185" t="n">
        <v>0</v>
      </c>
      <c r="CN50" s="185" t="n">
        <v>0.0048</v>
      </c>
      <c r="CO50" s="185" t="n">
        <v>0.883</v>
      </c>
      <c r="CP50" s="185" t="n">
        <v>0.0074</v>
      </c>
      <c r="CQ50" s="185" t="n">
        <v>8.93E-005</v>
      </c>
      <c r="CR50" s="185" t="n">
        <v>0.00051</v>
      </c>
      <c r="CS50" s="185" t="n">
        <v>0</v>
      </c>
      <c r="CT50" s="185" t="n">
        <v>0.005</v>
      </c>
      <c r="CU50" s="185" t="n">
        <v>0.919</v>
      </c>
      <c r="CV50" s="185" t="n">
        <v>0.0078</v>
      </c>
      <c r="CW50" s="168" t="n">
        <v>9.30555555555556E-005</v>
      </c>
    </row>
    <row r="51" s="168" customFormat="true" ht="12.8" hidden="false" customHeight="false" outlineLevel="0" collapsed="false">
      <c r="A51" s="186" t="s">
        <v>119</v>
      </c>
      <c r="B51" s="186" t="s">
        <v>113</v>
      </c>
      <c r="C51" s="186" t="s">
        <v>167</v>
      </c>
      <c r="D51" s="186" t="s">
        <v>296</v>
      </c>
      <c r="E51" s="187" t="n">
        <v>12528</v>
      </c>
      <c r="F51" s="187" t="n">
        <v>41303</v>
      </c>
      <c r="G51" s="187" t="n">
        <v>43306</v>
      </c>
      <c r="H51" s="187" t="s">
        <v>103</v>
      </c>
      <c r="I51" s="188" t="n">
        <v>84.2655715263518</v>
      </c>
      <c r="J51" s="189" t="n">
        <v>30778</v>
      </c>
      <c r="K51" s="189" t="n">
        <v>2003</v>
      </c>
      <c r="L51" s="189" t="s">
        <v>104</v>
      </c>
      <c r="M51" s="189" t="s">
        <v>114</v>
      </c>
      <c r="N51" s="190" t="s">
        <v>120</v>
      </c>
      <c r="O51" s="191" t="n">
        <v>1</v>
      </c>
      <c r="P51" s="191" t="s">
        <v>121</v>
      </c>
      <c r="Q51" s="187" t="s">
        <v>116</v>
      </c>
      <c r="R51" s="187"/>
      <c r="S51" s="192" t="s">
        <v>117</v>
      </c>
      <c r="T51" s="193" t="n">
        <v>10</v>
      </c>
      <c r="U51" s="194" t="n">
        <v>2723.71</v>
      </c>
      <c r="V51" s="195" t="n">
        <v>77.64</v>
      </c>
      <c r="W51" s="196" t="n">
        <v>2646.07</v>
      </c>
      <c r="X51" s="192"/>
      <c r="Y51" s="197"/>
      <c r="Z51" s="198" t="n">
        <v>4130000</v>
      </c>
      <c r="AA51" s="199"/>
      <c r="AB51" s="192"/>
      <c r="AC51" s="200" t="n">
        <v>31200000</v>
      </c>
      <c r="AD51" s="201" t="s">
        <v>297</v>
      </c>
      <c r="AE51" s="201" t="n">
        <v>70936</v>
      </c>
      <c r="AF51" s="201" t="n">
        <v>633</v>
      </c>
      <c r="AG51" s="201" t="n">
        <f aca="false">100*0.0091</f>
        <v>0.91</v>
      </c>
      <c r="AH51" s="201" t="n">
        <f aca="false">100*0.134</f>
        <v>13.4</v>
      </c>
      <c r="AI51" s="201" t="n">
        <v>134</v>
      </c>
      <c r="AJ51" s="201" t="n">
        <f aca="false">100*0.0019</f>
        <v>0.19</v>
      </c>
      <c r="AK51" s="201" t="n">
        <v>322</v>
      </c>
      <c r="AL51" s="201" t="n">
        <f aca="false">100*0.0047</f>
        <v>0.47</v>
      </c>
      <c r="AM51" s="201" t="n">
        <f aca="false">100*0.311</f>
        <v>31.1</v>
      </c>
      <c r="AN51" s="201" t="n">
        <f aca="false">100*0.0217</f>
        <v>2.17</v>
      </c>
      <c r="AO51" s="201" t="n">
        <f aca="false">100*0.851</f>
        <v>85.1</v>
      </c>
      <c r="AP51" s="201" t="n">
        <f aca="false">100*0.0901</f>
        <v>9.01</v>
      </c>
      <c r="AQ51" s="201" t="n">
        <v>40643</v>
      </c>
      <c r="AR51" s="201" t="n">
        <f aca="false">100*0.17</f>
        <v>17</v>
      </c>
      <c r="AS51" s="201" t="n">
        <f aca="false">100*0.221</f>
        <v>22.1</v>
      </c>
      <c r="AT51" s="201" t="n">
        <f aca="false">100*0.0621</f>
        <v>6.21</v>
      </c>
      <c r="AU51" s="201" t="n">
        <f aca="false">100*0.201</f>
        <v>20.1</v>
      </c>
      <c r="AV51" s="201" t="n">
        <f aca="false">100*0.516</f>
        <v>51.6</v>
      </c>
      <c r="AW51" s="201" t="n">
        <f aca="false">100*0.531</f>
        <v>53.1</v>
      </c>
      <c r="AX51" s="201" t="n">
        <f aca="false">100*0.21</f>
        <v>21</v>
      </c>
      <c r="AY51" s="201" t="n">
        <f aca="false">100*0.0905</f>
        <v>9.05</v>
      </c>
      <c r="AZ51" s="201" t="n">
        <f aca="false">100*0.169</f>
        <v>16.9</v>
      </c>
      <c r="BA51" s="201" t="n">
        <v>23823</v>
      </c>
      <c r="BB51" s="201" t="n">
        <f aca="false">100*0.0286</f>
        <v>2.86</v>
      </c>
      <c r="BC51" s="201" t="n">
        <f aca="false">100*0.381</f>
        <v>38.1</v>
      </c>
      <c r="BD51" s="201" t="n">
        <f aca="false">100*0.162</f>
        <v>16.2</v>
      </c>
      <c r="BE51" s="201" t="n">
        <f aca="false">100*0.0085</f>
        <v>0.85</v>
      </c>
      <c r="BF51" s="201" t="n">
        <f aca="false">100*0.448</f>
        <v>44.8</v>
      </c>
      <c r="BG51" s="201" t="n">
        <f aca="false">100*0.302</f>
        <v>30.2</v>
      </c>
      <c r="BH51" s="201" t="n">
        <f aca="false">100*0.147</f>
        <v>14.7</v>
      </c>
      <c r="BI51" s="201" t="n">
        <f aca="false">100*0.0078</f>
        <v>0.78</v>
      </c>
      <c r="BJ51" s="201" t="n">
        <f aca="false">100*0.544</f>
        <v>54.4</v>
      </c>
      <c r="BK51" s="201" t="n">
        <f aca="false">100*0.765</f>
        <v>76.5</v>
      </c>
      <c r="BL51" s="201" t="n">
        <f aca="false">100*0.106</f>
        <v>10.6</v>
      </c>
      <c r="BM51" s="201" t="n">
        <f aca="false">100*0.0111</f>
        <v>1.11</v>
      </c>
      <c r="BN51" s="201" t="n">
        <f aca="false">100*0.118</f>
        <v>11.8</v>
      </c>
      <c r="BO51" s="201" t="n">
        <f aca="false">100*0.338</f>
        <v>33.8</v>
      </c>
      <c r="BP51" s="201" t="n">
        <f aca="false">100*0.0616</f>
        <v>6.16</v>
      </c>
      <c r="BQ51" s="201" t="n">
        <f aca="false">100*0.0711</f>
        <v>7.11</v>
      </c>
      <c r="BR51" s="201" t="n">
        <f aca="false">100*0.529</f>
        <v>52.9</v>
      </c>
      <c r="BS51" s="201" t="n">
        <f aca="false">100*0.286</f>
        <v>28.6</v>
      </c>
      <c r="BT51" s="201" t="n">
        <f aca="false">100*0.0435</f>
        <v>4.35</v>
      </c>
      <c r="BU51" s="201" t="n">
        <f aca="false">100*0.0373</f>
        <v>3.73</v>
      </c>
      <c r="BV51" s="201" t="n">
        <f aca="false">100*0.634</f>
        <v>63.4</v>
      </c>
      <c r="BW51" s="201" t="n">
        <f aca="false">100*0.767</f>
        <v>76.7</v>
      </c>
      <c r="BX51" s="201" t="n">
        <f aca="false">100*0.0683</f>
        <v>6.83</v>
      </c>
      <c r="BY51" s="201" t="n">
        <f aca="false">100*0.0124</f>
        <v>1.24</v>
      </c>
      <c r="BZ51" s="201" t="n">
        <f aca="false">100*0.152</f>
        <v>15.2</v>
      </c>
      <c r="CA51" s="201" t="n">
        <f aca="false">100*0.185</f>
        <v>18.5</v>
      </c>
      <c r="CB51" s="202" t="n">
        <f aca="false">AE51/CA51</f>
        <v>3834.37837837838</v>
      </c>
      <c r="CC51" s="203"/>
      <c r="CD51" s="204"/>
      <c r="CE51" s="204"/>
      <c r="CF51" s="204"/>
      <c r="CG51" s="204"/>
      <c r="CH51" s="204"/>
      <c r="CI51" s="204"/>
      <c r="CJ51" s="204"/>
      <c r="CK51" s="204"/>
      <c r="CL51" s="204"/>
      <c r="CM51" s="204"/>
      <c r="CN51" s="204"/>
      <c r="CO51" s="204"/>
      <c r="CP51" s="204"/>
      <c r="CQ51" s="204"/>
      <c r="CR51" s="204"/>
      <c r="CS51" s="204"/>
      <c r="CT51" s="204"/>
      <c r="CU51" s="204"/>
      <c r="CV51" s="204"/>
      <c r="CW51" s="186"/>
      <c r="CX51" s="186"/>
    </row>
    <row r="52" s="205" customFormat="true" ht="19.4" hidden="false" customHeight="false" outlineLevel="0" collapsed="false">
      <c r="A52" s="205" t="s">
        <v>123</v>
      </c>
      <c r="B52" s="205" t="s">
        <v>101</v>
      </c>
      <c r="C52" s="205" t="s">
        <v>135</v>
      </c>
      <c r="D52" s="205" t="s">
        <v>296</v>
      </c>
      <c r="E52" s="206" t="n">
        <v>17578</v>
      </c>
      <c r="F52" s="206" t="n">
        <v>41778</v>
      </c>
      <c r="G52" s="206" t="n">
        <v>42841</v>
      </c>
      <c r="H52" s="207" t="s">
        <v>103</v>
      </c>
      <c r="I52" s="208" t="n">
        <f aca="false">(G52-E52)/365.25</f>
        <v>69.1663244353183</v>
      </c>
      <c r="J52" s="209" t="n">
        <f aca="false">G52-E52</f>
        <v>25263</v>
      </c>
      <c r="K52" s="209" t="n">
        <f aca="false">G52-F52</f>
        <v>1063</v>
      </c>
      <c r="L52" s="209" t="s">
        <v>114</v>
      </c>
      <c r="M52" s="209" t="s">
        <v>104</v>
      </c>
      <c r="N52" s="210" t="s">
        <v>124</v>
      </c>
      <c r="O52" s="211"/>
      <c r="P52" s="211"/>
      <c r="Q52" s="207" t="s">
        <v>106</v>
      </c>
      <c r="R52" s="207"/>
      <c r="S52" s="212" t="s">
        <v>107</v>
      </c>
      <c r="T52" s="207" t="n">
        <v>6</v>
      </c>
      <c r="U52" s="213" t="n">
        <v>2034.55</v>
      </c>
      <c r="V52" s="207" t="n">
        <v>79.59</v>
      </c>
      <c r="W52" s="214" t="n">
        <f aca="false">U52-V52</f>
        <v>1954.96</v>
      </c>
      <c r="X52" s="212" t="s">
        <v>125</v>
      </c>
      <c r="Y52" s="215" t="n">
        <v>3140000</v>
      </c>
      <c r="Z52" s="216" t="n">
        <f aca="false">Y52*W52</f>
        <v>6138574400</v>
      </c>
      <c r="AA52" s="215" t="s">
        <v>126</v>
      </c>
      <c r="AB52" s="212" t="s">
        <v>127</v>
      </c>
      <c r="AC52" s="216" t="s">
        <v>128</v>
      </c>
      <c r="CA52" s="217" t="n">
        <f aca="false">AE52/CB52</f>
        <v>0</v>
      </c>
      <c r="CB52" s="218" t="n">
        <v>1000000</v>
      </c>
      <c r="CC52" s="218" t="n">
        <v>1690000</v>
      </c>
      <c r="CD52" s="219" t="n">
        <v>1670000</v>
      </c>
      <c r="CE52" s="219" t="n">
        <v>1489</v>
      </c>
      <c r="CF52" s="219" t="n">
        <v>7</v>
      </c>
      <c r="CG52" s="219" t="n">
        <v>8628</v>
      </c>
      <c r="CH52" s="219" t="n">
        <v>1380000</v>
      </c>
      <c r="CI52" s="219" t="n">
        <v>99220</v>
      </c>
      <c r="CJ52" s="219" t="n">
        <v>4526</v>
      </c>
      <c r="CK52" s="219" t="n">
        <v>0.988</v>
      </c>
      <c r="CL52" s="219" t="n">
        <v>0.00088</v>
      </c>
      <c r="CM52" s="219" t="n">
        <v>4.14E-006</v>
      </c>
      <c r="CN52" s="219" t="n">
        <v>0.0051</v>
      </c>
      <c r="CO52" s="219" t="n">
        <v>0.817</v>
      </c>
      <c r="CP52" s="219" t="n">
        <v>0.0587</v>
      </c>
      <c r="CQ52" s="219" t="n">
        <v>0.0027</v>
      </c>
      <c r="CR52" s="219" t="n">
        <v>0.00089</v>
      </c>
      <c r="CS52" s="219" t="n">
        <v>4.19E-006</v>
      </c>
      <c r="CT52" s="219" t="n">
        <v>0.0052</v>
      </c>
      <c r="CU52" s="219" t="n">
        <v>0.826</v>
      </c>
      <c r="CV52" s="219" t="n">
        <v>0.0594</v>
      </c>
      <c r="CW52" s="205" t="n">
        <v>0.00271017964071856</v>
      </c>
    </row>
    <row r="53" s="205" customFormat="true" ht="12.8" hidden="false" customHeight="false" outlineLevel="0" collapsed="false">
      <c r="A53" s="205" t="s">
        <v>130</v>
      </c>
      <c r="B53" s="205" t="s">
        <v>113</v>
      </c>
      <c r="C53" s="205" t="s">
        <v>298</v>
      </c>
      <c r="D53" s="205" t="s">
        <v>296</v>
      </c>
      <c r="E53" s="220" t="n">
        <v>17578</v>
      </c>
      <c r="F53" s="220" t="n">
        <v>41778</v>
      </c>
      <c r="G53" s="220" t="n">
        <v>43047</v>
      </c>
      <c r="H53" s="220" t="s">
        <v>103</v>
      </c>
      <c r="I53" s="208" t="n">
        <f aca="false">(G53-E53)/365.25</f>
        <v>69.7303216974675</v>
      </c>
      <c r="J53" s="209" t="n">
        <f aca="false">G53-E53</f>
        <v>25469</v>
      </c>
      <c r="K53" s="209" t="n">
        <f aca="false">G53-F53</f>
        <v>1269</v>
      </c>
      <c r="L53" s="209" t="s">
        <v>114</v>
      </c>
      <c r="M53" s="209" t="s">
        <v>114</v>
      </c>
      <c r="N53" s="210" t="s">
        <v>131</v>
      </c>
      <c r="O53" s="221" t="e">
        <f aca="false">N53-G53</f>
        <v>#VALUE!</v>
      </c>
      <c r="P53" s="211" t="s">
        <v>132</v>
      </c>
      <c r="Q53" s="220" t="s">
        <v>116</v>
      </c>
      <c r="R53" s="220"/>
      <c r="S53" s="212" t="s">
        <v>117</v>
      </c>
      <c r="T53" s="222" t="n">
        <v>10</v>
      </c>
      <c r="U53" s="221" t="n">
        <v>2810.43</v>
      </c>
      <c r="V53" s="223" t="n">
        <v>83.43</v>
      </c>
      <c r="W53" s="224" t="n">
        <f aca="false">U53-V53</f>
        <v>2727</v>
      </c>
      <c r="X53" s="212"/>
      <c r="Y53" s="225"/>
      <c r="Z53" s="226" t="n">
        <v>2100000</v>
      </c>
      <c r="AA53" s="225"/>
      <c r="AB53" s="212"/>
      <c r="AC53" s="226" t="n">
        <v>22400000</v>
      </c>
      <c r="AD53" s="205" t="s">
        <v>299</v>
      </c>
      <c r="AE53" s="205" t="n">
        <v>1109</v>
      </c>
      <c r="AF53" s="205" t="n">
        <v>30</v>
      </c>
      <c r="AG53" s="205" t="n">
        <f aca="false">100*0.0279</f>
        <v>2.79</v>
      </c>
      <c r="AH53" s="205" t="n">
        <f aca="false">100*0.8</f>
        <v>80</v>
      </c>
      <c r="AI53" s="205" t="n">
        <v>2</v>
      </c>
      <c r="AJ53" s="205" t="n">
        <f aca="false">100*0.0019</f>
        <v>0.19</v>
      </c>
      <c r="AK53" s="205" t="n">
        <v>16</v>
      </c>
      <c r="AL53" s="205" t="n">
        <f aca="false">100*0.0155</f>
        <v>1.55</v>
      </c>
      <c r="AM53" s="205" t="n">
        <f aca="false">100*0.438</f>
        <v>43.8</v>
      </c>
      <c r="AN53" s="205" t="n">
        <f aca="false">100*0.25</f>
        <v>25</v>
      </c>
      <c r="AO53" s="205" t="n">
        <f aca="false">100*0.562</f>
        <v>56.2</v>
      </c>
      <c r="AP53" s="205" t="n">
        <f aca="false">100*0.25</f>
        <v>25</v>
      </c>
      <c r="AQ53" s="205" t="n">
        <v>122</v>
      </c>
      <c r="AR53" s="205" t="n">
        <f aca="false">100*0.73</f>
        <v>73</v>
      </c>
      <c r="AS53" s="205" t="n">
        <f aca="false">100*0.0984</f>
        <v>9.84</v>
      </c>
      <c r="AT53" s="205" t="n">
        <f aca="false">100*0.041</f>
        <v>4.1</v>
      </c>
      <c r="AU53" s="205" t="n">
        <f aca="false">100*0.328</f>
        <v>32.8</v>
      </c>
      <c r="AV53" s="205" t="n">
        <f aca="false">100*0.533</f>
        <v>53.3</v>
      </c>
      <c r="AW53" s="205" t="n">
        <f aca="false">100*0.508</f>
        <v>50.8</v>
      </c>
      <c r="AX53" s="205" t="n">
        <f aca="false">100*0.328</f>
        <v>32.8</v>
      </c>
      <c r="AY53" s="205" t="n">
        <f aca="false">100*0.0492</f>
        <v>4.92</v>
      </c>
      <c r="AZ53" s="205" t="n">
        <f aca="false">100*0.115</f>
        <v>11.5</v>
      </c>
      <c r="BA53" s="205" t="n">
        <v>762</v>
      </c>
      <c r="BB53" s="205" t="n">
        <f aca="false">100*0.608</f>
        <v>60.8</v>
      </c>
      <c r="BC53" s="205" t="n">
        <f aca="false">100*0.0276</f>
        <v>2.76</v>
      </c>
      <c r="BD53" s="205" t="n">
        <f aca="false">100*0.0013</f>
        <v>0.13</v>
      </c>
      <c r="BE53" s="205" t="n">
        <f aca="false">100*0.0512</f>
        <v>5.12</v>
      </c>
      <c r="BF53" s="205" t="n">
        <f aca="false">100*0.92</f>
        <v>92</v>
      </c>
      <c r="BG53" s="205" t="n">
        <f aca="false">100*0.571</f>
        <v>57.1</v>
      </c>
      <c r="BH53" s="205" t="n">
        <f aca="false">100*0.0092</f>
        <v>0.92</v>
      </c>
      <c r="BI53" s="205" t="n">
        <v>0</v>
      </c>
      <c r="BJ53" s="205" t="n">
        <f aca="false">100*0.42</f>
        <v>42</v>
      </c>
      <c r="BK53" s="205" t="n">
        <v>0</v>
      </c>
      <c r="BL53" s="205" t="n">
        <f aca="false">100*0.0333</f>
        <v>3.33</v>
      </c>
      <c r="BM53" s="205" t="n">
        <f aca="false">100*0.233</f>
        <v>23.3</v>
      </c>
      <c r="BN53" s="205" t="n">
        <f aca="false">100*0.733</f>
        <v>73.3</v>
      </c>
      <c r="BO53" s="205" t="n">
        <f aca="false">100*0.467</f>
        <v>46.7</v>
      </c>
      <c r="BP53" s="205" t="n">
        <f aca="false">100*0.133</f>
        <v>13.3</v>
      </c>
      <c r="BQ53" s="205" t="n">
        <f aca="false">100*0.133</f>
        <v>13.3</v>
      </c>
      <c r="BR53" s="205" t="n">
        <f aca="false">100*0.267</f>
        <v>26.7</v>
      </c>
      <c r="BS53" s="205" t="n">
        <v>0</v>
      </c>
      <c r="BT53" s="205" t="n">
        <v>0</v>
      </c>
      <c r="BU53" s="205" t="n">
        <f aca="false">100*0.188</f>
        <v>18.8</v>
      </c>
      <c r="BV53" s="205" t="n">
        <f aca="false">100*0.812</f>
        <v>81.2</v>
      </c>
      <c r="BW53" s="205" t="n">
        <f aca="false">100*0.875</f>
        <v>87.5</v>
      </c>
      <c r="BX53" s="205" t="n">
        <f aca="false">100*0.125</f>
        <v>12.5</v>
      </c>
      <c r="BY53" s="205" t="n">
        <v>0</v>
      </c>
      <c r="BZ53" s="205" t="n">
        <v>0</v>
      </c>
      <c r="CA53" s="217" t="n">
        <f aca="false">AE53/CB53</f>
        <v>0.000946893693466007</v>
      </c>
      <c r="CB53" s="218" t="n">
        <v>1171198</v>
      </c>
      <c r="CC53" s="218"/>
    </row>
    <row r="54" s="168" customFormat="true" ht="12.8" hidden="false" customHeight="false" outlineLevel="0" collapsed="false">
      <c r="A54" s="168" t="s">
        <v>134</v>
      </c>
      <c r="B54" s="168" t="s">
        <v>101</v>
      </c>
      <c r="C54" s="168" t="s">
        <v>167</v>
      </c>
      <c r="D54" s="168" t="s">
        <v>296</v>
      </c>
      <c r="E54" s="169" t="n">
        <v>11657</v>
      </c>
      <c r="F54" s="169" t="n">
        <v>41799</v>
      </c>
      <c r="G54" s="169" t="n">
        <v>42947</v>
      </c>
      <c r="H54" s="169" t="s">
        <v>103</v>
      </c>
      <c r="I54" s="170" t="n">
        <f aca="false">(G54-E54)/365.25</f>
        <v>85.6673511293635</v>
      </c>
      <c r="J54" s="171" t="n">
        <f aca="false">G54-E54</f>
        <v>31290</v>
      </c>
      <c r="K54" s="171" t="n">
        <f aca="false">G54-F54</f>
        <v>1148</v>
      </c>
      <c r="L54" s="227" t="s">
        <v>114</v>
      </c>
      <c r="M54" s="172" t="s">
        <v>104</v>
      </c>
      <c r="N54" s="176" t="s">
        <v>136</v>
      </c>
      <c r="O54" s="172"/>
      <c r="P54" s="172"/>
      <c r="Q54" s="175" t="s">
        <v>106</v>
      </c>
      <c r="R54" s="175" t="s">
        <v>137</v>
      </c>
      <c r="S54" s="176" t="s">
        <v>138</v>
      </c>
      <c r="T54" s="177" t="s">
        <v>139</v>
      </c>
      <c r="U54" s="178" t="n">
        <v>1556.78</v>
      </c>
      <c r="V54" s="178" t="n">
        <v>53.47</v>
      </c>
      <c r="W54" s="179" t="n">
        <f aca="false">U54-V54</f>
        <v>1503.31</v>
      </c>
      <c r="X54" s="180" t="s">
        <v>109</v>
      </c>
      <c r="Y54" s="181" t="n">
        <v>13050000</v>
      </c>
      <c r="Z54" s="182" t="n">
        <f aca="false">Y54*W54</f>
        <v>19618195500</v>
      </c>
      <c r="AA54" s="181" t="n">
        <v>96000000</v>
      </c>
      <c r="AB54" s="176" t="s">
        <v>140</v>
      </c>
      <c r="AC54" s="183" t="n">
        <v>2250000</v>
      </c>
      <c r="AD54" s="168" t="s">
        <v>300</v>
      </c>
      <c r="AE54" s="168" t="n">
        <v>1719</v>
      </c>
      <c r="AF54" s="168" t="n">
        <v>7</v>
      </c>
      <c r="AG54" s="168" t="n">
        <f aca="false">100*0.0073</f>
        <v>0.73</v>
      </c>
      <c r="AH54" s="168" t="s">
        <v>220</v>
      </c>
      <c r="AI54" s="168" t="n">
        <v>5</v>
      </c>
      <c r="AJ54" s="168" t="n">
        <f aca="false">100*0.0034</f>
        <v>0.34</v>
      </c>
      <c r="AK54" s="168" t="n">
        <v>8</v>
      </c>
      <c r="AL54" s="168" t="n">
        <f aca="false">100*0.0081</f>
        <v>0.81</v>
      </c>
      <c r="AM54" s="168" t="s">
        <v>220</v>
      </c>
      <c r="AN54" s="168" t="s">
        <v>221</v>
      </c>
      <c r="AO54" s="168" t="s">
        <v>221</v>
      </c>
      <c r="AP54" s="168" t="s">
        <v>220</v>
      </c>
      <c r="AQ54" s="168" t="n">
        <v>433</v>
      </c>
      <c r="AR54" s="168" t="n">
        <f aca="false">100*0.2195</f>
        <v>21.95</v>
      </c>
      <c r="AS54" s="168" t="n">
        <f aca="false">100*0.3935</f>
        <v>39.35</v>
      </c>
      <c r="AT54" s="168" t="n">
        <f aca="false">100*0.26905</f>
        <v>26.905</v>
      </c>
      <c r="AU54" s="168" t="n">
        <f aca="false">100*0.159</f>
        <v>15.9</v>
      </c>
      <c r="AV54" s="168" t="n">
        <f aca="false">100*0.181</f>
        <v>18.1</v>
      </c>
      <c r="AW54" s="168" t="n">
        <f aca="false">100*-0.0415</f>
        <v>-4.15</v>
      </c>
      <c r="AX54" s="168" t="n">
        <f aca="false">100*-0.01445</f>
        <v>-1.445</v>
      </c>
      <c r="AY54" s="168" t="n">
        <f aca="false">100*0.2976</f>
        <v>29.76</v>
      </c>
      <c r="AZ54" s="168" t="n">
        <f aca="false">100*0.658</f>
        <v>65.8</v>
      </c>
      <c r="BA54" s="168" t="n">
        <v>298</v>
      </c>
      <c r="BB54" s="168" t="n">
        <f aca="false">100*0.2998</f>
        <v>29.98</v>
      </c>
      <c r="BC54" s="168" t="n">
        <f aca="false">100*0.265</f>
        <v>26.5</v>
      </c>
      <c r="BD54" s="168" t="n">
        <f aca="false">100*0.029</f>
        <v>2.9</v>
      </c>
      <c r="BE54" s="168" t="n">
        <v>0</v>
      </c>
      <c r="BF54" s="168" t="n">
        <f aca="false">100*0.695</f>
        <v>69.5</v>
      </c>
      <c r="BG54" s="228" t="n">
        <f aca="false">100*-0.0034</f>
        <v>-0.34</v>
      </c>
      <c r="BH54" s="168" t="n">
        <v>0</v>
      </c>
      <c r="BI54" s="168" t="n">
        <f aca="false">100*0.0197</f>
        <v>1.97</v>
      </c>
      <c r="BJ54" s="168" t="n">
        <f aca="false">100*0.971</f>
        <v>97.1</v>
      </c>
      <c r="BK54" s="168" t="s">
        <v>220</v>
      </c>
      <c r="BL54" s="168" t="s">
        <v>220</v>
      </c>
      <c r="BM54" s="168" t="s">
        <v>220</v>
      </c>
      <c r="BN54" s="168" t="s">
        <v>220</v>
      </c>
      <c r="BO54" s="168" t="s">
        <v>220</v>
      </c>
      <c r="BP54" s="168" t="s">
        <v>220</v>
      </c>
      <c r="BQ54" s="168" t="s">
        <v>220</v>
      </c>
      <c r="BR54" s="168" t="s">
        <v>220</v>
      </c>
      <c r="BS54" s="168" t="s">
        <v>220</v>
      </c>
      <c r="BT54" s="168" t="s">
        <v>220</v>
      </c>
      <c r="BU54" s="168" t="s">
        <v>220</v>
      </c>
      <c r="BV54" s="168" t="s">
        <v>220</v>
      </c>
      <c r="BW54" s="168" t="s">
        <v>220</v>
      </c>
      <c r="BX54" s="168" t="s">
        <v>220</v>
      </c>
      <c r="BY54" s="168" t="s">
        <v>220</v>
      </c>
      <c r="BZ54" s="168" t="s">
        <v>220</v>
      </c>
      <c r="CA54" s="229" t="n">
        <f aca="false">AE54/CB54</f>
        <v>0.000489803733734826</v>
      </c>
      <c r="CB54" s="184" t="n">
        <v>3509569</v>
      </c>
      <c r="CC54" s="184"/>
    </row>
    <row r="55" s="168" customFormat="true" ht="12.8" hidden="false" customHeight="false" outlineLevel="0" collapsed="false">
      <c r="A55" s="168" t="s">
        <v>142</v>
      </c>
      <c r="B55" s="168" t="s">
        <v>101</v>
      </c>
      <c r="D55" s="168" t="s">
        <v>296</v>
      </c>
      <c r="E55" s="169" t="n">
        <v>11657</v>
      </c>
      <c r="F55" s="169" t="n">
        <v>41799</v>
      </c>
      <c r="G55" s="169" t="n">
        <v>43070</v>
      </c>
      <c r="H55" s="169" t="s">
        <v>103</v>
      </c>
      <c r="I55" s="171" t="n">
        <f aca="false">(G55-E55)/365.25</f>
        <v>86.0041067761807</v>
      </c>
      <c r="J55" s="171" t="n">
        <f aca="false">G55-E55</f>
        <v>31413</v>
      </c>
      <c r="K55" s="171" t="n">
        <f aca="false">G55-F55</f>
        <v>1271</v>
      </c>
      <c r="L55" s="172" t="s">
        <v>114</v>
      </c>
      <c r="M55" s="172" t="s">
        <v>104</v>
      </c>
      <c r="N55" s="173" t="s">
        <v>136</v>
      </c>
      <c r="O55" s="174"/>
      <c r="P55" s="174"/>
      <c r="Q55" s="175" t="s">
        <v>106</v>
      </c>
      <c r="R55" s="175"/>
      <c r="S55" s="176" t="s">
        <v>107</v>
      </c>
      <c r="T55" s="177" t="s">
        <v>143</v>
      </c>
      <c r="U55" s="178" t="n">
        <v>733.33</v>
      </c>
      <c r="V55" s="178" t="n">
        <v>71.79</v>
      </c>
      <c r="W55" s="179" t="n">
        <f aca="false">U55-V55</f>
        <v>661.54</v>
      </c>
      <c r="X55" s="180" t="s">
        <v>109</v>
      </c>
      <c r="Y55" s="181" t="n">
        <v>27500000</v>
      </c>
      <c r="Z55" s="182" t="n">
        <f aca="false">Y55*W55</f>
        <v>18192350000</v>
      </c>
      <c r="AA55" s="181" t="n">
        <v>234000000</v>
      </c>
      <c r="AB55" s="176" t="s">
        <v>144</v>
      </c>
      <c r="AC55" s="183" t="n">
        <v>27000000</v>
      </c>
      <c r="AD55" s="168" t="s">
        <v>301</v>
      </c>
      <c r="AE55" s="168" t="n">
        <v>40028</v>
      </c>
      <c r="AF55" s="168" t="n">
        <v>291</v>
      </c>
      <c r="AG55" s="168" t="n">
        <f aca="false">100*0.0093</f>
        <v>0.93</v>
      </c>
      <c r="AH55" s="168" t="n">
        <f aca="false">100*0.0508</f>
        <v>5.08</v>
      </c>
      <c r="AI55" s="168" t="n">
        <v>0</v>
      </c>
      <c r="AJ55" s="168" t="n">
        <v>0</v>
      </c>
      <c r="AK55" s="168" t="n">
        <v>175</v>
      </c>
      <c r="AL55" s="168" t="n">
        <f aca="false">100*0.0055</f>
        <v>0.55</v>
      </c>
      <c r="AM55" s="168" t="n">
        <f aca="false">100*0.273</f>
        <v>27.3</v>
      </c>
      <c r="AN55" s="168" t="n">
        <f aca="false">100*0.01115</f>
        <v>1.115</v>
      </c>
      <c r="AO55" s="168" t="n">
        <f aca="false">100*0.92</f>
        <v>92</v>
      </c>
      <c r="AP55" s="168" t="n">
        <f aca="false">100*0.0229</f>
        <v>2.29</v>
      </c>
      <c r="AQ55" s="168" t="n">
        <v>17400</v>
      </c>
      <c r="AR55" s="168" t="n">
        <f aca="false">100*0.02085</f>
        <v>2.085</v>
      </c>
      <c r="AS55" s="168" t="n">
        <f aca="false">100*0.02125</f>
        <v>2.125</v>
      </c>
      <c r="AT55" s="168" t="n">
        <f aca="false">100*0.00435</f>
        <v>0.435</v>
      </c>
      <c r="AU55" s="168" t="n">
        <f aca="false">100*0.395</f>
        <v>39.5</v>
      </c>
      <c r="AV55" s="168" t="n">
        <f aca="false">100*0.5795</f>
        <v>57.95</v>
      </c>
      <c r="AW55" s="168" t="n">
        <f aca="false">100*0.25</f>
        <v>25</v>
      </c>
      <c r="AX55" s="168" t="n">
        <f aca="false">100*0.086</f>
        <v>8.6</v>
      </c>
      <c r="AY55" s="168" t="n">
        <f aca="false">100*0.33</f>
        <v>33</v>
      </c>
      <c r="AZ55" s="168" t="n">
        <f aca="false">100*0.334</f>
        <v>33.4</v>
      </c>
      <c r="BA55" s="168" t="n">
        <v>12909</v>
      </c>
      <c r="BB55" s="168" t="n">
        <f aca="false">100*0.0253</f>
        <v>2.53</v>
      </c>
      <c r="BC55" s="168" t="n">
        <f aca="false">100*0.5</f>
        <v>50</v>
      </c>
      <c r="BD55" s="168" t="n">
        <f aca="false">100*0.0422</f>
        <v>4.22</v>
      </c>
      <c r="BE55" s="168" t="n">
        <f aca="false">100*0.000395</f>
        <v>0.0395</v>
      </c>
      <c r="BF55" s="168" t="n">
        <f aca="false">100*0.457</f>
        <v>45.7</v>
      </c>
      <c r="BG55" s="168" t="n">
        <f aca="false">100*0.48486</f>
        <v>48.486</v>
      </c>
      <c r="BH55" s="168" t="n">
        <f aca="false">100*0.0636</f>
        <v>6.36</v>
      </c>
      <c r="BI55" s="168" t="n">
        <f aca="false">100*0.00044</f>
        <v>0.044</v>
      </c>
      <c r="BJ55" s="168" t="n">
        <f aca="false">100*0.451</f>
        <v>45.1</v>
      </c>
      <c r="BK55" s="168" t="n">
        <f aca="false">100*0.264</f>
        <v>26.4</v>
      </c>
      <c r="BL55" s="168" t="n">
        <f aca="false">100*0.0032</f>
        <v>0.32</v>
      </c>
      <c r="BM55" s="168" t="n">
        <f aca="false">100*0.0109</f>
        <v>1.09</v>
      </c>
      <c r="BN55" s="168" t="n">
        <f aca="false">100*0.722</f>
        <v>72.2</v>
      </c>
      <c r="BO55" s="168" t="n">
        <f aca="false">100*0.52</f>
        <v>52</v>
      </c>
      <c r="BP55" s="168" t="n">
        <f aca="false">100*0.07445</f>
        <v>7.445</v>
      </c>
      <c r="BQ55" s="168" t="n">
        <f aca="false">100*0.0111</f>
        <v>1.11</v>
      </c>
      <c r="BR55" s="168" t="n">
        <f aca="false">100*0.391</f>
        <v>39.1</v>
      </c>
      <c r="BS55" s="168" t="n">
        <f aca="false">100*0.603</f>
        <v>60.3</v>
      </c>
      <c r="BT55" s="168" t="n">
        <f aca="false">100*0.00525</f>
        <v>0.525</v>
      </c>
      <c r="BU55" s="168" t="n">
        <v>0</v>
      </c>
      <c r="BV55" s="168" t="n">
        <f aca="false">100*0.392</f>
        <v>39.2</v>
      </c>
      <c r="BW55" s="168" t="n">
        <f aca="false">100*0.372</f>
        <v>37.2</v>
      </c>
      <c r="BX55" s="168" t="n">
        <f aca="false">100*0.0064</f>
        <v>0.64</v>
      </c>
      <c r="BY55" s="168" t="n">
        <v>0</v>
      </c>
      <c r="BZ55" s="168" t="n">
        <f aca="false">100*0.622</f>
        <v>62.2</v>
      </c>
      <c r="CA55" s="229" t="n">
        <f aca="false">AE55/CB55</f>
        <v>0.040028</v>
      </c>
      <c r="CB55" s="184" t="n">
        <v>1000000</v>
      </c>
      <c r="CC55" s="184" t="n">
        <v>612000</v>
      </c>
      <c r="CD55" s="185" t="n">
        <v>459000</v>
      </c>
      <c r="CE55" s="185" t="n">
        <v>4703</v>
      </c>
      <c r="CF55" s="185" t="n">
        <v>276</v>
      </c>
      <c r="CG55" s="185" t="n">
        <v>220</v>
      </c>
      <c r="CH55" s="185" t="n">
        <v>409000</v>
      </c>
      <c r="CI55" s="185" t="n">
        <v>1103</v>
      </c>
      <c r="CJ55" s="185" t="n">
        <v>95</v>
      </c>
      <c r="CK55" s="185" t="n">
        <f aca="false">100*0.75</f>
        <v>75</v>
      </c>
      <c r="CL55" s="185" t="n">
        <v>0.0077</v>
      </c>
      <c r="CM55" s="185" t="n">
        <v>0.00045</v>
      </c>
      <c r="CN55" s="185" t="n">
        <v>0.00036</v>
      </c>
      <c r="CO55" s="185" t="n">
        <v>0.668</v>
      </c>
      <c r="CP55" s="185" t="n">
        <v>0.0018</v>
      </c>
      <c r="CQ55" s="185" t="n">
        <v>0.00016</v>
      </c>
      <c r="CR55" s="185" t="n">
        <v>0.0102</v>
      </c>
      <c r="CS55" s="185" t="n">
        <v>0.0006</v>
      </c>
      <c r="CT55" s="185" t="n">
        <v>0.00048</v>
      </c>
      <c r="CU55" s="185" t="n">
        <v>0.891</v>
      </c>
      <c r="CV55" s="185" t="n">
        <v>0.0024</v>
      </c>
      <c r="CW55" s="168" t="n">
        <v>0.000206971677559913</v>
      </c>
    </row>
    <row r="56" s="168" customFormat="true" ht="12.8" hidden="false" customHeight="false" outlineLevel="0" collapsed="false">
      <c r="A56" s="186" t="s">
        <v>146</v>
      </c>
      <c r="B56" s="186" t="s">
        <v>113</v>
      </c>
      <c r="C56" s="186"/>
      <c r="D56" s="186" t="s">
        <v>296</v>
      </c>
      <c r="E56" s="230" t="n">
        <v>22653</v>
      </c>
      <c r="F56" s="230" t="n">
        <v>41974</v>
      </c>
      <c r="G56" s="230" t="n">
        <v>42872</v>
      </c>
      <c r="H56" s="230" t="s">
        <v>103</v>
      </c>
      <c r="I56" s="188" t="n">
        <f aca="false">(G56-E56)/365.25</f>
        <v>55.356605065024</v>
      </c>
      <c r="J56" s="189" t="n">
        <f aca="false">G56-E56</f>
        <v>20219</v>
      </c>
      <c r="K56" s="189" t="n">
        <f aca="false">G56-F56</f>
        <v>898</v>
      </c>
      <c r="L56" s="189" t="s">
        <v>114</v>
      </c>
      <c r="M56" s="189" t="s">
        <v>104</v>
      </c>
      <c r="N56" s="231" t="s">
        <v>115</v>
      </c>
      <c r="O56" s="191" t="n">
        <v>0</v>
      </c>
      <c r="P56" s="191" t="n">
        <v>0</v>
      </c>
      <c r="Q56" s="230" t="s">
        <v>116</v>
      </c>
      <c r="R56" s="230"/>
      <c r="S56" s="192" t="s">
        <v>107</v>
      </c>
      <c r="T56" s="191" t="n">
        <v>10</v>
      </c>
      <c r="U56" s="232" t="n">
        <v>2731.57</v>
      </c>
      <c r="V56" s="232" t="n">
        <v>78.11</v>
      </c>
      <c r="W56" s="196" t="n">
        <f aca="false">U56-V56</f>
        <v>2653.46</v>
      </c>
      <c r="X56" s="192"/>
      <c r="Y56" s="197"/>
      <c r="Z56" s="233" t="n">
        <v>4130000</v>
      </c>
      <c r="AA56" s="199"/>
      <c r="AB56" s="192"/>
      <c r="AC56" s="200" t="n">
        <f aca="false">14600000*5</f>
        <v>73000000</v>
      </c>
      <c r="AD56" s="186" t="s">
        <v>302</v>
      </c>
      <c r="AE56" s="186" t="n">
        <v>480000</v>
      </c>
      <c r="AF56" s="186" t="n">
        <v>7203</v>
      </c>
      <c r="AG56" s="186" t="n">
        <f aca="false">100*0.0151</f>
        <v>1.51</v>
      </c>
      <c r="AH56" s="186" t="n">
        <f aca="false">100*0.0122</f>
        <v>1.22</v>
      </c>
      <c r="AI56" s="186" t="n">
        <v>1774</v>
      </c>
      <c r="AJ56" s="186" t="n">
        <f aca="false">100*0.0037</f>
        <v>0.37</v>
      </c>
      <c r="AK56" s="186" t="n">
        <v>11851</v>
      </c>
      <c r="AL56" s="186" t="n">
        <f aca="false">100*0.0254</f>
        <v>2.54</v>
      </c>
      <c r="AM56" s="186" t="n">
        <f aca="false">100*0.00076</f>
        <v>0.076</v>
      </c>
      <c r="AN56" s="186" t="n">
        <f aca="false">100*0.00076</f>
        <v>0.076</v>
      </c>
      <c r="AO56" s="186" t="n">
        <f aca="false">100*0.709</f>
        <v>70.9</v>
      </c>
      <c r="AP56" s="186" t="n">
        <f aca="false">100*0.04</f>
        <v>4</v>
      </c>
      <c r="AQ56" s="186" t="n">
        <v>118117</v>
      </c>
      <c r="AR56" s="186" t="n">
        <f aca="false">100*0.0293</f>
        <v>2.93</v>
      </c>
      <c r="AS56" s="186" t="n">
        <f aca="false">100*0.599</f>
        <v>59.9</v>
      </c>
      <c r="AT56" s="186" t="n">
        <f aca="false">100*0.104</f>
        <v>10.4</v>
      </c>
      <c r="AU56" s="186" t="n">
        <f aca="false">100*0.0458</f>
        <v>4.58</v>
      </c>
      <c r="AV56" s="186" t="n">
        <f aca="false">100*0.252</f>
        <v>25.2</v>
      </c>
      <c r="AW56" s="186" t="n">
        <f aca="false">100*0.0021</f>
        <v>0.21</v>
      </c>
      <c r="AX56" s="186" t="n">
        <f aca="false">100*0.0011</f>
        <v>0.11</v>
      </c>
      <c r="AY56" s="186" t="n">
        <f aca="false">100*0.145</f>
        <v>14.5</v>
      </c>
      <c r="AZ56" s="186" t="n">
        <f aca="false">100*0.852</f>
        <v>85.2</v>
      </c>
      <c r="BA56" s="186" t="n">
        <v>318572</v>
      </c>
      <c r="BB56" s="186" t="n">
        <f aca="false">100*0.0103</f>
        <v>1.03</v>
      </c>
      <c r="BC56" s="186" t="n">
        <f aca="false">100*0.466</f>
        <v>46.6</v>
      </c>
      <c r="BD56" s="186" t="n">
        <f aca="false">100*0.0047</f>
        <v>0.47</v>
      </c>
      <c r="BE56" s="186" t="n">
        <f aca="false">100*0.0185</f>
        <v>1.85</v>
      </c>
      <c r="BF56" s="186" t="n">
        <f aca="false">100*0.511</f>
        <v>51.1</v>
      </c>
      <c r="BG56" s="186" t="n">
        <f aca="false">100*0.0122</f>
        <v>1.22</v>
      </c>
      <c r="BH56" s="186" t="n">
        <f aca="false">100*0.00035</f>
        <v>0.035</v>
      </c>
      <c r="BI56" s="186" t="n">
        <f aca="false">100*0.0215</f>
        <v>2.15</v>
      </c>
      <c r="BJ56" s="186" t="n">
        <f aca="false">100*0.966</f>
        <v>96.6</v>
      </c>
      <c r="BK56" s="186" t="n">
        <f aca="false">100*0.818</f>
        <v>81.8</v>
      </c>
      <c r="BL56" s="186" t="n">
        <f aca="false">100*0.0401</f>
        <v>4.01</v>
      </c>
      <c r="BM56" s="186" t="n">
        <f aca="false">100*0.0068</f>
        <v>0.68</v>
      </c>
      <c r="BN56" s="186" t="n">
        <f aca="false">100*0.135</f>
        <v>13.5</v>
      </c>
      <c r="BO56" s="186" t="n">
        <f aca="false">100*0.947</f>
        <v>94.7</v>
      </c>
      <c r="BP56" s="186" t="n">
        <f aca="false">100*0.0466</f>
        <v>4.66</v>
      </c>
      <c r="BQ56" s="186" t="n">
        <f aca="false">100*0.00028</f>
        <v>0.028</v>
      </c>
      <c r="BR56" s="186" t="n">
        <f aca="false">100*0.0057</f>
        <v>0.57</v>
      </c>
      <c r="BS56" s="186" t="n">
        <f aca="false">100*0.856</f>
        <v>85.6</v>
      </c>
      <c r="BT56" s="186" t="n">
        <f aca="false">100*0.0015</f>
        <v>0.15</v>
      </c>
      <c r="BU56" s="186" t="n">
        <f aca="false">100*0.00034</f>
        <v>0.034</v>
      </c>
      <c r="BV56" s="186" t="n">
        <f aca="false">100*0.143</f>
        <v>14.3</v>
      </c>
      <c r="BW56" s="186" t="n">
        <f aca="false">100*0.00068</f>
        <v>0.068</v>
      </c>
      <c r="BX56" s="186" t="n">
        <v>0</v>
      </c>
      <c r="BY56" s="186" t="n">
        <f aca="false">100*0.0019</f>
        <v>0.19</v>
      </c>
      <c r="BZ56" s="186" t="n">
        <f aca="false">100*0.997</f>
        <v>99.7</v>
      </c>
      <c r="CA56" s="234" t="n">
        <f aca="false">100*0.164</f>
        <v>16.4</v>
      </c>
      <c r="CB56" s="202" t="n">
        <f aca="false">AE56/CA56</f>
        <v>29268.2926829268</v>
      </c>
      <c r="CC56" s="203" t="n">
        <v>2130000</v>
      </c>
      <c r="CD56" s="204" t="n">
        <v>2070000</v>
      </c>
      <c r="CE56" s="204" t="n">
        <v>1350000</v>
      </c>
      <c r="CF56" s="204" t="n">
        <v>37699</v>
      </c>
      <c r="CG56" s="204" t="n">
        <v>4</v>
      </c>
      <c r="CH56" s="204" t="n">
        <v>27714</v>
      </c>
      <c r="CI56" s="204" t="n">
        <v>294962</v>
      </c>
      <c r="CJ56" s="204" t="n">
        <v>107890</v>
      </c>
      <c r="CK56" s="204" t="n">
        <v>0.972</v>
      </c>
      <c r="CL56" s="204" t="n">
        <v>0.634</v>
      </c>
      <c r="CM56" s="204" t="n">
        <v>0.0177</v>
      </c>
      <c r="CN56" s="204" t="n">
        <v>1.88E-006</v>
      </c>
      <c r="CO56" s="204" t="n">
        <v>0.013</v>
      </c>
      <c r="CP56" s="204" t="n">
        <v>0.138</v>
      </c>
      <c r="CQ56" s="204" t="n">
        <v>0.0507</v>
      </c>
      <c r="CR56" s="204" t="n">
        <v>0.652</v>
      </c>
      <c r="CS56" s="204" t="n">
        <v>0.0182</v>
      </c>
      <c r="CT56" s="204" t="n">
        <v>1.93E-006</v>
      </c>
      <c r="CU56" s="204" t="n">
        <v>0.0134</v>
      </c>
      <c r="CV56" s="204" t="n">
        <v>0.142</v>
      </c>
      <c r="CW56" s="186" t="n">
        <v>0.0521207729468599</v>
      </c>
      <c r="CX56" s="186"/>
    </row>
    <row r="57" s="168" customFormat="true" ht="12.8" hidden="false" customHeight="false" outlineLevel="0" collapsed="false">
      <c r="A57" s="168" t="s">
        <v>303</v>
      </c>
      <c r="B57" s="168" t="s">
        <v>101</v>
      </c>
      <c r="D57" s="168" t="s">
        <v>296</v>
      </c>
      <c r="E57" s="169" t="n">
        <v>30041</v>
      </c>
      <c r="F57" s="169" t="n">
        <v>42030</v>
      </c>
      <c r="G57" s="169" t="n">
        <v>43112</v>
      </c>
      <c r="H57" s="169" t="s">
        <v>157</v>
      </c>
      <c r="I57" s="171" t="n">
        <f aca="false">(G57-E57)/365.25</f>
        <v>35.7864476386037</v>
      </c>
      <c r="J57" s="171" t="n">
        <f aca="false">G57-E57</f>
        <v>13071</v>
      </c>
      <c r="K57" s="171" t="n">
        <f aca="false">G57-F57</f>
        <v>1082</v>
      </c>
      <c r="L57" s="172" t="s">
        <v>114</v>
      </c>
      <c r="M57" s="172" t="s">
        <v>104</v>
      </c>
      <c r="N57" s="173" t="s">
        <v>168</v>
      </c>
      <c r="O57" s="174"/>
      <c r="P57" s="174"/>
      <c r="Q57" s="175" t="s">
        <v>106</v>
      </c>
      <c r="R57" s="175" t="s">
        <v>304</v>
      </c>
      <c r="S57" s="176" t="s">
        <v>107</v>
      </c>
      <c r="T57" s="177" t="s">
        <v>178</v>
      </c>
      <c r="U57" s="178" t="n">
        <v>2842.93</v>
      </c>
      <c r="V57" s="178" t="n">
        <v>82.24</v>
      </c>
      <c r="W57" s="179" t="n">
        <f aca="false">U57-V57</f>
        <v>2760.69</v>
      </c>
      <c r="X57" s="176" t="s">
        <v>233</v>
      </c>
      <c r="Y57" s="181" t="n">
        <v>8162500</v>
      </c>
      <c r="Z57" s="182" t="n">
        <f aca="false">Y57*W57</f>
        <v>22534132125</v>
      </c>
      <c r="AA57" s="181" t="n">
        <v>408000000</v>
      </c>
      <c r="AB57" s="176" t="s">
        <v>305</v>
      </c>
      <c r="AC57" s="182" t="s">
        <v>306</v>
      </c>
      <c r="AD57" s="168" t="s">
        <v>307</v>
      </c>
      <c r="AE57" s="168" t="n">
        <v>4904</v>
      </c>
      <c r="AF57" s="168" t="n">
        <v>60</v>
      </c>
      <c r="AG57" s="168" t="n">
        <f aca="false">100*0.0121</f>
        <v>1.21</v>
      </c>
      <c r="AH57" s="168" t="n">
        <v>0</v>
      </c>
      <c r="AI57" s="168" t="n">
        <v>72</v>
      </c>
      <c r="AJ57" s="168" t="n">
        <f aca="false">100*0.0155</f>
        <v>1.55</v>
      </c>
      <c r="AK57" s="168" t="n">
        <v>261</v>
      </c>
      <c r="AL57" s="168" t="n">
        <f aca="false">100*0.0552</f>
        <v>5.52</v>
      </c>
      <c r="AM57" s="168" t="n">
        <f aca="false">100*0.01415</f>
        <v>1.415</v>
      </c>
      <c r="AN57" s="168" t="n">
        <f aca="false">100*0.00635</f>
        <v>0.635</v>
      </c>
      <c r="AO57" s="168" t="n">
        <f aca="false">100*0.77</f>
        <v>77</v>
      </c>
      <c r="AP57" s="168" t="n">
        <f aca="false">100*0.0207</f>
        <v>2.07</v>
      </c>
      <c r="AQ57" s="168" t="n">
        <v>1141</v>
      </c>
      <c r="AR57" s="168" t="n">
        <f aca="false">100*0.22055</f>
        <v>22.055</v>
      </c>
      <c r="AS57" s="168" t="n">
        <f aca="false">100*0.158</f>
        <v>15.8</v>
      </c>
      <c r="AT57" s="168" t="n">
        <f aca="false">100*0.18356</f>
        <v>18.356</v>
      </c>
      <c r="AU57" s="168" t="n">
        <f aca="false">100*0.527</f>
        <v>52.7</v>
      </c>
      <c r="AV57" s="168" t="n">
        <f aca="false">100*0.123</f>
        <v>12.3</v>
      </c>
      <c r="AW57" s="168" t="n">
        <f aca="false">100*0.0482</f>
        <v>4.82</v>
      </c>
      <c r="AX57" s="168" t="n">
        <f aca="false">100*0.101</f>
        <v>10.1</v>
      </c>
      <c r="AY57" s="168" t="n">
        <f aca="false">100*0.635</f>
        <v>63.5</v>
      </c>
      <c r="AZ57" s="168" t="n">
        <f aca="false">100*0.222</f>
        <v>22.2</v>
      </c>
      <c r="BA57" s="168" t="n">
        <v>2906</v>
      </c>
      <c r="BB57" s="168" t="n">
        <f aca="false">100*0.104</f>
        <v>10.4</v>
      </c>
      <c r="BC57" s="168" t="n">
        <f aca="false">100*0.673</f>
        <v>67.3</v>
      </c>
      <c r="BD57" s="168" t="n">
        <f aca="false">100*0.0962</f>
        <v>9.62</v>
      </c>
      <c r="BE57" s="168" t="n">
        <f aca="false">100*0.0188</f>
        <v>1.88</v>
      </c>
      <c r="BF57" s="168" t="n">
        <f aca="false">100*0.223</f>
        <v>22.3</v>
      </c>
      <c r="BG57" s="168" t="n">
        <f aca="false">100*0.56</f>
        <v>56</v>
      </c>
      <c r="BH57" s="168" t="n">
        <f aca="false">100*0.0826</f>
        <v>8.26</v>
      </c>
      <c r="BI57" s="168" t="n">
        <f aca="false">100*0.0257</f>
        <v>2.57</v>
      </c>
      <c r="BJ57" s="168" t="n">
        <f aca="false">100*0.343</f>
        <v>34.3</v>
      </c>
      <c r="BK57" s="168" t="n">
        <f aca="false">100*0.123</f>
        <v>12.3</v>
      </c>
      <c r="BL57" s="168" t="n">
        <f aca="false">100*0.08775</f>
        <v>8.775</v>
      </c>
      <c r="BM57" s="168" t="n">
        <f aca="false">100*0.477</f>
        <v>47.7</v>
      </c>
      <c r="BN57" s="168" t="n">
        <f aca="false">100*0.338</f>
        <v>33.8</v>
      </c>
      <c r="BO57" s="168" t="n">
        <f aca="false">100*0.0769</f>
        <v>7.69</v>
      </c>
      <c r="BP57" s="168" t="n">
        <f aca="false">100*0.154</f>
        <v>15.4</v>
      </c>
      <c r="BQ57" s="168" t="n">
        <f aca="false">100*0.475</f>
        <v>47.5</v>
      </c>
      <c r="BR57" s="168" t="n">
        <f aca="false">100*0.308</f>
        <v>30.8</v>
      </c>
      <c r="BS57" s="168" t="n">
        <f aca="false">100*0.256</f>
        <v>25.6</v>
      </c>
      <c r="BT57" s="168" t="n">
        <f aca="false">100*0.524</f>
        <v>52.4</v>
      </c>
      <c r="BU57" s="168" t="n">
        <f aca="false">100*0.165</f>
        <v>16.5</v>
      </c>
      <c r="BV57" s="168" t="n">
        <f aca="false">100*0.0849</f>
        <v>8.49</v>
      </c>
      <c r="BW57" s="168" t="n">
        <f aca="false">100*0.165</f>
        <v>16.5</v>
      </c>
      <c r="BX57" s="168" t="n">
        <f aca="false">100*0.4038</f>
        <v>40.38</v>
      </c>
      <c r="BY57" s="168" t="n">
        <f aca="false">100*0.293</f>
        <v>29.3</v>
      </c>
      <c r="BZ57" s="168" t="n">
        <f aca="false">100*0.155</f>
        <v>15.5</v>
      </c>
      <c r="CA57" s="229" t="n">
        <f aca="false">AE57/CB57</f>
        <v>0.00119004545420351</v>
      </c>
      <c r="CB57" s="184" t="n">
        <v>4120851</v>
      </c>
      <c r="CC57" s="184" t="n">
        <v>1240000</v>
      </c>
      <c r="CD57" s="185" t="n">
        <v>1230000</v>
      </c>
      <c r="CE57" s="185" t="n">
        <v>4513</v>
      </c>
      <c r="CF57" s="185" t="n">
        <v>336</v>
      </c>
      <c r="CG57" s="185" t="n">
        <v>5512</v>
      </c>
      <c r="CH57" s="185" t="n">
        <v>1100000</v>
      </c>
      <c r="CI57" s="185" t="n">
        <v>33131</v>
      </c>
      <c r="CJ57" s="185" t="n">
        <v>4932</v>
      </c>
      <c r="CK57" s="185" t="n">
        <v>0.992</v>
      </c>
      <c r="CL57" s="185" t="n">
        <v>0.0036</v>
      </c>
      <c r="CM57" s="185" t="n">
        <v>0.00027</v>
      </c>
      <c r="CN57" s="185" t="n">
        <v>0.0044</v>
      </c>
      <c r="CO57" s="185" t="n">
        <v>0.887</v>
      </c>
      <c r="CP57" s="185" t="n">
        <v>0.0267</v>
      </c>
      <c r="CQ57" s="185" t="n">
        <v>0.004</v>
      </c>
      <c r="CR57" s="185" t="n">
        <v>0.0037</v>
      </c>
      <c r="CS57" s="185" t="n">
        <v>0.00027</v>
      </c>
      <c r="CT57" s="185" t="n">
        <v>0.0045</v>
      </c>
      <c r="CU57" s="185" t="n">
        <v>0.894</v>
      </c>
      <c r="CV57" s="185" t="n">
        <v>0.0269</v>
      </c>
      <c r="CW57" s="168" t="n">
        <v>0.00400975609756098</v>
      </c>
    </row>
    <row r="58" s="168" customFormat="true" ht="12.6" hidden="false" customHeight="true" outlineLevel="0" collapsed="false">
      <c r="A58" s="186" t="s">
        <v>148</v>
      </c>
      <c r="B58" s="186" t="s">
        <v>113</v>
      </c>
      <c r="C58" s="186"/>
      <c r="D58" s="186" t="s">
        <v>296</v>
      </c>
      <c r="E58" s="230" t="n">
        <v>16873</v>
      </c>
      <c r="F58" s="230" t="n">
        <v>42114</v>
      </c>
      <c r="G58" s="230" t="n">
        <v>43222</v>
      </c>
      <c r="H58" s="230" t="s">
        <v>103</v>
      </c>
      <c r="I58" s="188" t="n">
        <v>72.1396303901437</v>
      </c>
      <c r="J58" s="189" t="n">
        <v>26349</v>
      </c>
      <c r="K58" s="189" t="n">
        <v>1108</v>
      </c>
      <c r="L58" s="189" t="s">
        <v>114</v>
      </c>
      <c r="M58" s="189" t="s">
        <v>114</v>
      </c>
      <c r="N58" s="231" t="s">
        <v>115</v>
      </c>
      <c r="O58" s="191"/>
      <c r="P58" s="191"/>
      <c r="Q58" s="230" t="s">
        <v>116</v>
      </c>
      <c r="R58" s="230"/>
      <c r="S58" s="192" t="s">
        <v>149</v>
      </c>
      <c r="T58" s="191" t="n">
        <v>10</v>
      </c>
      <c r="U58" s="232" t="n">
        <v>1971.83</v>
      </c>
      <c r="V58" s="232" t="n">
        <v>83.41</v>
      </c>
      <c r="W58" s="196"/>
      <c r="X58" s="192"/>
      <c r="Y58" s="197"/>
      <c r="Z58" s="233" t="n">
        <v>17100000</v>
      </c>
      <c r="AA58" s="199"/>
      <c r="AB58" s="192"/>
      <c r="AC58" s="200" t="n">
        <v>29500000</v>
      </c>
      <c r="AD58" s="186" t="s">
        <v>308</v>
      </c>
      <c r="AE58" s="186" t="n">
        <v>374363</v>
      </c>
      <c r="AF58" s="186" t="n">
        <v>668</v>
      </c>
      <c r="AG58" s="186" t="n">
        <f aca="false">100*0.0019</f>
        <v>0.19</v>
      </c>
      <c r="AH58" s="186" t="n">
        <f aca="false">100*0.0659</f>
        <v>6.59</v>
      </c>
      <c r="AI58" s="186" t="n">
        <v>415</v>
      </c>
      <c r="AJ58" s="186" t="n">
        <f aca="false">100*0.0012</f>
        <v>0.12</v>
      </c>
      <c r="AK58" s="186" t="n">
        <f aca="false">100*564</f>
        <v>56400</v>
      </c>
      <c r="AL58" s="186" t="n">
        <f aca="false">100*0.0016</f>
        <v>0.16</v>
      </c>
      <c r="AM58" s="186" t="n">
        <f aca="false">100*0.0018</f>
        <v>0.18</v>
      </c>
      <c r="AN58" s="186" t="n">
        <f aca="false">100*0.0018</f>
        <v>0.18</v>
      </c>
      <c r="AO58" s="186" t="n">
        <f aca="false">100*0.674</f>
        <v>67.4</v>
      </c>
      <c r="AP58" s="186" t="n">
        <f aca="false">100*0.0833</f>
        <v>8.33</v>
      </c>
      <c r="AQ58" s="186" t="n">
        <v>245542</v>
      </c>
      <c r="AR58" s="186" t="n">
        <f aca="false">100*0.011</f>
        <v>1.1</v>
      </c>
      <c r="AS58" s="186" t="n">
        <f aca="false">100*0.528</f>
        <v>52.8</v>
      </c>
      <c r="AT58" s="186" t="n">
        <f aca="false">100*0.0239</f>
        <v>2.39</v>
      </c>
      <c r="AU58" s="186" t="n">
        <f aca="false">100*0.0229</f>
        <v>2.29</v>
      </c>
      <c r="AV58" s="186" t="n">
        <f aca="false">100*0.426</f>
        <v>42.6</v>
      </c>
      <c r="AW58" s="186" t="n">
        <f aca="false">100*0.0383</f>
        <v>3.83</v>
      </c>
      <c r="AX58" s="186" t="n">
        <f aca="false">100*0.0113</f>
        <v>1.13</v>
      </c>
      <c r="AY58" s="186" t="n">
        <f aca="false">100*0.0507</f>
        <v>5.07</v>
      </c>
      <c r="AZ58" s="186" t="n">
        <f aca="false">100*0.9</f>
        <v>90</v>
      </c>
      <c r="BA58" s="186" t="n">
        <v>72598</v>
      </c>
      <c r="BB58" s="186" t="n">
        <f aca="false">100*0.0146</f>
        <v>1.46</v>
      </c>
      <c r="BC58" s="186" t="n">
        <f aca="false">100*0.636</f>
        <v>63.6</v>
      </c>
      <c r="BD58" s="186" t="n">
        <f aca="false">100*0.037</f>
        <v>3.7</v>
      </c>
      <c r="BE58" s="186" t="n">
        <f aca="false">100*0.005</f>
        <v>0.5</v>
      </c>
      <c r="BF58" s="186" t="n">
        <f aca="false">100*0.573</f>
        <v>57.3</v>
      </c>
      <c r="BG58" s="186" t="n">
        <f aca="false">100*0.632</f>
        <v>63.2</v>
      </c>
      <c r="BH58" s="186" t="n">
        <f aca="false">100*0.0414</f>
        <v>4.14</v>
      </c>
      <c r="BI58" s="186" t="n">
        <f aca="false">100*0.0071</f>
        <v>0.71</v>
      </c>
      <c r="BJ58" s="186" t="n">
        <f aca="false">100*0.57</f>
        <v>57</v>
      </c>
      <c r="BK58" s="186" t="n">
        <f aca="false">100*0.564</f>
        <v>56.4</v>
      </c>
      <c r="BL58" s="186" t="n">
        <f aca="false">100*0.175</f>
        <v>17.5</v>
      </c>
      <c r="BM58" s="186" t="n">
        <f aca="false">100*0.0449</f>
        <v>4.49</v>
      </c>
      <c r="BN58" s="186" t="n">
        <f aca="false">100*0.216</f>
        <v>21.6</v>
      </c>
      <c r="BO58" s="186" t="n">
        <f aca="false">100*0.249</f>
        <v>24.9</v>
      </c>
      <c r="BP58" s="186" t="n">
        <f aca="false">100*0.0778</f>
        <v>7.78</v>
      </c>
      <c r="BQ58" s="186" t="n">
        <f aca="false">100*0.115</f>
        <v>11.5</v>
      </c>
      <c r="BR58" s="186" t="n">
        <f aca="false">100*0.558</f>
        <v>55.8</v>
      </c>
      <c r="BS58" s="186" t="n">
        <f aca="false">100*0.433</f>
        <v>43.3</v>
      </c>
      <c r="BT58" s="186" t="n">
        <f aca="false">100*0.0053</f>
        <v>0.53</v>
      </c>
      <c r="BU58" s="186" t="n">
        <f aca="false">100*0.0142</f>
        <v>1.42</v>
      </c>
      <c r="BV58" s="186" t="n">
        <f aca="false">100*0.548</f>
        <v>54.8</v>
      </c>
      <c r="BW58" s="186" t="n">
        <f aca="false">100*0.137</f>
        <v>13.7</v>
      </c>
      <c r="BX58" s="186" t="n">
        <f aca="false">100*0.0106</f>
        <v>1.06</v>
      </c>
      <c r="BY58" s="186" t="n">
        <f aca="false">100*0.0337</f>
        <v>3.37</v>
      </c>
      <c r="BZ58" s="186" t="n">
        <f aca="false">100*0.819</f>
        <v>81.9</v>
      </c>
      <c r="CA58" s="235" t="n">
        <f aca="false">AE58/CB58</f>
        <v>0.215957016614297</v>
      </c>
      <c r="CB58" s="203" t="n">
        <v>1733507</v>
      </c>
      <c r="CC58" s="203" t="n">
        <v>957000</v>
      </c>
      <c r="CD58" s="186" t="n">
        <v>704000</v>
      </c>
      <c r="CE58" s="186" t="n">
        <v>371426</v>
      </c>
      <c r="CF58" s="186" t="n">
        <v>10800</v>
      </c>
      <c r="CG58" s="186" t="n">
        <v>1125</v>
      </c>
      <c r="CH58" s="186" t="n">
        <v>3006</v>
      </c>
      <c r="CI58" s="186" t="n">
        <v>109793</v>
      </c>
      <c r="CJ58" s="186" t="n">
        <v>52497</v>
      </c>
      <c r="CK58" s="186" t="n">
        <v>73.6</v>
      </c>
      <c r="CL58" s="186" t="n">
        <v>38.8</v>
      </c>
      <c r="CM58" s="186" t="n">
        <v>1.13</v>
      </c>
      <c r="CN58" s="186" t="n">
        <v>0.12</v>
      </c>
      <c r="CO58" s="186" t="n">
        <v>0.31</v>
      </c>
      <c r="CP58" s="186" t="n">
        <v>11.5</v>
      </c>
      <c r="CQ58" s="186" t="n">
        <v>5.49</v>
      </c>
      <c r="CR58" s="186" t="n">
        <v>52.8</v>
      </c>
      <c r="CS58" s="186" t="n">
        <v>1.53</v>
      </c>
      <c r="CT58" s="186" t="n">
        <v>0.16</v>
      </c>
      <c r="CU58" s="186" t="n">
        <v>0.43</v>
      </c>
      <c r="CV58" s="186" t="n">
        <v>15.6</v>
      </c>
      <c r="CW58" s="186" t="n">
        <v>7.46</v>
      </c>
      <c r="CX58" s="186"/>
    </row>
    <row r="59" s="168" customFormat="true" ht="12.8" hidden="false" customHeight="false" outlineLevel="0" collapsed="false">
      <c r="A59" s="186" t="s">
        <v>150</v>
      </c>
      <c r="B59" s="186" t="s">
        <v>113</v>
      </c>
      <c r="C59" s="186"/>
      <c r="D59" s="186" t="s">
        <v>296</v>
      </c>
      <c r="E59" s="230" t="n">
        <v>16873</v>
      </c>
      <c r="F59" s="230" t="n">
        <v>42114</v>
      </c>
      <c r="G59" s="230" t="n">
        <v>43243</v>
      </c>
      <c r="H59" s="230" t="s">
        <v>103</v>
      </c>
      <c r="I59" s="188" t="n">
        <v>72.1971252566735</v>
      </c>
      <c r="J59" s="189" t="n">
        <v>26370</v>
      </c>
      <c r="K59" s="189" t="n">
        <v>1129</v>
      </c>
      <c r="L59" s="189" t="s">
        <v>114</v>
      </c>
      <c r="M59" s="189" t="s">
        <v>114</v>
      </c>
      <c r="N59" s="231" t="s">
        <v>115</v>
      </c>
      <c r="O59" s="191"/>
      <c r="P59" s="191"/>
      <c r="Q59" s="230" t="s">
        <v>116</v>
      </c>
      <c r="R59" s="230"/>
      <c r="S59" s="192" t="s">
        <v>149</v>
      </c>
      <c r="T59" s="191" t="n">
        <v>10</v>
      </c>
      <c r="U59" s="236" t="n">
        <v>2047.5</v>
      </c>
      <c r="V59" s="232" t="n">
        <v>89.26</v>
      </c>
      <c r="W59" s="196" t="n">
        <v>1958.24</v>
      </c>
      <c r="X59" s="192"/>
      <c r="Y59" s="197"/>
      <c r="Z59" s="233" t="n">
        <v>11500000</v>
      </c>
      <c r="AA59" s="197"/>
      <c r="AB59" s="192"/>
      <c r="AC59" s="233" t="n">
        <v>15000000</v>
      </c>
      <c r="AD59" s="186" t="s">
        <v>309</v>
      </c>
      <c r="AE59" s="186" t="n">
        <v>312917</v>
      </c>
      <c r="AF59" s="186" t="n">
        <v>557</v>
      </c>
      <c r="AG59" s="186" t="n">
        <f aca="false">100*0.0018</f>
        <v>0.18</v>
      </c>
      <c r="AH59" s="186" t="n">
        <f aca="false">100*0.0592</f>
        <v>5.92</v>
      </c>
      <c r="AI59" s="186" t="n">
        <v>111</v>
      </c>
      <c r="AJ59" s="186" t="n">
        <f aca="false">100*0.00036</f>
        <v>0.036</v>
      </c>
      <c r="AK59" s="186" t="n">
        <v>589</v>
      </c>
      <c r="AL59" s="186" t="n">
        <f aca="false">100*0.0019</f>
        <v>0.19</v>
      </c>
      <c r="AM59" s="186" t="n">
        <f aca="false">100*0.0424</f>
        <v>4.24</v>
      </c>
      <c r="AN59" s="186" t="n">
        <f aca="false">100*0.0068</f>
        <v>0.68</v>
      </c>
      <c r="AO59" s="186" t="n">
        <f aca="false">100*0.796</f>
        <v>79.6</v>
      </c>
      <c r="AP59" s="186" t="n">
        <f aca="false">100*0.0968</f>
        <v>9.68</v>
      </c>
      <c r="AQ59" s="186" t="n">
        <v>212576</v>
      </c>
      <c r="AR59" s="186" t="n">
        <f aca="false">100*0.0676</f>
        <v>6.76</v>
      </c>
      <c r="AS59" s="186" t="n">
        <f aca="false">100*0.489</f>
        <v>48.9</v>
      </c>
      <c r="AT59" s="186" t="n">
        <f aca="false">100*0.0376</f>
        <v>3.76</v>
      </c>
      <c r="AU59" s="186" t="n">
        <f aca="false">100*0.0401</f>
        <v>4.01</v>
      </c>
      <c r="AV59" s="186" t="n">
        <f aca="false">100*0.433</f>
        <v>43.3</v>
      </c>
      <c r="AW59" s="186" t="n">
        <f aca="false">100*0.237</f>
        <v>23.7</v>
      </c>
      <c r="AX59" s="186" t="n">
        <f aca="false">100*0.0263</f>
        <v>2.63</v>
      </c>
      <c r="AY59" s="186" t="n">
        <f aca="false">100*0.0687</f>
        <v>6.87</v>
      </c>
      <c r="AZ59" s="186" t="n">
        <f aca="false">100*0.668</f>
        <v>66.8</v>
      </c>
      <c r="BA59" s="186" t="n">
        <v>86571</v>
      </c>
      <c r="BB59" s="186" t="n">
        <f aca="false">100*0.0249</f>
        <v>2.49</v>
      </c>
      <c r="BC59" s="186" t="n">
        <f aca="false">100*0.584</f>
        <v>58.4</v>
      </c>
      <c r="BD59" s="186" t="n">
        <f aca="false">100*0.0413</f>
        <v>4.13</v>
      </c>
      <c r="BE59" s="186" t="n">
        <f aca="false">100*0.0046</f>
        <v>0.46</v>
      </c>
      <c r="BF59" s="186" t="n">
        <f aca="false">100*0.37</f>
        <v>37</v>
      </c>
      <c r="BG59" s="186" t="n">
        <f aca="false">100*0.359</f>
        <v>35.9</v>
      </c>
      <c r="BH59" s="186" t="n">
        <f aca="false">100*0.0343</f>
        <v>3.43</v>
      </c>
      <c r="BI59" s="186" t="n">
        <f aca="false">100*0.0124</f>
        <v>1.24</v>
      </c>
      <c r="BJ59" s="186" t="n">
        <f aca="false">100*0.595</f>
        <v>59.5</v>
      </c>
      <c r="BK59" s="186" t="n">
        <f aca="false">100*0.519</f>
        <v>51.9</v>
      </c>
      <c r="BL59" s="186" t="n">
        <f aca="false">100*0.269</f>
        <v>26.9</v>
      </c>
      <c r="BM59" s="186" t="n">
        <f aca="false">100*0.0539</f>
        <v>5.39</v>
      </c>
      <c r="BN59" s="186" t="n">
        <f aca="false">100*0.158</f>
        <v>15.8</v>
      </c>
      <c r="BO59" s="186" t="n">
        <f aca="false">100*0.343</f>
        <v>34.3</v>
      </c>
      <c r="BP59" s="186" t="n">
        <f aca="false">100*0.208</f>
        <v>20.8</v>
      </c>
      <c r="BQ59" s="186" t="n">
        <f aca="false">100*0.115</f>
        <v>11.5</v>
      </c>
      <c r="BR59" s="186" t="n">
        <f aca="false">100*0.334</f>
        <v>33.4</v>
      </c>
      <c r="BS59" s="186" t="n">
        <f aca="false">100*0.584</f>
        <v>58.4</v>
      </c>
      <c r="BT59" s="186" t="n">
        <f aca="false">100*0.0238</f>
        <v>2.38</v>
      </c>
      <c r="BU59" s="186" t="n">
        <f aca="false">100*0.0187</f>
        <v>1.87</v>
      </c>
      <c r="BV59" s="186" t="n">
        <f aca="false">100*0.374</f>
        <v>37.4</v>
      </c>
      <c r="BW59" s="186" t="n">
        <f aca="false">100*0.397</f>
        <v>39.7</v>
      </c>
      <c r="BX59" s="186" t="n">
        <f aca="false">100*0.039</f>
        <v>3.9</v>
      </c>
      <c r="BY59" s="186" t="n">
        <f aca="false">100*0.0119</f>
        <v>1.19</v>
      </c>
      <c r="BZ59" s="186" t="n">
        <f aca="false">100*0.552</f>
        <v>55.2</v>
      </c>
      <c r="CA59" s="234"/>
      <c r="CB59" s="234" t="s">
        <v>220</v>
      </c>
      <c r="CC59" s="203" t="n">
        <v>838000</v>
      </c>
      <c r="CD59" s="203" t="n">
        <v>574000</v>
      </c>
      <c r="CE59" s="204" t="n">
        <v>40</v>
      </c>
      <c r="CF59" s="204" t="n">
        <v>10117</v>
      </c>
      <c r="CG59" s="204" t="n">
        <v>2312</v>
      </c>
      <c r="CH59" s="204" t="n">
        <v>5263</v>
      </c>
      <c r="CI59" s="204" t="n">
        <v>110163</v>
      </c>
      <c r="CJ59" s="204" t="n">
        <v>26428</v>
      </c>
      <c r="CK59" s="204" t="n">
        <v>68.5</v>
      </c>
      <c r="CL59" s="204" t="n">
        <v>0.00477</v>
      </c>
      <c r="CM59" s="204" t="n">
        <v>1.21</v>
      </c>
      <c r="CN59" s="204" t="n">
        <v>0.28</v>
      </c>
      <c r="CO59" s="204" t="n">
        <v>0.63</v>
      </c>
      <c r="CP59" s="204" t="n">
        <v>13.1</v>
      </c>
      <c r="CQ59" s="204" t="n">
        <v>3.15</v>
      </c>
      <c r="CR59" s="204" t="n">
        <v>0.00697</v>
      </c>
      <c r="CS59" s="204" t="n">
        <v>1.76</v>
      </c>
      <c r="CT59" s="204" t="n">
        <v>0.4</v>
      </c>
      <c r="CU59" s="204" t="n">
        <v>0.92</v>
      </c>
      <c r="CV59" s="204" t="n">
        <v>19.2</v>
      </c>
      <c r="CW59" s="204" t="n">
        <v>4.6</v>
      </c>
      <c r="CX59" s="186"/>
    </row>
    <row r="60" s="168" customFormat="true" ht="13.15" hidden="false" customHeight="true" outlineLevel="0" collapsed="false">
      <c r="A60" s="186" t="s">
        <v>152</v>
      </c>
      <c r="B60" s="186" t="s">
        <v>113</v>
      </c>
      <c r="C60" s="186"/>
      <c r="D60" s="186" t="s">
        <v>296</v>
      </c>
      <c r="E60" s="230" t="n">
        <v>13862</v>
      </c>
      <c r="F60" s="230" t="n">
        <v>42191</v>
      </c>
      <c r="G60" s="230" t="n">
        <v>43180</v>
      </c>
      <c r="H60" s="230" t="s">
        <v>103</v>
      </c>
      <c r="I60" s="188" t="n">
        <f aca="false">(G60-E60)/365.25</f>
        <v>80.2683093771389</v>
      </c>
      <c r="J60" s="189" t="n">
        <f aca="false">G60-E60</f>
        <v>29318</v>
      </c>
      <c r="K60" s="189" t="n">
        <f aca="false">G60-F60</f>
        <v>989</v>
      </c>
      <c r="L60" s="189" t="s">
        <v>104</v>
      </c>
      <c r="M60" s="189" t="s">
        <v>114</v>
      </c>
      <c r="N60" s="231" t="s">
        <v>115</v>
      </c>
      <c r="O60" s="191" t="n">
        <v>0</v>
      </c>
      <c r="P60" s="191" t="n">
        <v>0</v>
      </c>
      <c r="Q60" s="230" t="s">
        <v>116</v>
      </c>
      <c r="R60" s="230"/>
      <c r="S60" s="192" t="s">
        <v>117</v>
      </c>
      <c r="T60" s="191" t="n">
        <v>10</v>
      </c>
      <c r="U60" s="236" t="n">
        <v>2744.4</v>
      </c>
      <c r="V60" s="232" t="n">
        <v>88.6</v>
      </c>
      <c r="W60" s="196" t="n">
        <f aca="false">U60-V60</f>
        <v>2655.8</v>
      </c>
      <c r="X60" s="192"/>
      <c r="Y60" s="197"/>
      <c r="Z60" s="233" t="n">
        <v>81600000</v>
      </c>
      <c r="AA60" s="197"/>
      <c r="AB60" s="192"/>
      <c r="AC60" s="233" t="n">
        <v>41500000</v>
      </c>
      <c r="AD60" s="186" t="s">
        <v>153</v>
      </c>
      <c r="AE60" s="186" t="n">
        <v>502000</v>
      </c>
      <c r="AF60" s="186" t="n">
        <v>6207</v>
      </c>
      <c r="AG60" s="186" t="n">
        <f aca="false">100*0.0124</f>
        <v>1.24</v>
      </c>
      <c r="AH60" s="186" t="n">
        <f aca="false">100*0.37184</f>
        <v>37.184</v>
      </c>
      <c r="AI60" s="186" t="n">
        <v>1553</v>
      </c>
      <c r="AJ60" s="186" t="n">
        <f aca="false">100*0.00295</f>
        <v>0.295</v>
      </c>
      <c r="AK60" s="186" t="n">
        <v>2457</v>
      </c>
      <c r="AL60" s="186" t="n">
        <f aca="false">10*0.0048</f>
        <v>0.048</v>
      </c>
      <c r="AM60" s="186" t="n">
        <f aca="false">100*0.0409</f>
        <v>4.09</v>
      </c>
      <c r="AN60" s="186" t="n">
        <f aca="false">100*0.02315</f>
        <v>2.315</v>
      </c>
      <c r="AO60" s="186" t="n">
        <f aca="false">100*0.577</f>
        <v>57.7</v>
      </c>
      <c r="AP60" s="186" t="n">
        <f aca="false">100*0.0563</f>
        <v>5.63</v>
      </c>
      <c r="AQ60" s="186" t="n">
        <v>175877</v>
      </c>
      <c r="AR60" s="186" t="n">
        <f aca="false">100*0.4113</f>
        <v>41.13</v>
      </c>
      <c r="AS60" s="186" t="n">
        <f aca="false">100*0.47583</f>
        <v>47.583</v>
      </c>
      <c r="AT60" s="186" t="n">
        <f aca="false">100*0.10697705</f>
        <v>10.697705</v>
      </c>
      <c r="AU60" s="186" t="n">
        <f aca="false">100*0.06619417</f>
        <v>6.619417</v>
      </c>
      <c r="AV60" s="186" t="n">
        <f aca="false">100*0.346</f>
        <v>34.6</v>
      </c>
      <c r="AW60" s="186" t="n">
        <f aca="false">100*0.04659</f>
        <v>4.659</v>
      </c>
      <c r="AX60" s="186" t="n">
        <f aca="false">100*0.023877185</f>
        <v>2.3877185</v>
      </c>
      <c r="AY60" s="186" t="n">
        <f aca="false">100*0.153</f>
        <v>15.3</v>
      </c>
      <c r="AZ60" s="186" t="n">
        <f aca="false">100*0.786</f>
        <v>78.6</v>
      </c>
      <c r="BA60" s="186" t="n">
        <v>260048</v>
      </c>
      <c r="BB60" s="186" t="n">
        <f aca="false">100*0.03205</f>
        <v>3.205</v>
      </c>
      <c r="BC60" s="186" t="n">
        <f aca="false">100*0.32399669</f>
        <v>32.399669</v>
      </c>
      <c r="BD60" s="186" t="n">
        <f aca="false">100*0.043694615</f>
        <v>4.3694615</v>
      </c>
      <c r="BE60" s="186" t="n">
        <f aca="false">100*0.02669586</f>
        <v>2.669586</v>
      </c>
      <c r="BF60" s="186" t="n">
        <f aca="false">100*0.611</f>
        <v>61.1</v>
      </c>
      <c r="BG60" s="186" t="n">
        <f aca="false">100*0.28588</f>
        <v>28.588</v>
      </c>
      <c r="BH60" s="186" t="n">
        <f aca="false">100*0.03089425</f>
        <v>3.089425</v>
      </c>
      <c r="BI60" s="186" t="n">
        <f aca="false">100*0.0187</f>
        <v>1.87</v>
      </c>
      <c r="BJ60" s="186" t="n">
        <f aca="false">100*0.664</f>
        <v>66.4</v>
      </c>
      <c r="BK60" s="186" t="n">
        <f aca="false">100*0.216</f>
        <v>21.6</v>
      </c>
      <c r="BL60" s="186" t="n">
        <f aca="false">100*0.086</f>
        <v>8.6</v>
      </c>
      <c r="BM60" s="186" t="n">
        <f aca="false">100*0.0491</f>
        <v>4.91</v>
      </c>
      <c r="BN60" s="186" t="n">
        <f aca="false">100*0.147</f>
        <v>14.7</v>
      </c>
      <c r="BO60" s="186" t="n">
        <f aca="false">100*0.20063</f>
        <v>20.063</v>
      </c>
      <c r="BP60" s="186" t="n">
        <f aca="false">100*0.039715</f>
        <v>3.9715</v>
      </c>
      <c r="BQ60" s="186" t="n">
        <f aca="false">100*0.2</f>
        <v>20</v>
      </c>
      <c r="BR60" s="186" t="n">
        <f aca="false">100*0.597</f>
        <v>59.7</v>
      </c>
      <c r="BS60" s="186" t="n">
        <f aca="false">100*0.372</f>
        <v>37.2</v>
      </c>
      <c r="BT60" s="186" t="n">
        <f aca="false">100*0.420795</f>
        <v>42.0795</v>
      </c>
      <c r="BU60" s="186" t="n">
        <f aca="false">100*0.08859</f>
        <v>8.859</v>
      </c>
      <c r="BV60" s="186" t="n">
        <f aca="false">100*0.129</f>
        <v>12.9</v>
      </c>
      <c r="BW60" s="186" t="n">
        <f aca="false">100*0.4072</f>
        <v>40.72</v>
      </c>
      <c r="BX60" s="186" t="n">
        <f aca="false">100*0.261145</f>
        <v>26.1145</v>
      </c>
      <c r="BY60" s="186" t="n">
        <f aca="false">100*0.124</f>
        <v>12.4</v>
      </c>
      <c r="BZ60" s="186" t="n">
        <f aca="false">100*0.208</f>
        <v>20.8</v>
      </c>
      <c r="CA60" s="234" t="e">
        <f aca="false">AE60/CB60</f>
        <v>#VALUE!</v>
      </c>
      <c r="CB60" s="234" t="s">
        <v>220</v>
      </c>
      <c r="CC60" s="203" t="n">
        <v>2260000</v>
      </c>
      <c r="CD60" s="204" t="n">
        <v>1840000</v>
      </c>
      <c r="CE60" s="204" t="n">
        <v>418000</v>
      </c>
      <c r="CF60" s="204" t="n">
        <v>22463</v>
      </c>
      <c r="CG60" s="204" t="n">
        <v>4489</v>
      </c>
      <c r="CH60" s="204" t="n">
        <v>17122</v>
      </c>
      <c r="CI60" s="204" t="n">
        <v>116466</v>
      </c>
      <c r="CJ60" s="204" t="n">
        <v>30066</v>
      </c>
      <c r="CK60" s="204" t="n">
        <v>80.2</v>
      </c>
      <c r="CL60" s="204" t="n">
        <v>18</v>
      </c>
      <c r="CM60" s="204" t="n">
        <v>0.99</v>
      </c>
      <c r="CN60" s="204" t="n">
        <v>0.2</v>
      </c>
      <c r="CO60" s="204" t="n">
        <v>0.81</v>
      </c>
      <c r="CP60" s="204" t="n">
        <v>5.77</v>
      </c>
      <c r="CQ60" s="204" t="n">
        <v>1.22</v>
      </c>
      <c r="CR60" s="204" t="n">
        <v>22.4</v>
      </c>
      <c r="CS60" s="204" t="n">
        <v>1.27</v>
      </c>
      <c r="CT60" s="204" t="n">
        <v>0.26</v>
      </c>
      <c r="CU60" s="204" t="n">
        <v>1</v>
      </c>
      <c r="CV60" s="204" t="n">
        <v>7.19</v>
      </c>
      <c r="CW60" s="186" t="n">
        <v>1.73</v>
      </c>
      <c r="CX60" s="186"/>
    </row>
    <row r="61" s="237" customFormat="true" ht="12.75" hidden="false" customHeight="true" outlineLevel="0" collapsed="false">
      <c r="A61" s="186" t="s">
        <v>154</v>
      </c>
      <c r="B61" s="186" t="s">
        <v>113</v>
      </c>
      <c r="C61" s="186"/>
      <c r="D61" s="186" t="s">
        <v>296</v>
      </c>
      <c r="E61" s="230" t="n">
        <v>13862</v>
      </c>
      <c r="F61" s="230" t="n">
        <v>42191</v>
      </c>
      <c r="G61" s="230" t="n">
        <v>43271</v>
      </c>
      <c r="H61" s="230" t="s">
        <v>103</v>
      </c>
      <c r="I61" s="188" t="n">
        <v>80.517453798768</v>
      </c>
      <c r="J61" s="189" t="n">
        <v>29409</v>
      </c>
      <c r="K61" s="189" t="n">
        <v>1080</v>
      </c>
      <c r="L61" s="189" t="s">
        <v>104</v>
      </c>
      <c r="M61" s="189" t="s">
        <v>114</v>
      </c>
      <c r="N61" s="231" t="s">
        <v>115</v>
      </c>
      <c r="O61" s="191"/>
      <c r="P61" s="191"/>
      <c r="Q61" s="230" t="s">
        <v>116</v>
      </c>
      <c r="R61" s="230"/>
      <c r="S61" s="192" t="s">
        <v>117</v>
      </c>
      <c r="T61" s="191" t="n">
        <v>10</v>
      </c>
      <c r="U61" s="236" t="n">
        <v>2568.01</v>
      </c>
      <c r="V61" s="232" t="n">
        <v>74.09</v>
      </c>
      <c r="W61" s="196" t="n">
        <f aca="false">U61-V61</f>
        <v>2493.92</v>
      </c>
      <c r="X61" s="192"/>
      <c r="Y61" s="197"/>
      <c r="Z61" s="233" t="n">
        <v>107500000</v>
      </c>
      <c r="AA61" s="197"/>
      <c r="AB61" s="192"/>
      <c r="AC61" s="198" t="n">
        <v>12750000</v>
      </c>
      <c r="AD61" s="186" t="s">
        <v>310</v>
      </c>
      <c r="AE61" s="186" t="n">
        <v>595000</v>
      </c>
      <c r="AF61" s="186" t="n">
        <v>7220</v>
      </c>
      <c r="AG61" s="186" t="n">
        <f aca="false">100*0.0124</f>
        <v>1.24</v>
      </c>
      <c r="AH61" s="186" t="n">
        <f aca="false">100*0.67222</f>
        <v>67.222</v>
      </c>
      <c r="AI61" s="186" t="n">
        <v>543</v>
      </c>
      <c r="AJ61" s="186" t="n">
        <f aca="false">100*0.0009</f>
        <v>0.09</v>
      </c>
      <c r="AK61" s="186" t="n">
        <v>2805</v>
      </c>
      <c r="AL61" s="186" t="n">
        <f aca="false">100*0.0047</f>
        <v>0.47</v>
      </c>
      <c r="AM61" s="186" t="n">
        <f aca="false">100*0.09045</f>
        <v>9.045</v>
      </c>
      <c r="AN61" s="186" t="n">
        <f aca="false">100*0.06615</f>
        <v>6.615</v>
      </c>
      <c r="AO61" s="186" t="n">
        <f aca="false">100*0.675</f>
        <v>67.5</v>
      </c>
      <c r="AP61" s="186" t="n">
        <f aca="false">100*0.0175</f>
        <v>1.75</v>
      </c>
      <c r="AQ61" s="186" t="n">
        <v>221037</v>
      </c>
      <c r="AR61" s="186" t="n">
        <f aca="false">100*0.70288</f>
        <v>70.288</v>
      </c>
      <c r="AS61" s="186" t="n">
        <f aca="false">100*0.3159489</f>
        <v>31.59489</v>
      </c>
      <c r="AT61" s="186" t="n">
        <f aca="false">100*0.0931833</f>
        <v>9.31833</v>
      </c>
      <c r="AU61" s="186" t="n">
        <f aca="false">100*0.0941774</f>
        <v>9.41774</v>
      </c>
      <c r="AV61" s="186" t="n">
        <f aca="false">100*0.497</f>
        <v>49.7</v>
      </c>
      <c r="AW61" s="186" t="n">
        <f aca="false">100*0.0587042</f>
        <v>5.87042</v>
      </c>
      <c r="AX61" s="186" t="n">
        <f aca="false">100*0.0369703</f>
        <v>3.69703</v>
      </c>
      <c r="AY61" s="186" t="n">
        <f aca="false">100*0.1769729</f>
        <v>17.69729</v>
      </c>
      <c r="AZ61" s="186" t="n">
        <f aca="false">100*0.705</f>
        <v>70.5</v>
      </c>
      <c r="BA61" s="186" t="n">
        <v>305492</v>
      </c>
      <c r="BB61" s="186" t="n">
        <f aca="false">100*0.2164</f>
        <v>21.64</v>
      </c>
      <c r="BC61" s="186" t="n">
        <f aca="false">100*0.3319202</f>
        <v>33.19202</v>
      </c>
      <c r="BD61" s="186" t="n">
        <f aca="false">100*0.0382737</f>
        <v>3.82737</v>
      </c>
      <c r="BE61" s="186" t="n">
        <f aca="false">100*0.01169018</f>
        <v>1.169018</v>
      </c>
      <c r="BF61" s="186" t="n">
        <f aca="false">100*0.62</f>
        <v>62</v>
      </c>
      <c r="BG61" s="186" t="n">
        <f aca="false">100*0.30258</f>
        <v>30.258</v>
      </c>
      <c r="BH61" s="186" t="n">
        <f aca="false">100*0.0464401</f>
        <v>4.64401</v>
      </c>
      <c r="BI61" s="186" t="n">
        <f aca="false">100*0.01459018</f>
        <v>1.459018</v>
      </c>
      <c r="BJ61" s="186" t="n">
        <f aca="false">100*0.643</f>
        <v>64.3</v>
      </c>
      <c r="BK61" s="186" t="n">
        <f aca="false">100*0.25286</f>
        <v>25.286</v>
      </c>
      <c r="BL61" s="186" t="n">
        <f aca="false">100*0.069585</f>
        <v>6.9585</v>
      </c>
      <c r="BM61" s="186" t="n">
        <f aca="false">100*0.10286</f>
        <v>10.286</v>
      </c>
      <c r="BN61" s="186" t="n">
        <f aca="false">100*0.557</f>
        <v>55.7</v>
      </c>
      <c r="BO61" s="186" t="n">
        <f aca="false">100*0.18886</f>
        <v>18.886</v>
      </c>
      <c r="BP61" s="186" t="n">
        <f aca="false">100*0.04243</f>
        <v>4.243</v>
      </c>
      <c r="BQ61" s="186" t="n">
        <f aca="false">100*0.17271</f>
        <v>17.271</v>
      </c>
      <c r="BR61" s="186" t="n">
        <f aca="false">100*0.597</f>
        <v>59.7</v>
      </c>
      <c r="BS61" s="186" t="n">
        <f aca="false">100*0.636</f>
        <v>63.6</v>
      </c>
      <c r="BT61" s="186" t="n">
        <f aca="false">100*0.0963</f>
        <v>9.63</v>
      </c>
      <c r="BU61" s="186" t="n">
        <f aca="false">100*0.0289</f>
        <v>2.89</v>
      </c>
      <c r="BV61" s="186" t="n">
        <f aca="false">100*0.227</f>
        <v>22.7</v>
      </c>
      <c r="BW61" s="186" t="n">
        <f aca="false">100*0.38464</f>
        <v>38.464</v>
      </c>
      <c r="BX61" s="186" t="n">
        <f aca="false">100*0.0763</f>
        <v>7.63</v>
      </c>
      <c r="BY61" s="186" t="n">
        <f aca="false">100*0.097</f>
        <v>9.7</v>
      </c>
      <c r="BZ61" s="186" t="n">
        <f aca="false">100*0.499</f>
        <v>49.9</v>
      </c>
      <c r="CA61" s="234" t="n">
        <f aca="false">100*0.203</f>
        <v>20.3</v>
      </c>
      <c r="CB61" s="202" t="n">
        <f aca="false">AE61/CA61</f>
        <v>29310.3448275862</v>
      </c>
      <c r="CC61" s="203" t="n">
        <v>2780000</v>
      </c>
      <c r="CD61" s="204" t="n">
        <v>2240000</v>
      </c>
      <c r="CE61" s="204" t="n">
        <v>843000</v>
      </c>
      <c r="CF61" s="204" t="n">
        <v>40745</v>
      </c>
      <c r="CG61" s="204" t="n">
        <v>10144</v>
      </c>
      <c r="CH61" s="204" t="n">
        <v>16749</v>
      </c>
      <c r="CI61" s="204" t="n">
        <v>228711</v>
      </c>
      <c r="CJ61" s="204" t="n">
        <v>66961</v>
      </c>
      <c r="CK61" s="204" t="n">
        <v>80.6</v>
      </c>
      <c r="CL61" s="204" t="n">
        <v>30.3</v>
      </c>
      <c r="CM61" s="204" t="n">
        <v>1.47</v>
      </c>
      <c r="CN61" s="204" t="n">
        <v>0.36</v>
      </c>
      <c r="CO61" s="204" t="n">
        <v>0.6</v>
      </c>
      <c r="CP61" s="204" t="n">
        <v>8.23</v>
      </c>
      <c r="CQ61" s="204" t="n">
        <v>2.41</v>
      </c>
      <c r="CR61" s="204" t="n">
        <v>37.6</v>
      </c>
      <c r="CS61" s="204" t="n">
        <v>1.82</v>
      </c>
      <c r="CT61" s="204" t="n">
        <v>0.45</v>
      </c>
      <c r="CU61" s="204" t="n">
        <v>0.75</v>
      </c>
      <c r="CV61" s="204" t="n">
        <v>10.2</v>
      </c>
      <c r="CW61" s="186" t="n">
        <v>2.99</v>
      </c>
      <c r="CX61" s="186"/>
    </row>
    <row r="62" s="168" customFormat="true" ht="12.8" hidden="false" customHeight="false" outlineLevel="0" collapsed="false">
      <c r="A62" s="186" t="s">
        <v>156</v>
      </c>
      <c r="B62" s="186" t="s">
        <v>113</v>
      </c>
      <c r="C62" s="186"/>
      <c r="D62" s="186" t="s">
        <v>296</v>
      </c>
      <c r="E62" s="230" t="n">
        <v>21486</v>
      </c>
      <c r="F62" s="230" t="n">
        <v>42233</v>
      </c>
      <c r="G62" s="230" t="n">
        <v>43222</v>
      </c>
      <c r="H62" s="230" t="s">
        <v>157</v>
      </c>
      <c r="I62" s="188" t="n">
        <v>59.5099247091034</v>
      </c>
      <c r="J62" s="189" t="n">
        <v>21736</v>
      </c>
      <c r="K62" s="189" t="n">
        <v>989</v>
      </c>
      <c r="L62" s="189" t="s">
        <v>104</v>
      </c>
      <c r="M62" s="189" t="s">
        <v>104</v>
      </c>
      <c r="N62" s="231" t="n">
        <v>42957</v>
      </c>
      <c r="O62" s="191"/>
      <c r="P62" s="191"/>
      <c r="Q62" s="230" t="s">
        <v>116</v>
      </c>
      <c r="R62" s="230"/>
      <c r="S62" s="192" t="s">
        <v>149</v>
      </c>
      <c r="T62" s="191" t="n">
        <v>10</v>
      </c>
      <c r="U62" s="236" t="n">
        <v>2223.19</v>
      </c>
      <c r="V62" s="232" t="n">
        <v>86.24</v>
      </c>
      <c r="W62" s="196" t="n">
        <f aca="false">U62-V62</f>
        <v>2136.95</v>
      </c>
      <c r="X62" s="192"/>
      <c r="Y62" s="197"/>
      <c r="Z62" s="233" t="n">
        <v>1000000</v>
      </c>
      <c r="AA62" s="197"/>
      <c r="AB62" s="192"/>
      <c r="AC62" s="198" t="n">
        <v>13950000</v>
      </c>
      <c r="AD62" s="201" t="s">
        <v>311</v>
      </c>
      <c r="AE62" s="186" t="n">
        <v>2193</v>
      </c>
      <c r="AF62" s="186" t="n">
        <v>12</v>
      </c>
      <c r="AG62" s="186" t="n">
        <f aca="false">100*0.0064</f>
        <v>0.64</v>
      </c>
      <c r="AH62" s="186" t="n">
        <v>0</v>
      </c>
      <c r="AI62" s="186" t="n">
        <v>35</v>
      </c>
      <c r="AJ62" s="186" t="n">
        <f aca="false">100*0.0185</f>
        <v>1.85</v>
      </c>
      <c r="AK62" s="186" t="n">
        <v>73</v>
      </c>
      <c r="AL62" s="186" t="n">
        <f aca="false">100*0.0399</f>
        <v>3.99</v>
      </c>
      <c r="AM62" s="186" t="n">
        <f aca="false">100*0.0685</f>
        <v>6.85</v>
      </c>
      <c r="AN62" s="186" t="n">
        <f aca="false">100*0.0137</f>
        <v>1.37</v>
      </c>
      <c r="AO62" s="186" t="n">
        <f aca="false">100*0.658</f>
        <v>65.8</v>
      </c>
      <c r="AP62" s="186" t="n">
        <f aca="false">100*0.137</f>
        <v>13.7</v>
      </c>
      <c r="AQ62" s="186" t="n">
        <v>575</v>
      </c>
      <c r="AR62" s="186" t="n">
        <f aca="false">100*0.33</f>
        <v>33</v>
      </c>
      <c r="AS62" s="186" t="n">
        <f aca="false">100*0.499</f>
        <v>49.9</v>
      </c>
      <c r="AT62" s="186" t="n">
        <f aca="false">100*0.257</f>
        <v>25.7</v>
      </c>
      <c r="AU62" s="186" t="n">
        <f aca="false">100*0.0904</f>
        <v>9.04</v>
      </c>
      <c r="AV62" s="186" t="n">
        <f aca="false">100*0.153</f>
        <v>15.3</v>
      </c>
      <c r="AW62" s="186" t="n">
        <f aca="false">100*0.103</f>
        <v>10.3</v>
      </c>
      <c r="AX62" s="186" t="n">
        <f aca="false">100*0.0539</f>
        <v>5.39</v>
      </c>
      <c r="AY62" s="186" t="n">
        <f aca="false">100*0.297</f>
        <v>29.7</v>
      </c>
      <c r="AZ62" s="186" t="n">
        <f aca="false">100*0.546</f>
        <v>54.6</v>
      </c>
      <c r="BA62" s="186" t="n">
        <v>1045</v>
      </c>
      <c r="BB62" s="186" t="n">
        <f aca="false">100*0.0928</f>
        <v>9.28</v>
      </c>
      <c r="BC62" s="186" t="n">
        <f aca="false">100*0.735</f>
        <v>73.5</v>
      </c>
      <c r="BD62" s="186" t="n">
        <f aca="false">100*0.0297</f>
        <v>2.97</v>
      </c>
      <c r="BE62" s="186" t="n">
        <v>0</v>
      </c>
      <c r="BF62" s="186" t="n">
        <f aca="false">100*0.235</f>
        <v>23.5</v>
      </c>
      <c r="BG62" s="186" t="n">
        <f aca="false">100*0.367</f>
        <v>36.7</v>
      </c>
      <c r="BH62" s="186" t="n">
        <f aca="false">100*0.0258</f>
        <v>2.58</v>
      </c>
      <c r="BI62" s="186" t="n">
        <f aca="false">100*0.0038</f>
        <v>0.38</v>
      </c>
      <c r="BJ62" s="186" t="n">
        <f aca="false">100*0.603</f>
        <v>60.3</v>
      </c>
      <c r="BK62" s="186" t="n">
        <f aca="false">100*0.917</f>
        <v>91.7</v>
      </c>
      <c r="BL62" s="186" t="n">
        <v>0</v>
      </c>
      <c r="BM62" s="186" t="n">
        <v>0</v>
      </c>
      <c r="BN62" s="186" t="n">
        <f aca="false">100*0.0833</f>
        <v>8.33</v>
      </c>
      <c r="BO62" s="186" t="n">
        <f aca="false">100*0.167</f>
        <v>16.7</v>
      </c>
      <c r="BP62" s="186" t="n">
        <v>0</v>
      </c>
      <c r="BQ62" s="186" t="n">
        <v>0</v>
      </c>
      <c r="BR62" s="186" t="n">
        <f aca="false">100*0.833</f>
        <v>83.3</v>
      </c>
      <c r="BS62" s="186" t="n">
        <f aca="false">100*0.644</f>
        <v>64.4</v>
      </c>
      <c r="BT62" s="186" t="n">
        <f aca="false">100*0.0137</f>
        <v>1.37</v>
      </c>
      <c r="BU62" s="186" t="n">
        <f aca="false">100*0.0137</f>
        <v>1.37</v>
      </c>
      <c r="BV62" s="186" t="n">
        <f aca="false">100*0.329</f>
        <v>32.9</v>
      </c>
      <c r="BW62" s="186" t="n">
        <f aca="false">100*0.233</f>
        <v>23.3</v>
      </c>
      <c r="BX62" s="186" t="n">
        <f aca="false">100*0.0137</f>
        <v>1.37</v>
      </c>
      <c r="BY62" s="186" t="n">
        <f aca="false">100*0.0137</f>
        <v>1.37</v>
      </c>
      <c r="BZ62" s="186" t="n">
        <f aca="false">100*0.74</f>
        <v>74</v>
      </c>
      <c r="CA62" s="235" t="n">
        <f aca="false">AE62/CB62</f>
        <v>0.000725440466081441</v>
      </c>
      <c r="CB62" s="203" t="n">
        <v>3022991</v>
      </c>
      <c r="CC62" s="186" t="n">
        <v>138726</v>
      </c>
      <c r="CD62" s="186" t="n">
        <v>18662</v>
      </c>
      <c r="CE62" s="186" t="n">
        <v>3161</v>
      </c>
      <c r="CF62" s="186" t="n">
        <v>349</v>
      </c>
      <c r="CG62" s="186" t="n">
        <v>395</v>
      </c>
      <c r="CH62" s="186" t="n">
        <v>651</v>
      </c>
      <c r="CI62" s="186" t="n">
        <v>1928</v>
      </c>
      <c r="CJ62" s="186" t="n">
        <v>2567</v>
      </c>
      <c r="CK62" s="186" t="n">
        <v>13.5</v>
      </c>
      <c r="CL62" s="186" t="n">
        <v>2.28</v>
      </c>
      <c r="CM62" s="186" t="n">
        <v>0.25</v>
      </c>
      <c r="CN62" s="186" t="n">
        <v>0.28</v>
      </c>
      <c r="CO62" s="186" t="n">
        <v>0.47</v>
      </c>
      <c r="CP62" s="186" t="n">
        <v>1.39</v>
      </c>
      <c r="CQ62" s="186" t="n">
        <v>1.85</v>
      </c>
      <c r="CR62" s="186" t="n">
        <v>16.9</v>
      </c>
      <c r="CS62" s="186" t="n">
        <v>1.87</v>
      </c>
      <c r="CT62" s="186" t="n">
        <v>2.12</v>
      </c>
      <c r="CU62" s="186" t="n">
        <v>3.49</v>
      </c>
      <c r="CV62" s="186" t="n">
        <v>10.3</v>
      </c>
      <c r="CW62" s="186" t="n">
        <v>13.8</v>
      </c>
      <c r="CX62" s="186"/>
    </row>
    <row r="63" s="168" customFormat="true" ht="12.8" hidden="false" customHeight="false" outlineLevel="0" collapsed="false">
      <c r="A63" s="186" t="s">
        <v>159</v>
      </c>
      <c r="B63" s="186" t="s">
        <v>113</v>
      </c>
      <c r="C63" s="186"/>
      <c r="D63" s="186" t="s">
        <v>296</v>
      </c>
      <c r="E63" s="187" t="n">
        <v>21486</v>
      </c>
      <c r="F63" s="187" t="n">
        <v>42233</v>
      </c>
      <c r="G63" s="187" t="n">
        <v>43425</v>
      </c>
      <c r="H63" s="230" t="s">
        <v>157</v>
      </c>
      <c r="I63" s="188" t="n">
        <v>60.0657084188912</v>
      </c>
      <c r="J63" s="189" t="n">
        <v>21939</v>
      </c>
      <c r="K63" s="189" t="n">
        <v>1192</v>
      </c>
      <c r="L63" s="189" t="s">
        <v>104</v>
      </c>
      <c r="M63" s="189" t="s">
        <v>104</v>
      </c>
      <c r="N63" s="190" t="n">
        <v>42957</v>
      </c>
      <c r="O63" s="191"/>
      <c r="P63" s="238" t="s">
        <v>160</v>
      </c>
      <c r="Q63" s="230" t="s">
        <v>116</v>
      </c>
      <c r="R63" s="230"/>
      <c r="S63" s="192" t="s">
        <v>149</v>
      </c>
      <c r="T63" s="191" t="n">
        <v>11</v>
      </c>
      <c r="U63" s="194" t="n">
        <v>2189.1</v>
      </c>
      <c r="V63" s="195" t="n">
        <v>83.89</v>
      </c>
      <c r="W63" s="196" t="n">
        <f aca="false">U63-V63</f>
        <v>2105.21</v>
      </c>
      <c r="X63" s="192"/>
      <c r="Y63" s="197"/>
      <c r="Z63" s="198" t="n">
        <v>8700000</v>
      </c>
      <c r="AA63" s="197"/>
      <c r="AB63" s="192"/>
      <c r="AC63" s="198" t="n">
        <v>15900000</v>
      </c>
      <c r="AD63" s="201" t="s">
        <v>312</v>
      </c>
      <c r="AE63" s="186" t="n">
        <v>3290</v>
      </c>
      <c r="AF63" s="186" t="n">
        <v>25</v>
      </c>
      <c r="AG63" s="186" t="n">
        <f aca="false">100*0.009</f>
        <v>0.9</v>
      </c>
      <c r="AH63" s="186" t="n">
        <f aca="false">100*0.44</f>
        <v>44</v>
      </c>
      <c r="AI63" s="186" t="n">
        <v>2</v>
      </c>
      <c r="AJ63" s="186" t="n">
        <f aca="false">100*0.00072</f>
        <v>0.072</v>
      </c>
      <c r="AK63" s="186" t="n">
        <v>74</v>
      </c>
      <c r="AL63" s="186" t="n">
        <f aca="false">100*0.0269</f>
        <v>2.69</v>
      </c>
      <c r="AM63" s="186" t="n">
        <f aca="false">100*0.243</f>
        <v>24.3</v>
      </c>
      <c r="AN63" s="186" t="n">
        <f aca="false">100*0.0405</f>
        <v>4.05</v>
      </c>
      <c r="AO63" s="186" t="n">
        <f aca="false">100*0.784</f>
        <v>78.4</v>
      </c>
      <c r="AP63" s="186" t="n">
        <f aca="false">100*0.027</f>
        <v>2.7</v>
      </c>
      <c r="AQ63" s="186" t="n">
        <v>1493</v>
      </c>
      <c r="AR63" s="186" t="n">
        <f aca="false">100*0.309</f>
        <v>30.9</v>
      </c>
      <c r="AS63" s="186" t="n">
        <f aca="false">100*0.363</f>
        <v>36.3</v>
      </c>
      <c r="AT63" s="186" t="n">
        <f aca="false">100*0.241</f>
        <v>24.1</v>
      </c>
      <c r="AU63" s="186" t="n">
        <f aca="false">100*0.126</f>
        <v>12.6</v>
      </c>
      <c r="AV63" s="186" t="n">
        <f aca="false">100*0.27</f>
        <v>27</v>
      </c>
      <c r="AW63" s="186" t="n">
        <f aca="false">100*0.0549</f>
        <v>5.49</v>
      </c>
      <c r="AX63" s="186" t="n">
        <f aca="false">100*0.0449</f>
        <v>4.49</v>
      </c>
      <c r="AY63" s="186" t="n">
        <f aca="false">100*0.386</f>
        <v>38.6</v>
      </c>
      <c r="AZ63" s="186" t="n">
        <f aca="false">100*0.514</f>
        <v>51.4</v>
      </c>
      <c r="BA63" s="186" t="n">
        <v>1050</v>
      </c>
      <c r="BB63" s="186" t="n">
        <f aca="false">100*0.241</f>
        <v>24.1</v>
      </c>
      <c r="BC63" s="186" t="n">
        <f aca="false">100*0.633</f>
        <v>63.3</v>
      </c>
      <c r="BD63" s="186" t="n">
        <f aca="false">100*0.0629</f>
        <v>6.29</v>
      </c>
      <c r="BE63" s="186" t="n">
        <f aca="false">100*0.0067</f>
        <v>0.67</v>
      </c>
      <c r="BF63" s="186" t="n">
        <f aca="false">100*0.297</f>
        <v>29.7</v>
      </c>
      <c r="BG63" s="186" t="n">
        <f aca="false">100*0.33</f>
        <v>33</v>
      </c>
      <c r="BH63" s="186" t="n">
        <f aca="false">100*0.0514</f>
        <v>5.14</v>
      </c>
      <c r="BI63" s="186" t="n">
        <f aca="false">100*0.0181</f>
        <v>1.81</v>
      </c>
      <c r="BJ63" s="186" t="n">
        <f aca="false">100*0.6</f>
        <v>60</v>
      </c>
      <c r="BK63" s="186" t="n">
        <f aca="false">100*0.28</f>
        <v>28</v>
      </c>
      <c r="BL63" s="186" t="n">
        <f aca="false">100*0.36</f>
        <v>36</v>
      </c>
      <c r="BM63" s="186" t="n">
        <f aca="false">100*0.12</f>
        <v>12</v>
      </c>
      <c r="BN63" s="186" t="n">
        <f aca="false">100*0.24</f>
        <v>24</v>
      </c>
      <c r="BO63" s="186" t="n">
        <f aca="false">100*0.12</f>
        <v>12</v>
      </c>
      <c r="BP63" s="186" t="n">
        <f aca="false">100*0.04</f>
        <v>4</v>
      </c>
      <c r="BQ63" s="186" t="n">
        <f aca="false">100*0.48</f>
        <v>48</v>
      </c>
      <c r="BR63" s="186" t="n">
        <f aca="false">100*0.36</f>
        <v>36</v>
      </c>
      <c r="BS63" s="186" t="n">
        <f aca="false">100*0.486</f>
        <v>48.6</v>
      </c>
      <c r="BT63" s="186" t="n">
        <f aca="false">100*0.027</f>
        <v>2.7</v>
      </c>
      <c r="BU63" s="186" t="n">
        <f aca="false">100*0.027</f>
        <v>2.7</v>
      </c>
      <c r="BV63" s="186" t="n">
        <f aca="false">100*0.459</f>
        <v>45.9</v>
      </c>
      <c r="BW63" s="186" t="n">
        <f aca="false">100*0.0541</f>
        <v>5.41</v>
      </c>
      <c r="BX63" s="186" t="n">
        <v>0</v>
      </c>
      <c r="BY63" s="186" t="n">
        <f aca="false">100*0.0541</f>
        <v>5.41</v>
      </c>
      <c r="BZ63" s="186" t="n">
        <f aca="false">100*0.892</f>
        <v>89.2</v>
      </c>
      <c r="CA63" s="235" t="n">
        <v>0.0026</v>
      </c>
      <c r="CB63" s="202" t="n">
        <f aca="false">AE63/CA63</f>
        <v>1265384.61538462</v>
      </c>
      <c r="CC63" s="186" t="n">
        <v>1380000</v>
      </c>
      <c r="CD63" s="186" t="n">
        <v>51069</v>
      </c>
      <c r="CE63" s="186" t="n">
        <v>47</v>
      </c>
      <c r="CF63" s="186" t="n">
        <v>1019</v>
      </c>
      <c r="CG63" s="186" t="n">
        <v>456</v>
      </c>
      <c r="CH63" s="186" t="n">
        <v>6630</v>
      </c>
      <c r="CI63" s="186" t="n">
        <v>11537</v>
      </c>
      <c r="CJ63" s="186" t="n">
        <v>5635</v>
      </c>
      <c r="CK63" s="186" t="n">
        <v>3.7</v>
      </c>
      <c r="CL63" s="186" t="n">
        <v>0.00341</v>
      </c>
      <c r="CM63" s="186" t="n">
        <v>0.074</v>
      </c>
      <c r="CN63" s="186" t="n">
        <v>0.033</v>
      </c>
      <c r="CO63" s="186" t="n">
        <v>0.48</v>
      </c>
      <c r="CP63" s="186" t="n">
        <v>0.84</v>
      </c>
      <c r="CQ63" s="186" t="n">
        <v>0.41</v>
      </c>
      <c r="CR63" s="186" t="n">
        <v>0.092</v>
      </c>
      <c r="CS63" s="186" t="n">
        <v>2</v>
      </c>
      <c r="CT63" s="186" t="n">
        <v>0.89</v>
      </c>
      <c r="CU63" s="186" t="n">
        <v>13</v>
      </c>
      <c r="CV63" s="186" t="n">
        <v>22.6</v>
      </c>
      <c r="CW63" s="186" t="n">
        <v>11</v>
      </c>
      <c r="CX63" s="186"/>
    </row>
    <row r="64" s="168" customFormat="true" ht="13.15" hidden="false" customHeight="true" outlineLevel="0" collapsed="false">
      <c r="A64" s="186" t="s">
        <v>162</v>
      </c>
      <c r="B64" s="186" t="s">
        <v>113</v>
      </c>
      <c r="C64" s="186"/>
      <c r="D64" s="186" t="s">
        <v>296</v>
      </c>
      <c r="E64" s="230" t="n">
        <v>28187</v>
      </c>
      <c r="F64" s="230" t="n">
        <v>42338</v>
      </c>
      <c r="G64" s="230" t="n">
        <v>43131</v>
      </c>
      <c r="H64" s="230" t="s">
        <v>157</v>
      </c>
      <c r="I64" s="188" t="n">
        <v>40.9144421629021</v>
      </c>
      <c r="J64" s="189" t="n">
        <v>14944</v>
      </c>
      <c r="K64" s="189" t="n">
        <v>793</v>
      </c>
      <c r="L64" s="189" t="s">
        <v>104</v>
      </c>
      <c r="M64" s="189" t="s">
        <v>104</v>
      </c>
      <c r="N64" s="231" t="n">
        <v>39299</v>
      </c>
      <c r="O64" s="191" t="n">
        <v>0</v>
      </c>
      <c r="P64" s="191" t="n">
        <v>0</v>
      </c>
      <c r="Q64" s="230" t="s">
        <v>116</v>
      </c>
      <c r="R64" s="230"/>
      <c r="S64" s="192" t="s">
        <v>117</v>
      </c>
      <c r="T64" s="191" t="n">
        <v>10</v>
      </c>
      <c r="U64" s="236" t="n">
        <v>2121.99</v>
      </c>
      <c r="V64" s="232" t="n">
        <v>82.19</v>
      </c>
      <c r="W64" s="196" t="n">
        <v>2039.8</v>
      </c>
      <c r="X64" s="192"/>
      <c r="Y64" s="197"/>
      <c r="Z64" s="233" t="n">
        <v>18000000</v>
      </c>
      <c r="AA64" s="197"/>
      <c r="AB64" s="192"/>
      <c r="AC64" s="233" t="n">
        <v>3600000</v>
      </c>
      <c r="AD64" s="186" t="s">
        <v>313</v>
      </c>
      <c r="AE64" s="186" t="n">
        <v>35690</v>
      </c>
      <c r="AF64" s="186" t="n">
        <v>351</v>
      </c>
      <c r="AG64" s="186" t="n">
        <f aca="false">100*0.0106</f>
        <v>1.06</v>
      </c>
      <c r="AH64" s="186" t="n">
        <f aca="false">100*0.348</f>
        <v>34.8</v>
      </c>
      <c r="AI64" s="186" t="n">
        <v>20</v>
      </c>
      <c r="AJ64" s="186" t="n">
        <f aca="false">100*0.0006</f>
        <v>0.06</v>
      </c>
      <c r="AK64" s="186" t="n">
        <v>306</v>
      </c>
      <c r="AL64" s="186" t="n">
        <f aca="false">100*0.0094</f>
        <v>0.94</v>
      </c>
      <c r="AM64" s="186" t="n">
        <f aca="false">100*0.0654</f>
        <v>6.54</v>
      </c>
      <c r="AN64" s="186" t="n">
        <f aca="false">100*0.0098</f>
        <v>0.98</v>
      </c>
      <c r="AO64" s="186" t="n">
        <f aca="false">100*0.729</f>
        <v>72.9</v>
      </c>
      <c r="AP64" s="186" t="n">
        <f aca="false">100*0.0719</f>
        <v>7.19</v>
      </c>
      <c r="AQ64" s="186" t="n">
        <v>11048</v>
      </c>
      <c r="AR64" s="186" t="n">
        <f aca="false">100*0.414</f>
        <v>41.4</v>
      </c>
      <c r="AS64" s="186" t="n">
        <f aca="false">100*0.275</f>
        <v>27.5</v>
      </c>
      <c r="AT64" s="186" t="n">
        <f aca="false">100*0.0779</f>
        <v>7.79</v>
      </c>
      <c r="AU64" s="186" t="n">
        <f aca="false">100*0.155</f>
        <v>15.5</v>
      </c>
      <c r="AV64" s="186" t="n">
        <f aca="false">100*0.492</f>
        <v>49.2</v>
      </c>
      <c r="AW64" s="186" t="n">
        <f aca="false">100*0.024</f>
        <v>2.4</v>
      </c>
      <c r="AX64" s="186" t="n">
        <f aca="false">100*0.0158</f>
        <v>1.58</v>
      </c>
      <c r="AY64" s="186" t="n">
        <f aca="false">100*0.335</f>
        <v>33.5</v>
      </c>
      <c r="AZ64" s="186" t="n">
        <f aca="false">100*0.625</f>
        <v>62.5</v>
      </c>
      <c r="BA64" s="186" t="n">
        <v>11331</v>
      </c>
      <c r="BB64" s="186" t="n">
        <f aca="false">100*0.076</f>
        <v>7.6</v>
      </c>
      <c r="BC64" s="186" t="n">
        <f aca="false">100*0.452</f>
        <v>45.2</v>
      </c>
      <c r="BD64" s="186" t="n">
        <f aca="false">100*0.0337</f>
        <v>3.37</v>
      </c>
      <c r="BE64" s="186" t="n">
        <f aca="false">100*0.0335</f>
        <v>3.35</v>
      </c>
      <c r="BF64" s="186" t="n">
        <f aca="false">100*0.481</f>
        <v>48.1</v>
      </c>
      <c r="BG64" s="186" t="n">
        <f aca="false">100*0.155</f>
        <v>15.5</v>
      </c>
      <c r="BH64" s="186" t="n">
        <f aca="false">100*0.0229</f>
        <v>2.29</v>
      </c>
      <c r="BI64" s="186" t="n">
        <f aca="false">100*0.0457</f>
        <v>4.57</v>
      </c>
      <c r="BJ64" s="186" t="n">
        <f aca="false">100*0.776</f>
        <v>77.6</v>
      </c>
      <c r="BK64" s="186" t="n">
        <f aca="false">100*0.228</f>
        <v>22.8</v>
      </c>
      <c r="BL64" s="186" t="n">
        <f aca="false">100*0.0399</f>
        <v>3.99</v>
      </c>
      <c r="BM64" s="186" t="n">
        <f aca="false">100*0.0741</f>
        <v>7.41</v>
      </c>
      <c r="BN64" s="186" t="n">
        <f aca="false">100*0.658</f>
        <v>65.8</v>
      </c>
      <c r="BO64" s="186" t="n">
        <f aca="false">100*0.0313</f>
        <v>3.13</v>
      </c>
      <c r="BP64" s="186" t="n">
        <f aca="false">100*0.0028</f>
        <v>0.28</v>
      </c>
      <c r="BQ64" s="186" t="n">
        <f aca="false">100*0.105</f>
        <v>10.5</v>
      </c>
      <c r="BR64" s="186" t="n">
        <f aca="false">100*0.86</f>
        <v>86</v>
      </c>
      <c r="BS64" s="186" t="n">
        <f aca="false">100*0.18</f>
        <v>18</v>
      </c>
      <c r="BT64" s="186" t="n">
        <f aca="false">100*0.141</f>
        <v>14.1</v>
      </c>
      <c r="BU64" s="186" t="n">
        <f aca="false">100*0.317</f>
        <v>31.7</v>
      </c>
      <c r="BV64" s="186" t="n">
        <f aca="false">100*0.363</f>
        <v>36.3</v>
      </c>
      <c r="BW64" s="186" t="n">
        <f aca="false">100*0.0359</f>
        <v>3.59</v>
      </c>
      <c r="BX64" s="186" t="n">
        <f aca="false">100*0.0229</f>
        <v>2.29</v>
      </c>
      <c r="BY64" s="186" t="n">
        <f aca="false">100*0.425</f>
        <v>42.5</v>
      </c>
      <c r="BZ64" s="186" t="n">
        <f aca="false">100*0.516</f>
        <v>51.6</v>
      </c>
      <c r="CA64" s="235" t="n">
        <f aca="false">AE64/CB64</f>
        <v>0.0278866687034066</v>
      </c>
      <c r="CB64" s="203" t="n">
        <v>1279823</v>
      </c>
      <c r="CC64" s="203" t="n">
        <v>1510000</v>
      </c>
      <c r="CD64" s="204" t="n">
        <v>141836</v>
      </c>
      <c r="CE64" s="204" t="n">
        <v>22044</v>
      </c>
      <c r="CF64" s="204" t="n">
        <v>3077</v>
      </c>
      <c r="CG64" s="204" t="n">
        <v>1045</v>
      </c>
      <c r="CH64" s="204" t="n">
        <v>1264</v>
      </c>
      <c r="CI64" s="204" t="n">
        <v>50125</v>
      </c>
      <c r="CJ64" s="204" t="n">
        <v>4400</v>
      </c>
      <c r="CK64" s="204" t="n">
        <v>0.0939</v>
      </c>
      <c r="CL64" s="204" t="n">
        <v>0.0146</v>
      </c>
      <c r="CM64" s="204" t="n">
        <v>0.002</v>
      </c>
      <c r="CN64" s="204" t="n">
        <v>0.00069</v>
      </c>
      <c r="CO64" s="204" t="n">
        <v>0.00084</v>
      </c>
      <c r="CP64" s="204" t="n">
        <v>0.0332</v>
      </c>
      <c r="CQ64" s="204" t="n">
        <v>0.0029</v>
      </c>
      <c r="CR64" s="204" t="n">
        <v>0.155</v>
      </c>
      <c r="CS64" s="204" t="n">
        <v>0.0217</v>
      </c>
      <c r="CT64" s="204" t="n">
        <v>0.0074</v>
      </c>
      <c r="CU64" s="204" t="n">
        <v>0.0089</v>
      </c>
      <c r="CV64" s="204" t="n">
        <v>0.353</v>
      </c>
      <c r="CW64" s="186" t="n">
        <v>0.0310217434219803</v>
      </c>
      <c r="CX64" s="186"/>
    </row>
    <row r="65" s="168" customFormat="true" ht="12.8" hidden="false" customHeight="false" outlineLevel="0" collapsed="false">
      <c r="A65" s="186" t="s">
        <v>164</v>
      </c>
      <c r="B65" s="186" t="s">
        <v>113</v>
      </c>
      <c r="C65" s="186"/>
      <c r="D65" s="186" t="s">
        <v>296</v>
      </c>
      <c r="E65" s="230" t="n">
        <v>28187</v>
      </c>
      <c r="F65" s="230" t="n">
        <v>42338</v>
      </c>
      <c r="G65" s="230" t="n">
        <v>43313</v>
      </c>
      <c r="H65" s="230" t="s">
        <v>157</v>
      </c>
      <c r="I65" s="188" t="n">
        <v>41.4127310061602</v>
      </c>
      <c r="J65" s="189" t="n">
        <v>15126</v>
      </c>
      <c r="K65" s="189" t="n">
        <v>975</v>
      </c>
      <c r="L65" s="189" t="s">
        <v>104</v>
      </c>
      <c r="M65" s="189" t="s">
        <v>104</v>
      </c>
      <c r="N65" s="231" t="n">
        <v>39299</v>
      </c>
      <c r="O65" s="191"/>
      <c r="P65" s="191"/>
      <c r="Q65" s="230" t="s">
        <v>116</v>
      </c>
      <c r="R65" s="230"/>
      <c r="S65" s="192" t="s">
        <v>117</v>
      </c>
      <c r="T65" s="191" t="n">
        <v>10</v>
      </c>
      <c r="U65" s="236" t="n">
        <v>2470.34</v>
      </c>
      <c r="V65" s="232" t="n">
        <v>81.22</v>
      </c>
      <c r="W65" s="196" t="n">
        <v>2389.12</v>
      </c>
      <c r="X65" s="192"/>
      <c r="Y65" s="197"/>
      <c r="Z65" s="233" t="n">
        <v>16330000</v>
      </c>
      <c r="AA65" s="197"/>
      <c r="AB65" s="192"/>
      <c r="AC65" s="198" t="n">
        <v>11500000</v>
      </c>
      <c r="AD65" s="186" t="s">
        <v>314</v>
      </c>
      <c r="AE65" s="186" t="n">
        <v>18877</v>
      </c>
      <c r="AF65" s="186" t="n">
        <v>211</v>
      </c>
      <c r="AG65" s="186" t="n">
        <f aca="false">100*0.0124</f>
        <v>1.24</v>
      </c>
      <c r="AH65" s="186" t="n">
        <f aca="false">100*0.45</f>
        <v>45</v>
      </c>
      <c r="AI65" s="186" t="n">
        <v>15</v>
      </c>
      <c r="AJ65" s="186" t="n">
        <f aca="false">100*0.00088</f>
        <v>0.088</v>
      </c>
      <c r="AK65" s="186" t="n">
        <v>556</v>
      </c>
      <c r="AL65" s="186" t="n">
        <f aca="false">100*0.0331</f>
        <v>3.31</v>
      </c>
      <c r="AM65" s="186" t="n">
        <f aca="false">100*0.162</f>
        <v>16.2</v>
      </c>
      <c r="AN65" s="186" t="n">
        <f aca="false">100*0.018</f>
        <v>1.8</v>
      </c>
      <c r="AO65" s="186" t="n">
        <f aca="false">100*0.613</f>
        <v>61.3</v>
      </c>
      <c r="AP65" s="186" t="n">
        <f aca="false">100*0.0594</f>
        <v>5.94</v>
      </c>
      <c r="AQ65" s="186" t="n">
        <v>4988</v>
      </c>
      <c r="AR65" s="186" t="n">
        <f aca="false">100*0.341</f>
        <v>34.1</v>
      </c>
      <c r="AS65" s="186" t="n">
        <f aca="false">100*0.529</f>
        <v>52.9</v>
      </c>
      <c r="AT65" s="186" t="n">
        <f aca="false">100*0.197</f>
        <v>19.7</v>
      </c>
      <c r="AU65" s="186" t="n">
        <f aca="false">100*0.136</f>
        <v>13.6</v>
      </c>
      <c r="AV65" s="186" t="n">
        <f aca="false">100*0.138</f>
        <v>13.8</v>
      </c>
      <c r="AW65" s="186" t="n">
        <f aca="false">100*0.0359</f>
        <v>3.59</v>
      </c>
      <c r="AX65" s="186" t="n">
        <f aca="false">100*0.0331</f>
        <v>3.31</v>
      </c>
      <c r="AY65" s="186" t="n">
        <f aca="false">100*0.3</f>
        <v>30</v>
      </c>
      <c r="AZ65" s="186" t="n">
        <f aca="false">100*0.631</f>
        <v>63.1</v>
      </c>
      <c r="BA65" s="186" t="n">
        <v>9777</v>
      </c>
      <c r="BB65" s="186" t="n">
        <f aca="false">100*0.115</f>
        <v>11.5</v>
      </c>
      <c r="BC65" s="186" t="n">
        <f aca="false">100*0.761</f>
        <v>76.1</v>
      </c>
      <c r="BD65" s="186" t="n">
        <f aca="false">100*0.0366</f>
        <v>3.66</v>
      </c>
      <c r="BE65" s="186" t="n">
        <f aca="false">100*0.0041</f>
        <v>0.41</v>
      </c>
      <c r="BF65" s="186" t="n">
        <f aca="false">100*0.198</f>
        <v>19.8</v>
      </c>
      <c r="BG65" s="186" t="n">
        <f aca="false">100*0.221</f>
        <v>22.1</v>
      </c>
      <c r="BH65" s="186" t="n">
        <f aca="false">100*0.0352</f>
        <v>3.52</v>
      </c>
      <c r="BI65" s="186" t="n">
        <f aca="false">100*0.0077</f>
        <v>0.77</v>
      </c>
      <c r="BJ65" s="186" t="n">
        <f aca="false">100*0.736</f>
        <v>73.6</v>
      </c>
      <c r="BK65" s="186" t="n">
        <f aca="false">100*0.536</f>
        <v>53.6</v>
      </c>
      <c r="BL65" s="186" t="n">
        <f aca="false">100*0.171</f>
        <v>17.1</v>
      </c>
      <c r="BM65" s="186" t="n">
        <f aca="false">100*0.0379</f>
        <v>3.79</v>
      </c>
      <c r="BN65" s="186" t="n">
        <f aca="false">100*0.256</f>
        <v>25.6</v>
      </c>
      <c r="BO65" s="186" t="n">
        <f aca="false">100*0.0332</f>
        <v>3.32</v>
      </c>
      <c r="BP65" s="186" t="n">
        <f aca="false">100*0.0142</f>
        <v>1.42</v>
      </c>
      <c r="BQ65" s="186" t="n">
        <f aca="false">100*0.194</f>
        <v>19.4</v>
      </c>
      <c r="BR65" s="186" t="n">
        <f aca="false">100*0.758</f>
        <v>75.8</v>
      </c>
      <c r="BS65" s="186" t="n">
        <f aca="false">100*0.32</f>
        <v>32</v>
      </c>
      <c r="BT65" s="186" t="n">
        <f aca="false">100*0.0306</f>
        <v>3.06</v>
      </c>
      <c r="BU65" s="186" t="n">
        <f aca="false">100*0.0594</f>
        <v>5.94</v>
      </c>
      <c r="BV65" s="186" t="n">
        <f aca="false">100*0.59</f>
        <v>59</v>
      </c>
      <c r="BW65" s="186" t="n">
        <f aca="false">100*0.478</f>
        <v>47.8</v>
      </c>
      <c r="BX65" s="186" t="n">
        <f aca="false">100*0.0719</f>
        <v>7.19</v>
      </c>
      <c r="BY65" s="186" t="n">
        <f aca="false">100*0.018</f>
        <v>1.8</v>
      </c>
      <c r="BZ65" s="186" t="n">
        <f aca="false">100*0.432</f>
        <v>43.2</v>
      </c>
      <c r="CA65" s="235" t="n">
        <v>0.0109</v>
      </c>
      <c r="CB65" s="203"/>
      <c r="CC65" s="203" t="n">
        <v>2600000</v>
      </c>
      <c r="CD65" s="204" t="n">
        <v>49929</v>
      </c>
      <c r="CE65" s="204" t="n">
        <v>1793</v>
      </c>
      <c r="CF65" s="204" t="n">
        <v>870</v>
      </c>
      <c r="CG65" s="204" t="n">
        <v>500</v>
      </c>
      <c r="CH65" s="204" t="n">
        <v>320</v>
      </c>
      <c r="CI65" s="204" t="n">
        <v>4173</v>
      </c>
      <c r="CJ65" s="204" t="n">
        <v>3004</v>
      </c>
      <c r="CK65" s="204" t="n">
        <v>1.92</v>
      </c>
      <c r="CL65" s="204" t="n">
        <v>0.069</v>
      </c>
      <c r="CM65" s="204" t="n">
        <v>0.033</v>
      </c>
      <c r="CN65" s="204" t="n">
        <v>0.019</v>
      </c>
      <c r="CO65" s="204" t="n">
        <v>0.012</v>
      </c>
      <c r="CP65" s="204" t="n">
        <v>0.16</v>
      </c>
      <c r="CQ65" s="204" t="n">
        <v>0.12</v>
      </c>
      <c r="CR65" s="204" t="n">
        <v>3.59</v>
      </c>
      <c r="CS65" s="204" t="n">
        <v>1.74</v>
      </c>
      <c r="CT65" s="204" t="n">
        <v>1</v>
      </c>
      <c r="CU65" s="204" t="n">
        <v>0.64</v>
      </c>
      <c r="CV65" s="204" t="n">
        <v>8.36</v>
      </c>
      <c r="CW65" s="186" t="n">
        <v>6.02</v>
      </c>
      <c r="CX65" s="186"/>
    </row>
    <row r="66" s="168" customFormat="true" ht="12.8" hidden="false" customHeight="false" outlineLevel="0" collapsed="false">
      <c r="A66" s="168" t="s">
        <v>166</v>
      </c>
      <c r="B66" s="168" t="s">
        <v>101</v>
      </c>
      <c r="D66" s="168" t="s">
        <v>296</v>
      </c>
      <c r="E66" s="169" t="n">
        <v>26622</v>
      </c>
      <c r="F66" s="169" t="n">
        <v>42430</v>
      </c>
      <c r="G66" s="169" t="n">
        <v>42997</v>
      </c>
      <c r="H66" s="169" t="s">
        <v>103</v>
      </c>
      <c r="I66" s="170" t="n">
        <f aca="false">(G66-E66)/365.25</f>
        <v>44.8323066392882</v>
      </c>
      <c r="J66" s="171" t="n">
        <f aca="false">G66-E66</f>
        <v>16375</v>
      </c>
      <c r="K66" s="171" t="n">
        <f aca="false">G66-F66</f>
        <v>567</v>
      </c>
      <c r="L66" s="172" t="s">
        <v>114</v>
      </c>
      <c r="M66" s="172" t="s">
        <v>114</v>
      </c>
      <c r="N66" s="173" t="s">
        <v>168</v>
      </c>
      <c r="O66" s="174"/>
      <c r="P66" s="174"/>
      <c r="Q66" s="175" t="s">
        <v>106</v>
      </c>
      <c r="R66" s="175" t="s">
        <v>169</v>
      </c>
      <c r="S66" s="176" t="s">
        <v>107</v>
      </c>
      <c r="T66" s="177" t="s">
        <v>170</v>
      </c>
      <c r="U66" s="178" t="n">
        <v>194</v>
      </c>
      <c r="V66" s="178" t="n">
        <v>92.6</v>
      </c>
      <c r="W66" s="179" t="n">
        <f aca="false">U66-V66</f>
        <v>101.4</v>
      </c>
      <c r="X66" s="180" t="s">
        <v>109</v>
      </c>
      <c r="Y66" s="181" t="n">
        <v>61400000</v>
      </c>
      <c r="Z66" s="182" t="n">
        <f aca="false">Y66*W66</f>
        <v>6225960000</v>
      </c>
      <c r="AA66" s="181" t="n">
        <v>122800000</v>
      </c>
      <c r="AB66" s="176" t="s">
        <v>171</v>
      </c>
      <c r="AC66" s="183" t="n">
        <v>16400000</v>
      </c>
      <c r="AD66" s="168" t="s">
        <v>315</v>
      </c>
      <c r="AE66" s="168" t="n">
        <v>2204</v>
      </c>
      <c r="AF66" s="168" t="n">
        <v>322</v>
      </c>
      <c r="AG66" s="168" t="n">
        <f aca="false">100*0.157</f>
        <v>15.7</v>
      </c>
      <c r="AH66" s="168" t="n">
        <v>0</v>
      </c>
      <c r="AI66" s="168" t="n">
        <v>0</v>
      </c>
      <c r="AJ66" s="168" t="n">
        <v>0</v>
      </c>
      <c r="AK66" s="168" t="n">
        <v>28</v>
      </c>
      <c r="AL66" s="168" t="n">
        <f aca="false">10*0.0162</f>
        <v>0.162</v>
      </c>
      <c r="AM66" s="168" t="n">
        <v>0</v>
      </c>
      <c r="AN66" s="168" t="n">
        <v>0</v>
      </c>
      <c r="AO66" s="168" t="n">
        <v>0</v>
      </c>
      <c r="AP66" s="168" t="n">
        <v>0</v>
      </c>
      <c r="AQ66" s="168" t="n">
        <v>0</v>
      </c>
      <c r="AR66" s="168" t="n">
        <v>0</v>
      </c>
      <c r="AS66" s="168" t="n">
        <v>0</v>
      </c>
      <c r="AT66" s="168" t="n">
        <v>0</v>
      </c>
      <c r="AU66" s="168" t="n">
        <v>0</v>
      </c>
      <c r="AV66" s="168" t="n">
        <v>0</v>
      </c>
      <c r="AW66" s="168" t="n">
        <v>0</v>
      </c>
      <c r="AX66" s="168" t="n">
        <v>0</v>
      </c>
      <c r="AY66" s="168" t="n">
        <v>0</v>
      </c>
      <c r="AZ66" s="168" t="n">
        <v>0</v>
      </c>
      <c r="BA66" s="168" t="n">
        <v>1</v>
      </c>
      <c r="BB66" s="168" t="n">
        <v>0</v>
      </c>
      <c r="BC66" s="168" t="n">
        <v>0</v>
      </c>
      <c r="BD66" s="168" t="n">
        <v>0</v>
      </c>
      <c r="BE66" s="168" t="n">
        <v>0</v>
      </c>
      <c r="BF66" s="168" t="n">
        <f aca="false">100*1</f>
        <v>100</v>
      </c>
      <c r="BG66" s="168" t="n">
        <v>0</v>
      </c>
      <c r="BH66" s="168" t="n">
        <v>0</v>
      </c>
      <c r="BI66" s="168" t="n">
        <v>0</v>
      </c>
      <c r="BJ66" s="168" t="n">
        <f aca="false">100*1</f>
        <v>100</v>
      </c>
      <c r="BK66" s="168" t="n">
        <f aca="false">100*0.134</f>
        <v>13.4</v>
      </c>
      <c r="BL66" s="168" t="n">
        <v>0</v>
      </c>
      <c r="BM66" s="168" t="n">
        <v>0</v>
      </c>
      <c r="BN66" s="168" t="n">
        <f aca="false">100*0.866</f>
        <v>86.6</v>
      </c>
      <c r="BO66" s="168" t="n">
        <v>0</v>
      </c>
      <c r="BP66" s="168" t="n">
        <v>0</v>
      </c>
      <c r="BQ66" s="168" t="n">
        <v>0</v>
      </c>
      <c r="BR66" s="168" t="n">
        <f aca="false">100*1</f>
        <v>100</v>
      </c>
      <c r="BS66" s="168" t="n">
        <v>0</v>
      </c>
      <c r="BT66" s="168" t="n">
        <v>0</v>
      </c>
      <c r="BU66" s="168" t="n">
        <v>0</v>
      </c>
      <c r="BV66" s="168" t="n">
        <f aca="false">100*1</f>
        <v>100</v>
      </c>
      <c r="BW66" s="168" t="n">
        <v>0</v>
      </c>
      <c r="BX66" s="168" t="n">
        <v>0</v>
      </c>
      <c r="BY66" s="168" t="n">
        <v>0</v>
      </c>
      <c r="BZ66" s="168" t="n">
        <f aca="false">100*1</f>
        <v>100</v>
      </c>
      <c r="CA66" s="229" t="n">
        <f aca="false">AE66/CB66</f>
        <v>0.000367312518957259</v>
      </c>
      <c r="CB66" s="184" t="n">
        <v>6000340</v>
      </c>
      <c r="CC66" s="184"/>
    </row>
    <row r="67" s="168" customFormat="true" ht="12.8" hidden="false" customHeight="false" outlineLevel="0" collapsed="false">
      <c r="A67" s="186" t="s">
        <v>173</v>
      </c>
      <c r="B67" s="186" t="s">
        <v>113</v>
      </c>
      <c r="C67" s="186"/>
      <c r="D67" s="186" t="s">
        <v>296</v>
      </c>
      <c r="E67" s="230" t="n">
        <v>14351</v>
      </c>
      <c r="F67" s="230" t="n">
        <v>42355</v>
      </c>
      <c r="G67" s="230" t="n">
        <v>43110</v>
      </c>
      <c r="H67" s="230" t="s">
        <v>157</v>
      </c>
      <c r="I67" s="188" t="n">
        <f aca="false">(G67-E67)/365.25</f>
        <v>78.7378507871321</v>
      </c>
      <c r="J67" s="189" t="n">
        <f aca="false">G67-E67</f>
        <v>28759</v>
      </c>
      <c r="K67" s="189" t="n">
        <f aca="false">G67-F67</f>
        <v>755</v>
      </c>
      <c r="L67" s="189" t="s">
        <v>114</v>
      </c>
      <c r="M67" s="189" t="s">
        <v>104</v>
      </c>
      <c r="N67" s="231" t="s">
        <v>115</v>
      </c>
      <c r="O67" s="191" t="n">
        <v>0</v>
      </c>
      <c r="P67" s="191" t="n">
        <v>0</v>
      </c>
      <c r="Q67" s="230" t="s">
        <v>116</v>
      </c>
      <c r="R67" s="230"/>
      <c r="S67" s="192" t="s">
        <v>117</v>
      </c>
      <c r="T67" s="191" t="n">
        <v>10</v>
      </c>
      <c r="U67" s="236" t="n">
        <v>2591.63</v>
      </c>
      <c r="V67" s="232" t="n">
        <v>62.39</v>
      </c>
      <c r="W67" s="196" t="n">
        <f aca="false">U67-V67</f>
        <v>2529.24</v>
      </c>
      <c r="X67" s="192"/>
      <c r="Y67" s="197"/>
      <c r="Z67" s="233" t="n">
        <v>47500000</v>
      </c>
      <c r="AA67" s="197"/>
      <c r="AB67" s="192"/>
      <c r="AC67" s="233" t="n">
        <v>42400000</v>
      </c>
      <c r="AD67" s="186" t="s">
        <v>316</v>
      </c>
      <c r="AE67" s="186" t="n">
        <v>50581</v>
      </c>
      <c r="AF67" s="186" t="n">
        <v>7816</v>
      </c>
      <c r="AG67" s="186" t="n">
        <v>0.166</v>
      </c>
      <c r="AH67" s="186" t="n">
        <v>0.193</v>
      </c>
      <c r="AI67" s="186" t="n">
        <v>317</v>
      </c>
      <c r="AJ67" s="186" t="n">
        <v>0.00805</v>
      </c>
      <c r="AK67" s="186" t="n">
        <v>1103</v>
      </c>
      <c r="AL67" s="186" t="n">
        <v>0.0296</v>
      </c>
      <c r="AM67" s="186" t="n">
        <v>0.10885</v>
      </c>
      <c r="AN67" s="186" t="n">
        <v>0.01729</v>
      </c>
      <c r="AO67" s="186" t="n">
        <v>0.812</v>
      </c>
      <c r="AP67" s="186" t="n">
        <v>0.0199</v>
      </c>
      <c r="AQ67" s="186" t="n">
        <v>18533</v>
      </c>
      <c r="AR67" s="186" t="n">
        <v>0.1076</v>
      </c>
      <c r="AS67" s="186" t="n">
        <v>0.1952</v>
      </c>
      <c r="AT67" s="186" t="n">
        <v>0.31645</v>
      </c>
      <c r="AU67" s="186" t="n">
        <v>0.196</v>
      </c>
      <c r="AV67" s="186" t="n">
        <v>0.11</v>
      </c>
      <c r="AW67" s="186" t="n">
        <v>0.1326</v>
      </c>
      <c r="AX67" s="186" t="n">
        <v>0.2495</v>
      </c>
      <c r="AY67" s="186" t="n">
        <v>0.227</v>
      </c>
      <c r="AZ67" s="186" t="n">
        <v>0.194</v>
      </c>
      <c r="BA67" s="186" t="n">
        <v>11014</v>
      </c>
      <c r="BB67" s="186" t="n">
        <v>0.0479</v>
      </c>
      <c r="BC67" s="186" t="n">
        <v>0.3757</v>
      </c>
      <c r="BD67" s="186" t="n">
        <v>0.09565</v>
      </c>
      <c r="BE67" s="186" t="n">
        <v>0.067</v>
      </c>
      <c r="BF67" s="186" t="n">
        <v>0.445</v>
      </c>
      <c r="BG67" s="186" t="n">
        <v>0.2154</v>
      </c>
      <c r="BH67" s="186" t="n">
        <v>0.079</v>
      </c>
      <c r="BI67" s="186" t="n">
        <v>0.0864</v>
      </c>
      <c r="BJ67" s="186" t="n">
        <v>0.578</v>
      </c>
      <c r="BK67" s="186" t="n">
        <v>0.159</v>
      </c>
      <c r="BL67" s="186" t="n">
        <v>0.17215</v>
      </c>
      <c r="BM67" s="186" t="n">
        <v>0.00612</v>
      </c>
      <c r="BN67" s="186" t="n">
        <v>0.0521</v>
      </c>
      <c r="BO67" s="186" t="n">
        <v>0.3164</v>
      </c>
      <c r="BP67" s="186" t="n">
        <v>0.21995</v>
      </c>
      <c r="BQ67" s="186" t="n">
        <v>0.1126</v>
      </c>
      <c r="BR67" s="186" t="n">
        <v>0.323</v>
      </c>
      <c r="BS67" s="186" t="n">
        <v>0.227</v>
      </c>
      <c r="BT67" s="186" t="n">
        <v>0.345</v>
      </c>
      <c r="BU67" s="186" t="n">
        <v>0.225</v>
      </c>
      <c r="BV67" s="186" t="n">
        <v>0.172</v>
      </c>
      <c r="BW67" s="186" t="n">
        <v>0.2967</v>
      </c>
      <c r="BX67" s="186" t="n">
        <v>0.3508</v>
      </c>
      <c r="BY67" s="186" t="n">
        <v>0.127</v>
      </c>
      <c r="BZ67" s="186" t="n">
        <v>0.292</v>
      </c>
      <c r="CA67" s="235" t="n">
        <f aca="false">AE67/CB67</f>
        <v>0.163488328495795</v>
      </c>
      <c r="CB67" s="203" t="n">
        <v>309386</v>
      </c>
      <c r="CC67" s="203" t="n">
        <v>807000</v>
      </c>
      <c r="CD67" s="204" t="n">
        <v>675000</v>
      </c>
      <c r="CE67" s="204" t="n">
        <v>75126</v>
      </c>
      <c r="CF67" s="204" t="n">
        <v>10553</v>
      </c>
      <c r="CG67" s="204" t="n">
        <v>4760</v>
      </c>
      <c r="CH67" s="204" t="n">
        <v>24355</v>
      </c>
      <c r="CI67" s="204" t="n">
        <v>268806</v>
      </c>
      <c r="CJ67" s="204" t="n">
        <v>101450</v>
      </c>
      <c r="CK67" s="204" t="n">
        <v>0.836</v>
      </c>
      <c r="CL67" s="204" t="n">
        <v>0.0931</v>
      </c>
      <c r="CM67" s="204" t="n">
        <v>0.0131</v>
      </c>
      <c r="CN67" s="204" t="n">
        <v>0.0059</v>
      </c>
      <c r="CO67" s="204" t="n">
        <v>0.0302</v>
      </c>
      <c r="CP67" s="204" t="n">
        <v>0.333</v>
      </c>
      <c r="CQ67" s="204" t="n">
        <v>0.126</v>
      </c>
      <c r="CR67" s="204" t="n">
        <v>0.111</v>
      </c>
      <c r="CS67" s="204" t="n">
        <v>0.0156</v>
      </c>
      <c r="CT67" s="204" t="n">
        <v>0.0071</v>
      </c>
      <c r="CU67" s="204" t="n">
        <v>0.0361</v>
      </c>
      <c r="CV67" s="204" t="n">
        <v>0.398</v>
      </c>
      <c r="CW67" s="186" t="n">
        <v>0.150296296296296</v>
      </c>
      <c r="CX67" s="186"/>
    </row>
    <row r="68" s="205" customFormat="true" ht="12.8" hidden="false" customHeight="false" outlineLevel="0" collapsed="false">
      <c r="A68" s="205" t="s">
        <v>317</v>
      </c>
      <c r="B68" s="205" t="s">
        <v>113</v>
      </c>
      <c r="D68" s="205" t="s">
        <v>296</v>
      </c>
      <c r="E68" s="220" t="n">
        <v>21225</v>
      </c>
      <c r="F68" s="220" t="n">
        <v>42514</v>
      </c>
      <c r="G68" s="220" t="n">
        <v>43110</v>
      </c>
      <c r="H68" s="220" t="s">
        <v>103</v>
      </c>
      <c r="I68" s="208" t="n">
        <f aca="false">(G68-E68)/365.25</f>
        <v>59.917864476386</v>
      </c>
      <c r="J68" s="209" t="n">
        <f aca="false">G68-E68</f>
        <v>21885</v>
      </c>
      <c r="K68" s="209" t="n">
        <f aca="false">G68-F68</f>
        <v>596</v>
      </c>
      <c r="L68" s="209" t="s">
        <v>114</v>
      </c>
      <c r="M68" s="209" t="s">
        <v>104</v>
      </c>
      <c r="N68" s="210" t="s">
        <v>115</v>
      </c>
      <c r="O68" s="222" t="n">
        <v>0</v>
      </c>
      <c r="P68" s="222" t="n">
        <v>0</v>
      </c>
      <c r="Q68" s="220" t="s">
        <v>116</v>
      </c>
      <c r="R68" s="220"/>
      <c r="S68" s="212" t="s">
        <v>117</v>
      </c>
      <c r="T68" s="222" t="n">
        <v>10</v>
      </c>
      <c r="U68" s="221" t="n">
        <v>2109.72</v>
      </c>
      <c r="V68" s="223" t="n">
        <v>76.85</v>
      </c>
      <c r="W68" s="224" t="n">
        <f aca="false">U68-V68</f>
        <v>2032.87</v>
      </c>
      <c r="X68" s="212"/>
      <c r="Y68" s="225"/>
      <c r="Z68" s="226" t="n">
        <v>6400000</v>
      </c>
      <c r="AA68" s="225"/>
      <c r="AB68" s="212"/>
      <c r="AC68" s="226" t="s">
        <v>318</v>
      </c>
      <c r="AD68" s="205" t="s">
        <v>319</v>
      </c>
      <c r="AE68" s="205" t="n">
        <v>24462</v>
      </c>
      <c r="AF68" s="205" t="n">
        <v>557</v>
      </c>
      <c r="AG68" s="205" t="n">
        <f aca="false">100*0.0233</f>
        <v>2.33</v>
      </c>
      <c r="AH68" s="205" t="n">
        <f aca="false">100*0.467</f>
        <v>46.7</v>
      </c>
      <c r="AI68" s="205" t="n">
        <v>2</v>
      </c>
      <c r="AJ68" s="205" t="n">
        <f aca="false">100*0.0000837</f>
        <v>0.00837</v>
      </c>
      <c r="AK68" s="205" t="n">
        <v>344</v>
      </c>
      <c r="AL68" s="205" t="n">
        <f aca="false">100*0.0149</f>
        <v>1.49</v>
      </c>
      <c r="AM68" s="205" t="n">
        <f aca="false">100*0.32</f>
        <v>32</v>
      </c>
      <c r="AN68" s="205" t="n">
        <f aca="false">100*0.0465</f>
        <v>4.65</v>
      </c>
      <c r="AO68" s="205" t="n">
        <f aca="false">100*0.84</f>
        <v>84</v>
      </c>
      <c r="AP68" s="205" t="n">
        <f aca="false">100*0.0581</f>
        <v>5.81</v>
      </c>
      <c r="AQ68" s="205" t="n">
        <v>5480</v>
      </c>
      <c r="AR68" s="205" t="n">
        <f aca="false">100*0.323</f>
        <v>32.3</v>
      </c>
      <c r="AS68" s="205" t="n">
        <f aca="false">100*0.21</f>
        <v>21</v>
      </c>
      <c r="AT68" s="205" t="n">
        <f aca="false">100*0.361</f>
        <v>36.1</v>
      </c>
      <c r="AU68" s="205" t="n">
        <f aca="false">100*0.201</f>
        <v>20.1</v>
      </c>
      <c r="AV68" s="205" t="n">
        <f aca="false">100*0.227</f>
        <v>22.7</v>
      </c>
      <c r="AW68" s="205" t="n">
        <f aca="false">100*0.159</f>
        <v>15.9</v>
      </c>
      <c r="AX68" s="205" t="n">
        <f aca="false">100*0.382</f>
        <v>38.2</v>
      </c>
      <c r="AY68" s="205" t="n">
        <f aca="false">100*0.296</f>
        <v>29.6</v>
      </c>
      <c r="AZ68" s="205" t="n">
        <f aca="false">100*0.163</f>
        <v>16.3</v>
      </c>
      <c r="BA68" s="205" t="n">
        <v>16157</v>
      </c>
      <c r="BB68" s="205" t="n">
        <f aca="false">100*0.125</f>
        <v>12.5</v>
      </c>
      <c r="BC68" s="205" t="n">
        <f aca="false">100*0.42</f>
        <v>42</v>
      </c>
      <c r="BD68" s="205" t="n">
        <f aca="false">100*0.086</f>
        <v>8.6</v>
      </c>
      <c r="BE68" s="205" t="n">
        <f aca="false">100*0.0104</f>
        <v>1.04</v>
      </c>
      <c r="BF68" s="205" t="n">
        <f aca="false">100*0.484</f>
        <v>48.4</v>
      </c>
      <c r="BG68" s="205" t="n">
        <f aca="false">100*0.345</f>
        <v>34.5</v>
      </c>
      <c r="BH68" s="205" t="n">
        <f aca="false">100*0.0853</f>
        <v>8.53</v>
      </c>
      <c r="BI68" s="205" t="n">
        <f aca="false">100*0.0268</f>
        <v>2.68</v>
      </c>
      <c r="BJ68" s="205" t="n">
        <f aca="false">100*0.543</f>
        <v>54.3</v>
      </c>
      <c r="BK68" s="205" t="n">
        <v>30.9</v>
      </c>
      <c r="BL68" s="205" t="n">
        <v>58</v>
      </c>
      <c r="BM68" s="205" t="n">
        <v>6.46</v>
      </c>
      <c r="BN68" s="205" t="n">
        <v>4.67</v>
      </c>
      <c r="BO68" s="205" t="n">
        <f aca="false">100*0.111</f>
        <v>11.1</v>
      </c>
      <c r="BP68" s="205" t="n">
        <f aca="false">100*0.192</f>
        <v>19.2</v>
      </c>
      <c r="BQ68" s="205" t="n">
        <f aca="false">100*0.456</f>
        <v>45.6</v>
      </c>
      <c r="BR68" s="205" t="n">
        <f aca="false">100*0.241</f>
        <v>24.1</v>
      </c>
      <c r="BS68" s="205" t="n">
        <f aca="false">100*0.387</f>
        <v>38.7</v>
      </c>
      <c r="BT68" s="205" t="n">
        <f aca="false">100*0.282</f>
        <v>28.2</v>
      </c>
      <c r="BU68" s="205" t="n">
        <f aca="false">100*0.0669</f>
        <v>6.69</v>
      </c>
      <c r="BV68" s="205" t="n">
        <f aca="false">100*0.265</f>
        <v>26.5</v>
      </c>
      <c r="BW68" s="205" t="n">
        <f aca="false">100*0.328</f>
        <v>32.8</v>
      </c>
      <c r="BX68" s="205" t="n">
        <f aca="false">100*0.192</f>
        <v>19.2</v>
      </c>
      <c r="BY68" s="205" t="n">
        <f aca="false">100*0.16</f>
        <v>16</v>
      </c>
      <c r="BZ68" s="205" t="n">
        <f aca="false">100*0.32</f>
        <v>32</v>
      </c>
      <c r="CA68" s="217" t="n">
        <f aca="false">AE68/CB68</f>
        <v>0.00725662409459064</v>
      </c>
      <c r="CB68" s="218" t="n">
        <v>3370989</v>
      </c>
      <c r="CC68" s="218" t="n">
        <v>490000</v>
      </c>
      <c r="CD68" s="219" t="n">
        <v>402000</v>
      </c>
      <c r="CE68" s="219" t="n">
        <v>127370</v>
      </c>
      <c r="CF68" s="219" t="n">
        <v>21617</v>
      </c>
      <c r="CG68" s="219" t="n">
        <v>7119</v>
      </c>
      <c r="CH68" s="219" t="n">
        <v>11161</v>
      </c>
      <c r="CI68" s="219" t="n">
        <v>107025</v>
      </c>
      <c r="CJ68" s="219" t="n">
        <v>33512</v>
      </c>
      <c r="CK68" s="219" t="n">
        <v>0.82</v>
      </c>
      <c r="CL68" s="219" t="n">
        <v>0.26</v>
      </c>
      <c r="CM68" s="219" t="n">
        <v>0.0441</v>
      </c>
      <c r="CN68" s="219" t="n">
        <v>0.0145</v>
      </c>
      <c r="CO68" s="219" t="n">
        <v>0.0228</v>
      </c>
      <c r="CP68" s="219" t="n">
        <v>0.218</v>
      </c>
      <c r="CQ68" s="219" t="n">
        <v>0.0684</v>
      </c>
      <c r="CR68" s="219" t="n">
        <v>0.317</v>
      </c>
      <c r="CS68" s="219" t="n">
        <v>0.0538</v>
      </c>
      <c r="CT68" s="219" t="n">
        <v>0.0177</v>
      </c>
      <c r="CU68" s="219" t="n">
        <v>0.0278</v>
      </c>
      <c r="CV68" s="219" t="n">
        <v>0.266</v>
      </c>
      <c r="CW68" s="205" t="n">
        <v>0.083363184079602</v>
      </c>
    </row>
    <row r="69" s="205" customFormat="true" ht="12.8" hidden="false" customHeight="false" outlineLevel="0" collapsed="false">
      <c r="A69" s="205" t="s">
        <v>175</v>
      </c>
      <c r="B69" s="205" t="s">
        <v>101</v>
      </c>
      <c r="D69" s="205" t="s">
        <v>296</v>
      </c>
      <c r="E69" s="206" t="n">
        <v>21225</v>
      </c>
      <c r="F69" s="206" t="n">
        <v>42514</v>
      </c>
      <c r="G69" s="206" t="n">
        <v>43222</v>
      </c>
      <c r="H69" s="206" t="s">
        <v>103</v>
      </c>
      <c r="I69" s="239" t="n">
        <v>60.2245037645448</v>
      </c>
      <c r="J69" s="239" t="n">
        <v>21997</v>
      </c>
      <c r="K69" s="239" t="n">
        <v>708</v>
      </c>
      <c r="L69" s="209" t="s">
        <v>114</v>
      </c>
      <c r="M69" s="209" t="s">
        <v>104</v>
      </c>
      <c r="N69" s="210" t="s">
        <v>176</v>
      </c>
      <c r="O69" s="211"/>
      <c r="P69" s="211"/>
      <c r="Q69" s="240" t="s">
        <v>116</v>
      </c>
      <c r="R69" s="240" t="s">
        <v>177</v>
      </c>
      <c r="S69" s="241" t="s">
        <v>107</v>
      </c>
      <c r="T69" s="242" t="s">
        <v>178</v>
      </c>
      <c r="U69" s="213" t="n">
        <v>1941.87</v>
      </c>
      <c r="V69" s="213" t="n">
        <v>75.28</v>
      </c>
      <c r="W69" s="214" t="n">
        <v>1866.59</v>
      </c>
      <c r="X69" s="243" t="s">
        <v>109</v>
      </c>
      <c r="Y69" s="215" t="n">
        <v>8500000</v>
      </c>
      <c r="Z69" s="216" t="n">
        <v>15866015000</v>
      </c>
      <c r="AA69" s="215" t="n">
        <v>111600000</v>
      </c>
      <c r="AB69" s="241" t="s">
        <v>179</v>
      </c>
      <c r="AC69" s="244" t="n">
        <v>76800000</v>
      </c>
      <c r="AD69" s="245" t="s">
        <v>320</v>
      </c>
      <c r="AE69" s="205" t="n">
        <v>161201</v>
      </c>
      <c r="AF69" s="205" t="n">
        <v>2136</v>
      </c>
      <c r="AG69" s="205" t="n">
        <f aca="false">100*0.0137</f>
        <v>1.37</v>
      </c>
      <c r="AH69" s="205" t="n">
        <f aca="false">100*0.01983</f>
        <v>1.983</v>
      </c>
      <c r="AI69" s="205" t="n">
        <v>1037</v>
      </c>
      <c r="AJ69" s="205" t="n">
        <f aca="false">100*0.00645</f>
        <v>0.645</v>
      </c>
      <c r="AK69" s="205" t="n">
        <v>5267</v>
      </c>
      <c r="AL69" s="205" t="n">
        <f aca="false">100*0.0372</f>
        <v>3.72</v>
      </c>
      <c r="AM69" s="205" t="n">
        <f aca="false">100*0.00455</f>
        <v>0.455</v>
      </c>
      <c r="AN69" s="205" t="n">
        <f aca="false">100*0.000955</f>
        <v>0.0955</v>
      </c>
      <c r="AO69" s="205" t="n">
        <f aca="false">100*0.813</f>
        <v>81.3</v>
      </c>
      <c r="AP69" s="205" t="n">
        <f aca="false">100*0.0475</f>
        <v>4.75</v>
      </c>
      <c r="AQ69" s="205" t="n">
        <v>33537</v>
      </c>
      <c r="AR69" s="205" t="n">
        <f aca="false">100*0.017812</f>
        <v>1.7812</v>
      </c>
      <c r="AS69" s="205" t="n">
        <f aca="false">100*0.21437</f>
        <v>21.437</v>
      </c>
      <c r="AT69" s="205" t="n">
        <f aca="false">100*0.2308</f>
        <v>23.08</v>
      </c>
      <c r="AU69" s="205" t="n">
        <f aca="false">100*0.31882</f>
        <v>31.882</v>
      </c>
      <c r="AV69" s="205" t="n">
        <f aca="false">100*0.235</f>
        <v>23.5</v>
      </c>
      <c r="AW69" s="205" t="n">
        <f aca="false">100*0.07929</f>
        <v>7.929</v>
      </c>
      <c r="AX69" s="205" t="n">
        <f aca="false">100*0.157835</f>
        <v>15.7835</v>
      </c>
      <c r="AY69" s="205" t="n">
        <f aca="false">100*0.41773</f>
        <v>41.773</v>
      </c>
      <c r="AZ69" s="205" t="n">
        <f aca="false">100*0.347</f>
        <v>34.7</v>
      </c>
      <c r="BA69" s="205" t="n">
        <v>101757</v>
      </c>
      <c r="BB69" s="205" t="n">
        <f aca="false">100*0.0283678</f>
        <v>2.83678</v>
      </c>
      <c r="BC69" s="205" t="n">
        <f aca="false">100*0.38142</f>
        <v>38.142</v>
      </c>
      <c r="BD69" s="205" t="n">
        <f aca="false">100*0.0308651</f>
        <v>3.08651</v>
      </c>
      <c r="BE69" s="205" t="n">
        <f aca="false">100*0.0255799</f>
        <v>2.55799</v>
      </c>
      <c r="BF69" s="205" t="n">
        <f aca="false">100*0.564</f>
        <v>56.4</v>
      </c>
      <c r="BG69" s="205" t="n">
        <f aca="false">100*0.28776</f>
        <v>28.776</v>
      </c>
      <c r="BH69" s="205" t="n">
        <f aca="false">100*0.034146</f>
        <v>3.4146</v>
      </c>
      <c r="BI69" s="205" t="n">
        <f aca="false">100*0.0219499</f>
        <v>2.19499</v>
      </c>
      <c r="BJ69" s="205" t="n">
        <f aca="false">100*0.658</f>
        <v>65.8</v>
      </c>
      <c r="BK69" s="205" t="n">
        <f aca="false">100*0.335</f>
        <v>33.5</v>
      </c>
      <c r="BL69" s="205" t="n">
        <f aca="false">100*0.1872</f>
        <v>18.72</v>
      </c>
      <c r="BM69" s="205" t="n">
        <f aca="false">100*0.05002</f>
        <v>5.002</v>
      </c>
      <c r="BN69" s="205" t="n">
        <f aca="false">100*0.177</f>
        <v>17.7</v>
      </c>
      <c r="BO69" s="205" t="n">
        <f aca="false">100*0.0337</f>
        <v>3.37</v>
      </c>
      <c r="BP69" s="205" t="n">
        <f aca="false">100*0.02546</f>
        <v>2.546</v>
      </c>
      <c r="BQ69" s="205" t="n">
        <f aca="false">100*0.3371</f>
        <v>33.71</v>
      </c>
      <c r="BR69" s="205" t="n">
        <f aca="false">100*0.6</f>
        <v>60</v>
      </c>
      <c r="BS69" s="205" t="n">
        <f aca="false">100*0.336</f>
        <v>33.6</v>
      </c>
      <c r="BT69" s="205" t="n">
        <f aca="false">100*0.145905</f>
        <v>14.5905</v>
      </c>
      <c r="BU69" s="205" t="n">
        <f aca="false">100*0.0704</f>
        <v>7.04</v>
      </c>
      <c r="BV69" s="205" t="n">
        <f aca="false">100*0.464</f>
        <v>46.4</v>
      </c>
      <c r="BW69" s="205" t="n">
        <f aca="false">100*0.0477</f>
        <v>4.77</v>
      </c>
      <c r="BX69" s="205" t="n">
        <f aca="false">100*0.01974</f>
        <v>1.974</v>
      </c>
      <c r="BY69" s="205" t="n">
        <f aca="false">100*0.18581</f>
        <v>18.581</v>
      </c>
      <c r="BZ69" s="205" t="n">
        <f aca="false">100*0.745</f>
        <v>74.5</v>
      </c>
      <c r="CA69" s="217" t="n">
        <f aca="false">100*0.0797</f>
        <v>7.97</v>
      </c>
      <c r="CB69" s="218" t="n">
        <f aca="false">AE69/CA69</f>
        <v>20225.9723964868</v>
      </c>
      <c r="CC69" s="219" t="n">
        <v>678000</v>
      </c>
      <c r="CD69" s="219" t="n">
        <v>581000</v>
      </c>
      <c r="CE69" s="219" t="n">
        <v>104717</v>
      </c>
      <c r="CF69" s="219" t="n">
        <v>1040</v>
      </c>
      <c r="CG69" s="219" t="n">
        <v>23353</v>
      </c>
      <c r="CH69" s="219" t="n">
        <v>256053</v>
      </c>
      <c r="CI69" s="219" t="n">
        <v>26849</v>
      </c>
      <c r="CJ69" s="219" t="n">
        <v>4980</v>
      </c>
      <c r="CK69" s="219" t="n">
        <v>85.7</v>
      </c>
      <c r="CL69" s="219" t="n">
        <v>15.4</v>
      </c>
      <c r="CM69" s="219" t="n">
        <v>0.15</v>
      </c>
      <c r="CN69" s="219" t="n">
        <v>3.44</v>
      </c>
      <c r="CO69" s="219" t="n">
        <v>37.8</v>
      </c>
      <c r="CP69" s="219" t="n">
        <v>3.96</v>
      </c>
      <c r="CQ69" s="219" t="n">
        <v>0.73</v>
      </c>
      <c r="CR69" s="219" t="n">
        <v>18</v>
      </c>
      <c r="CS69" s="219" t="n">
        <v>0.18</v>
      </c>
      <c r="CT69" s="219" t="n">
        <v>4.02</v>
      </c>
      <c r="CU69" s="219" t="n">
        <v>44.1</v>
      </c>
      <c r="CV69" s="205" t="n">
        <v>4.62</v>
      </c>
      <c r="CW69" s="205" t="n">
        <v>0.86</v>
      </c>
    </row>
    <row r="70" s="168" customFormat="true" ht="12.8" hidden="false" customHeight="false" outlineLevel="0" collapsed="false">
      <c r="A70" s="186" t="s">
        <v>181</v>
      </c>
      <c r="B70" s="186" t="s">
        <v>113</v>
      </c>
      <c r="C70" s="186"/>
      <c r="D70" s="186" t="s">
        <v>296</v>
      </c>
      <c r="E70" s="230" t="n">
        <v>21274</v>
      </c>
      <c r="F70" s="230" t="n">
        <v>42543</v>
      </c>
      <c r="G70" s="230" t="n">
        <v>43194</v>
      </c>
      <c r="H70" s="230" t="s">
        <v>157</v>
      </c>
      <c r="I70" s="188" t="n">
        <f aca="false">(G70-E70)/365.25</f>
        <v>60.0136892539357</v>
      </c>
      <c r="J70" s="189" t="n">
        <f aca="false">G70-E70</f>
        <v>21920</v>
      </c>
      <c r="K70" s="189" t="n">
        <f aca="false">G70-F70</f>
        <v>651</v>
      </c>
      <c r="L70" s="189" t="s">
        <v>114</v>
      </c>
      <c r="M70" s="189" t="s">
        <v>104</v>
      </c>
      <c r="N70" s="231" t="s">
        <v>115</v>
      </c>
      <c r="O70" s="191" t="n">
        <v>0</v>
      </c>
      <c r="P70" s="191" t="n">
        <v>0</v>
      </c>
      <c r="Q70" s="230" t="s">
        <v>116</v>
      </c>
      <c r="R70" s="230"/>
      <c r="S70" s="192" t="s">
        <v>117</v>
      </c>
      <c r="T70" s="191" t="n">
        <v>10</v>
      </c>
      <c r="U70" s="236" t="n">
        <v>2108.48</v>
      </c>
      <c r="V70" s="232" t="n">
        <v>89.33</v>
      </c>
      <c r="W70" s="196" t="n">
        <f aca="false">U70-V70</f>
        <v>2019.15</v>
      </c>
      <c r="X70" s="192"/>
      <c r="Y70" s="197"/>
      <c r="Z70" s="233" t="n">
        <v>26300000</v>
      </c>
      <c r="AA70" s="197"/>
      <c r="AB70" s="192"/>
      <c r="AC70" s="233" t="n">
        <v>53800000</v>
      </c>
      <c r="AD70" s="186" t="s">
        <v>182</v>
      </c>
      <c r="AE70" s="186" t="n">
        <v>201509</v>
      </c>
      <c r="AF70" s="186" t="n">
        <v>300</v>
      </c>
      <c r="AG70" s="186" t="n">
        <f aca="false">100*0.0016</f>
        <v>0.16</v>
      </c>
      <c r="AH70" s="186" t="n">
        <f aca="false">100*0.05445</f>
        <v>5.445</v>
      </c>
      <c r="AI70" s="186" t="n">
        <v>177</v>
      </c>
      <c r="AJ70" s="186" t="n">
        <f aca="false">100*0.00092</f>
        <v>0.092</v>
      </c>
      <c r="AK70" s="186" t="n">
        <v>1563</v>
      </c>
      <c r="AL70" s="186" t="n">
        <f aca="false">100*0.0082</f>
        <v>0.82</v>
      </c>
      <c r="AM70" s="186" t="n">
        <f aca="false">100*0.000335</f>
        <v>0.0335</v>
      </c>
      <c r="AN70" s="186" t="n">
        <f aca="false">100*0.000625</f>
        <v>0.0625</v>
      </c>
      <c r="AO70" s="186" t="n">
        <f aca="false">100*0.97</f>
        <v>97</v>
      </c>
      <c r="AP70" s="186" t="n">
        <f aca="false">100*0.0087</f>
        <v>0.87</v>
      </c>
      <c r="AQ70" s="186" t="n">
        <v>53804</v>
      </c>
      <c r="AR70" s="186" t="n">
        <f aca="false">100*0.1654794</f>
        <v>16.54794</v>
      </c>
      <c r="AS70" s="186" t="n">
        <f aca="false">100*0.0695814</f>
        <v>6.95814</v>
      </c>
      <c r="AT70" s="186" t="n">
        <f aca="false">100*0.62098155</f>
        <v>62.098155</v>
      </c>
      <c r="AU70" s="186" t="n">
        <f aca="false">100*0.2739816</f>
        <v>27.39816</v>
      </c>
      <c r="AV70" s="186" t="n">
        <f aca="false">100*0.0435</f>
        <v>4.35</v>
      </c>
      <c r="AW70" s="186" t="n">
        <f aca="false">100*0.0238</f>
        <v>2.38</v>
      </c>
      <c r="AX70" s="186" t="n">
        <f aca="false">100*0.47692335</f>
        <v>47.692335</v>
      </c>
      <c r="AY70" s="186" t="n">
        <f aca="false">100*0.4119816</f>
        <v>41.19816</v>
      </c>
      <c r="AZ70" s="186" t="n">
        <f aca="false">100*0.087</f>
        <v>8.7</v>
      </c>
      <c r="BA70" s="186" t="n">
        <v>123333</v>
      </c>
      <c r="BB70" s="186" t="n">
        <f aca="false">100*0.0775231</f>
        <v>7.75231</v>
      </c>
      <c r="BC70" s="186" t="n">
        <f aca="false">100*0.34196</f>
        <v>34.196</v>
      </c>
      <c r="BD70" s="186" t="n">
        <f aca="false">100*0.5109555</f>
        <v>51.09555</v>
      </c>
      <c r="BE70" s="186" t="n">
        <f aca="false">100*0.0259</f>
        <v>2.59</v>
      </c>
      <c r="BF70" s="186" t="n">
        <f aca="false">100*0.122</f>
        <v>12.2</v>
      </c>
      <c r="BG70" s="186" t="n">
        <f aca="false">100*0.331955</f>
        <v>33.1955</v>
      </c>
      <c r="BH70" s="186" t="n">
        <f aca="false">100*0.463973445</f>
        <v>46.3973445</v>
      </c>
      <c r="BI70" s="186" t="n">
        <f aca="false">100*0.0220838</f>
        <v>2.20838</v>
      </c>
      <c r="BJ70" s="186" t="n">
        <f aca="false">100*0.183</f>
        <v>18.3</v>
      </c>
      <c r="BK70" s="186" t="n">
        <f aca="false">100*0.385</f>
        <v>38.5</v>
      </c>
      <c r="BL70" s="186" t="n">
        <f aca="false">100*0.2293</f>
        <v>22.93</v>
      </c>
      <c r="BM70" s="186" t="n">
        <f aca="false">100*0.182</f>
        <v>18.2</v>
      </c>
      <c r="BN70" s="186" t="n">
        <f aca="false">100*0.238</f>
        <v>23.8</v>
      </c>
      <c r="BO70" s="186" t="n">
        <f aca="false">100*0.062</f>
        <v>6.2</v>
      </c>
      <c r="BP70" s="186" t="n">
        <f aca="false">100*0.07</f>
        <v>7</v>
      </c>
      <c r="BQ70" s="186" t="n">
        <f aca="false">100*0.3257</f>
        <v>32.57</v>
      </c>
      <c r="BR70" s="186" t="n">
        <f aca="false">100*0.546</f>
        <v>54.6</v>
      </c>
      <c r="BS70" s="186" t="n">
        <f aca="false">100*0.464</f>
        <v>46.4</v>
      </c>
      <c r="BT70" s="186" t="n">
        <f aca="false">100*0.38068</f>
        <v>38.068</v>
      </c>
      <c r="BU70" s="186" t="n">
        <f aca="false">100*0.0946</f>
        <v>9.46</v>
      </c>
      <c r="BV70" s="186" t="n">
        <f aca="false">100*0.0604</f>
        <v>6.04</v>
      </c>
      <c r="BW70" s="186" t="n">
        <f aca="false">100*0.008</f>
        <v>0.8</v>
      </c>
      <c r="BX70" s="186" t="n">
        <f aca="false">100*0.0018</f>
        <v>0.18</v>
      </c>
      <c r="BY70" s="186" t="n">
        <f aca="false">100*0.42836</f>
        <v>42.836</v>
      </c>
      <c r="BZ70" s="186" t="n">
        <f aca="false">100*0.564</f>
        <v>56.4</v>
      </c>
      <c r="CA70" s="235" t="n">
        <f aca="false">AE70/CB70</f>
        <v>0.160446554972188</v>
      </c>
      <c r="CB70" s="203" t="n">
        <v>1255926</v>
      </c>
      <c r="CC70" s="203" t="n">
        <v>5580000</v>
      </c>
      <c r="CD70" s="186" t="n">
        <v>90558</v>
      </c>
      <c r="CE70" s="186" t="n">
        <v>22730</v>
      </c>
      <c r="CF70" s="186" t="n">
        <v>4340</v>
      </c>
      <c r="CG70" s="186" t="n">
        <v>254</v>
      </c>
      <c r="CH70" s="186" t="n">
        <v>14391</v>
      </c>
      <c r="CI70" s="186" t="n">
        <v>2371</v>
      </c>
      <c r="CJ70" s="186" t="n">
        <v>158</v>
      </c>
      <c r="CK70" s="186" t="n">
        <v>1.62</v>
      </c>
      <c r="CL70" s="186" t="n">
        <v>0.41</v>
      </c>
      <c r="CM70" s="186" t="n">
        <v>0.078</v>
      </c>
      <c r="CN70" s="186" t="n">
        <v>0.00455</v>
      </c>
      <c r="CO70" s="186" t="n">
        <v>0.26</v>
      </c>
      <c r="CP70" s="186" t="n">
        <v>0.042</v>
      </c>
      <c r="CQ70" s="186" t="n">
        <v>0.00283</v>
      </c>
      <c r="CR70" s="186" t="n">
        <v>25.1</v>
      </c>
      <c r="CS70" s="186" t="n">
        <v>4.79</v>
      </c>
      <c r="CT70" s="186" t="n">
        <v>0.28</v>
      </c>
      <c r="CU70" s="186" t="n">
        <v>15.9</v>
      </c>
      <c r="CV70" s="186" t="n">
        <v>2.62</v>
      </c>
      <c r="CW70" s="186" t="n">
        <v>0.17</v>
      </c>
      <c r="CX70" s="186"/>
    </row>
    <row r="71" s="168" customFormat="true" ht="12.8" hidden="false" customHeight="false" outlineLevel="0" collapsed="false">
      <c r="A71" s="168" t="s">
        <v>183</v>
      </c>
      <c r="B71" s="168" t="s">
        <v>101</v>
      </c>
      <c r="D71" s="168" t="s">
        <v>296</v>
      </c>
      <c r="E71" s="169" t="n">
        <v>15290</v>
      </c>
      <c r="F71" s="169" t="n">
        <v>42586</v>
      </c>
      <c r="G71" s="169" t="n">
        <v>43111</v>
      </c>
      <c r="H71" s="169" t="s">
        <v>103</v>
      </c>
      <c r="I71" s="171" t="n">
        <f aca="false">(G71-E71)/365.25</f>
        <v>76.1697467488022</v>
      </c>
      <c r="J71" s="171" t="n">
        <f aca="false">G71-E71</f>
        <v>27821</v>
      </c>
      <c r="K71" s="171" t="n">
        <f aca="false">G71-F71</f>
        <v>525</v>
      </c>
      <c r="L71" s="172" t="s">
        <v>114</v>
      </c>
      <c r="M71" s="172" t="s">
        <v>104</v>
      </c>
      <c r="N71" s="173" t="s">
        <v>184</v>
      </c>
      <c r="O71" s="174"/>
      <c r="P71" s="174"/>
      <c r="Q71" s="175" t="s">
        <v>116</v>
      </c>
      <c r="R71" s="175" t="s">
        <v>185</v>
      </c>
      <c r="S71" s="176" t="s">
        <v>107</v>
      </c>
      <c r="T71" s="177" t="n">
        <v>36</v>
      </c>
      <c r="U71" s="178" t="n">
        <v>1087.41</v>
      </c>
      <c r="V71" s="178" t="n">
        <v>98.39</v>
      </c>
      <c r="W71" s="179" t="n">
        <f aca="false">U71-V71</f>
        <v>989.02</v>
      </c>
      <c r="X71" s="180" t="s">
        <v>109</v>
      </c>
      <c r="Y71" s="181" t="n">
        <v>60200000</v>
      </c>
      <c r="Z71" s="182" t="n">
        <f aca="false">Y71*W71</f>
        <v>59539004000</v>
      </c>
      <c r="AA71" s="181" t="n">
        <v>80400000</v>
      </c>
      <c r="AB71" s="176" t="s">
        <v>186</v>
      </c>
      <c r="AC71" s="182" t="n">
        <v>84000000</v>
      </c>
      <c r="AD71" s="168" t="s">
        <v>321</v>
      </c>
      <c r="AE71" s="168" t="n">
        <v>1921</v>
      </c>
      <c r="AF71" s="168" t="n">
        <v>24</v>
      </c>
      <c r="AG71" s="168" t="n">
        <f aca="false">100*0.01035</f>
        <v>1.035</v>
      </c>
      <c r="AH71" s="168" t="n">
        <v>0</v>
      </c>
      <c r="AI71" s="168" t="n">
        <v>0</v>
      </c>
      <c r="AJ71" s="168" t="n">
        <v>0</v>
      </c>
      <c r="AK71" s="168" t="n">
        <v>16.5</v>
      </c>
      <c r="AL71" s="168" t="n">
        <f aca="false">100*0.00635</f>
        <v>0.635</v>
      </c>
      <c r="AM71" s="168" t="n">
        <v>0</v>
      </c>
      <c r="AN71" s="168" t="n">
        <v>0</v>
      </c>
      <c r="AO71" s="168" t="n">
        <f aca="false">100*0.866</f>
        <v>86.6</v>
      </c>
      <c r="AP71" s="168" t="n">
        <v>0</v>
      </c>
      <c r="AQ71" s="168" t="n">
        <v>651</v>
      </c>
      <c r="AR71" s="168" t="n">
        <f aca="false">100*0.01595</f>
        <v>1.595</v>
      </c>
      <c r="AS71" s="168" t="n">
        <f aca="false">100*0.41</f>
        <v>41</v>
      </c>
      <c r="AT71" s="168" t="n">
        <f aca="false">100*0.27465</f>
        <v>27.465</v>
      </c>
      <c r="AU71" s="168" t="n">
        <f aca="false">100*0.1531</f>
        <v>15.31</v>
      </c>
      <c r="AV71" s="168" t="n">
        <f aca="false">100*0.144</f>
        <v>14.4</v>
      </c>
      <c r="AW71" s="168" t="n">
        <f aca="false">100*0.1508</f>
        <v>15.08</v>
      </c>
      <c r="AX71" s="168" t="n">
        <f aca="false">100*0.203</f>
        <v>20.3</v>
      </c>
      <c r="AY71" s="168" t="n">
        <f aca="false">100*0.2152</f>
        <v>21.52</v>
      </c>
      <c r="AZ71" s="168" t="n">
        <f aca="false">100*0.41</f>
        <v>41</v>
      </c>
      <c r="BA71" s="168" t="n">
        <v>800</v>
      </c>
      <c r="BB71" s="168" t="n">
        <f aca="false">100*0.03105</f>
        <v>3.105</v>
      </c>
      <c r="BC71" s="168" t="n">
        <f aca="false">100*0.501</f>
        <v>50.1</v>
      </c>
      <c r="BD71" s="168" t="n">
        <f aca="false">100*0.08455</f>
        <v>8.455</v>
      </c>
      <c r="BE71" s="168" t="n">
        <f aca="false">100*0.0561</f>
        <v>5.61</v>
      </c>
      <c r="BF71" s="168" t="n">
        <f aca="false">100*0.343</f>
        <v>34.3</v>
      </c>
      <c r="BG71" s="168" t="n">
        <f aca="false">100*0.3733</f>
        <v>37.33</v>
      </c>
      <c r="BH71" s="168" t="n">
        <f aca="false">100*0.07695</f>
        <v>7.695</v>
      </c>
      <c r="BI71" s="168" t="n">
        <f aca="false">100*0.0396</f>
        <v>3.96</v>
      </c>
      <c r="BJ71" s="168" t="n">
        <f aca="false">100*0.465</f>
        <v>46.5</v>
      </c>
      <c r="BK71" s="168" t="n">
        <f aca="false">100*0.118</f>
        <v>11.8</v>
      </c>
      <c r="BL71" s="168" t="n">
        <f aca="false">100*0.273</f>
        <v>27.3</v>
      </c>
      <c r="BM71" s="168" t="n">
        <f aca="false">100*0.545</f>
        <v>54.5</v>
      </c>
      <c r="BN71" s="168" t="n">
        <f aca="false">100*0.118</f>
        <v>11.8</v>
      </c>
      <c r="BO71" s="168" t="n">
        <f aca="false">100*0.118</f>
        <v>11.8</v>
      </c>
      <c r="BP71" s="168" t="n">
        <f aca="false">100*0.32825</f>
        <v>32.825</v>
      </c>
      <c r="BQ71" s="168" t="n">
        <f aca="false">100*0.568</f>
        <v>56.8</v>
      </c>
      <c r="BR71" s="168" t="n">
        <f aca="false">100*0.0811</f>
        <v>8.11</v>
      </c>
      <c r="BS71" s="168" t="n">
        <f aca="false">100*0.273</f>
        <v>27.3</v>
      </c>
      <c r="BT71" s="168" t="n">
        <f aca="false">100*0.636</f>
        <v>63.6</v>
      </c>
      <c r="BU71" s="168" t="n">
        <f aca="false">100*0.0588</f>
        <v>5.88</v>
      </c>
      <c r="BV71" s="168" t="n">
        <f aca="false">100*0.118</f>
        <v>11.8</v>
      </c>
      <c r="BW71" s="168" t="n">
        <f aca="false">100*0.1232</f>
        <v>12.32</v>
      </c>
      <c r="BX71" s="168" t="n">
        <f aca="false">100*0.3346</f>
        <v>33.46</v>
      </c>
      <c r="BY71" s="168" t="n">
        <f aca="false">100*0.333</f>
        <v>33.3</v>
      </c>
      <c r="BZ71" s="168" t="n">
        <f aca="false">100*0.143</f>
        <v>14.3</v>
      </c>
      <c r="CA71" s="229" t="n">
        <f aca="false">AE71/CB71</f>
        <v>0.00557867499934659</v>
      </c>
      <c r="CB71" s="184" t="n">
        <v>344347</v>
      </c>
      <c r="CC71" s="184" t="n">
        <v>1110000</v>
      </c>
      <c r="CD71" s="185" t="n">
        <v>1060000</v>
      </c>
      <c r="CE71" s="185" t="n">
        <v>724</v>
      </c>
      <c r="CF71" s="185" t="n">
        <v>33</v>
      </c>
      <c r="CG71" s="185" t="n">
        <v>6378</v>
      </c>
      <c r="CH71" s="185" t="n">
        <v>288609</v>
      </c>
      <c r="CI71" s="185" t="n">
        <v>10115</v>
      </c>
      <c r="CJ71" s="185" t="n">
        <v>155</v>
      </c>
      <c r="CK71" s="185" t="n">
        <v>0.955</v>
      </c>
      <c r="CL71" s="185" t="n">
        <v>0.00065</v>
      </c>
      <c r="CM71" s="185" t="n">
        <v>2.97E-005</v>
      </c>
      <c r="CN71" s="185" t="n">
        <v>0.0057</v>
      </c>
      <c r="CO71" s="185" t="n">
        <v>0.26</v>
      </c>
      <c r="CP71" s="185" t="n">
        <v>0.0091</v>
      </c>
      <c r="CQ71" s="185" t="n">
        <v>0.00014</v>
      </c>
      <c r="CR71" s="185" t="n">
        <v>0.00068</v>
      </c>
      <c r="CS71" s="185" t="n">
        <v>3.11E-005</v>
      </c>
      <c r="CT71" s="185" t="n">
        <v>0.006</v>
      </c>
      <c r="CU71" s="185" t="n">
        <v>0.272</v>
      </c>
      <c r="CV71" s="185" t="n">
        <v>0.0095</v>
      </c>
      <c r="CW71" s="168" t="n">
        <v>0.00014622641509434</v>
      </c>
    </row>
    <row r="72" s="186" customFormat="true" ht="12.8" hidden="false" customHeight="false" outlineLevel="0" collapsed="false">
      <c r="A72" s="168" t="s">
        <v>188</v>
      </c>
      <c r="B72" s="168" t="s">
        <v>101</v>
      </c>
      <c r="C72" s="168"/>
      <c r="D72" s="168" t="s">
        <v>296</v>
      </c>
      <c r="E72" s="169" t="n">
        <v>15290</v>
      </c>
      <c r="F72" s="169" t="n">
        <v>20620</v>
      </c>
      <c r="G72" s="169" t="n">
        <v>43071</v>
      </c>
      <c r="H72" s="169" t="s">
        <v>103</v>
      </c>
      <c r="I72" s="171" t="n">
        <f aca="false">(G72-E72)/365.25</f>
        <v>76.0602327173169</v>
      </c>
      <c r="J72" s="171" t="n">
        <f aca="false">G72-E72</f>
        <v>27781</v>
      </c>
      <c r="K72" s="171" t="n">
        <f aca="false">G72-F72</f>
        <v>22451</v>
      </c>
      <c r="L72" s="172" t="s">
        <v>114</v>
      </c>
      <c r="M72" s="172" t="s">
        <v>104</v>
      </c>
      <c r="N72" s="246" t="s">
        <v>189</v>
      </c>
      <c r="O72" s="168"/>
      <c r="P72" s="168"/>
      <c r="Q72" s="175" t="s">
        <v>106</v>
      </c>
      <c r="R72" s="175" t="s">
        <v>217</v>
      </c>
      <c r="S72" s="168"/>
      <c r="T72" s="247" t="s">
        <v>106</v>
      </c>
      <c r="U72" s="178" t="n">
        <v>2624.62</v>
      </c>
      <c r="V72" s="248" t="n">
        <v>74.39</v>
      </c>
      <c r="W72" s="179" t="n">
        <f aca="false">U72-V72</f>
        <v>2550.23</v>
      </c>
      <c r="X72" s="181" t="s">
        <v>190</v>
      </c>
      <c r="Y72" s="181" t="n">
        <v>28000000</v>
      </c>
      <c r="Z72" s="182" t="n">
        <f aca="false">Y72*W72</f>
        <v>71406440000</v>
      </c>
      <c r="AA72" s="227" t="n">
        <v>3540000</v>
      </c>
      <c r="AB72" s="249" t="s">
        <v>143</v>
      </c>
      <c r="AC72" s="182" t="n">
        <v>740000000</v>
      </c>
      <c r="AD72" s="168" t="s">
        <v>322</v>
      </c>
      <c r="AE72" s="168" t="n">
        <v>18225</v>
      </c>
      <c r="AF72" s="168" t="n">
        <v>413</v>
      </c>
      <c r="AG72" s="168" t="n">
        <f aca="false">100*0.0246</f>
        <v>2.46</v>
      </c>
      <c r="AH72" s="168" t="n">
        <f aca="false">100*0.0578</f>
        <v>5.78</v>
      </c>
      <c r="AI72" s="168" t="n">
        <v>89</v>
      </c>
      <c r="AJ72" s="168" t="n">
        <f aca="false">100*0.0055</f>
        <v>0.55</v>
      </c>
      <c r="AK72" s="168" t="n">
        <v>705</v>
      </c>
      <c r="AL72" s="168" t="n">
        <f aca="false">100*0.0407</f>
        <v>4.07</v>
      </c>
      <c r="AM72" s="168" t="n">
        <f aca="false">100*0.03745</f>
        <v>3.745</v>
      </c>
      <c r="AN72" s="168" t="n">
        <f aca="false">100*0.0256</f>
        <v>2.56</v>
      </c>
      <c r="AO72" s="168" t="n">
        <f aca="false">100*0.645</f>
        <v>64.5</v>
      </c>
      <c r="AP72" s="168" t="n">
        <f aca="false">100*0.0986</f>
        <v>9.86</v>
      </c>
      <c r="AQ72" s="168" t="n">
        <v>2966</v>
      </c>
      <c r="AR72" s="168" t="n">
        <f aca="false">100*0.04585</f>
        <v>4.585</v>
      </c>
      <c r="AS72" s="168" t="n">
        <f aca="false">100*0.1815</f>
        <v>18.15</v>
      </c>
      <c r="AT72" s="168" t="n">
        <f aca="false">100*0.171</f>
        <v>17.1</v>
      </c>
      <c r="AU72" s="168" t="n">
        <f aca="false">100*0.47</f>
        <v>47</v>
      </c>
      <c r="AV72" s="168" t="n">
        <f aca="false">100*0.178</f>
        <v>17.8</v>
      </c>
      <c r="AW72" s="168" t="n">
        <f aca="false">100*0.4</f>
        <v>40</v>
      </c>
      <c r="AX72" s="168" t="n">
        <f aca="false">100*0.489835</f>
        <v>48.9835</v>
      </c>
      <c r="AY72" s="168" t="n">
        <f aca="false">100*0.0695</f>
        <v>6.95</v>
      </c>
      <c r="AZ72" s="168" t="n">
        <f aca="false">100*0.0408</f>
        <v>4.08</v>
      </c>
      <c r="BA72" s="168" t="n">
        <v>12817</v>
      </c>
      <c r="BB72" s="168" t="n">
        <f aca="false">100*0.06618</f>
        <v>6.618</v>
      </c>
      <c r="BC72" s="168" t="n">
        <f aca="false">100*0.435922</f>
        <v>43.5922</v>
      </c>
      <c r="BD72" s="168" t="n">
        <f aca="false">100*0.0285</f>
        <v>2.85</v>
      </c>
      <c r="BE72" s="168" t="n">
        <f aca="false">100*0.0263</f>
        <v>2.63</v>
      </c>
      <c r="BF72" s="168" t="n">
        <f aca="false">100*0.509</f>
        <v>50.9</v>
      </c>
      <c r="BG72" s="168" t="n">
        <f aca="false">100*0.319</f>
        <v>31.9</v>
      </c>
      <c r="BH72" s="168" t="n">
        <f aca="false">100*0.0162</f>
        <v>1.62</v>
      </c>
      <c r="BI72" s="168" t="n">
        <f aca="false">100*0.0337</f>
        <v>3.37</v>
      </c>
      <c r="BJ72" s="168" t="n">
        <f aca="false">100*0.6305</f>
        <v>63.05</v>
      </c>
      <c r="BK72" s="168" t="n">
        <f aca="false">100*0.245</f>
        <v>24.5</v>
      </c>
      <c r="BL72" s="168" t="n">
        <f aca="false">100*0.065</f>
        <v>6.5</v>
      </c>
      <c r="BM72" s="168" t="n">
        <f aca="false">100*0.0726</f>
        <v>7.26</v>
      </c>
      <c r="BN72" s="168" t="n">
        <f aca="false">100*0.317</f>
        <v>31.7</v>
      </c>
      <c r="BO72" s="168" t="n">
        <f aca="false">100*0.1566</f>
        <v>15.66</v>
      </c>
      <c r="BP72" s="168" t="n">
        <f aca="false">100*0.2562</f>
        <v>25.62</v>
      </c>
      <c r="BQ72" s="168" t="n">
        <f aca="false">100*0.3058</f>
        <v>30.58</v>
      </c>
      <c r="BR72" s="168" t="n">
        <f aca="false">100*0.239</f>
        <v>23.9</v>
      </c>
      <c r="BS72" s="168" t="n">
        <f aca="false">100*0.095</f>
        <v>9.5</v>
      </c>
      <c r="BT72" s="168" t="n">
        <f aca="false">100*0.229</f>
        <v>22.9</v>
      </c>
      <c r="BU72" s="168" t="n">
        <f aca="false">100*0.46</f>
        <v>46</v>
      </c>
      <c r="BV72" s="168" t="n">
        <f aca="false">100*0.247</f>
        <v>24.7</v>
      </c>
      <c r="BW72" s="168" t="n">
        <f aca="false">100*0.262</f>
        <v>26.2</v>
      </c>
      <c r="BX72" s="168" t="n">
        <f aca="false">100*0.325</f>
        <v>32.5</v>
      </c>
      <c r="BY72" s="168" t="n">
        <f aca="false">100*0.186</f>
        <v>18.6</v>
      </c>
      <c r="BZ72" s="168" t="n">
        <f aca="false">100*0.206</f>
        <v>20.6</v>
      </c>
      <c r="CA72" s="250" t="e">
        <f aca="false">AE72/CB72</f>
        <v>#DIV/0!</v>
      </c>
      <c r="CB72" s="184"/>
      <c r="CC72" s="184" t="n">
        <v>1680000</v>
      </c>
      <c r="CD72" s="185" t="n">
        <v>1640000</v>
      </c>
      <c r="CE72" s="185" t="n">
        <v>13426</v>
      </c>
      <c r="CF72" s="185" t="n">
        <v>256</v>
      </c>
      <c r="CG72" s="185" t="n">
        <v>178</v>
      </c>
      <c r="CH72" s="185" t="n">
        <v>1490000</v>
      </c>
      <c r="CI72" s="185" t="n">
        <v>88506</v>
      </c>
      <c r="CJ72" s="185" t="n">
        <v>4213</v>
      </c>
      <c r="CK72" s="185" t="n">
        <v>0.976</v>
      </c>
      <c r="CL72" s="185" t="n">
        <v>0.008</v>
      </c>
      <c r="CM72" s="185" t="n">
        <v>0.00015</v>
      </c>
      <c r="CN72" s="185" t="n">
        <v>0.00011</v>
      </c>
      <c r="CO72" s="185" t="n">
        <v>0.887</v>
      </c>
      <c r="CP72" s="185" t="n">
        <v>0.0527</v>
      </c>
      <c r="CQ72" s="185" t="n">
        <v>0.0025</v>
      </c>
      <c r="CR72" s="185" t="n">
        <v>0.0082</v>
      </c>
      <c r="CS72" s="185" t="n">
        <v>0.00016</v>
      </c>
      <c r="CT72" s="185" t="n">
        <v>0.00011</v>
      </c>
      <c r="CU72" s="185" t="n">
        <v>0.909</v>
      </c>
      <c r="CV72" s="185" t="n">
        <v>0.054</v>
      </c>
      <c r="CW72" s="168" t="n">
        <v>0.00256890243902439</v>
      </c>
      <c r="CX72" s="168"/>
    </row>
    <row r="73" s="186" customFormat="true" ht="12.8" hidden="false" customHeight="false" outlineLevel="0" collapsed="false">
      <c r="A73" s="186" t="s">
        <v>323</v>
      </c>
      <c r="B73" s="186" t="s">
        <v>113</v>
      </c>
      <c r="D73" s="186" t="s">
        <v>296</v>
      </c>
      <c r="E73" s="230" t="n">
        <v>16243</v>
      </c>
      <c r="F73" s="230" t="n">
        <v>42662</v>
      </c>
      <c r="G73" s="230" t="n">
        <v>43131</v>
      </c>
      <c r="H73" s="230" t="s">
        <v>103</v>
      </c>
      <c r="I73" s="188" t="n">
        <f aca="false">(G73-E73)/365.25</f>
        <v>73.6153319644079</v>
      </c>
      <c r="J73" s="189" t="n">
        <f aca="false">G73-E73</f>
        <v>26888</v>
      </c>
      <c r="K73" s="189" t="n">
        <f aca="false">G73-F73</f>
        <v>469</v>
      </c>
      <c r="L73" s="189" t="s">
        <v>114</v>
      </c>
      <c r="M73" s="189" t="s">
        <v>114</v>
      </c>
      <c r="N73" s="231" t="s">
        <v>324</v>
      </c>
      <c r="O73" s="191" t="n">
        <v>0</v>
      </c>
      <c r="P73" s="191" t="n">
        <v>0</v>
      </c>
      <c r="Q73" s="230" t="s">
        <v>116</v>
      </c>
      <c r="R73" s="230"/>
      <c r="S73" s="192" t="s">
        <v>117</v>
      </c>
      <c r="T73" s="191" t="n">
        <v>10</v>
      </c>
      <c r="U73" s="236" t="n">
        <v>2570.81</v>
      </c>
      <c r="V73" s="232" t="n">
        <v>65.2</v>
      </c>
      <c r="W73" s="196" t="n">
        <f aca="false">U73-V73</f>
        <v>2505.61</v>
      </c>
      <c r="X73" s="192"/>
      <c r="Y73" s="197"/>
      <c r="Z73" s="233" t="n">
        <v>58000000</v>
      </c>
      <c r="AA73" s="197"/>
      <c r="AB73" s="192"/>
      <c r="AC73" s="233" t="s">
        <v>318</v>
      </c>
      <c r="AD73" s="186" t="s">
        <v>325</v>
      </c>
      <c r="AE73" s="186" t="n">
        <v>130023</v>
      </c>
      <c r="AF73" s="186" t="n">
        <v>730</v>
      </c>
      <c r="AG73" s="186" t="n">
        <f aca="false">100*0.0054</f>
        <v>0.54</v>
      </c>
      <c r="AH73" s="186" t="n">
        <f aca="false">100*0.7466</f>
        <v>74.66</v>
      </c>
      <c r="AI73" s="186" t="n">
        <v>67</v>
      </c>
      <c r="AJ73" s="186" t="n">
        <f aca="false">100*0.00057</f>
        <v>0.057</v>
      </c>
      <c r="AK73" s="186" t="n">
        <v>271</v>
      </c>
      <c r="AL73" s="186" t="n">
        <f aca="false">100*0.0022</f>
        <v>0.22</v>
      </c>
      <c r="AM73" s="186" t="n">
        <f aca="false">100*0.375</f>
        <v>37.5</v>
      </c>
      <c r="AN73" s="186" t="n">
        <f aca="false">100*0.0424</f>
        <v>4.24</v>
      </c>
      <c r="AO73" s="186" t="n">
        <f aca="false">100*0.899</f>
        <v>89.9</v>
      </c>
      <c r="AP73" s="186" t="n">
        <f aca="false">100*0.0177</f>
        <v>1.77</v>
      </c>
      <c r="AQ73" s="186" t="n">
        <f aca="false">100*51358</f>
        <v>5135800</v>
      </c>
      <c r="AR73" s="186" t="n">
        <f aca="false">100*0.35715</f>
        <v>35.715</v>
      </c>
      <c r="AS73" s="186" t="n">
        <f aca="false">100*0.1849805</f>
        <v>18.49805</v>
      </c>
      <c r="AT73" s="186" t="n">
        <f aca="false">100*0.27557</f>
        <v>27.557</v>
      </c>
      <c r="AU73" s="186" t="n">
        <f aca="false">100*0.31546</f>
        <v>31.546</v>
      </c>
      <c r="AV73" s="186" t="n">
        <f aca="false">100*0.23</f>
        <v>23</v>
      </c>
      <c r="AW73" s="186" t="n">
        <f aca="false">100*0.02645</f>
        <v>2.645</v>
      </c>
      <c r="AX73" s="186" t="n">
        <f aca="false">100*0.03735495</f>
        <v>3.735495</v>
      </c>
      <c r="AY73" s="186" t="n">
        <f aca="false">100*0.5289</f>
        <v>52.89</v>
      </c>
      <c r="AZ73" s="186" t="n">
        <f aca="false">100*0.413</f>
        <v>41.3</v>
      </c>
      <c r="BA73" s="186" t="n">
        <v>26132</v>
      </c>
      <c r="BB73" s="186" t="n">
        <f aca="false">100*0.0976</f>
        <v>9.76</v>
      </c>
      <c r="BC73" s="186" t="n">
        <f aca="false">100*0.1649611</f>
        <v>16.49611</v>
      </c>
      <c r="BD73" s="186" t="n">
        <f aca="false">100*0.03651115</f>
        <v>3.651115</v>
      </c>
      <c r="BE73" s="186" t="n">
        <f aca="false">100*0.0495235</f>
        <v>4.95235</v>
      </c>
      <c r="BF73" s="186" t="n">
        <f aca="false">100*0.741</f>
        <v>74.1</v>
      </c>
      <c r="BG73" s="186" t="n">
        <f aca="false">100*0.0946</f>
        <v>9.46</v>
      </c>
      <c r="BH73" s="186" t="n">
        <f aca="false">100*0.03111</f>
        <v>3.111</v>
      </c>
      <c r="BI73" s="186" t="n">
        <f aca="false">100*0.04835</f>
        <v>4.835</v>
      </c>
      <c r="BJ73" s="186" t="n">
        <f aca="false">100*0.822</f>
        <v>82.2</v>
      </c>
      <c r="BK73" s="186" t="n">
        <f aca="false">100*0.3395</f>
        <v>33.95</v>
      </c>
      <c r="BL73" s="186" t="n">
        <f aca="false">100*0.1113</f>
        <v>11.13</v>
      </c>
      <c r="BM73" s="186" t="n">
        <f aca="false">100*0.0817</f>
        <v>8.17</v>
      </c>
      <c r="BN73" s="186" t="n">
        <f aca="false">100*0.454</f>
        <v>45.4</v>
      </c>
      <c r="BO73" s="186" t="n">
        <f aca="false">100*0.4218</f>
        <v>42.18</v>
      </c>
      <c r="BP73" s="186" t="n">
        <f aca="false">100*0.0329</f>
        <v>3.29</v>
      </c>
      <c r="BQ73" s="186" t="n">
        <f aca="false">100*0.0219</f>
        <v>2.19</v>
      </c>
      <c r="BR73" s="186" t="n">
        <f aca="false">100*0.488</f>
        <v>48.8</v>
      </c>
      <c r="BS73" s="186" t="n">
        <f aca="false">100*0.26</f>
        <v>26</v>
      </c>
      <c r="BT73" s="186" t="n">
        <f aca="false">100*0.281</f>
        <v>28.1</v>
      </c>
      <c r="BU73" s="186" t="n">
        <f aca="false">100*0.177</f>
        <v>17.7</v>
      </c>
      <c r="BV73" s="186" t="n">
        <f aca="false">100*0.254</f>
        <v>25.4</v>
      </c>
      <c r="BW73" s="186" t="n">
        <f aca="false">100*0.1851</f>
        <v>18.51</v>
      </c>
      <c r="BX73" s="186" t="n">
        <f aca="false">100*0.2256</f>
        <v>22.56</v>
      </c>
      <c r="BY73" s="186" t="n">
        <f aca="false">100*0.208</f>
        <v>20.8</v>
      </c>
      <c r="BZ73" s="186" t="n">
        <f aca="false">100*0.376</f>
        <v>37.6</v>
      </c>
      <c r="CA73" s="235" t="n">
        <f aca="false">AE73/CB73</f>
        <v>0.0727201240274006</v>
      </c>
      <c r="CB73" s="203" t="n">
        <v>1787992</v>
      </c>
      <c r="CC73" s="203" t="n">
        <v>1190000</v>
      </c>
      <c r="CD73" s="204" t="n">
        <v>1180000</v>
      </c>
      <c r="CE73" s="204" t="n">
        <v>169881</v>
      </c>
      <c r="CF73" s="204" t="n">
        <v>8497</v>
      </c>
      <c r="CG73" s="204" t="n">
        <v>8402</v>
      </c>
      <c r="CH73" s="204" t="n">
        <v>2742</v>
      </c>
      <c r="CI73" s="204" t="n">
        <v>178784</v>
      </c>
      <c r="CJ73" s="204" t="n">
        <v>38505</v>
      </c>
      <c r="CK73" s="204" t="n">
        <v>0.992</v>
      </c>
      <c r="CL73" s="204" t="n">
        <v>0.143</v>
      </c>
      <c r="CM73" s="204" t="n">
        <v>0.0071</v>
      </c>
      <c r="CN73" s="204" t="n">
        <v>0.0071</v>
      </c>
      <c r="CO73" s="204" t="n">
        <v>0.0023</v>
      </c>
      <c r="CP73" s="204" t="n">
        <v>0.15</v>
      </c>
      <c r="CQ73" s="204" t="n">
        <v>0.0324</v>
      </c>
      <c r="CR73" s="204" t="n">
        <v>0.144</v>
      </c>
      <c r="CS73" s="204" t="n">
        <v>0.0072</v>
      </c>
      <c r="CT73" s="204" t="n">
        <v>0.0071</v>
      </c>
      <c r="CU73" s="204" t="n">
        <v>0.0023</v>
      </c>
      <c r="CV73" s="204" t="n">
        <v>0.152</v>
      </c>
      <c r="CW73" s="186" t="n">
        <v>0.0326313559322034</v>
      </c>
    </row>
    <row r="74" s="205" customFormat="true" ht="12.8" hidden="false" customHeight="false" outlineLevel="0" collapsed="false">
      <c r="A74" s="205" t="s">
        <v>326</v>
      </c>
      <c r="B74" s="205" t="s">
        <v>101</v>
      </c>
      <c r="D74" s="205" t="s">
        <v>296</v>
      </c>
      <c r="E74" s="206" t="n">
        <v>15414</v>
      </c>
      <c r="F74" s="206" t="n">
        <v>42436</v>
      </c>
      <c r="G74" s="206" t="n">
        <v>43159</v>
      </c>
      <c r="H74" s="206" t="s">
        <v>103</v>
      </c>
      <c r="I74" s="239" t="n">
        <f aca="false">(G74-E74)/365.25</f>
        <v>75.9616700889802</v>
      </c>
      <c r="J74" s="239" t="n">
        <f aca="false">G74-E74</f>
        <v>27745</v>
      </c>
      <c r="K74" s="239" t="n">
        <f aca="false">G74-F74</f>
        <v>723</v>
      </c>
      <c r="L74" s="251" t="s">
        <v>114</v>
      </c>
      <c r="M74" s="251" t="s">
        <v>114</v>
      </c>
      <c r="N74" s="210" t="s">
        <v>194</v>
      </c>
      <c r="O74" s="211"/>
      <c r="P74" s="211"/>
      <c r="Q74" s="240" t="s">
        <v>252</v>
      </c>
      <c r="R74" s="240" t="s">
        <v>327</v>
      </c>
      <c r="S74" s="241" t="s">
        <v>107</v>
      </c>
      <c r="T74" s="242" t="s">
        <v>178</v>
      </c>
      <c r="U74" s="213" t="n">
        <v>2445.15</v>
      </c>
      <c r="V74" s="213" t="n">
        <v>98.44</v>
      </c>
      <c r="W74" s="214" t="n">
        <f aca="false">U74-V74</f>
        <v>2346.71</v>
      </c>
      <c r="X74" s="241" t="s">
        <v>109</v>
      </c>
      <c r="Y74" s="215" t="n">
        <v>2830000</v>
      </c>
      <c r="Z74" s="216" t="n">
        <f aca="false">Y74*W74</f>
        <v>6641189300</v>
      </c>
      <c r="AA74" s="215" t="n">
        <v>92000000</v>
      </c>
      <c r="AB74" s="212" t="s">
        <v>143</v>
      </c>
      <c r="AC74" s="216" t="n">
        <v>14500000</v>
      </c>
      <c r="AD74" s="205" t="s">
        <v>328</v>
      </c>
      <c r="AE74" s="205" t="n">
        <v>34498</v>
      </c>
      <c r="AF74" s="205" t="n">
        <v>164</v>
      </c>
      <c r="AG74" s="205" t="n">
        <f aca="false">100*0.0044</f>
        <v>0.44</v>
      </c>
      <c r="AH74" s="205" t="n">
        <f aca="false">100*0.0056</f>
        <v>0.56</v>
      </c>
      <c r="AI74" s="205" t="n">
        <v>4</v>
      </c>
      <c r="AJ74" s="205" t="n">
        <f aca="false">100*0.00016</f>
        <v>0.016</v>
      </c>
      <c r="AK74" s="205" t="n">
        <v>345</v>
      </c>
      <c r="AL74" s="205" t="n">
        <f aca="false">100*0.0106</f>
        <v>1.06</v>
      </c>
      <c r="AM74" s="205" t="n">
        <f aca="false">100*0.0068</f>
        <v>0.68</v>
      </c>
      <c r="AN74" s="205" t="n">
        <f aca="false">100*0.00145</f>
        <v>0.145</v>
      </c>
      <c r="AO74" s="205" t="n">
        <f aca="false">100*0.771</f>
        <v>77.1</v>
      </c>
      <c r="AP74" s="205" t="n">
        <f aca="false">100*0.167</f>
        <v>16.7</v>
      </c>
      <c r="AQ74" s="205" t="n">
        <v>18029</v>
      </c>
      <c r="AR74" s="205" t="n">
        <f aca="false">100*0.0156</f>
        <v>1.56</v>
      </c>
      <c r="AS74" s="205" t="n">
        <f aca="false">100*0.168</f>
        <v>16.8</v>
      </c>
      <c r="AT74" s="205" t="n">
        <f aca="false">100*0.109</f>
        <v>10.9</v>
      </c>
      <c r="AU74" s="205" t="n">
        <f aca="false">100*0.279</f>
        <v>27.9</v>
      </c>
      <c r="AV74" s="205" t="n">
        <f aca="false">100*0.441</f>
        <v>44.1</v>
      </c>
      <c r="AW74" s="205" t="n">
        <f aca="false">100*0.1019413</f>
        <v>10.19413</v>
      </c>
      <c r="AX74" s="205" t="n">
        <f aca="false">100*0.093385</f>
        <v>9.3385</v>
      </c>
      <c r="AY74" s="205" t="n">
        <f aca="false">100*0.29</f>
        <v>29</v>
      </c>
      <c r="AZ74" s="205" t="n">
        <f aca="false">100*0.514</f>
        <v>51.4</v>
      </c>
      <c r="BA74" s="205" t="n">
        <v>14385</v>
      </c>
      <c r="BB74" s="205" t="n">
        <f aca="false">100*0.0142305</f>
        <v>1.42305</v>
      </c>
      <c r="BC74" s="205" t="n">
        <f aca="false">100*0.564</f>
        <v>56.4</v>
      </c>
      <c r="BD74" s="205" t="n">
        <f aca="false">100*0.194</f>
        <v>19.4</v>
      </c>
      <c r="BE74" s="205" t="n">
        <f aca="false">100*0.0183417</f>
        <v>1.83417</v>
      </c>
      <c r="BF74" s="205" t="n">
        <f aca="false">100*0.235</f>
        <v>23.5</v>
      </c>
      <c r="BG74" s="205" t="n">
        <f aca="false">100*0.521925</f>
        <v>52.1925</v>
      </c>
      <c r="BH74" s="205" t="n">
        <f aca="false">100*0.187</f>
        <v>18.7</v>
      </c>
      <c r="BI74" s="205" t="n">
        <f aca="false">100*0.0201417</f>
        <v>2.01417</v>
      </c>
      <c r="BJ74" s="205" t="n">
        <f aca="false">100*0.273</f>
        <v>27.3</v>
      </c>
      <c r="BK74" s="205" t="n">
        <f aca="false">100*0.454</f>
        <v>45.4</v>
      </c>
      <c r="BL74" s="205" t="n">
        <f aca="false">100*0.0186</f>
        <v>1.86</v>
      </c>
      <c r="BM74" s="205" t="n">
        <f aca="false">100*0.0366</f>
        <v>3.66</v>
      </c>
      <c r="BN74" s="205" t="n">
        <f aca="false">100*0.472</f>
        <v>47.2</v>
      </c>
      <c r="BO74" s="205" t="n">
        <f aca="false">100*0.325</f>
        <v>32.5</v>
      </c>
      <c r="BP74" s="205" t="n">
        <f aca="false">100*0.026</f>
        <v>2.6</v>
      </c>
      <c r="BQ74" s="205" t="n">
        <f aca="false">100*0.0305</f>
        <v>3.05</v>
      </c>
      <c r="BR74" s="205" t="n">
        <f aca="false">100*0.628</f>
        <v>62.8</v>
      </c>
      <c r="BS74" s="205" t="n">
        <f aca="false">100*0.29</f>
        <v>29</v>
      </c>
      <c r="BT74" s="205" t="n">
        <f aca="false">100*0.128</f>
        <v>12.8</v>
      </c>
      <c r="BU74" s="205" t="n">
        <f aca="false">100*0.226</f>
        <v>22.6</v>
      </c>
      <c r="BV74" s="205" t="n">
        <f aca="false">100*0.321</f>
        <v>32.1</v>
      </c>
      <c r="BW74" s="205" t="n">
        <f aca="false">100*0.3291</f>
        <v>32.91</v>
      </c>
      <c r="BX74" s="205" t="n">
        <f aca="false">100*0.262</f>
        <v>26.2</v>
      </c>
      <c r="BY74" s="205" t="n">
        <f aca="false">100*0.162</f>
        <v>16.2</v>
      </c>
      <c r="BZ74" s="205" t="n">
        <f aca="false">100*0.253</f>
        <v>25.3</v>
      </c>
      <c r="CA74" s="217" t="n">
        <f aca="false">AE74/CB74</f>
        <v>0.0169071542482545</v>
      </c>
      <c r="CB74" s="218" t="n">
        <v>2040438</v>
      </c>
      <c r="CC74" s="218" t="n">
        <v>1150000</v>
      </c>
      <c r="CD74" s="219" t="n">
        <v>1110000</v>
      </c>
      <c r="CE74" s="219" t="n">
        <v>33980</v>
      </c>
      <c r="CF74" s="219" t="n">
        <v>3822</v>
      </c>
      <c r="CG74" s="219" t="n">
        <v>4414</v>
      </c>
      <c r="CH74" s="219" t="n">
        <v>704000</v>
      </c>
      <c r="CI74" s="219" t="n">
        <v>120158</v>
      </c>
      <c r="CJ74" s="219" t="n">
        <v>2489</v>
      </c>
      <c r="CK74" s="219" t="n">
        <v>96.5</v>
      </c>
      <c r="CL74" s="219" t="n">
        <v>2.95</v>
      </c>
      <c r="CM74" s="219" t="n">
        <v>0.29</v>
      </c>
      <c r="CN74" s="219" t="n">
        <v>0.38</v>
      </c>
      <c r="CO74" s="219" t="n">
        <v>61.4</v>
      </c>
      <c r="CP74" s="219" t="n">
        <v>10.4</v>
      </c>
      <c r="CQ74" s="219" t="n">
        <v>0.23335</v>
      </c>
      <c r="CR74" s="219" t="n">
        <v>3.03</v>
      </c>
      <c r="CS74" s="219" t="n">
        <v>0.31</v>
      </c>
      <c r="CT74" s="219" t="n">
        <v>0.4</v>
      </c>
      <c r="CU74" s="219" t="n">
        <v>63.4</v>
      </c>
      <c r="CV74" s="219" t="n">
        <v>10.8</v>
      </c>
      <c r="CW74" s="205" t="n">
        <v>0.24329</v>
      </c>
    </row>
    <row r="75" s="205" customFormat="true" ht="12.8" hidden="false" customHeight="false" outlineLevel="0" collapsed="false">
      <c r="A75" s="205" t="s">
        <v>193</v>
      </c>
      <c r="B75" s="205" t="s">
        <v>101</v>
      </c>
      <c r="D75" s="205" t="s">
        <v>296</v>
      </c>
      <c r="E75" s="206" t="n">
        <v>15414</v>
      </c>
      <c r="F75" s="206" t="n">
        <v>42436</v>
      </c>
      <c r="G75" s="206" t="n">
        <v>43213</v>
      </c>
      <c r="H75" s="206" t="s">
        <v>103</v>
      </c>
      <c r="I75" s="239" t="n">
        <f aca="false">(G75-E75)/365.25</f>
        <v>76.1095140314853</v>
      </c>
      <c r="J75" s="239" t="n">
        <f aca="false">G75-E75</f>
        <v>27799</v>
      </c>
      <c r="K75" s="239" t="n">
        <f aca="false">G75-F75</f>
        <v>777</v>
      </c>
      <c r="L75" s="251" t="s">
        <v>114</v>
      </c>
      <c r="M75" s="251" t="s">
        <v>114</v>
      </c>
      <c r="N75" s="210" t="s">
        <v>194</v>
      </c>
      <c r="O75" s="211"/>
      <c r="P75" s="211"/>
      <c r="Q75" s="240" t="s">
        <v>252</v>
      </c>
      <c r="R75" s="240" t="s">
        <v>195</v>
      </c>
      <c r="S75" s="241" t="s">
        <v>107</v>
      </c>
      <c r="T75" s="242" t="s">
        <v>196</v>
      </c>
      <c r="U75" s="213" t="n">
        <v>1758.87</v>
      </c>
      <c r="V75" s="213" t="n">
        <v>83.02</v>
      </c>
      <c r="W75" s="214" t="n">
        <f aca="false">U75-V75</f>
        <v>1675.85</v>
      </c>
      <c r="X75" s="243" t="s">
        <v>109</v>
      </c>
      <c r="Y75" s="215" t="n">
        <v>2800000</v>
      </c>
      <c r="Z75" s="216" t="n">
        <f aca="false">Y75*W75</f>
        <v>4692380000</v>
      </c>
      <c r="AA75" s="215" t="n">
        <v>122000000</v>
      </c>
      <c r="AB75" s="241" t="s">
        <v>197</v>
      </c>
      <c r="AC75" s="216" t="n">
        <v>1000000</v>
      </c>
      <c r="AD75" s="205" t="s">
        <v>329</v>
      </c>
      <c r="AE75" s="205" t="n">
        <v>44196</v>
      </c>
      <c r="AF75" s="205" t="n">
        <v>383</v>
      </c>
      <c r="AG75" s="205" t="n">
        <f aca="false">100*0.0087</f>
        <v>0.87</v>
      </c>
      <c r="AH75" s="205" t="n">
        <f aca="false">100*0.0145</f>
        <v>1.45</v>
      </c>
      <c r="AI75" s="205" t="n">
        <v>8</v>
      </c>
      <c r="AJ75" s="205" t="n">
        <f aca="false">100*0.000175</f>
        <v>0.0175</v>
      </c>
      <c r="AK75" s="205" t="n">
        <v>229</v>
      </c>
      <c r="AL75" s="205" t="n">
        <f aca="false">100*0.0051</f>
        <v>0.51</v>
      </c>
      <c r="AM75" s="205" t="n">
        <v>0</v>
      </c>
      <c r="AN75" s="205" t="n">
        <v>0</v>
      </c>
      <c r="AO75" s="205" t="n">
        <f aca="false">100*0.922</f>
        <v>92.2</v>
      </c>
      <c r="AP75" s="205" t="n">
        <f aca="false">100*0.0483</f>
        <v>4.83</v>
      </c>
      <c r="AQ75" s="205" t="n">
        <v>17656</v>
      </c>
      <c r="AR75" s="205" t="n">
        <f aca="false">100*0.00754</f>
        <v>0.754</v>
      </c>
      <c r="AS75" s="205" t="n">
        <f aca="false">100*0.50951</f>
        <v>50.951</v>
      </c>
      <c r="AT75" s="205" t="n">
        <f aca="false">100*0.06755</f>
        <v>6.755</v>
      </c>
      <c r="AU75" s="205" t="n">
        <f aca="false">100*0.1902</f>
        <v>19.02</v>
      </c>
      <c r="AV75" s="205" t="n">
        <f aca="false">100*0.229</f>
        <v>22.9</v>
      </c>
      <c r="AW75" s="205" t="n">
        <f aca="false">100*0.0363</f>
        <v>3.63</v>
      </c>
      <c r="AX75" s="205" t="n">
        <f aca="false">100*0.010925</f>
        <v>1.0925</v>
      </c>
      <c r="AY75" s="205" t="n">
        <f aca="false">100*0.2361</f>
        <v>23.61</v>
      </c>
      <c r="AZ75" s="205" t="n">
        <f aca="false">100*0.709</f>
        <v>70.9</v>
      </c>
      <c r="BA75" s="205" t="n">
        <v>24187</v>
      </c>
      <c r="BB75" s="205" t="n">
        <f aca="false">100*0.0167596</f>
        <v>1.67596</v>
      </c>
      <c r="BC75" s="205" t="n">
        <f aca="false">100*0.54571</f>
        <v>54.571</v>
      </c>
      <c r="BD75" s="205" t="n">
        <f aca="false">100*0.02157935</f>
        <v>2.157935</v>
      </c>
      <c r="BE75" s="205" t="n">
        <f aca="false">100*0.0025</f>
        <v>0.25</v>
      </c>
      <c r="BF75" s="205" t="n">
        <f aca="false">100*0.43</f>
        <v>43</v>
      </c>
      <c r="BG75" s="205" t="n">
        <f aca="false">100*0.3829549</f>
        <v>38.29549</v>
      </c>
      <c r="BH75" s="205" t="n">
        <f aca="false">100*0.0248</f>
        <v>2.48</v>
      </c>
      <c r="BI75" s="205" t="n">
        <f aca="false">100*0.00599</f>
        <v>0.599</v>
      </c>
      <c r="BJ75" s="205" t="n">
        <f aca="false">100*0.586</f>
        <v>58.6</v>
      </c>
      <c r="BK75" s="205" t="n">
        <f aca="false">100*0.4024</f>
        <v>40.24</v>
      </c>
      <c r="BL75" s="205" t="n">
        <f aca="false">100*0.0261</f>
        <v>2.61</v>
      </c>
      <c r="BM75" s="205" t="n">
        <f aca="false">100*0.0247</f>
        <v>2.47</v>
      </c>
      <c r="BN75" s="205" t="n">
        <f aca="false">100*0.538</f>
        <v>53.8</v>
      </c>
      <c r="BO75" s="205" t="n">
        <f aca="false">100*0.0862</f>
        <v>8.62</v>
      </c>
      <c r="BP75" s="205" t="n">
        <f aca="false">100*0.02815</f>
        <v>2.815</v>
      </c>
      <c r="BQ75" s="205" t="n">
        <f aca="false">100*0.0827</f>
        <v>8.27</v>
      </c>
      <c r="BR75" s="205" t="n">
        <f aca="false">100*0.791</f>
        <v>79.1</v>
      </c>
      <c r="BS75" s="205" t="n">
        <f aca="false">100*0.269</f>
        <v>26.9</v>
      </c>
      <c r="BT75" s="205" t="n">
        <f aca="false">100*0.0699</f>
        <v>6.99</v>
      </c>
      <c r="BU75" s="205" t="n">
        <f aca="false">100*0.278</f>
        <v>27.8</v>
      </c>
      <c r="BV75" s="205" t="n">
        <f aca="false">100*0.362</f>
        <v>36.2</v>
      </c>
      <c r="BW75" s="205" t="n">
        <f aca="false">100*0.105</f>
        <v>10.5</v>
      </c>
      <c r="BX75" s="205" t="n">
        <f aca="false">100*0.0179</f>
        <v>1.79</v>
      </c>
      <c r="BY75" s="205" t="n">
        <f aca="false">100*0.184</f>
        <v>18.4</v>
      </c>
      <c r="BZ75" s="205" t="n">
        <f aca="false">100*0.69</f>
        <v>69</v>
      </c>
      <c r="CA75" s="217" t="n">
        <f aca="false">AE75/CB75</f>
        <v>0.0234756572052622</v>
      </c>
      <c r="CB75" s="218" t="n">
        <v>1882631</v>
      </c>
      <c r="CC75" s="218" t="n">
        <v>436000</v>
      </c>
      <c r="CD75" s="205" t="n">
        <v>432000</v>
      </c>
      <c r="CE75" s="205" t="n">
        <v>8840</v>
      </c>
      <c r="CF75" s="205" t="n">
        <v>927</v>
      </c>
      <c r="CG75" s="205" t="n">
        <v>418</v>
      </c>
      <c r="CH75" s="205" t="n">
        <v>312297</v>
      </c>
      <c r="CI75" s="205" t="n">
        <v>56343</v>
      </c>
      <c r="CJ75" s="205" t="n">
        <v>228</v>
      </c>
      <c r="CK75" s="205" t="n">
        <v>99.6</v>
      </c>
      <c r="CL75" s="205" t="n">
        <v>2.27</v>
      </c>
      <c r="CM75" s="205" t="n">
        <v>0.24</v>
      </c>
      <c r="CN75" s="205" t="n">
        <v>0.11</v>
      </c>
      <c r="CO75" s="205" t="n">
        <v>76</v>
      </c>
      <c r="CP75" s="205" t="n">
        <v>12.9</v>
      </c>
      <c r="CQ75" s="205" t="n">
        <v>0.052</v>
      </c>
      <c r="CR75" s="205" t="n">
        <v>2.28</v>
      </c>
      <c r="CS75" s="205" t="n">
        <v>0.24</v>
      </c>
      <c r="CT75" s="205" t="n">
        <v>0.11</v>
      </c>
      <c r="CU75" s="205" t="n">
        <v>76.3</v>
      </c>
      <c r="CV75" s="205" t="n">
        <v>13</v>
      </c>
      <c r="CW75" s="205" t="n">
        <v>0.052</v>
      </c>
    </row>
    <row r="76" s="205" customFormat="true" ht="12.8" hidden="false" customHeight="false" outlineLevel="0" collapsed="false">
      <c r="A76" s="205" t="s">
        <v>199</v>
      </c>
      <c r="B76" s="205" t="s">
        <v>113</v>
      </c>
      <c r="D76" s="205" t="s">
        <v>296</v>
      </c>
      <c r="E76" s="220" t="n">
        <v>15414</v>
      </c>
      <c r="F76" s="220" t="n">
        <v>42436</v>
      </c>
      <c r="G76" s="220" t="n">
        <v>43369</v>
      </c>
      <c r="H76" s="220" t="s">
        <v>103</v>
      </c>
      <c r="I76" s="208" t="n">
        <v>76.5366187542779</v>
      </c>
      <c r="J76" s="209" t="n">
        <v>27955</v>
      </c>
      <c r="K76" s="209" t="n">
        <v>933</v>
      </c>
      <c r="L76" s="209" t="s">
        <v>114</v>
      </c>
      <c r="M76" s="209" t="s">
        <v>114</v>
      </c>
      <c r="N76" s="210" t="n">
        <v>43159</v>
      </c>
      <c r="O76" s="222"/>
      <c r="P76" s="222"/>
      <c r="Q76" s="220" t="s">
        <v>116</v>
      </c>
      <c r="R76" s="220"/>
      <c r="S76" s="212" t="s">
        <v>117</v>
      </c>
      <c r="T76" s="222" t="n">
        <v>10</v>
      </c>
      <c r="U76" s="221" t="n">
        <v>2186.34</v>
      </c>
      <c r="V76" s="223" t="n">
        <v>72.12</v>
      </c>
      <c r="W76" s="224" t="n">
        <v>2114.22</v>
      </c>
      <c r="X76" s="212"/>
      <c r="Y76" s="225"/>
      <c r="Z76" s="226" t="n">
        <v>6750000</v>
      </c>
      <c r="AA76" s="225"/>
      <c r="AB76" s="212"/>
      <c r="AC76" s="252" t="n">
        <v>10660000</v>
      </c>
      <c r="AD76" s="205" t="s">
        <v>330</v>
      </c>
      <c r="AE76" s="205" t="n">
        <v>365344</v>
      </c>
      <c r="AF76" s="205" t="n">
        <v>4107</v>
      </c>
      <c r="AG76" s="205" t="n">
        <f aca="false">100*0.0114</f>
        <v>1.14</v>
      </c>
      <c r="AH76" s="205" t="n">
        <f aca="false">100*0.112</f>
        <v>11.2</v>
      </c>
      <c r="AI76" s="205" t="n">
        <v>19</v>
      </c>
      <c r="AJ76" s="205" t="n">
        <f aca="false">100*0.0000528</f>
        <v>0.00528</v>
      </c>
      <c r="AK76" s="205" t="n">
        <v>2122</v>
      </c>
      <c r="AL76" s="205" t="n">
        <f aca="false">100*0.006</f>
        <v>0.6</v>
      </c>
      <c r="AM76" s="205" t="n">
        <f aca="false">100*0.0113</f>
        <v>1.13</v>
      </c>
      <c r="AN76" s="205" t="n">
        <f aca="false">100*0.00047</f>
        <v>0.047</v>
      </c>
      <c r="AO76" s="205" t="n">
        <f aca="false">100*0.899</f>
        <v>89.9</v>
      </c>
      <c r="AP76" s="205" t="n">
        <f aca="false">100*0.0509</f>
        <v>5.09</v>
      </c>
      <c r="AQ76" s="205" t="n">
        <v>140446</v>
      </c>
      <c r="AR76" s="205" t="n">
        <f aca="false">100*0.0513</f>
        <v>5.13</v>
      </c>
      <c r="AS76" s="205" t="n">
        <f aca="false">100*0.379</f>
        <v>37.9</v>
      </c>
      <c r="AT76" s="205" t="n">
        <f aca="false">100*0.0952</f>
        <v>9.52</v>
      </c>
      <c r="AU76" s="205" t="n">
        <f aca="false">100*0.12</f>
        <v>12</v>
      </c>
      <c r="AV76" s="205" t="n">
        <f aca="false">100*0.406</f>
        <v>40.6</v>
      </c>
      <c r="AW76" s="205" t="n">
        <f aca="false">100*0.0533</f>
        <v>5.33</v>
      </c>
      <c r="AX76" s="205" t="n">
        <f aca="false">100*0.0382</f>
        <v>3.82</v>
      </c>
      <c r="AY76" s="205" t="n">
        <f aca="false">100*0.19</f>
        <v>19</v>
      </c>
      <c r="AZ76" s="205" t="n">
        <f aca="false">100*0.719</f>
        <v>71.9</v>
      </c>
      <c r="BA76" s="205" t="n">
        <v>199218</v>
      </c>
      <c r="BB76" s="205" t="n">
        <f aca="false">100*0.0419</f>
        <v>4.19</v>
      </c>
      <c r="BC76" s="205" t="n">
        <f aca="false">100*0.469</f>
        <v>46.9</v>
      </c>
      <c r="BD76" s="205" t="n">
        <f aca="false">100*0.0393</f>
        <v>3.93</v>
      </c>
      <c r="BE76" s="205" t="n">
        <f aca="false">100*0.0016</f>
        <v>0.16</v>
      </c>
      <c r="BF76" s="205" t="n">
        <f aca="false">100*0.49</f>
        <v>49</v>
      </c>
      <c r="BG76" s="205" t="n">
        <f aca="false">100*0.343</f>
        <v>34.3</v>
      </c>
      <c r="BH76" s="205" t="n">
        <f aca="false">100*0.0373</f>
        <v>3.73</v>
      </c>
      <c r="BI76" s="205" t="n">
        <f aca="false">100*0.0036</f>
        <v>0.36</v>
      </c>
      <c r="BJ76" s="205" t="n">
        <f aca="false">100*0.616</f>
        <v>61.6</v>
      </c>
      <c r="BK76" s="205" t="n">
        <f aca="false">100*0.333</f>
        <v>33.3</v>
      </c>
      <c r="BL76" s="205" t="n">
        <f aca="false">100*0.0285</f>
        <v>2.85</v>
      </c>
      <c r="BM76" s="205" t="n">
        <f aca="false">100*0.0282</f>
        <v>2.82</v>
      </c>
      <c r="BN76" s="205" t="n">
        <f aca="false">100*0.61</f>
        <v>61</v>
      </c>
      <c r="BO76" s="205" t="n">
        <f aca="false">100*0.199</f>
        <v>19.9</v>
      </c>
      <c r="BP76" s="205" t="n">
        <f aca="false">100*0.0209</f>
        <v>2.09</v>
      </c>
      <c r="BQ76" s="205" t="n">
        <f aca="false">100*0.0358</f>
        <v>3.58</v>
      </c>
      <c r="BR76" s="205" t="n">
        <f aca="false">100*0.744</f>
        <v>74.4</v>
      </c>
      <c r="BS76" s="205" t="n">
        <f aca="false">100*0.286</f>
        <v>28.6</v>
      </c>
      <c r="BT76" s="205" t="n">
        <f aca="false">100*0.0679</f>
        <v>6.79</v>
      </c>
      <c r="BU76" s="205" t="n">
        <f aca="false">100*0.256</f>
        <v>25.6</v>
      </c>
      <c r="BV76" s="205" t="n">
        <f aca="false">100*0.391</f>
        <v>39.1</v>
      </c>
      <c r="BW76" s="205" t="n">
        <f aca="false">100*0.0283</f>
        <v>2.83</v>
      </c>
      <c r="BX76" s="205" t="n">
        <f aca="false">100*0.0028</f>
        <v>0.28</v>
      </c>
      <c r="BY76" s="205" t="n">
        <f aca="false">100*0.173</f>
        <v>17.3</v>
      </c>
      <c r="BZ76" s="205" t="n">
        <f aca="false">100*0.796</f>
        <v>79.6</v>
      </c>
      <c r="CA76" s="217" t="n">
        <v>1</v>
      </c>
      <c r="CB76" s="218" t="n">
        <v>889000</v>
      </c>
      <c r="CC76" s="218" t="n">
        <v>871000</v>
      </c>
      <c r="CD76" s="219" t="n">
        <v>2780</v>
      </c>
      <c r="CE76" s="219" t="n">
        <v>13558</v>
      </c>
      <c r="CF76" s="219" t="n">
        <v>10597</v>
      </c>
      <c r="CG76" s="219" t="n">
        <v>17630</v>
      </c>
      <c r="CH76" s="219" t="n">
        <v>211400</v>
      </c>
      <c r="CI76" s="219" t="n">
        <v>25545</v>
      </c>
      <c r="CJ76" s="219" t="n">
        <v>98</v>
      </c>
      <c r="CK76" s="219" t="n">
        <v>0.31</v>
      </c>
      <c r="CL76" s="219" t="n">
        <v>1.53</v>
      </c>
      <c r="CM76" s="219" t="n">
        <v>1.19</v>
      </c>
      <c r="CN76" s="219" t="n">
        <v>1.98</v>
      </c>
      <c r="CO76" s="219" t="n">
        <v>23.8</v>
      </c>
      <c r="CP76" s="219" t="n">
        <v>2.87</v>
      </c>
      <c r="CQ76" s="219" t="n">
        <v>0.32</v>
      </c>
      <c r="CR76" s="219" t="n">
        <v>1.56</v>
      </c>
      <c r="CS76" s="219" t="n">
        <v>1.22</v>
      </c>
      <c r="CT76" s="219" t="n">
        <v>2.02</v>
      </c>
      <c r="CU76" s="219" t="n">
        <v>24.3</v>
      </c>
      <c r="CV76" s="219" t="n">
        <v>2.93</v>
      </c>
    </row>
    <row r="77" s="186" customFormat="true" ht="12.8" hidden="false" customHeight="false" outlineLevel="0" collapsed="false">
      <c r="A77" s="168" t="s">
        <v>331</v>
      </c>
      <c r="B77" s="168" t="s">
        <v>101</v>
      </c>
      <c r="C77" s="168"/>
      <c r="D77" s="168" t="s">
        <v>296</v>
      </c>
      <c r="E77" s="169" t="n">
        <v>32066</v>
      </c>
      <c r="F77" s="169" t="n">
        <v>42780</v>
      </c>
      <c r="G77" s="169" t="n">
        <v>43112</v>
      </c>
      <c r="H77" s="169" t="s">
        <v>157</v>
      </c>
      <c r="I77" s="171" t="n">
        <f aca="false">(G77-E77)/365.25</f>
        <v>30.2422997946612</v>
      </c>
      <c r="J77" s="171" t="n">
        <f aca="false">G77-E77</f>
        <v>11046</v>
      </c>
      <c r="K77" s="171" t="n">
        <f aca="false">G77-F77</f>
        <v>332</v>
      </c>
      <c r="L77" s="172" t="s">
        <v>114</v>
      </c>
      <c r="M77" s="172" t="s">
        <v>114</v>
      </c>
      <c r="N77" s="173" t="s">
        <v>230</v>
      </c>
      <c r="O77" s="174"/>
      <c r="P77" s="174"/>
      <c r="Q77" s="175" t="s">
        <v>116</v>
      </c>
      <c r="R77" s="175" t="s">
        <v>332</v>
      </c>
      <c r="S77" s="176" t="s">
        <v>333</v>
      </c>
      <c r="T77" s="177" t="s">
        <v>143</v>
      </c>
      <c r="U77" s="178" t="n">
        <v>1494.16</v>
      </c>
      <c r="V77" s="178" t="n">
        <v>77.17</v>
      </c>
      <c r="W77" s="179" t="n">
        <f aca="false">U77-V77</f>
        <v>1416.99</v>
      </c>
      <c r="X77" s="176" t="s">
        <v>233</v>
      </c>
      <c r="Y77" s="181" t="n">
        <v>7025000</v>
      </c>
      <c r="Z77" s="182" t="n">
        <f aca="false">Y77*W77</f>
        <v>9954354750</v>
      </c>
      <c r="AA77" s="181" t="n">
        <v>5680000</v>
      </c>
      <c r="AB77" s="176" t="s">
        <v>332</v>
      </c>
      <c r="AC77" s="182" t="s">
        <v>306</v>
      </c>
      <c r="AD77" s="168" t="s">
        <v>334</v>
      </c>
      <c r="AE77" s="168" t="n">
        <v>47913</v>
      </c>
      <c r="AF77" s="168" t="n">
        <v>7362</v>
      </c>
      <c r="AG77" s="168" t="n">
        <f aca="false">100*0.155</f>
        <v>15.5</v>
      </c>
      <c r="AH77" s="168" t="n">
        <f aca="false">100*0.05015</f>
        <v>5.015</v>
      </c>
      <c r="AI77" s="168" t="n">
        <v>162</v>
      </c>
      <c r="AJ77" s="168" t="n">
        <f aca="false">100*0.0035</f>
        <v>0.35</v>
      </c>
      <c r="AK77" s="168" t="n">
        <v>6305</v>
      </c>
      <c r="AL77" s="168" t="n">
        <f aca="false">100*0.163</f>
        <v>16.3</v>
      </c>
      <c r="AM77" s="168" t="n">
        <f aca="false">100*0.0171</f>
        <v>1.71</v>
      </c>
      <c r="AN77" s="168" t="n">
        <f aca="false">100*0.00245</f>
        <v>0.245</v>
      </c>
      <c r="AO77" s="168" t="n">
        <f aca="false">100*0.826</f>
        <v>82.6</v>
      </c>
      <c r="AP77" s="168" t="n">
        <f aca="false">100*0.0178</f>
        <v>1.78</v>
      </c>
      <c r="AQ77" s="168" t="n">
        <v>10236</v>
      </c>
      <c r="AR77" s="168" t="n">
        <f aca="false">100*0.1554023</f>
        <v>15.54023</v>
      </c>
      <c r="AS77" s="168" t="n">
        <f aca="false">100*0.433</f>
        <v>43.3</v>
      </c>
      <c r="AT77" s="168" t="n">
        <f aca="false">100*0.242</f>
        <v>24.2</v>
      </c>
      <c r="AU77" s="168" t="n">
        <f aca="false">100*0.2239</f>
        <v>22.39</v>
      </c>
      <c r="AV77" s="168" t="n">
        <f aca="false">100*0.0996</f>
        <v>9.96</v>
      </c>
      <c r="AW77" s="168" t="n">
        <f aca="false">100*0.102</f>
        <v>10.2</v>
      </c>
      <c r="AX77" s="168" t="n">
        <f aca="false">100*0.0909</f>
        <v>9.09</v>
      </c>
      <c r="AY77" s="168" t="n">
        <f aca="false">100*0.3489</f>
        <v>34.89</v>
      </c>
      <c r="AZ77" s="168" t="n">
        <f aca="false">100*0.455</f>
        <v>45.5</v>
      </c>
      <c r="BA77" s="168" t="n">
        <v>21756</v>
      </c>
      <c r="BB77" s="168" t="n">
        <f aca="false">100*0.08065</f>
        <v>8.065</v>
      </c>
      <c r="BC77" s="168" t="n">
        <f aca="false">100*0.6759508</f>
        <v>67.59508</v>
      </c>
      <c r="BD77" s="168" t="n">
        <f aca="false">100*0.0708764</f>
        <v>7.08764</v>
      </c>
      <c r="BE77" s="168" t="n">
        <f aca="false">100*0.0303528</f>
        <v>3.03528</v>
      </c>
      <c r="BF77" s="168" t="n">
        <f aca="false">100*0.223</f>
        <v>22.3</v>
      </c>
      <c r="BG77" s="168" t="n">
        <f aca="false">100*0.53474</f>
        <v>53.474</v>
      </c>
      <c r="BH77" s="168" t="n">
        <f aca="false">100*0.049155</f>
        <v>4.9155</v>
      </c>
      <c r="BI77" s="168" t="n">
        <f aca="false">100*0.0444528</f>
        <v>4.44528</v>
      </c>
      <c r="BJ77" s="168" t="n">
        <f aca="false">100*0.371</f>
        <v>37.1</v>
      </c>
      <c r="BK77" s="168" t="n">
        <f aca="false">100*0.10086</f>
        <v>10.086</v>
      </c>
      <c r="BL77" s="168" t="n">
        <f aca="false">100*0.0382</f>
        <v>3.82</v>
      </c>
      <c r="BM77" s="168" t="n">
        <f aca="false">100*0.173</f>
        <v>17.3</v>
      </c>
      <c r="BN77" s="168" t="n">
        <f aca="false">100*0.685</f>
        <v>68.5</v>
      </c>
      <c r="BO77" s="168" t="n">
        <f aca="false">100*0.38462</f>
        <v>38.462</v>
      </c>
      <c r="BP77" s="168" t="n">
        <f aca="false">100*0.106</f>
        <v>10.6</v>
      </c>
      <c r="BQ77" s="168" t="n">
        <f aca="false">100*0.102</f>
        <v>10.2</v>
      </c>
      <c r="BR77" s="168" t="n">
        <f aca="false">100*0.407</f>
        <v>40.7</v>
      </c>
      <c r="BS77" s="168" t="n">
        <f aca="false">100*0.32484</f>
        <v>32.484</v>
      </c>
      <c r="BT77" s="168" t="n">
        <f aca="false">100*0.56892</f>
        <v>56.892</v>
      </c>
      <c r="BU77" s="168" t="n">
        <f aca="false">100*0.0615</f>
        <v>6.15</v>
      </c>
      <c r="BV77" s="168" t="n">
        <f aca="false">100*0.0455</f>
        <v>4.55</v>
      </c>
      <c r="BW77" s="168" t="n">
        <f aca="false">100*0.235</f>
        <v>23.5</v>
      </c>
      <c r="BX77" s="168" t="n">
        <f aca="false">100*0.389855</f>
        <v>38.9855</v>
      </c>
      <c r="BY77" s="168" t="n">
        <f aca="false">100*0.209</f>
        <v>20.9</v>
      </c>
      <c r="BZ77" s="168" t="n">
        <f aca="false">100*0.173</f>
        <v>17.3</v>
      </c>
      <c r="CA77" s="229" t="n">
        <f aca="false">AE77/CB77</f>
        <v>0.0129428026612259</v>
      </c>
      <c r="CB77" s="184" t="n">
        <v>3701903</v>
      </c>
      <c r="CC77" s="184" t="n">
        <v>1430000</v>
      </c>
      <c r="CD77" s="185" t="n">
        <v>1410000</v>
      </c>
      <c r="CE77" s="185" t="n">
        <v>29761</v>
      </c>
      <c r="CF77" s="185" t="n">
        <v>157</v>
      </c>
      <c r="CG77" s="185" t="n">
        <v>2323</v>
      </c>
      <c r="CH77" s="185" t="n">
        <v>795000</v>
      </c>
      <c r="CI77" s="185" t="n">
        <v>41935</v>
      </c>
      <c r="CJ77" s="185" t="n">
        <v>2954</v>
      </c>
      <c r="CK77" s="185" t="n">
        <v>0.986</v>
      </c>
      <c r="CL77" s="185" t="n">
        <v>0.0208</v>
      </c>
      <c r="CM77" s="185" t="n">
        <v>0.00011</v>
      </c>
      <c r="CN77" s="185" t="n">
        <v>0.0016</v>
      </c>
      <c r="CO77" s="185" t="n">
        <v>0.556</v>
      </c>
      <c r="CP77" s="185" t="n">
        <v>0.0293</v>
      </c>
      <c r="CQ77" s="185" t="n">
        <v>0.0021</v>
      </c>
      <c r="CR77" s="185" t="n">
        <v>0.0211</v>
      </c>
      <c r="CS77" s="185" t="n">
        <v>0.00011</v>
      </c>
      <c r="CT77" s="185" t="n">
        <v>0.0016</v>
      </c>
      <c r="CU77" s="185" t="n">
        <v>0.564</v>
      </c>
      <c r="CV77" s="185" t="n">
        <v>0.0297</v>
      </c>
      <c r="CW77" s="168" t="n">
        <v>0.00209503546099291</v>
      </c>
      <c r="CX77" s="168"/>
    </row>
    <row r="78" s="186" customFormat="true" ht="28.35" hidden="false" customHeight="false" outlineLevel="0" collapsed="false">
      <c r="A78" s="168" t="s">
        <v>335</v>
      </c>
      <c r="B78" s="168" t="s">
        <v>101</v>
      </c>
      <c r="C78" s="168"/>
      <c r="D78" s="168" t="s">
        <v>296</v>
      </c>
      <c r="E78" s="169" t="n">
        <v>26089</v>
      </c>
      <c r="F78" s="169" t="n">
        <v>42198</v>
      </c>
      <c r="G78" s="169" t="n">
        <v>42898</v>
      </c>
      <c r="H78" s="169" t="s">
        <v>157</v>
      </c>
      <c r="I78" s="170" t="n">
        <f aca="false">(G78-E78)/365.25</f>
        <v>46.0205338809035</v>
      </c>
      <c r="J78" s="171" t="n">
        <f aca="false">G78-E78</f>
        <v>16809</v>
      </c>
      <c r="K78" s="171" t="n">
        <f aca="false">G78-F78</f>
        <v>700</v>
      </c>
      <c r="L78" s="253" t="s">
        <v>114</v>
      </c>
      <c r="M78" s="253" t="s">
        <v>104</v>
      </c>
      <c r="N78" s="173" t="s">
        <v>336</v>
      </c>
      <c r="O78" s="174"/>
      <c r="P78" s="174"/>
      <c r="Q78" s="175" t="s">
        <v>106</v>
      </c>
      <c r="R78" s="175"/>
      <c r="S78" s="176" t="s">
        <v>337</v>
      </c>
      <c r="T78" s="177" t="s">
        <v>338</v>
      </c>
      <c r="U78" s="178" t="n">
        <v>1768.52</v>
      </c>
      <c r="V78" s="178" t="n">
        <v>91.88</v>
      </c>
      <c r="W78" s="179" t="n">
        <f aca="false">U78-V78</f>
        <v>1676.64</v>
      </c>
      <c r="X78" s="180" t="s">
        <v>339</v>
      </c>
      <c r="Y78" s="181" t="n">
        <v>1927000</v>
      </c>
      <c r="Z78" s="182" t="n">
        <f aca="false">Y78*W78</f>
        <v>3230885280</v>
      </c>
      <c r="AA78" s="181" t="s">
        <v>340</v>
      </c>
      <c r="AB78" s="176" t="s">
        <v>341</v>
      </c>
      <c r="AC78" s="182" t="s">
        <v>342</v>
      </c>
      <c r="AD78" s="168" t="s">
        <v>343</v>
      </c>
      <c r="AE78" s="168" t="n">
        <v>1339</v>
      </c>
      <c r="AF78" s="168" t="n">
        <v>14</v>
      </c>
      <c r="AG78" s="168" t="n">
        <f aca="false">100*0.0118</f>
        <v>1.18</v>
      </c>
      <c r="AH78" s="168" t="n">
        <v>0</v>
      </c>
      <c r="AI78" s="168" t="n">
        <v>0</v>
      </c>
      <c r="AJ78" s="168" t="n">
        <v>0</v>
      </c>
      <c r="AK78" s="168" t="n">
        <v>38</v>
      </c>
      <c r="AL78" s="168" t="n">
        <f aca="false">100*0.031</f>
        <v>3.1</v>
      </c>
      <c r="AM78" s="168" t="n">
        <v>0</v>
      </c>
      <c r="AN78" s="168" t="n">
        <v>0</v>
      </c>
      <c r="AO78" s="168" t="n">
        <f aca="false">100*0.842</f>
        <v>84.2</v>
      </c>
      <c r="AP78" s="168" t="n">
        <f aca="false">100*0.087</f>
        <v>8.7</v>
      </c>
      <c r="AQ78" s="168" t="n">
        <v>405</v>
      </c>
      <c r="AR78" s="168" t="n">
        <v>0</v>
      </c>
      <c r="AS78" s="168" t="n">
        <f aca="false">100*0.5213</f>
        <v>52.13</v>
      </c>
      <c r="AT78" s="168" t="n">
        <f aca="false">100*0.136</f>
        <v>13.6</v>
      </c>
      <c r="AU78" s="168" t="n">
        <f aca="false">100*0.0764</f>
        <v>7.64</v>
      </c>
      <c r="AV78" s="168" t="n">
        <f aca="false">100*0.2545</f>
        <v>25.45</v>
      </c>
      <c r="AW78" s="168" t="n">
        <v>0</v>
      </c>
      <c r="AX78" s="168" t="n">
        <f aca="false">100*0.0123</f>
        <v>1.23</v>
      </c>
      <c r="AY78" s="168" t="n">
        <f aca="false">100*0.212</f>
        <v>21.2</v>
      </c>
      <c r="AZ78" s="168" t="n">
        <f aca="false">100*0.781</f>
        <v>78.1</v>
      </c>
      <c r="BA78" s="168" t="n">
        <v>770</v>
      </c>
      <c r="BB78" s="168" t="n">
        <v>0</v>
      </c>
      <c r="BC78" s="168" t="n">
        <f aca="false">100*0.603</f>
        <v>60.3</v>
      </c>
      <c r="BD78" s="168" t="n">
        <f aca="false">100*0.069</f>
        <v>6.9</v>
      </c>
      <c r="BE78" s="168" t="n">
        <f aca="false">100*0.00105</f>
        <v>0.105</v>
      </c>
      <c r="BF78" s="168" t="n">
        <f aca="false">100*0.3195</f>
        <v>31.95</v>
      </c>
      <c r="BG78" s="168" t="n">
        <f aca="false">100*0.0076</f>
        <v>0.76</v>
      </c>
      <c r="BH78" s="168" t="n">
        <f aca="false">100*0.0252</f>
        <v>2.52</v>
      </c>
      <c r="BI78" s="168" t="n">
        <f aca="false">100*0.0455</f>
        <v>4.55</v>
      </c>
      <c r="BJ78" s="168" t="n">
        <f aca="false">100*0.917</f>
        <v>91.7</v>
      </c>
      <c r="BK78" s="168" t="n">
        <f aca="false">100*0.6235</f>
        <v>62.35</v>
      </c>
      <c r="BL78" s="168" t="n">
        <f aca="false">100*0.0665</f>
        <v>6.65</v>
      </c>
      <c r="BM78" s="168" t="n">
        <v>0</v>
      </c>
      <c r="BN78" s="168" t="n">
        <f aca="false">100*0.3095</f>
        <v>30.95</v>
      </c>
      <c r="BO78" s="168" t="n">
        <f aca="false">100*0.733</f>
        <v>73.3</v>
      </c>
      <c r="BP78" s="168" t="n">
        <f aca="false">100*0.1</f>
        <v>10</v>
      </c>
      <c r="BQ78" s="168" t="n">
        <v>0</v>
      </c>
      <c r="BR78" s="168" t="n">
        <f aca="false">100*0.2</f>
        <v>20</v>
      </c>
      <c r="BS78" s="168" t="n">
        <f aca="false">100*0.5245</f>
        <v>52.45</v>
      </c>
      <c r="BT78" s="168" t="n">
        <f aca="false">100*0.0729</f>
        <v>7.29</v>
      </c>
      <c r="BU78" s="168" t="n">
        <f aca="false">100*0.0102</f>
        <v>1.02</v>
      </c>
      <c r="BV78" s="168" t="n">
        <f aca="false">100*0.3485</f>
        <v>34.85</v>
      </c>
      <c r="BW78" s="168" t="n">
        <v>0</v>
      </c>
      <c r="BX78" s="168" t="n">
        <v>0</v>
      </c>
      <c r="BY78" s="168" t="n">
        <f aca="false">100*0.0612</f>
        <v>6.12</v>
      </c>
      <c r="BZ78" s="168" t="n">
        <f aca="false">100*0.939</f>
        <v>93.9</v>
      </c>
      <c r="CA78" s="229" t="n">
        <f aca="false">AE78/CB78</f>
        <v>0.00536910060547736</v>
      </c>
      <c r="CB78" s="184" t="n">
        <v>249390</v>
      </c>
      <c r="CC78" s="184" t="n">
        <v>496000</v>
      </c>
      <c r="CD78" s="185" t="n">
        <v>483000</v>
      </c>
      <c r="CE78" s="185" t="n">
        <v>1239</v>
      </c>
      <c r="CF78" s="185" t="n">
        <v>247</v>
      </c>
      <c r="CG78" s="185" t="n">
        <v>46</v>
      </c>
      <c r="CH78" s="185" t="n">
        <v>372815</v>
      </c>
      <c r="CI78" s="185" t="n">
        <v>83181</v>
      </c>
      <c r="CJ78" s="185" t="n">
        <v>2029</v>
      </c>
      <c r="CK78" s="185" t="n">
        <v>0.974</v>
      </c>
      <c r="CL78" s="185" t="n">
        <v>0.0025</v>
      </c>
      <c r="CM78" s="185" t="n">
        <v>0.0005</v>
      </c>
      <c r="CN78" s="185" t="n">
        <v>9.27E-005</v>
      </c>
      <c r="CO78" s="185" t="n">
        <v>0.752</v>
      </c>
      <c r="CP78" s="185" t="n">
        <v>0.168</v>
      </c>
      <c r="CQ78" s="185" t="n">
        <v>0.0041</v>
      </c>
      <c r="CR78" s="185" t="n">
        <v>0.0026</v>
      </c>
      <c r="CS78" s="185" t="n">
        <v>0.00051</v>
      </c>
      <c r="CT78" s="185" t="n">
        <v>9.52E-005</v>
      </c>
      <c r="CU78" s="185" t="n">
        <v>0.772</v>
      </c>
      <c r="CV78" s="185" t="n">
        <v>0.172</v>
      </c>
      <c r="CW78" s="168" t="n">
        <v>0.0042008281573499</v>
      </c>
      <c r="CX78" s="168"/>
    </row>
    <row r="79" s="205" customFormat="true" ht="19.4" hidden="false" customHeight="false" outlineLevel="0" collapsed="false">
      <c r="A79" s="205" t="s">
        <v>344</v>
      </c>
      <c r="B79" s="205" t="s">
        <v>101</v>
      </c>
      <c r="D79" s="205" t="s">
        <v>296</v>
      </c>
      <c r="E79" s="206" t="n">
        <v>27389</v>
      </c>
      <c r="F79" s="206" t="n">
        <v>42605</v>
      </c>
      <c r="G79" s="206" t="n">
        <v>42896</v>
      </c>
      <c r="H79" s="206" t="s">
        <v>157</v>
      </c>
      <c r="I79" s="208" t="n">
        <f aca="false">(G79-E79)/365.25</f>
        <v>42.4558521560575</v>
      </c>
      <c r="J79" s="239" t="n">
        <f aca="false">G79-E79</f>
        <v>15507</v>
      </c>
      <c r="K79" s="239" t="n">
        <f aca="false">G79-F79</f>
        <v>291</v>
      </c>
      <c r="L79" s="209" t="s">
        <v>104</v>
      </c>
      <c r="M79" s="209" t="s">
        <v>114</v>
      </c>
      <c r="N79" s="210" t="s">
        <v>206</v>
      </c>
      <c r="O79" s="211"/>
      <c r="P79" s="211"/>
      <c r="Q79" s="207" t="s">
        <v>106</v>
      </c>
      <c r="R79" s="207"/>
      <c r="S79" s="241" t="s">
        <v>107</v>
      </c>
      <c r="T79" s="254"/>
      <c r="U79" s="213" t="n">
        <v>2949.69</v>
      </c>
      <c r="V79" s="213" t="n">
        <v>71.95</v>
      </c>
      <c r="W79" s="214" t="n">
        <f aca="false">U79-V79</f>
        <v>2877.74</v>
      </c>
      <c r="X79" s="243" t="s">
        <v>339</v>
      </c>
      <c r="Y79" s="215" t="n">
        <v>9780000</v>
      </c>
      <c r="Z79" s="216" t="n">
        <f aca="false">Y79*W79</f>
        <v>28144297200</v>
      </c>
      <c r="AA79" s="215" t="n">
        <v>1500000000</v>
      </c>
      <c r="AB79" s="241" t="s">
        <v>345</v>
      </c>
      <c r="AC79" s="216" t="s">
        <v>306</v>
      </c>
      <c r="AD79" s="205" t="s">
        <v>346</v>
      </c>
      <c r="AE79" s="205" t="n">
        <v>3325</v>
      </c>
      <c r="AF79" s="205" t="n">
        <v>70</v>
      </c>
      <c r="AG79" s="205" t="n">
        <f aca="false">100*0.0218</f>
        <v>2.18</v>
      </c>
      <c r="AH79" s="205" t="n">
        <v>0</v>
      </c>
      <c r="AI79" s="205" t="n">
        <v>0</v>
      </c>
      <c r="AJ79" s="205" t="n">
        <v>0</v>
      </c>
      <c r="AK79" s="205" t="n">
        <v>284</v>
      </c>
      <c r="AL79" s="205" t="n">
        <f aca="false">100*0.0878</f>
        <v>8.78</v>
      </c>
      <c r="AM79" s="205" t="n">
        <v>0</v>
      </c>
      <c r="AN79" s="205" t="n">
        <v>0</v>
      </c>
      <c r="AO79" s="205" t="n">
        <f aca="false">100*0.917</f>
        <v>91.7</v>
      </c>
      <c r="AP79" s="205" t="n">
        <f aca="false">100*0.0038</f>
        <v>0.38</v>
      </c>
      <c r="AQ79" s="205" t="n">
        <v>506</v>
      </c>
      <c r="AR79" s="205" t="n">
        <f aca="false">100*0.00195</f>
        <v>0.195</v>
      </c>
      <c r="AS79" s="205" t="n">
        <f aca="false">100*0.549</f>
        <v>54.9</v>
      </c>
      <c r="AT79" s="205" t="n">
        <f aca="false">100*0.287</f>
        <v>28.7</v>
      </c>
      <c r="AU79" s="205" t="n">
        <f aca="false">100*0.03895</f>
        <v>3.895</v>
      </c>
      <c r="AV79" s="205" t="n">
        <f aca="false">100*0.12</f>
        <v>12</v>
      </c>
      <c r="AW79" s="205" t="n">
        <f aca="false">100*0.00635</f>
        <v>0.635</v>
      </c>
      <c r="AX79" s="205" t="n">
        <f aca="false">100*0.0309</f>
        <v>3.09</v>
      </c>
      <c r="AY79" s="205" t="n">
        <f aca="false">100*0.3195</f>
        <v>31.95</v>
      </c>
      <c r="AZ79" s="205" t="n">
        <f aca="false">100*0.672</f>
        <v>67.2</v>
      </c>
      <c r="BA79" s="205" t="n">
        <v>2292</v>
      </c>
      <c r="BB79" s="205" t="n">
        <v>0</v>
      </c>
      <c r="BC79" s="205" t="n">
        <f aca="false">100*0.7725</f>
        <v>77.25</v>
      </c>
      <c r="BD79" s="205" t="n">
        <f aca="false">100*0.0336</f>
        <v>3.36</v>
      </c>
      <c r="BE79" s="205" t="n">
        <f aca="false">100*0.0014</f>
        <v>0.14</v>
      </c>
      <c r="BF79" s="205" t="n">
        <f aca="false">100*0.195</f>
        <v>19.5</v>
      </c>
      <c r="BG79" s="205" t="n">
        <f aca="false">100*0.0666</f>
        <v>6.66</v>
      </c>
      <c r="BH79" s="205" t="n">
        <f aca="false">100*0.0117</f>
        <v>1.17</v>
      </c>
      <c r="BI79" s="205" t="n">
        <f aca="false">100*0.02995</f>
        <v>2.995</v>
      </c>
      <c r="BJ79" s="205" t="n">
        <f aca="false">100*0.898</f>
        <v>89.8</v>
      </c>
      <c r="BK79" s="205" t="n">
        <f aca="false">100*0.58</f>
        <v>58</v>
      </c>
      <c r="BL79" s="205" t="n">
        <f aca="false">100*0.4292</f>
        <v>42.92</v>
      </c>
      <c r="BM79" s="205" t="n">
        <f aca="false">100*0.0098</f>
        <v>0.98</v>
      </c>
      <c r="BN79" s="205" t="n">
        <v>0</v>
      </c>
      <c r="BO79" s="205" t="n">
        <f aca="false">100*0.0870000000000001</f>
        <v>8.70000000000001</v>
      </c>
      <c r="BP79" s="205" t="n">
        <f aca="false">100*0.1647</f>
        <v>16.47</v>
      </c>
      <c r="BQ79" s="205" t="n">
        <v>0</v>
      </c>
      <c r="BR79" s="205" t="n">
        <f aca="false">100*0.0143</f>
        <v>1.43</v>
      </c>
      <c r="BS79" s="205" t="n">
        <f aca="false">100*0.6015</f>
        <v>60.15</v>
      </c>
      <c r="BT79" s="205" t="n">
        <f aca="false">100*0.377</f>
        <v>37.7</v>
      </c>
      <c r="BU79" s="205" t="n">
        <f aca="false">100*0.0173</f>
        <v>1.73</v>
      </c>
      <c r="BV79" s="205" t="n">
        <f aca="false">100*0.0387</f>
        <v>3.87</v>
      </c>
      <c r="BW79" s="205" t="n">
        <f aca="false">100*0.00155</f>
        <v>0.155</v>
      </c>
      <c r="BX79" s="205" t="n">
        <v>0</v>
      </c>
      <c r="BY79" s="205" t="n">
        <f aca="false">100*0.405</f>
        <v>40.5</v>
      </c>
      <c r="BZ79" s="205" t="n">
        <f aca="false">100*0.613</f>
        <v>61.3</v>
      </c>
      <c r="CA79" s="217" t="n">
        <f aca="false">AE79/CB79</f>
        <v>0.000533466050060133</v>
      </c>
      <c r="CB79" s="218" t="n">
        <v>6232824</v>
      </c>
      <c r="CC79" s="218" t="n">
        <v>445000</v>
      </c>
      <c r="CD79" s="219" t="n">
        <v>435000</v>
      </c>
      <c r="CE79" s="219" t="n">
        <v>685</v>
      </c>
      <c r="CF79" s="219" t="n">
        <v>8</v>
      </c>
      <c r="CG79" s="219" t="n">
        <v>238</v>
      </c>
      <c r="CH79" s="219" t="n">
        <v>388901</v>
      </c>
      <c r="CI79" s="219" t="n">
        <v>28097</v>
      </c>
      <c r="CJ79" s="219" t="n">
        <v>745</v>
      </c>
      <c r="CK79" s="219" t="n">
        <v>0.978</v>
      </c>
      <c r="CL79" s="219" t="n">
        <v>0.0015</v>
      </c>
      <c r="CM79" s="219" t="n">
        <v>1.8E-005</v>
      </c>
      <c r="CN79" s="219" t="n">
        <v>0.00053</v>
      </c>
      <c r="CO79" s="219" t="n">
        <v>0.874</v>
      </c>
      <c r="CP79" s="219" t="n">
        <v>0.0631</v>
      </c>
      <c r="CQ79" s="219" t="n">
        <v>0.0017</v>
      </c>
      <c r="CR79" s="219" t="n">
        <v>0.0016</v>
      </c>
      <c r="CS79" s="219" t="n">
        <v>1.84E-005</v>
      </c>
      <c r="CT79" s="219" t="n">
        <v>0.00055</v>
      </c>
      <c r="CU79" s="219" t="n">
        <v>0.894</v>
      </c>
      <c r="CV79" s="219" t="n">
        <v>0.0646</v>
      </c>
      <c r="CW79" s="205" t="n">
        <v>0.00171264367816092</v>
      </c>
    </row>
    <row r="80" s="257" customFormat="true" ht="12.8" hidden="false" customHeight="false" outlineLevel="0" collapsed="false">
      <c r="A80" s="205" t="s">
        <v>201</v>
      </c>
      <c r="B80" s="205" t="s">
        <v>113</v>
      </c>
      <c r="C80" s="205"/>
      <c r="D80" s="205" t="s">
        <v>296</v>
      </c>
      <c r="E80" s="206" t="n">
        <v>27389</v>
      </c>
      <c r="F80" s="206" t="n">
        <v>42605</v>
      </c>
      <c r="G80" s="206" t="n">
        <v>43012</v>
      </c>
      <c r="H80" s="206" t="s">
        <v>157</v>
      </c>
      <c r="I80" s="208" t="n">
        <v>42.7734428473648</v>
      </c>
      <c r="J80" s="239" t="n">
        <v>15623</v>
      </c>
      <c r="K80" s="239" t="n">
        <v>407</v>
      </c>
      <c r="L80" s="209" t="s">
        <v>104</v>
      </c>
      <c r="M80" s="251" t="s">
        <v>114</v>
      </c>
      <c r="N80" s="255" t="n">
        <v>42895</v>
      </c>
      <c r="O80" s="241" t="n">
        <v>1</v>
      </c>
      <c r="P80" s="241" t="s">
        <v>202</v>
      </c>
      <c r="Q80" s="240" t="s">
        <v>116</v>
      </c>
      <c r="R80" s="240"/>
      <c r="S80" s="241" t="s">
        <v>117</v>
      </c>
      <c r="T80" s="242" t="n">
        <v>10</v>
      </c>
      <c r="U80" s="213" t="n">
        <v>1290.09</v>
      </c>
      <c r="V80" s="213" t="n">
        <v>83.6</v>
      </c>
      <c r="W80" s="214" t="n">
        <v>1206.49</v>
      </c>
      <c r="X80" s="243" t="s">
        <v>109</v>
      </c>
      <c r="Y80" s="215" t="n">
        <v>135000</v>
      </c>
      <c r="Z80" s="216" t="n">
        <v>6600000</v>
      </c>
      <c r="AA80" s="215"/>
      <c r="AB80" s="241"/>
      <c r="AC80" s="244" t="n">
        <v>19800000</v>
      </c>
      <c r="AD80" s="205" t="s">
        <v>347</v>
      </c>
      <c r="AE80" s="205" t="n">
        <v>6637</v>
      </c>
      <c r="AF80" s="205" t="n">
        <v>190</v>
      </c>
      <c r="AG80" s="205" t="n">
        <f aca="false">100*0.0288</f>
        <v>2.88</v>
      </c>
      <c r="AH80" s="205" t="n">
        <v>0.0421</v>
      </c>
      <c r="AI80" s="205" t="n">
        <v>57</v>
      </c>
      <c r="AJ80" s="205" t="n">
        <f aca="false">100*0.0086</f>
        <v>0.86</v>
      </c>
      <c r="AK80" s="205" t="n">
        <v>242</v>
      </c>
      <c r="AL80" s="205" t="n">
        <f aca="false">100*0.0382</f>
        <v>3.82</v>
      </c>
      <c r="AM80" s="205" t="n">
        <f aca="false">100*0.0083</f>
        <v>0.83</v>
      </c>
      <c r="AN80" s="205" t="n">
        <v>0</v>
      </c>
      <c r="AO80" s="205" t="n">
        <f aca="false">100*0.921</f>
        <v>92.1</v>
      </c>
      <c r="AP80" s="205" t="n">
        <f aca="false">100*0.0289</f>
        <v>2.89</v>
      </c>
      <c r="AQ80" s="205" t="n">
        <v>2084</v>
      </c>
      <c r="AR80" s="205" t="n">
        <f aca="false">100*0.0657</f>
        <v>6.57</v>
      </c>
      <c r="AS80" s="205" t="n">
        <f aca="false">100*0.437</f>
        <v>43.7</v>
      </c>
      <c r="AT80" s="205" t="n">
        <f aca="false">100*0.44</f>
        <v>44</v>
      </c>
      <c r="AU80" s="205" t="n">
        <f aca="false">100*0.0422</f>
        <v>4.22</v>
      </c>
      <c r="AV80" s="205" t="n">
        <f aca="false">100*0.0801</f>
        <v>8.01</v>
      </c>
      <c r="AW80" s="205" t="n">
        <f aca="false">100*0.0312</f>
        <v>3.12</v>
      </c>
      <c r="AX80" s="205" t="n">
        <f aca="false">100*0.181</f>
        <v>18.1</v>
      </c>
      <c r="AY80" s="205" t="n">
        <f aca="false">100*0.31</f>
        <v>31</v>
      </c>
      <c r="AZ80" s="205" t="n">
        <f aca="false">100*0.477</f>
        <v>47.7</v>
      </c>
      <c r="BA80" s="205" t="n">
        <v>3598</v>
      </c>
      <c r="BB80" s="205" t="n">
        <f aca="false">100*0.0072</f>
        <v>0.72</v>
      </c>
      <c r="BC80" s="205" t="n">
        <f aca="false">100*0.523</f>
        <v>52.3</v>
      </c>
      <c r="BD80" s="205" t="n">
        <f aca="false">100*0.324</f>
        <v>32.4</v>
      </c>
      <c r="BE80" s="205" t="n">
        <f aca="false">100*0.0103</f>
        <v>1.03</v>
      </c>
      <c r="BF80" s="205" t="n">
        <f aca="false">100*0.143</f>
        <v>14.3</v>
      </c>
      <c r="BG80" s="205" t="n">
        <f aca="false">100*0.179</f>
        <v>17.9</v>
      </c>
      <c r="BH80" s="205" t="n">
        <f aca="false">100*0.299</f>
        <v>29.9</v>
      </c>
      <c r="BI80" s="205" t="n">
        <f aca="false">100*0.0353</f>
        <v>3.53</v>
      </c>
      <c r="BJ80" s="205" t="n">
        <f aca="false">100*0.487</f>
        <v>48.7</v>
      </c>
      <c r="BK80" s="205" t="n">
        <f aca="false">100*0.558</f>
        <v>55.8</v>
      </c>
      <c r="BL80" s="205" t="n">
        <f aca="false">100*0.437</f>
        <v>43.7</v>
      </c>
      <c r="BM80" s="205" t="n">
        <v>0</v>
      </c>
      <c r="BN80" s="205" t="n">
        <f aca="false">100*0.0053</f>
        <v>0.53</v>
      </c>
      <c r="BO80" s="205" t="n">
        <f aca="false">100*0.0684</f>
        <v>6.84</v>
      </c>
      <c r="BP80" s="205" t="n">
        <f aca="false">100*0.0579</f>
        <v>5.79</v>
      </c>
      <c r="BQ80" s="205" t="n">
        <f aca="false">100*0.342</f>
        <v>34.2</v>
      </c>
      <c r="BR80" s="205" t="n">
        <f aca="false">100*0.532</f>
        <v>53.2</v>
      </c>
      <c r="BS80" s="205" t="n">
        <f aca="false">100*0.504</f>
        <v>50.4</v>
      </c>
      <c r="BT80" s="205" t="n">
        <f aca="false">100*0.364</f>
        <v>36.4</v>
      </c>
      <c r="BU80" s="205" t="n">
        <f aca="false">100*0.0413</f>
        <v>4.13</v>
      </c>
      <c r="BV80" s="205" t="n">
        <f aca="false">100*0.0909</f>
        <v>9.09</v>
      </c>
      <c r="BW80" s="205" t="n">
        <f aca="false">100*0.0041</f>
        <v>0.41</v>
      </c>
      <c r="BX80" s="205" t="n">
        <f aca="false">100*0.0331</f>
        <v>3.31</v>
      </c>
      <c r="BY80" s="205" t="n">
        <f aca="false">100*0.393</f>
        <v>39.3</v>
      </c>
      <c r="BZ80" s="205" t="n">
        <f aca="false">100*0.57</f>
        <v>57</v>
      </c>
      <c r="CA80" s="256"/>
      <c r="CB80" s="218"/>
      <c r="CC80" s="218" t="n">
        <v>54935</v>
      </c>
      <c r="CD80" s="219" t="n">
        <v>42681</v>
      </c>
      <c r="CE80" s="219" t="n">
        <v>4990</v>
      </c>
      <c r="CF80" s="219" t="n">
        <v>56</v>
      </c>
      <c r="CG80" s="219" t="n">
        <v>91</v>
      </c>
      <c r="CH80" s="219" t="n">
        <v>1302</v>
      </c>
      <c r="CI80" s="219" t="n">
        <v>9021</v>
      </c>
      <c r="CJ80" s="219" t="n">
        <v>8797</v>
      </c>
      <c r="CK80" s="219" t="n">
        <v>0.777</v>
      </c>
      <c r="CL80" s="219" t="n">
        <v>0.0908</v>
      </c>
      <c r="CM80" s="219" t="n">
        <v>0.001</v>
      </c>
      <c r="CN80" s="219" t="n">
        <v>0.0017</v>
      </c>
      <c r="CO80" s="219" t="n">
        <v>0.0237</v>
      </c>
      <c r="CP80" s="219" t="n">
        <v>0.164</v>
      </c>
      <c r="CQ80" s="219" t="n">
        <v>0.16</v>
      </c>
      <c r="CR80" s="219" t="n">
        <v>0.117</v>
      </c>
      <c r="CS80" s="219" t="n">
        <v>0.0013</v>
      </c>
      <c r="CT80" s="219" t="n">
        <v>0.0021</v>
      </c>
      <c r="CU80" s="219" t="n">
        <v>0.0305</v>
      </c>
      <c r="CV80" s="219" t="n">
        <v>0.211</v>
      </c>
      <c r="CW80" s="205" t="n">
        <v>0.20611044727162</v>
      </c>
      <c r="CX80" s="205"/>
    </row>
    <row r="81" s="205" customFormat="true" ht="19.4" hidden="false" customHeight="false" outlineLevel="0" collapsed="false">
      <c r="A81" s="205" t="s">
        <v>204</v>
      </c>
      <c r="B81" s="205" t="s">
        <v>113</v>
      </c>
      <c r="D81" s="205" t="s">
        <v>296</v>
      </c>
      <c r="E81" s="220" t="n">
        <v>27389</v>
      </c>
      <c r="F81" s="220" t="n">
        <v>42605</v>
      </c>
      <c r="G81" s="220" t="n">
        <v>43110</v>
      </c>
      <c r="H81" s="220" t="s">
        <v>157</v>
      </c>
      <c r="I81" s="208" t="n">
        <f aca="false">(G81-E81)/365.25</f>
        <v>43.0417522245038</v>
      </c>
      <c r="J81" s="209" t="n">
        <f aca="false">G81-E81</f>
        <v>15721</v>
      </c>
      <c r="K81" s="209" t="n">
        <f aca="false">G81-F81</f>
        <v>505</v>
      </c>
      <c r="L81" s="209" t="s">
        <v>104</v>
      </c>
      <c r="M81" s="209" t="s">
        <v>114</v>
      </c>
      <c r="N81" s="210" t="s">
        <v>205</v>
      </c>
      <c r="O81" s="221" t="e">
        <f aca="false">N81-G81</f>
        <v>#VALUE!</v>
      </c>
      <c r="P81" s="211" t="s">
        <v>206</v>
      </c>
      <c r="Q81" s="220" t="s">
        <v>116</v>
      </c>
      <c r="R81" s="220"/>
      <c r="S81" s="212" t="s">
        <v>117</v>
      </c>
      <c r="T81" s="222" t="n">
        <v>10</v>
      </c>
      <c r="U81" s="221" t="n">
        <v>2902.66</v>
      </c>
      <c r="V81" s="223" t="n">
        <v>68.77</v>
      </c>
      <c r="W81" s="224" t="n">
        <f aca="false">U81-V81</f>
        <v>2833.89</v>
      </c>
      <c r="X81" s="212"/>
      <c r="Y81" s="225"/>
      <c r="Z81" s="226" t="n">
        <v>13000000</v>
      </c>
      <c r="AA81" s="225"/>
      <c r="AB81" s="212"/>
      <c r="AC81" s="226" t="n">
        <v>50900000</v>
      </c>
      <c r="AD81" s="205" t="s">
        <v>348</v>
      </c>
      <c r="AE81" s="205" t="n">
        <v>105665</v>
      </c>
      <c r="AF81" s="205" t="n">
        <v>867</v>
      </c>
      <c r="AG81" s="205" t="n">
        <f aca="false">100*0.0086</f>
        <v>0.86</v>
      </c>
      <c r="AH81" s="205" t="n">
        <f aca="false">100*0.0565</f>
        <v>5.65</v>
      </c>
      <c r="AI81" s="205" t="n">
        <v>360</v>
      </c>
      <c r="AJ81" s="205" t="n">
        <f aca="false">100*0.0036</f>
        <v>0.36</v>
      </c>
      <c r="AK81" s="205" t="n">
        <v>1744</v>
      </c>
      <c r="AL81" s="205" t="n">
        <f aca="false">100*0.0175</f>
        <v>1.75</v>
      </c>
      <c r="AM81" s="205" t="n">
        <f aca="false">100*0.0722</f>
        <v>7.22</v>
      </c>
      <c r="AN81" s="205" t="n">
        <f aca="false">100*0.0126</f>
        <v>1.26</v>
      </c>
      <c r="AO81" s="205" t="n">
        <f aca="false">100*0.889</f>
        <v>88.9</v>
      </c>
      <c r="AP81" s="205" t="n">
        <f aca="false">100*0.0206</f>
        <v>2.06</v>
      </c>
      <c r="AQ81" s="205" t="n">
        <v>25417</v>
      </c>
      <c r="AR81" s="205" t="n">
        <f aca="false">100*0.041</f>
        <v>4.1</v>
      </c>
      <c r="AS81" s="205" t="n">
        <f aca="false">100*0.342</f>
        <v>34.2</v>
      </c>
      <c r="AT81" s="205" t="n">
        <f aca="false">100*0.403</f>
        <v>40.3</v>
      </c>
      <c r="AU81" s="205" t="n">
        <f aca="false">100*0.0668</f>
        <v>6.68</v>
      </c>
      <c r="AV81" s="205" t="n">
        <f aca="false">100*0.189</f>
        <v>18.9</v>
      </c>
      <c r="AW81" s="205" t="n">
        <f aca="false">100*0.105</f>
        <v>10.5</v>
      </c>
      <c r="AX81" s="205" t="n">
        <f aca="false">100*0.299</f>
        <v>29.9</v>
      </c>
      <c r="AY81" s="205" t="n">
        <f aca="false">100*0.177</f>
        <v>17.7</v>
      </c>
      <c r="AZ81" s="205" t="n">
        <f aca="false">100*0.419</f>
        <v>41.9</v>
      </c>
      <c r="BA81" s="205" t="n">
        <v>60113</v>
      </c>
      <c r="BB81" s="205" t="n">
        <f aca="false">100*0.0046</f>
        <v>0.46</v>
      </c>
      <c r="BC81" s="205" t="n">
        <f aca="false">100*0.554</f>
        <v>55.4</v>
      </c>
      <c r="BD81" s="205" t="n">
        <f aca="false">100*0.221</f>
        <v>22.1</v>
      </c>
      <c r="BE81" s="205" t="n">
        <f aca="false">100*0.0117</f>
        <v>1.17</v>
      </c>
      <c r="BF81" s="205" t="n">
        <f aca="false">100*0.213</f>
        <v>21.3</v>
      </c>
      <c r="BG81" s="205" t="n">
        <f aca="false">100*0.234</f>
        <v>23.4</v>
      </c>
      <c r="BH81" s="205" t="n">
        <f aca="false">100*0.201</f>
        <v>20.1</v>
      </c>
      <c r="BI81" s="205" t="n">
        <f aca="false">100*0.0196</f>
        <v>1.96</v>
      </c>
      <c r="BJ81" s="205" t="n">
        <f aca="false">100*0.545</f>
        <v>54.5</v>
      </c>
      <c r="BK81" s="205" t="n">
        <f aca="false">100*0.606</f>
        <v>60.6</v>
      </c>
      <c r="BL81" s="205" t="n">
        <f aca="false">100*0.201</f>
        <v>20.1</v>
      </c>
      <c r="BM81" s="205" t="n">
        <f aca="false">100*0.0358</f>
        <v>3.58</v>
      </c>
      <c r="BN81" s="205" t="n">
        <f aca="false">100*0.158</f>
        <v>15.8</v>
      </c>
      <c r="BO81" s="205" t="n">
        <f aca="false">100*0.271</f>
        <v>27.1</v>
      </c>
      <c r="BP81" s="205" t="n">
        <f aca="false">100*0.187</f>
        <v>18.7</v>
      </c>
      <c r="BQ81" s="205" t="n">
        <f aca="false">100*0.185</f>
        <v>18.5</v>
      </c>
      <c r="BR81" s="205" t="n">
        <f aca="false">100*0.358</f>
        <v>35.8</v>
      </c>
      <c r="BS81" s="205" t="n">
        <f aca="false">100*0.481</f>
        <v>48.1</v>
      </c>
      <c r="BT81" s="205" t="n">
        <f aca="false">100*0.232</f>
        <v>23.2</v>
      </c>
      <c r="BU81" s="205" t="n">
        <f aca="false">100*0.0671</f>
        <v>6.71</v>
      </c>
      <c r="BV81" s="205" t="n">
        <f aca="false">100*0.22</f>
        <v>22</v>
      </c>
      <c r="BW81" s="205" t="n">
        <f aca="false">100*0.121</f>
        <v>12.1</v>
      </c>
      <c r="BX81" s="205" t="n">
        <f aca="false">100*0.055</f>
        <v>5.5</v>
      </c>
      <c r="BY81" s="205" t="n">
        <f aca="false">100*0.247</f>
        <v>24.7</v>
      </c>
      <c r="BZ81" s="205" t="n">
        <f aca="false">100*0.577</f>
        <v>57.7</v>
      </c>
      <c r="CA81" s="217" t="n">
        <f aca="false">AE81/CB81</f>
        <v>0.429333560870166</v>
      </c>
      <c r="CB81" s="218" t="n">
        <v>246114</v>
      </c>
      <c r="CC81" s="218" t="n">
        <v>1330000</v>
      </c>
      <c r="CD81" s="219" t="n">
        <v>1280000</v>
      </c>
      <c r="CE81" s="219" t="n">
        <v>218589</v>
      </c>
      <c r="CF81" s="219" t="n">
        <v>2736</v>
      </c>
      <c r="CG81" s="219" t="n">
        <v>9620</v>
      </c>
      <c r="CH81" s="219" t="n">
        <v>33823</v>
      </c>
      <c r="CI81" s="219" t="n">
        <v>377507</v>
      </c>
      <c r="CJ81" s="219" t="n">
        <v>126520</v>
      </c>
      <c r="CK81" s="219" t="n">
        <v>0.962</v>
      </c>
      <c r="CL81" s="219" t="n">
        <v>0.164</v>
      </c>
      <c r="CM81" s="219" t="n">
        <v>0.0021</v>
      </c>
      <c r="CN81" s="219" t="n">
        <v>0.0072</v>
      </c>
      <c r="CO81" s="219" t="n">
        <v>0.0254</v>
      </c>
      <c r="CP81" s="219" t="n">
        <v>0.284</v>
      </c>
      <c r="CQ81" s="219" t="n">
        <v>0.0951</v>
      </c>
      <c r="CR81" s="219" t="n">
        <v>0.171</v>
      </c>
      <c r="CS81" s="219" t="n">
        <v>0.0021</v>
      </c>
      <c r="CT81" s="219" t="n">
        <v>0.0075</v>
      </c>
      <c r="CU81" s="219" t="n">
        <v>0.0264</v>
      </c>
      <c r="CV81" s="219" t="n">
        <v>0.295</v>
      </c>
      <c r="CW81" s="205" t="n">
        <v>0.09884375</v>
      </c>
    </row>
    <row r="82" s="186" customFormat="true" ht="12.8" hidden="false" customHeight="false" outlineLevel="0" collapsed="false">
      <c r="A82" s="168" t="s">
        <v>208</v>
      </c>
      <c r="B82" s="168" t="s">
        <v>101</v>
      </c>
      <c r="C82" s="168"/>
      <c r="D82" s="168" t="s">
        <v>296</v>
      </c>
      <c r="E82" s="169" t="n">
        <v>25572</v>
      </c>
      <c r="F82" s="169" t="n">
        <v>42826</v>
      </c>
      <c r="G82" s="169" t="n">
        <v>42947</v>
      </c>
      <c r="H82" s="169" t="s">
        <v>103</v>
      </c>
      <c r="I82" s="170" t="n">
        <f aca="false">(G82-E82)/365.25</f>
        <v>47.5701574264203</v>
      </c>
      <c r="J82" s="171" t="n">
        <f aca="false">G82-E82</f>
        <v>17375</v>
      </c>
      <c r="K82" s="171" t="n">
        <f aca="false">G82-F82</f>
        <v>121</v>
      </c>
      <c r="L82" s="253" t="s">
        <v>114</v>
      </c>
      <c r="M82" s="172" t="s">
        <v>114</v>
      </c>
      <c r="N82" s="176" t="s">
        <v>209</v>
      </c>
      <c r="O82" s="176"/>
      <c r="P82" s="176"/>
      <c r="Q82" s="175" t="s">
        <v>210</v>
      </c>
      <c r="R82" s="175"/>
      <c r="S82" s="176" t="s">
        <v>107</v>
      </c>
      <c r="T82" s="177" t="s">
        <v>211</v>
      </c>
      <c r="U82" s="178" t="n">
        <v>2331.34</v>
      </c>
      <c r="V82" s="178" t="n">
        <v>72.08</v>
      </c>
      <c r="W82" s="179" t="n">
        <f aca="false">U82-V82</f>
        <v>2259.26</v>
      </c>
      <c r="X82" s="180" t="s">
        <v>109</v>
      </c>
      <c r="Y82" s="181" t="n">
        <v>135000</v>
      </c>
      <c r="Z82" s="182" t="n">
        <f aca="false">Y82*W82</f>
        <v>305000100</v>
      </c>
      <c r="AA82" s="181" t="n">
        <v>12000000</v>
      </c>
      <c r="AB82" s="176" t="s">
        <v>212</v>
      </c>
      <c r="AC82" s="183" t="n">
        <v>2250000</v>
      </c>
      <c r="AD82" s="168" t="s">
        <v>349</v>
      </c>
      <c r="AE82" s="168" t="n">
        <v>3017</v>
      </c>
      <c r="AF82" s="168" t="n">
        <v>69</v>
      </c>
      <c r="AG82" s="168" t="n">
        <f aca="false">100*0.0289</f>
        <v>2.89</v>
      </c>
      <c r="AH82" s="168" t="n">
        <v>0.4888</v>
      </c>
      <c r="AI82" s="168" t="n">
        <v>0.5</v>
      </c>
      <c r="AJ82" s="168" t="n">
        <f aca="false">100*0.000165</f>
        <v>0.0165</v>
      </c>
      <c r="AK82" s="168" t="n">
        <v>27.5</v>
      </c>
      <c r="AL82" s="168" t="n">
        <f aca="false">100*0.0123</f>
        <v>1.23</v>
      </c>
      <c r="AM82" s="168" t="n">
        <f aca="false">100*0.429</f>
        <v>42.9</v>
      </c>
      <c r="AN82" s="168" t="n">
        <f aca="false">100*0.0238</f>
        <v>2.38</v>
      </c>
      <c r="AO82" s="168" t="n">
        <f aca="false">100*0.737</f>
        <v>73.7</v>
      </c>
      <c r="AP82" s="168" t="n">
        <f aca="false">100*0.0526</f>
        <v>5.26</v>
      </c>
      <c r="AQ82" s="168" t="n">
        <v>484</v>
      </c>
      <c r="AR82" s="168" t="n">
        <f aca="false">100*0.5324</f>
        <v>53.24</v>
      </c>
      <c r="AS82" s="168" t="n">
        <f aca="false">100*0.3669</f>
        <v>36.69</v>
      </c>
      <c r="AT82" s="168" t="n">
        <f aca="false">100*0.55345</f>
        <v>55.345</v>
      </c>
      <c r="AU82" s="168" t="n">
        <f aca="false">100*0.0158</f>
        <v>1.58</v>
      </c>
      <c r="AV82" s="168" t="n">
        <f aca="false">100*0.059</f>
        <v>5.9</v>
      </c>
      <c r="AW82" s="168" t="n">
        <f aca="false">100*0.00255</f>
        <v>0.255</v>
      </c>
      <c r="AX82" s="168" t="n">
        <f aca="false">100*0.00825</f>
        <v>0.825</v>
      </c>
      <c r="AY82" s="168" t="n">
        <f aca="false">100*0.378</f>
        <v>37.8</v>
      </c>
      <c r="AZ82" s="168" t="n">
        <f aca="false">100*0.435</f>
        <v>43.5</v>
      </c>
      <c r="BA82" s="168" t="n">
        <v>1342</v>
      </c>
      <c r="BB82" s="168" t="n">
        <f aca="false">100*0.5154</f>
        <v>51.54</v>
      </c>
      <c r="BC82" s="168" t="n">
        <f aca="false">100*0.8111</f>
        <v>81.11</v>
      </c>
      <c r="BD82" s="168" t="n">
        <f aca="false">100*0.09065</f>
        <v>9.065</v>
      </c>
      <c r="BE82" s="168" t="n">
        <f aca="false">100*0.00335</f>
        <v>0.335</v>
      </c>
      <c r="BF82" s="168" t="n">
        <f aca="false">100*0.09125</f>
        <v>9.125</v>
      </c>
      <c r="BG82" s="168" t="n">
        <f aca="false">100*0.0147</f>
        <v>1.47</v>
      </c>
      <c r="BH82" s="168" t="n">
        <f aca="false">100*0.0026</f>
        <v>0.26</v>
      </c>
      <c r="BI82" s="168" t="n">
        <f aca="false">100*0.0653</f>
        <v>6.53</v>
      </c>
      <c r="BJ82" s="168" t="n">
        <f aca="false">100*0.892</f>
        <v>89.2</v>
      </c>
      <c r="BK82" s="168" t="n">
        <f aca="false">100*0.322</f>
        <v>32.2</v>
      </c>
      <c r="BL82" s="168" t="n">
        <f aca="false">100*0.5215</f>
        <v>52.15</v>
      </c>
      <c r="BM82" s="168" t="n">
        <f aca="false">100*0.10045</f>
        <v>10.045</v>
      </c>
      <c r="BN82" s="168" t="n">
        <f aca="false">100*0.0557</f>
        <v>5.57</v>
      </c>
      <c r="BO82" s="168" t="n">
        <f aca="false">100*0.0899</f>
        <v>8.99</v>
      </c>
      <c r="BP82" s="168" t="n">
        <f aca="false">100*0.16</f>
        <v>16</v>
      </c>
      <c r="BQ82" s="168" t="n">
        <f aca="false">100*0.2837</f>
        <v>28.37</v>
      </c>
      <c r="BR82" s="168" t="n">
        <f aca="false">100*0.247</f>
        <v>24.7</v>
      </c>
      <c r="BS82" s="168" t="n">
        <f aca="false">100*0.6765</f>
        <v>67.65</v>
      </c>
      <c r="BT82" s="168" t="n">
        <f aca="false">100*0.2225</f>
        <v>22.25</v>
      </c>
      <c r="BU82" s="168" t="n">
        <f aca="false">100*0.0496</f>
        <v>4.96</v>
      </c>
      <c r="BV82" s="168" t="n">
        <f aca="false">100*0.0516</f>
        <v>5.16</v>
      </c>
      <c r="BW82" s="168" t="n">
        <v>0</v>
      </c>
      <c r="BX82" s="168" t="n">
        <v>0</v>
      </c>
      <c r="BY82" s="168" t="n">
        <f aca="false">100*0.272</f>
        <v>27.2</v>
      </c>
      <c r="BZ82" s="168" t="n">
        <f aca="false">100*0.728</f>
        <v>72.8</v>
      </c>
      <c r="CA82" s="229" t="n">
        <f aca="false">AE82/CB82</f>
        <v>0.0575269329774049</v>
      </c>
      <c r="CB82" s="184" t="n">
        <v>52445</v>
      </c>
      <c r="CC82" s="184" t="n">
        <v>26966</v>
      </c>
      <c r="CD82" s="185" t="n">
        <v>14301</v>
      </c>
      <c r="CE82" s="185" t="n">
        <v>654</v>
      </c>
      <c r="CF82" s="185" t="n">
        <v>3</v>
      </c>
      <c r="CG82" s="185" t="n">
        <v>0</v>
      </c>
      <c r="CH82" s="185" t="n">
        <v>115</v>
      </c>
      <c r="CI82" s="185" t="n">
        <v>2998</v>
      </c>
      <c r="CJ82" s="185" t="n">
        <v>176</v>
      </c>
      <c r="CK82" s="185" t="n">
        <v>0.53</v>
      </c>
      <c r="CL82" s="185" t="n">
        <v>0.0243</v>
      </c>
      <c r="CM82" s="185" t="n">
        <v>0.00011</v>
      </c>
      <c r="CN82" s="185" t="n">
        <v>0</v>
      </c>
      <c r="CO82" s="185" t="n">
        <v>0.0043</v>
      </c>
      <c r="CP82" s="185" t="n">
        <v>0.111</v>
      </c>
      <c r="CQ82" s="185" t="n">
        <v>0.0065</v>
      </c>
      <c r="CR82" s="185" t="n">
        <v>0.0457</v>
      </c>
      <c r="CS82" s="185" t="n">
        <v>0.00021</v>
      </c>
      <c r="CT82" s="185" t="n">
        <v>0</v>
      </c>
      <c r="CU82" s="185" t="n">
        <v>0.008</v>
      </c>
      <c r="CV82" s="185" t="n">
        <v>0.21</v>
      </c>
      <c r="CW82" s="168" t="n">
        <v>0.0123068316900916</v>
      </c>
      <c r="CX82" s="168"/>
    </row>
    <row r="83" s="186" customFormat="true" ht="12.8" hidden="false" customHeight="false" outlineLevel="0" collapsed="false">
      <c r="A83" s="186" t="s">
        <v>214</v>
      </c>
      <c r="B83" s="186" t="s">
        <v>113</v>
      </c>
      <c r="D83" s="186" t="s">
        <v>296</v>
      </c>
      <c r="E83" s="230" t="n">
        <v>27991</v>
      </c>
      <c r="F83" s="230" t="n">
        <v>42725</v>
      </c>
      <c r="G83" s="230" t="n">
        <v>43132</v>
      </c>
      <c r="H83" s="230" t="s">
        <v>157</v>
      </c>
      <c r="I83" s="188" t="n">
        <f aca="false">(G83-E83)/365.25</f>
        <v>41.4537987679671</v>
      </c>
      <c r="J83" s="189" t="n">
        <f aca="false">G83-E83</f>
        <v>15141</v>
      </c>
      <c r="K83" s="189" t="n">
        <f aca="false">G83-F83</f>
        <v>407</v>
      </c>
      <c r="L83" s="189" t="s">
        <v>114</v>
      </c>
      <c r="M83" s="189" t="s">
        <v>104</v>
      </c>
      <c r="N83" s="231" t="s">
        <v>115</v>
      </c>
      <c r="O83" s="191" t="n">
        <v>0</v>
      </c>
      <c r="P83" s="191" t="n">
        <v>0</v>
      </c>
      <c r="Q83" s="230" t="s">
        <v>116</v>
      </c>
      <c r="R83" s="230"/>
      <c r="S83" s="192" t="s">
        <v>117</v>
      </c>
      <c r="T83" s="191" t="n">
        <v>10</v>
      </c>
      <c r="U83" s="236" t="n">
        <v>1839.74</v>
      </c>
      <c r="V83" s="232" t="n">
        <v>70.65</v>
      </c>
      <c r="W83" s="196" t="n">
        <f aca="false">U83-V83</f>
        <v>1769.09</v>
      </c>
      <c r="X83" s="192"/>
      <c r="Y83" s="197"/>
      <c r="Z83" s="233" t="n">
        <v>8500000</v>
      </c>
      <c r="AA83" s="197"/>
      <c r="AB83" s="192"/>
      <c r="AC83" s="233" t="n">
        <v>1300000</v>
      </c>
      <c r="AD83" s="186" t="s">
        <v>350</v>
      </c>
      <c r="AE83" s="186" t="n">
        <v>19611</v>
      </c>
      <c r="AF83" s="186" t="n">
        <v>158</v>
      </c>
      <c r="AG83" s="186" t="n">
        <f aca="false">100*0.0079</f>
        <v>0.79</v>
      </c>
      <c r="AH83" s="186" t="n">
        <f aca="false">100*0.944</f>
        <v>94.4</v>
      </c>
      <c r="AI83" s="186" t="n">
        <v>49</v>
      </c>
      <c r="AJ83" s="186" t="n">
        <f aca="false">100*0.00255</f>
        <v>0.255</v>
      </c>
      <c r="AK83" s="186" t="n">
        <v>192</v>
      </c>
      <c r="AL83" s="186" t="n">
        <f aca="false">100*0.0098</f>
        <v>0.98</v>
      </c>
      <c r="AM83" s="186" t="n">
        <f aca="false">100*0.3922</f>
        <v>39.22</v>
      </c>
      <c r="AN83" s="186" t="n">
        <f aca="false">100*0.084</f>
        <v>8.4</v>
      </c>
      <c r="AO83" s="186" t="n">
        <f aca="false">100*0.853</f>
        <v>85.3</v>
      </c>
      <c r="AP83" s="186" t="n">
        <f aca="false">100*0.117</f>
        <v>11.7</v>
      </c>
      <c r="AQ83" s="186" t="n">
        <v>2973</v>
      </c>
      <c r="AR83" s="186" t="n">
        <f aca="false">100*0.59566</f>
        <v>59.566</v>
      </c>
      <c r="AS83" s="186" t="n">
        <f aca="false">100*0.3755</f>
        <v>37.55</v>
      </c>
      <c r="AT83" s="186" t="n">
        <f aca="false">100*0.382875</f>
        <v>38.2875</v>
      </c>
      <c r="AU83" s="186" t="n">
        <f aca="false">100*0.13</f>
        <v>13</v>
      </c>
      <c r="AV83" s="186" t="n">
        <f aca="false">100*0.123</f>
        <v>12.3</v>
      </c>
      <c r="AW83" s="186" t="n">
        <f aca="false">100*0.2973</f>
        <v>29.73</v>
      </c>
      <c r="AX83" s="186" t="n">
        <f aca="false">100*0.30795</f>
        <v>30.795</v>
      </c>
      <c r="AY83" s="186" t="n">
        <f aca="false">100*0.147</f>
        <v>14.7</v>
      </c>
      <c r="AZ83" s="186" t="n">
        <f aca="false">100*0.22</f>
        <v>22</v>
      </c>
      <c r="BA83" s="186" t="n">
        <v>14500</v>
      </c>
      <c r="BB83" s="186" t="n">
        <f aca="false">100*0.30583</f>
        <v>30.583</v>
      </c>
      <c r="BC83" s="186" t="n">
        <f aca="false">100*0.40988</f>
        <v>40.988</v>
      </c>
      <c r="BD83" s="186" t="n">
        <f aca="false">100*0.22891</f>
        <v>22.891</v>
      </c>
      <c r="BE83" s="186" t="n">
        <f aca="false">100*0.0469</f>
        <v>4.69</v>
      </c>
      <c r="BF83" s="186" t="n">
        <f aca="false">100*0.308</f>
        <v>30.8</v>
      </c>
      <c r="BG83" s="186" t="n">
        <f aca="false">100*0.3757</f>
        <v>37.57</v>
      </c>
      <c r="BH83" s="186" t="n">
        <f aca="false">100*0.20737025</f>
        <v>20.737025</v>
      </c>
      <c r="BI83" s="186" t="n">
        <f aca="false">100*0.034</f>
        <v>3.4</v>
      </c>
      <c r="BJ83" s="186" t="n">
        <f aca="false">100*0.257</f>
        <v>25.7</v>
      </c>
      <c r="BK83" s="186" t="n">
        <f aca="false">100*0.169</f>
        <v>16.9</v>
      </c>
      <c r="BL83" s="186" t="n">
        <f aca="false">100*0.0593</f>
        <v>5.93</v>
      </c>
      <c r="BM83" s="186" t="n">
        <f aca="false">100*0.2658</f>
        <v>26.58</v>
      </c>
      <c r="BN83" s="186" t="n">
        <f aca="false">100*0.5</f>
        <v>50</v>
      </c>
      <c r="BO83" s="186" t="n">
        <f aca="false">100*0.0987</f>
        <v>9.87</v>
      </c>
      <c r="BP83" s="186" t="n">
        <f aca="false">100*0.16175</f>
        <v>16.175</v>
      </c>
      <c r="BQ83" s="186" t="n">
        <f aca="false">100*0.241</f>
        <v>24.1</v>
      </c>
      <c r="BR83" s="186" t="n">
        <f aca="false">100*0.398</f>
        <v>39.8</v>
      </c>
      <c r="BS83" s="186" t="n">
        <f aca="false">100*0.256</f>
        <v>25.6</v>
      </c>
      <c r="BT83" s="186" t="n">
        <f aca="false">100*0.29255</f>
        <v>29.255</v>
      </c>
      <c r="BU83" s="186" t="n">
        <f aca="false">100*0.182</f>
        <v>18.2</v>
      </c>
      <c r="BV83" s="186" t="n">
        <f aca="false">100*0.276</f>
        <v>27.6</v>
      </c>
      <c r="BW83" s="186" t="n">
        <f aca="false">100*0.0919</f>
        <v>9.19</v>
      </c>
      <c r="BX83" s="186" t="n">
        <f aca="false">100*0.143</f>
        <v>14.3</v>
      </c>
      <c r="BY83" s="186" t="n">
        <f aca="false">100*0.233</f>
        <v>23.3</v>
      </c>
      <c r="BZ83" s="186" t="n">
        <f aca="false">100*0.341</f>
        <v>34.1</v>
      </c>
      <c r="CA83" s="235" t="n">
        <f aca="false">AE83/CB83</f>
        <v>0.0288007401750573</v>
      </c>
      <c r="CB83" s="203" t="n">
        <v>680920</v>
      </c>
      <c r="CC83" s="203" t="n">
        <v>4466000</v>
      </c>
      <c r="CD83" s="204" t="n">
        <v>355294</v>
      </c>
      <c r="CE83" s="204" t="n">
        <v>83067</v>
      </c>
      <c r="CF83" s="204" t="n">
        <v>22940</v>
      </c>
      <c r="CG83" s="204" t="n">
        <v>29103</v>
      </c>
      <c r="CH83" s="204" t="n">
        <v>7778</v>
      </c>
      <c r="CI83" s="204" t="n">
        <v>98543</v>
      </c>
      <c r="CJ83" s="204" t="n">
        <v>39592</v>
      </c>
      <c r="CK83" s="204" t="n">
        <v>0.797</v>
      </c>
      <c r="CL83" s="204" t="n">
        <v>0.186</v>
      </c>
      <c r="CM83" s="204" t="n">
        <v>0.0514</v>
      </c>
      <c r="CN83" s="204" t="n">
        <v>0.0653</v>
      </c>
      <c r="CO83" s="204" t="n">
        <v>0.0174</v>
      </c>
      <c r="CP83" s="204" t="n">
        <v>0.221</v>
      </c>
      <c r="CQ83" s="204" t="n">
        <v>0.0888</v>
      </c>
      <c r="CR83" s="204" t="n">
        <v>0.234</v>
      </c>
      <c r="CS83" s="204" t="n">
        <v>0.0646</v>
      </c>
      <c r="CT83" s="204" t="n">
        <v>0.0819</v>
      </c>
      <c r="CU83" s="204" t="n">
        <v>0.0219</v>
      </c>
      <c r="CV83" s="204" t="n">
        <v>0.277</v>
      </c>
      <c r="CW83" s="186" t="n">
        <v>0.111434473984925</v>
      </c>
    </row>
    <row r="84" s="186" customFormat="true" ht="12.8" hidden="false" customHeight="false" outlineLevel="0" collapsed="false">
      <c r="A84" s="168" t="s">
        <v>351</v>
      </c>
      <c r="B84" s="168" t="s">
        <v>101</v>
      </c>
      <c r="C84" s="168"/>
      <c r="D84" s="168" t="s">
        <v>296</v>
      </c>
      <c r="E84" s="169" t="n">
        <v>28258</v>
      </c>
      <c r="F84" s="169" t="n">
        <v>43032</v>
      </c>
      <c r="G84" s="169" t="n">
        <v>43087</v>
      </c>
      <c r="H84" s="169" t="s">
        <v>103</v>
      </c>
      <c r="I84" s="171" t="n">
        <f aca="false">(G84-E84)/365.25</f>
        <v>40.5995893223819</v>
      </c>
      <c r="J84" s="171" t="n">
        <f aca="false">G84-E84</f>
        <v>14829</v>
      </c>
      <c r="K84" s="171" t="n">
        <f aca="false">G84-F84</f>
        <v>55</v>
      </c>
      <c r="L84" s="172" t="s">
        <v>114</v>
      </c>
      <c r="M84" s="172" t="s">
        <v>114</v>
      </c>
      <c r="N84" s="173" t="s">
        <v>230</v>
      </c>
      <c r="O84" s="174"/>
      <c r="P84" s="174"/>
      <c r="Q84" s="175" t="s">
        <v>106</v>
      </c>
      <c r="R84" s="175" t="s">
        <v>352</v>
      </c>
      <c r="S84" s="176" t="s">
        <v>333</v>
      </c>
      <c r="T84" s="177" t="n">
        <v>10</v>
      </c>
      <c r="U84" s="178" t="n">
        <v>3177.2</v>
      </c>
      <c r="V84" s="178" t="n">
        <v>70.27</v>
      </c>
      <c r="W84" s="179" t="n">
        <f aca="false">U84-V84</f>
        <v>3106.93</v>
      </c>
      <c r="X84" s="176" t="s">
        <v>233</v>
      </c>
      <c r="Y84" s="181" t="n">
        <v>330000</v>
      </c>
      <c r="Z84" s="182" t="n">
        <f aca="false">Y84*W84</f>
        <v>1025286900</v>
      </c>
      <c r="AA84" s="181" t="n">
        <v>202000000</v>
      </c>
      <c r="AB84" s="176" t="s">
        <v>144</v>
      </c>
      <c r="AC84" s="182" t="s">
        <v>306</v>
      </c>
      <c r="AD84" s="168" t="s">
        <v>353</v>
      </c>
      <c r="AE84" s="168" t="n">
        <v>2680</v>
      </c>
      <c r="AF84" s="168" t="n">
        <v>162</v>
      </c>
      <c r="AG84" s="168" t="n">
        <f aca="false">100*0.0612</f>
        <v>6.12</v>
      </c>
      <c r="AH84" s="168" t="n">
        <f aca="false">100*0.1715</f>
        <v>17.15</v>
      </c>
      <c r="AI84" s="168" t="n">
        <v>1</v>
      </c>
      <c r="AJ84" s="168" t="n">
        <f aca="false">100*0.000175</f>
        <v>0.0175</v>
      </c>
      <c r="AK84" s="168" t="n">
        <v>778</v>
      </c>
      <c r="AL84" s="168" t="n">
        <f aca="false">100*0.291</f>
        <v>29.1</v>
      </c>
      <c r="AM84" s="168" t="n">
        <f aca="false">100*0.08465</f>
        <v>8.465</v>
      </c>
      <c r="AN84" s="168" t="n">
        <f aca="false">100*0.01125</f>
        <v>1.125</v>
      </c>
      <c r="AO84" s="168" t="n">
        <f aca="false">100*0.81</f>
        <v>81</v>
      </c>
      <c r="AP84" s="168" t="n">
        <f aca="false">100*0.0373</f>
        <v>3.73</v>
      </c>
      <c r="AQ84" s="168" t="n">
        <v>227</v>
      </c>
      <c r="AR84" s="168" t="n">
        <f aca="false">100*0.2068</f>
        <v>20.68</v>
      </c>
      <c r="AS84" s="168" t="n">
        <f aca="false">100*0.321</f>
        <v>32.1</v>
      </c>
      <c r="AT84" s="168" t="n">
        <f aca="false">100*0.345</f>
        <v>34.5</v>
      </c>
      <c r="AU84" s="168" t="n">
        <f aca="false">100*0.0725</f>
        <v>7.25</v>
      </c>
      <c r="AV84" s="168" t="n">
        <f aca="false">100*0.238</f>
        <v>23.8</v>
      </c>
      <c r="AW84" s="168" t="n">
        <f aca="false">100*0.254</f>
        <v>25.4</v>
      </c>
      <c r="AX84" s="168" t="n">
        <f aca="false">100*0.197</f>
        <v>19.7</v>
      </c>
      <c r="AY84" s="168" t="n">
        <f aca="false">100*0.212</f>
        <v>21.2</v>
      </c>
      <c r="AZ84" s="168" t="n">
        <f aca="false">100*0.337</f>
        <v>33.7</v>
      </c>
      <c r="BA84" s="168" t="n">
        <v>1409</v>
      </c>
      <c r="BB84" s="168" t="n">
        <f aca="false">100*0.0581</f>
        <v>5.81</v>
      </c>
      <c r="BC84" s="168" t="n">
        <f aca="false">100*0.5427</f>
        <v>54.27</v>
      </c>
      <c r="BD84" s="168" t="n">
        <f aca="false">100*0.1813</f>
        <v>18.13</v>
      </c>
      <c r="BE84" s="168" t="n">
        <f aca="false">100*0.0332</f>
        <v>3.32</v>
      </c>
      <c r="BF84" s="168" t="n">
        <f aca="false">100*0.233</f>
        <v>23.3</v>
      </c>
      <c r="BG84" s="168" t="n">
        <f aca="false">100*0.398</f>
        <v>39.8</v>
      </c>
      <c r="BH84" s="168" t="n">
        <f aca="false">100*0.10325</f>
        <v>10.325</v>
      </c>
      <c r="BI84" s="168" t="n">
        <f aca="false">100*0.0539</f>
        <v>5.39</v>
      </c>
      <c r="BJ84" s="168" t="n">
        <f aca="false">100*0.442</f>
        <v>44.2</v>
      </c>
      <c r="BK84" s="168" t="n">
        <f aca="false">100*0.352</f>
        <v>35.2</v>
      </c>
      <c r="BL84" s="168" t="n">
        <f aca="false">100*0.23055</f>
        <v>23.055</v>
      </c>
      <c r="BM84" s="168" t="n">
        <f aca="false">100*0.168</f>
        <v>16.8</v>
      </c>
      <c r="BN84" s="168" t="n">
        <f aca="false">100*0.214</f>
        <v>21.4</v>
      </c>
      <c r="BO84" s="168" t="n">
        <f aca="false">100*0.18</f>
        <v>18</v>
      </c>
      <c r="BP84" s="168" t="n">
        <f aca="false">100*0.0706</f>
        <v>7.06</v>
      </c>
      <c r="BQ84" s="168" t="n">
        <f aca="false">100*0.3191</f>
        <v>31.91</v>
      </c>
      <c r="BR84" s="168" t="n">
        <f aca="false">100*0.463</f>
        <v>46.3</v>
      </c>
      <c r="BS84" s="168" t="n">
        <f aca="false">100*0.747</f>
        <v>74.7</v>
      </c>
      <c r="BT84" s="168" t="n">
        <f aca="false">100*0.04845</f>
        <v>4.845</v>
      </c>
      <c r="BU84" s="168" t="n">
        <f aca="false">100*0.0158</f>
        <v>1.58</v>
      </c>
      <c r="BV84" s="168" t="n">
        <f aca="false">100*0.19</f>
        <v>19</v>
      </c>
      <c r="BW84" s="168" t="n">
        <f aca="false">100*0.0848</f>
        <v>8.48</v>
      </c>
      <c r="BX84" s="168" t="n">
        <f aca="false">100*0.1112</f>
        <v>11.12</v>
      </c>
      <c r="BY84" s="168" t="n">
        <f aca="false">100*0.3575</f>
        <v>35.75</v>
      </c>
      <c r="BZ84" s="168" t="n">
        <f aca="false">100*0.44</f>
        <v>44</v>
      </c>
      <c r="CA84" s="229" t="n">
        <f aca="false">AE84/CB84</f>
        <v>0.392961876832845</v>
      </c>
      <c r="CB84" s="184" t="n">
        <v>6820</v>
      </c>
      <c r="CC84" s="184" t="n">
        <v>820000</v>
      </c>
      <c r="CD84" s="185" t="n">
        <v>811000</v>
      </c>
      <c r="CE84" s="185" t="n">
        <v>7226</v>
      </c>
      <c r="CF84" s="185" t="n">
        <v>346</v>
      </c>
      <c r="CG84" s="185" t="n">
        <v>250</v>
      </c>
      <c r="CH84" s="185" t="n">
        <v>267897</v>
      </c>
      <c r="CI84" s="185" t="n">
        <v>142728</v>
      </c>
      <c r="CJ84" s="185" t="n">
        <v>10713</v>
      </c>
      <c r="CK84" s="185" t="n">
        <v>0.989</v>
      </c>
      <c r="CL84" s="185" t="n">
        <v>0.0088</v>
      </c>
      <c r="CM84" s="185" t="n">
        <v>0.00042</v>
      </c>
      <c r="CN84" s="185" t="n">
        <v>0.0003</v>
      </c>
      <c r="CO84" s="185" t="n">
        <v>0.327</v>
      </c>
      <c r="CP84" s="185" t="n">
        <v>0.174</v>
      </c>
      <c r="CQ84" s="185" t="n">
        <v>0.0131</v>
      </c>
      <c r="CR84" s="185" t="n">
        <v>0.0089</v>
      </c>
      <c r="CS84" s="185" t="n">
        <v>0.00043</v>
      </c>
      <c r="CT84" s="185" t="n">
        <v>0.00031</v>
      </c>
      <c r="CU84" s="185" t="n">
        <v>0.33</v>
      </c>
      <c r="CV84" s="185" t="n">
        <v>0.176</v>
      </c>
      <c r="CW84" s="168" t="n">
        <v>0.013209617755857</v>
      </c>
      <c r="CX84" s="168"/>
    </row>
    <row r="85" s="205" customFormat="true" ht="19.4" hidden="false" customHeight="false" outlineLevel="0" collapsed="false">
      <c r="A85" s="205" t="s">
        <v>216</v>
      </c>
      <c r="B85" s="205" t="s">
        <v>101</v>
      </c>
      <c r="D85" s="205" t="s">
        <v>296</v>
      </c>
      <c r="E85" s="206" t="n">
        <v>24133</v>
      </c>
      <c r="F85" s="206" t="n">
        <v>43046</v>
      </c>
      <c r="G85" s="206" t="n">
        <v>43071</v>
      </c>
      <c r="H85" s="206" t="s">
        <v>157</v>
      </c>
      <c r="I85" s="239" t="n">
        <f aca="false">(G85-E85)/365.25</f>
        <v>51.8494182067077</v>
      </c>
      <c r="J85" s="239" t="n">
        <f aca="false">G85-E85</f>
        <v>18938</v>
      </c>
      <c r="K85" s="239" t="n">
        <f aca="false">G85-F85</f>
        <v>25</v>
      </c>
      <c r="L85" s="251" t="s">
        <v>104</v>
      </c>
      <c r="M85" s="251" t="s">
        <v>114</v>
      </c>
      <c r="N85" s="210" t="s">
        <v>206</v>
      </c>
      <c r="O85" s="211"/>
      <c r="P85" s="211"/>
      <c r="Q85" s="240" t="s">
        <v>252</v>
      </c>
      <c r="R85" s="240" t="s">
        <v>217</v>
      </c>
      <c r="S85" s="241" t="s">
        <v>106</v>
      </c>
      <c r="T85" s="242" t="s">
        <v>218</v>
      </c>
      <c r="U85" s="213" t="n">
        <v>1738.53</v>
      </c>
      <c r="V85" s="213" t="n">
        <v>74.73</v>
      </c>
      <c r="W85" s="214" t="n">
        <f aca="false">U85-V85</f>
        <v>1663.8</v>
      </c>
      <c r="X85" s="243" t="s">
        <v>190</v>
      </c>
      <c r="Y85" s="215" t="n">
        <v>24600000</v>
      </c>
      <c r="Z85" s="216" t="n">
        <f aca="false">Y85*W85</f>
        <v>40929480000</v>
      </c>
      <c r="AA85" s="215" t="n">
        <v>39200000</v>
      </c>
      <c r="AB85" s="241" t="s">
        <v>144</v>
      </c>
      <c r="AC85" s="244" t="n">
        <v>29100000</v>
      </c>
      <c r="AD85" s="205" t="s">
        <v>354</v>
      </c>
      <c r="AE85" s="205" t="n">
        <v>15622</v>
      </c>
      <c r="AF85" s="205" t="n">
        <v>560</v>
      </c>
      <c r="AG85" s="205" t="n">
        <f aca="false">100*0.0348</f>
        <v>3.48</v>
      </c>
      <c r="AH85" s="205" t="n">
        <f aca="false">100*0.0749</f>
        <v>7.49</v>
      </c>
      <c r="AI85" s="205" t="n">
        <v>13.5</v>
      </c>
      <c r="AJ85" s="205" t="n">
        <f aca="false">100*0.00075</f>
        <v>0.075</v>
      </c>
      <c r="AK85" s="205" t="n">
        <v>1455.5</v>
      </c>
      <c r="AL85" s="205" t="n">
        <f aca="false">100*0.09805</f>
        <v>9.805</v>
      </c>
      <c r="AM85" s="205" t="n">
        <f aca="false">100*0.05563</f>
        <v>5.563</v>
      </c>
      <c r="AN85" s="205" t="n">
        <f aca="false">100*0.00923</f>
        <v>0.923</v>
      </c>
      <c r="AO85" s="205" t="n">
        <f aca="false">100*0.849</f>
        <v>84.9</v>
      </c>
      <c r="AP85" s="205" t="n">
        <f aca="false">100*0.02405</f>
        <v>2.405</v>
      </c>
      <c r="AQ85" s="205" t="n">
        <v>2519</v>
      </c>
      <c r="AR85" s="205" t="n">
        <f aca="false">100*0.0702</f>
        <v>7.02</v>
      </c>
      <c r="AS85" s="205" t="n">
        <f aca="false">100*0.0389</f>
        <v>3.89</v>
      </c>
      <c r="AT85" s="205" t="n">
        <f aca="false">100*0.0274</f>
        <v>2.74</v>
      </c>
      <c r="AU85" s="205" t="n">
        <f aca="false">100*0.282</f>
        <v>28.2</v>
      </c>
      <c r="AV85" s="205" t="n">
        <f aca="false">100*0.652</f>
        <v>65.2</v>
      </c>
      <c r="AW85" s="205" t="n">
        <f aca="false">100*0.3565</f>
        <v>35.65</v>
      </c>
      <c r="AX85" s="205" t="n">
        <f aca="false">100*0.124</f>
        <v>12.4</v>
      </c>
      <c r="AY85" s="205" t="n">
        <f aca="false">100*0.1855</f>
        <v>18.55</v>
      </c>
      <c r="AZ85" s="205" t="n">
        <f aca="false">100*0.334</f>
        <v>33.4</v>
      </c>
      <c r="BA85" s="205" t="n">
        <v>9957</v>
      </c>
      <c r="BB85" s="205" t="n">
        <f aca="false">100*0.07261</f>
        <v>7.261</v>
      </c>
      <c r="BC85" s="205" t="n">
        <f aca="false">100*0.148</f>
        <v>14.8</v>
      </c>
      <c r="BD85" s="205" t="n">
        <f aca="false">100*0.0187</f>
        <v>1.87</v>
      </c>
      <c r="BE85" s="205" t="n">
        <f aca="false">100*0.0899</f>
        <v>8.99</v>
      </c>
      <c r="BF85" s="205" t="n">
        <f aca="false">100*0.736</f>
        <v>73.6</v>
      </c>
      <c r="BG85" s="205" t="n">
        <f aca="false">100*0.222</f>
        <v>22.2</v>
      </c>
      <c r="BH85" s="205" t="n">
        <f aca="false">100*0.02595</f>
        <v>2.595</v>
      </c>
      <c r="BI85" s="205" t="n">
        <f aca="false">100*0.1175</f>
        <v>11.75</v>
      </c>
      <c r="BJ85" s="205" t="n">
        <f aca="false">100*0.635</f>
        <v>63.5</v>
      </c>
      <c r="BK85" s="205" t="n">
        <f aca="false">100*0.147</f>
        <v>14.7</v>
      </c>
      <c r="BL85" s="205" t="n">
        <f aca="false">100*0.0068</f>
        <v>0.68</v>
      </c>
      <c r="BM85" s="205" t="n">
        <f aca="false">100*0.0179</f>
        <v>1.79</v>
      </c>
      <c r="BN85" s="205" t="n">
        <f aca="false">100*0.821</f>
        <v>82.1</v>
      </c>
      <c r="BO85" s="205" t="n">
        <f aca="false">100*0.216</f>
        <v>21.6</v>
      </c>
      <c r="BP85" s="205" t="n">
        <f aca="false">100*0.0058</f>
        <v>0.58</v>
      </c>
      <c r="BQ85" s="205" t="n">
        <f aca="false">100*0.01815</f>
        <v>1.815</v>
      </c>
      <c r="BR85" s="205" t="n">
        <f aca="false">100*0.754</f>
        <v>75.4</v>
      </c>
      <c r="BS85" s="205" t="n">
        <f aca="false">100*0.0952</f>
        <v>9.52</v>
      </c>
      <c r="BT85" s="205" t="n">
        <f aca="false">100*0.0608</f>
        <v>6.08</v>
      </c>
      <c r="BU85" s="205" t="n">
        <f aca="false">100*0.32229</f>
        <v>32.229</v>
      </c>
      <c r="BV85" s="205" t="n">
        <f aca="false">100*0.483</f>
        <v>48.3</v>
      </c>
      <c r="BW85" s="205" t="n">
        <f aca="false">100*0.4235</f>
        <v>42.35</v>
      </c>
      <c r="BX85" s="205" t="n">
        <f aca="false">100*0.142</f>
        <v>14.2</v>
      </c>
      <c r="BY85" s="205" t="n">
        <f aca="false">100*0.0971</f>
        <v>9.71</v>
      </c>
      <c r="BZ85" s="205" t="n">
        <f aca="false">100*0.337</f>
        <v>33.7</v>
      </c>
      <c r="CA85" s="217" t="n">
        <f aca="false">AE85/CB85</f>
        <v>0.00250789838693106</v>
      </c>
      <c r="CB85" s="218" t="n">
        <v>6229120</v>
      </c>
      <c r="CC85" s="218" t="n">
        <v>3050000</v>
      </c>
      <c r="CD85" s="219" t="n">
        <v>3010000</v>
      </c>
      <c r="CE85" s="219" t="n">
        <v>4023</v>
      </c>
      <c r="CF85" s="219" t="n">
        <v>271</v>
      </c>
      <c r="CG85" s="219" t="n">
        <v>802</v>
      </c>
      <c r="CH85" s="219" t="n">
        <v>2610000</v>
      </c>
      <c r="CI85" s="219" t="n">
        <v>116736</v>
      </c>
      <c r="CJ85" s="219" t="n">
        <v>1061</v>
      </c>
      <c r="CK85" s="219" t="n">
        <v>0.987</v>
      </c>
      <c r="CL85" s="219" t="n">
        <v>0.0013</v>
      </c>
      <c r="CM85" s="219" t="n">
        <v>8.89E-005</v>
      </c>
      <c r="CN85" s="219" t="n">
        <v>0.00026</v>
      </c>
      <c r="CO85" s="219" t="n">
        <v>0.856</v>
      </c>
      <c r="CP85" s="219" t="n">
        <v>0.0383</v>
      </c>
      <c r="CQ85" s="219" t="n">
        <v>0.00035</v>
      </c>
      <c r="CR85" s="219" t="n">
        <v>0.0013</v>
      </c>
      <c r="CS85" s="219" t="n">
        <v>9E-005</v>
      </c>
      <c r="CT85" s="219" t="n">
        <v>0.00027</v>
      </c>
      <c r="CU85" s="219" t="n">
        <v>0.867</v>
      </c>
      <c r="CV85" s="219" t="n">
        <v>0.0388</v>
      </c>
      <c r="CW85" s="205" t="n">
        <v>0.000352491694352159</v>
      </c>
    </row>
    <row r="86" s="205" customFormat="true" ht="19.4" hidden="false" customHeight="false" outlineLevel="0" collapsed="false">
      <c r="A86" s="205" t="s">
        <v>222</v>
      </c>
      <c r="B86" s="205" t="s">
        <v>113</v>
      </c>
      <c r="C86" s="205" t="s">
        <v>223</v>
      </c>
      <c r="D86" s="205" t="s">
        <v>296</v>
      </c>
      <c r="E86" s="220" t="n">
        <v>24133</v>
      </c>
      <c r="F86" s="220" t="n">
        <v>43046</v>
      </c>
      <c r="G86" s="220" t="n">
        <v>43180</v>
      </c>
      <c r="H86" s="220" t="s">
        <v>157</v>
      </c>
      <c r="I86" s="208" t="n">
        <f aca="false">(G86-E86)/365.25</f>
        <v>52.1478439425051</v>
      </c>
      <c r="J86" s="209" t="n">
        <f aca="false">G86-E86</f>
        <v>19047</v>
      </c>
      <c r="K86" s="209" t="n">
        <f aca="false">G86-F86</f>
        <v>134</v>
      </c>
      <c r="L86" s="209" t="s">
        <v>104</v>
      </c>
      <c r="M86" s="209" t="s">
        <v>114</v>
      </c>
      <c r="N86" s="210" t="s">
        <v>224</v>
      </c>
      <c r="O86" s="221" t="e">
        <f aca="false">N86-G86</f>
        <v>#VALUE!</v>
      </c>
      <c r="P86" s="222" t="s">
        <v>202</v>
      </c>
      <c r="Q86" s="220" t="s">
        <v>116</v>
      </c>
      <c r="R86" s="220"/>
      <c r="S86" s="212" t="s">
        <v>225</v>
      </c>
      <c r="T86" s="222" t="n">
        <v>10</v>
      </c>
      <c r="U86" s="221" t="n">
        <v>2265.15</v>
      </c>
      <c r="V86" s="223" t="n">
        <v>82.62</v>
      </c>
      <c r="W86" s="224" t="n">
        <f aca="false">U86-V86</f>
        <v>2182.53</v>
      </c>
      <c r="X86" s="212"/>
      <c r="Y86" s="225"/>
      <c r="Z86" s="226" t="n">
        <v>65500000</v>
      </c>
      <c r="AA86" s="225"/>
      <c r="AB86" s="212"/>
      <c r="AC86" s="226" t="n">
        <v>45800000</v>
      </c>
      <c r="AD86" s="205" t="s">
        <v>355</v>
      </c>
      <c r="AE86" s="205" t="n">
        <v>26789</v>
      </c>
      <c r="AF86" s="205" t="n">
        <v>208</v>
      </c>
      <c r="AG86" s="205" t="n">
        <v>0.0076</v>
      </c>
      <c r="AH86" s="205" t="n">
        <v>0.678</v>
      </c>
      <c r="AI86" s="205" t="n">
        <v>196</v>
      </c>
      <c r="AJ86" s="205" t="n">
        <v>0.00745</v>
      </c>
      <c r="AK86" s="205" t="n">
        <v>528</v>
      </c>
      <c r="AL86" s="205" t="n">
        <v>0.0174</v>
      </c>
      <c r="AM86" s="205" t="n">
        <v>0.0899</v>
      </c>
      <c r="AN86" s="205" t="n">
        <v>0.0143</v>
      </c>
      <c r="AO86" s="205" t="n">
        <v>0.76</v>
      </c>
      <c r="AP86" s="205" t="n">
        <v>0.0839</v>
      </c>
      <c r="AQ86" s="205" t="n">
        <v>4811</v>
      </c>
      <c r="AR86" s="205" t="n">
        <v>0.49</v>
      </c>
      <c r="AS86" s="205" t="n">
        <f aca="false">100*0.541</f>
        <v>54.1</v>
      </c>
      <c r="AT86" s="205" t="n">
        <f aca="false">100*0.19</f>
        <v>19</v>
      </c>
      <c r="AU86" s="205" t="n">
        <f aca="false">100*0.103</f>
        <v>10.3</v>
      </c>
      <c r="AV86" s="205" t="n">
        <f aca="false">100*0.166</f>
        <v>16.6</v>
      </c>
      <c r="AW86" s="205" t="n">
        <v>0.0551</v>
      </c>
      <c r="AX86" s="205" t="n">
        <v>0.0775</v>
      </c>
      <c r="AY86" s="205" t="n">
        <v>0.214</v>
      </c>
      <c r="AZ86" s="205" t="n">
        <v>0.647</v>
      </c>
      <c r="BA86" s="205" t="n">
        <v>19583</v>
      </c>
      <c r="BB86" s="205" t="n">
        <v>0.19739</v>
      </c>
      <c r="BC86" s="205" t="n">
        <f aca="false">100*0.48887</f>
        <v>48.887</v>
      </c>
      <c r="BD86" s="205" t="n">
        <f aca="false">100*0.05487445</f>
        <v>5.487445</v>
      </c>
      <c r="BE86" s="205" t="n">
        <f aca="false">100*0.0242</f>
        <v>2.42</v>
      </c>
      <c r="BF86" s="205" t="n">
        <f aca="false">100*0.432</f>
        <v>43.2</v>
      </c>
      <c r="BG86" s="205" t="n">
        <v>0.2239512</v>
      </c>
      <c r="BH86" s="205" t="n">
        <v>0.03147445</v>
      </c>
      <c r="BI86" s="205" t="n">
        <v>0.024</v>
      </c>
      <c r="BJ86" s="205" t="n">
        <v>0.722</v>
      </c>
      <c r="BK86" s="205" t="n">
        <f aca="false">100*0.366</f>
        <v>36.6</v>
      </c>
      <c r="BL86" s="205" t="n">
        <f aca="false">100*0.0209</f>
        <v>2.09</v>
      </c>
      <c r="BM86" s="205" t="n">
        <f aca="false">100*0.0433</f>
        <v>4.33</v>
      </c>
      <c r="BN86" s="205" t="n">
        <f aca="false">100*0.581</f>
        <v>58.1</v>
      </c>
      <c r="BO86" s="205" t="n">
        <v>0.257</v>
      </c>
      <c r="BP86" s="205" t="n">
        <v>0.0109</v>
      </c>
      <c r="BQ86" s="205" t="n">
        <v>0.0471</v>
      </c>
      <c r="BR86" s="205" t="n">
        <v>0.691</v>
      </c>
      <c r="BS86" s="205" t="n">
        <f aca="false">100*0.5</f>
        <v>50</v>
      </c>
      <c r="BT86" s="205" t="n">
        <f aca="false">100*0.0251</f>
        <v>2.51</v>
      </c>
      <c r="BU86" s="205" t="n">
        <f aca="false">100*0.0446</f>
        <v>4.46</v>
      </c>
      <c r="BV86" s="205" t="n">
        <f aca="false">100*0.423</f>
        <v>42.3</v>
      </c>
      <c r="BW86" s="205" t="n">
        <v>0.111</v>
      </c>
      <c r="BX86" s="205" t="n">
        <v>0.0091</v>
      </c>
      <c r="BY86" s="205" t="n">
        <v>0.0585</v>
      </c>
      <c r="BZ86" s="205" t="n">
        <v>0.816</v>
      </c>
      <c r="CA86" s="217" t="n">
        <f aca="false">AE86/CB86</f>
        <v>0.224855001301001</v>
      </c>
      <c r="CB86" s="218" t="n">
        <v>119139</v>
      </c>
      <c r="CC86" s="218" t="n">
        <v>697000</v>
      </c>
      <c r="CD86" s="205" t="n">
        <v>576000</v>
      </c>
      <c r="CE86" s="205" t="n">
        <v>111226</v>
      </c>
      <c r="CF86" s="205" t="n">
        <v>17561</v>
      </c>
      <c r="CG86" s="205" t="n">
        <v>4221</v>
      </c>
      <c r="CH86" s="205" t="n">
        <v>71890</v>
      </c>
      <c r="CI86" s="205" t="n">
        <v>267540</v>
      </c>
      <c r="CJ86" s="205" t="n">
        <v>58088</v>
      </c>
      <c r="CK86" s="205" t="n">
        <v>82.6</v>
      </c>
      <c r="CL86" s="205" t="n">
        <v>16</v>
      </c>
      <c r="CM86" s="205" t="n">
        <v>2.7</v>
      </c>
      <c r="CN86" s="205" t="n">
        <v>0.67</v>
      </c>
      <c r="CO86" s="205" t="n">
        <v>11.4</v>
      </c>
      <c r="CP86" s="205" t="n">
        <v>24.2</v>
      </c>
      <c r="CQ86" s="205" t="n">
        <v>10</v>
      </c>
      <c r="CR86" s="205" t="n">
        <v>19.3</v>
      </c>
      <c r="CS86" s="205" t="n">
        <v>3.05</v>
      </c>
      <c r="CT86" s="205" t="n">
        <v>0.82</v>
      </c>
      <c r="CU86" s="205" t="n">
        <v>12.8</v>
      </c>
      <c r="CV86" s="205" t="n">
        <v>29.7</v>
      </c>
      <c r="CW86" s="205" t="n">
        <v>11.5</v>
      </c>
    </row>
    <row r="87" s="205" customFormat="true" ht="12.8" hidden="false" customHeight="false" outlineLevel="0" collapsed="false">
      <c r="A87" s="205" t="s">
        <v>227</v>
      </c>
      <c r="B87" s="205" t="s">
        <v>113</v>
      </c>
      <c r="C87" s="205" t="s">
        <v>223</v>
      </c>
      <c r="D87" s="205" t="s">
        <v>296</v>
      </c>
      <c r="E87" s="220" t="n">
        <v>24133</v>
      </c>
      <c r="F87" s="220" t="n">
        <v>43046</v>
      </c>
      <c r="G87" s="220" t="n">
        <v>43313</v>
      </c>
      <c r="H87" s="220" t="s">
        <v>157</v>
      </c>
      <c r="I87" s="208" t="n">
        <v>52.5119780971937</v>
      </c>
      <c r="J87" s="209" t="n">
        <v>19180</v>
      </c>
      <c r="K87" s="209" t="n">
        <v>267</v>
      </c>
      <c r="L87" s="209" t="s">
        <v>104</v>
      </c>
      <c r="M87" s="209" t="s">
        <v>114</v>
      </c>
      <c r="N87" s="210" t="n">
        <v>43071</v>
      </c>
      <c r="O87" s="221"/>
      <c r="P87" s="222"/>
      <c r="Q87" s="220" t="s">
        <v>116</v>
      </c>
      <c r="R87" s="220"/>
      <c r="S87" s="212" t="s">
        <v>117</v>
      </c>
      <c r="T87" s="222" t="n">
        <v>10</v>
      </c>
      <c r="U87" s="221" t="n">
        <v>1890.82</v>
      </c>
      <c r="V87" s="223" t="n">
        <v>80.4</v>
      </c>
      <c r="W87" s="224" t="n">
        <v>1810.42</v>
      </c>
      <c r="X87" s="212"/>
      <c r="Y87" s="225"/>
      <c r="Z87" s="226" t="n">
        <v>17000000</v>
      </c>
      <c r="AA87" s="225"/>
      <c r="AB87" s="212"/>
      <c r="AC87" s="252" t="n">
        <v>21000000</v>
      </c>
      <c r="AD87" s="205" t="s">
        <v>356</v>
      </c>
      <c r="AE87" s="205" t="n">
        <v>76104</v>
      </c>
      <c r="AF87" s="205" t="n">
        <v>2333</v>
      </c>
      <c r="AG87" s="205" t="n">
        <f aca="false">100*0.0313</f>
        <v>3.13</v>
      </c>
      <c r="AH87" s="205" t="n">
        <f aca="false">100*0.401</f>
        <v>40.1</v>
      </c>
      <c r="AI87" s="205" t="n">
        <v>75</v>
      </c>
      <c r="AJ87" s="205" t="n">
        <f aca="false">100*0.001</f>
        <v>0.1</v>
      </c>
      <c r="AK87" s="205" t="n">
        <v>2602</v>
      </c>
      <c r="AL87" s="205" t="n">
        <f aca="false">100*0.0362</f>
        <v>3.62</v>
      </c>
      <c r="AM87" s="205" t="n">
        <f aca="false">100*0.184</f>
        <v>18.4</v>
      </c>
      <c r="AN87" s="205" t="n">
        <f aca="false">100*0.0104</f>
        <v>1.04</v>
      </c>
      <c r="AO87" s="205" t="n">
        <f aca="false">100*0.955</f>
        <v>95.5</v>
      </c>
      <c r="AP87" s="205" t="n">
        <f aca="false">100*0.0111</f>
        <v>1.11</v>
      </c>
      <c r="AQ87" s="205" t="n">
        <v>30667</v>
      </c>
      <c r="AR87" s="205" t="n">
        <f aca="false">100*0.245</f>
        <v>24.5</v>
      </c>
      <c r="AS87" s="205" t="n">
        <f aca="false">100*0.432</f>
        <v>43.2</v>
      </c>
      <c r="AT87" s="205" t="n">
        <f aca="false">100*0.469</f>
        <v>46.9</v>
      </c>
      <c r="AU87" s="205" t="n">
        <f aca="false">100*0.0395</f>
        <v>3.95</v>
      </c>
      <c r="AV87" s="205" t="n">
        <f aca="false">100*0.0593</f>
        <v>5.93</v>
      </c>
      <c r="AW87" s="205" t="n">
        <f aca="false">100*0.0578</f>
        <v>5.78</v>
      </c>
      <c r="AX87" s="205" t="n">
        <f aca="false">100*0.16</f>
        <v>16</v>
      </c>
      <c r="AY87" s="205" t="n">
        <f aca="false">100*0.38</f>
        <v>38</v>
      </c>
      <c r="AZ87" s="205" t="n">
        <f aca="false">100*0.402</f>
        <v>40.2</v>
      </c>
      <c r="BA87" s="205" t="n">
        <v>34976</v>
      </c>
      <c r="BB87" s="205" t="n">
        <f aca="false">100*0.0927</f>
        <v>9.27</v>
      </c>
      <c r="BC87" s="205" t="n">
        <f aca="false">100*0.715</f>
        <v>71.5</v>
      </c>
      <c r="BD87" s="205" t="n">
        <f aca="false">100*0.0772</f>
        <v>7.72</v>
      </c>
      <c r="BE87" s="205" t="n">
        <f aca="false">100*0.0127</f>
        <v>1.27</v>
      </c>
      <c r="BF87" s="205" t="n">
        <f aca="false">100*0.196</f>
        <v>19.6</v>
      </c>
      <c r="BG87" s="205" t="n">
        <f aca="false">100*0.29</f>
        <v>29</v>
      </c>
      <c r="BH87" s="205" t="n">
        <f aca="false">100*0.0458</f>
        <v>4.58</v>
      </c>
      <c r="BI87" s="205" t="n">
        <f aca="false">100*0.0309</f>
        <v>3.09</v>
      </c>
      <c r="BJ87" s="205" t="n">
        <f aca="false">100*0.634</f>
        <v>63.4</v>
      </c>
      <c r="BK87" s="205" t="n">
        <f aca="false">100*0.498</f>
        <v>49.8</v>
      </c>
      <c r="BL87" s="205" t="n">
        <f aca="false">100*0.394</f>
        <v>39.4</v>
      </c>
      <c r="BM87" s="205" t="n">
        <f aca="false">100*0.0279</f>
        <v>2.79</v>
      </c>
      <c r="BN87" s="205" t="n">
        <f aca="false">100*0.0802</f>
        <v>8.02</v>
      </c>
      <c r="BO87" s="205" t="n">
        <f aca="false">100*0.106</f>
        <v>10.6</v>
      </c>
      <c r="BP87" s="205" t="n">
        <f aca="false">100*0.084</f>
        <v>8.4</v>
      </c>
      <c r="BQ87" s="205" t="n">
        <f aca="false">100*0.349</f>
        <v>34.9</v>
      </c>
      <c r="BR87" s="205" t="n">
        <f aca="false">100*0.46</f>
        <v>46</v>
      </c>
      <c r="BS87" s="205" t="n">
        <f aca="false">100*0.666</f>
        <v>66.6</v>
      </c>
      <c r="BT87" s="205" t="n">
        <f aca="false">100*0.0799</f>
        <v>7.99</v>
      </c>
      <c r="BU87" s="205" t="n">
        <f aca="false">100*0.0238</f>
        <v>2.38</v>
      </c>
      <c r="BV87" s="205" t="n">
        <f aca="false">100*0.23</f>
        <v>23</v>
      </c>
      <c r="BW87" s="205" t="n">
        <f aca="false">100*0.0369</f>
        <v>3.69</v>
      </c>
      <c r="BX87" s="205" t="n">
        <f aca="false">100*0.0081</f>
        <v>0.81</v>
      </c>
      <c r="BY87" s="205" t="n">
        <f aca="false">100*0.104</f>
        <v>10.4</v>
      </c>
      <c r="BZ87" s="205" t="n">
        <f aca="false">100*0.851</f>
        <v>85.1</v>
      </c>
      <c r="CA87" s="217"/>
      <c r="CB87" s="218"/>
      <c r="CC87" s="218" t="n">
        <v>1560000</v>
      </c>
      <c r="CD87" s="205" t="n">
        <v>223003</v>
      </c>
      <c r="CE87" s="205" t="n">
        <v>37</v>
      </c>
      <c r="CF87" s="205" t="n">
        <v>5864</v>
      </c>
      <c r="CG87" s="205" t="n">
        <v>16447</v>
      </c>
      <c r="CH87" s="205" t="n">
        <v>3238</v>
      </c>
      <c r="CI87" s="205" t="n">
        <v>33012</v>
      </c>
      <c r="CJ87" s="205" t="n">
        <v>20539</v>
      </c>
      <c r="CK87" s="205" t="n">
        <v>14.3</v>
      </c>
      <c r="CL87" s="205" t="n">
        <v>0.00237</v>
      </c>
      <c r="CM87" s="205" t="n">
        <v>0.38</v>
      </c>
      <c r="CN87" s="205" t="n">
        <v>1.05</v>
      </c>
      <c r="CO87" s="205" t="n">
        <v>0.21</v>
      </c>
      <c r="CP87" s="205" t="n">
        <v>2.12</v>
      </c>
      <c r="CQ87" s="205" t="n">
        <v>1.32</v>
      </c>
      <c r="CR87" s="205" t="n">
        <v>0.017</v>
      </c>
      <c r="CS87" s="205" t="n">
        <v>2.63</v>
      </c>
      <c r="CT87" s="205" t="n">
        <v>7.38</v>
      </c>
      <c r="CU87" s="205" t="n">
        <v>1.45</v>
      </c>
      <c r="CV87" s="205" t="n">
        <v>14.8</v>
      </c>
      <c r="CW87" s="205" t="n">
        <v>9.21</v>
      </c>
    </row>
    <row r="88" s="186" customFormat="true" ht="12.8" hidden="false" customHeight="false" outlineLevel="0" collapsed="false">
      <c r="A88" s="168" t="s">
        <v>229</v>
      </c>
      <c r="B88" s="168" t="s">
        <v>101</v>
      </c>
      <c r="C88" s="168"/>
      <c r="D88" s="168" t="s">
        <v>296</v>
      </c>
      <c r="E88" s="169" t="n">
        <v>20000</v>
      </c>
      <c r="F88" s="169" t="n">
        <v>43053</v>
      </c>
      <c r="G88" s="169" t="n">
        <v>43094</v>
      </c>
      <c r="H88" s="169" t="s">
        <v>157</v>
      </c>
      <c r="I88" s="171" t="n">
        <f aca="false">(G88-E88)/365.25</f>
        <v>63.2279260780287</v>
      </c>
      <c r="J88" s="171" t="n">
        <f aca="false">G88-E88</f>
        <v>23094</v>
      </c>
      <c r="K88" s="171" t="n">
        <f aca="false">G88-F88</f>
        <v>41</v>
      </c>
      <c r="L88" s="172" t="s">
        <v>104</v>
      </c>
      <c r="M88" s="172" t="s">
        <v>104</v>
      </c>
      <c r="N88" s="173" t="s">
        <v>230</v>
      </c>
      <c r="O88" s="174"/>
      <c r="P88" s="174"/>
      <c r="Q88" s="175" t="s">
        <v>252</v>
      </c>
      <c r="R88" s="175" t="s">
        <v>231</v>
      </c>
      <c r="S88" s="176" t="s">
        <v>107</v>
      </c>
      <c r="T88" s="177" t="s">
        <v>232</v>
      </c>
      <c r="U88" s="178" t="n">
        <v>2175.9</v>
      </c>
      <c r="V88" s="178" t="n">
        <v>76.42</v>
      </c>
      <c r="W88" s="179" t="n">
        <f aca="false">U88-V88</f>
        <v>2099.48</v>
      </c>
      <c r="X88" s="176" t="s">
        <v>233</v>
      </c>
      <c r="Y88" s="181" t="n">
        <f aca="false">15000000/2</f>
        <v>7500000</v>
      </c>
      <c r="Z88" s="182" t="n">
        <f aca="false">Y88*W88</f>
        <v>15746100000</v>
      </c>
      <c r="AA88" s="181" t="n">
        <f aca="false">2700000000/2</f>
        <v>1350000000</v>
      </c>
      <c r="AB88" s="176" t="s">
        <v>231</v>
      </c>
      <c r="AC88" s="182" t="n">
        <v>17000000</v>
      </c>
      <c r="AD88" s="168" t="s">
        <v>357</v>
      </c>
      <c r="AE88" s="168" t="n">
        <v>4200</v>
      </c>
      <c r="AF88" s="168" t="n">
        <v>351</v>
      </c>
      <c r="AG88" s="168" t="n">
        <f aca="false">100*0.0829</f>
        <v>8.29</v>
      </c>
      <c r="AH88" s="168" t="n">
        <f aca="false">100*0.0137</f>
        <v>1.37</v>
      </c>
      <c r="AI88" s="168" t="n">
        <v>0</v>
      </c>
      <c r="AJ88" s="168" t="n">
        <v>0</v>
      </c>
      <c r="AK88" s="168" t="n">
        <v>44</v>
      </c>
      <c r="AL88" s="168" t="n">
        <f aca="false">100*0.0114</f>
        <v>1.14</v>
      </c>
      <c r="AM88" s="168" t="n">
        <v>0</v>
      </c>
      <c r="AN88" s="168" t="n">
        <v>0</v>
      </c>
      <c r="AO88" s="168" t="n">
        <f aca="false">100*0.636</f>
        <v>63.6</v>
      </c>
      <c r="AP88" s="168" t="n">
        <f aca="false">100*0.0909</f>
        <v>9.09</v>
      </c>
      <c r="AQ88" s="168" t="n">
        <v>506</v>
      </c>
      <c r="AR88" s="168" t="n">
        <f aca="false">100*0.03925</f>
        <v>3.925</v>
      </c>
      <c r="AS88" s="168" t="n">
        <f aca="false">100*0.413</f>
        <v>41.3</v>
      </c>
      <c r="AT88" s="168" t="n">
        <f aca="false">100*0.19285</f>
        <v>19.285</v>
      </c>
      <c r="AU88" s="168" t="n">
        <f aca="false">100*0.183</f>
        <v>18.3</v>
      </c>
      <c r="AV88" s="168" t="n">
        <f aca="false">100*0.21</f>
        <v>21</v>
      </c>
      <c r="AW88" s="168" t="n">
        <f aca="false">100*0.0731</f>
        <v>7.31</v>
      </c>
      <c r="AX88" s="168" t="n">
        <f aca="false">100*0.0676</f>
        <v>6.76</v>
      </c>
      <c r="AY88" s="168" t="n">
        <f aca="false">100*0.321</f>
        <v>32.1</v>
      </c>
      <c r="AZ88" s="168" t="n">
        <f aca="false">100*0.536</f>
        <v>53.6</v>
      </c>
      <c r="BA88" s="168" t="n">
        <v>3184</v>
      </c>
      <c r="BB88" s="168" t="n">
        <f aca="false">100*0.01727</f>
        <v>1.727</v>
      </c>
      <c r="BC88" s="168" t="n">
        <f aca="false">100*0.4838</f>
        <v>48.38</v>
      </c>
      <c r="BD88" s="168" t="n">
        <f aca="false">100*0.0733</f>
        <v>7.33</v>
      </c>
      <c r="BE88" s="168" t="n">
        <f aca="false">100*0.0466</f>
        <v>4.66</v>
      </c>
      <c r="BF88" s="168" t="n">
        <f aca="false">100*0.4</f>
        <v>40</v>
      </c>
      <c r="BG88" s="168" t="n">
        <f aca="false">100*0.31969</f>
        <v>31.969</v>
      </c>
      <c r="BH88" s="168" t="n">
        <f aca="false">100*0.0473</f>
        <v>4.73</v>
      </c>
      <c r="BI88" s="168" t="n">
        <f aca="false">100*0.0635</f>
        <v>6.35</v>
      </c>
      <c r="BJ88" s="168" t="n">
        <f aca="false">100*0.569</f>
        <v>56.9</v>
      </c>
      <c r="BK88" s="168" t="n">
        <f aca="false">100*0.332</f>
        <v>33.2</v>
      </c>
      <c r="BL88" s="168" t="n">
        <f aca="false">100*0.1227</f>
        <v>12.27</v>
      </c>
      <c r="BM88" s="168" t="n">
        <f aca="false">100*0.103</f>
        <v>10.3</v>
      </c>
      <c r="BN88" s="168" t="n">
        <f aca="false">100*0.437</f>
        <v>43.7</v>
      </c>
      <c r="BO88" s="168" t="n">
        <f aca="false">100*0.23</f>
        <v>23</v>
      </c>
      <c r="BP88" s="168" t="n">
        <f aca="false">100*0.0686</f>
        <v>6.86</v>
      </c>
      <c r="BQ88" s="168" t="n">
        <f aca="false">100*0.166</f>
        <v>16.6</v>
      </c>
      <c r="BR88" s="168" t="n">
        <f aca="false">100*0.536</f>
        <v>53.6</v>
      </c>
      <c r="BS88" s="168" t="n">
        <f aca="false">100*0.413</f>
        <v>41.3</v>
      </c>
      <c r="BT88" s="168" t="n">
        <f aca="false">100*0.136</f>
        <v>13.6</v>
      </c>
      <c r="BU88" s="168" t="n">
        <f aca="false">100*0.109</f>
        <v>10.9</v>
      </c>
      <c r="BV88" s="168" t="n">
        <f aca="false">100*0.261</f>
        <v>26.1</v>
      </c>
      <c r="BW88" s="168" t="n">
        <f aca="false">100*0.136</f>
        <v>13.6</v>
      </c>
      <c r="BX88" s="168" t="n">
        <f aca="false">100*0.0652</f>
        <v>6.52</v>
      </c>
      <c r="BY88" s="168" t="n">
        <f aca="false">100*0.239</f>
        <v>23.9</v>
      </c>
      <c r="BZ88" s="168" t="n">
        <f aca="false">100*0.565</f>
        <v>56.5</v>
      </c>
      <c r="CA88" s="229" t="n">
        <f aca="false">AE88/CB88</f>
        <v>0.00208361859064039</v>
      </c>
      <c r="CB88" s="184" t="n">
        <v>2015724</v>
      </c>
      <c r="CC88" s="184" t="n">
        <v>1140000</v>
      </c>
      <c r="CD88" s="185" t="n">
        <v>1130000</v>
      </c>
      <c r="CE88" s="185" t="n">
        <v>4213</v>
      </c>
      <c r="CF88" s="185" t="n">
        <v>33</v>
      </c>
      <c r="CG88" s="185" t="n">
        <v>734</v>
      </c>
      <c r="CH88" s="185" t="n">
        <v>1030000</v>
      </c>
      <c r="CI88" s="185" t="n">
        <v>46360</v>
      </c>
      <c r="CJ88" s="185" t="n">
        <v>1159</v>
      </c>
      <c r="CK88" s="185" t="n">
        <v>0.991</v>
      </c>
      <c r="CL88" s="185" t="n">
        <v>0.0037</v>
      </c>
      <c r="CM88" s="185" t="n">
        <v>2.89E-005</v>
      </c>
      <c r="CN88" s="185" t="n">
        <v>0.00064</v>
      </c>
      <c r="CO88" s="185" t="n">
        <v>0.904</v>
      </c>
      <c r="CP88" s="185" t="n">
        <v>0.0407</v>
      </c>
      <c r="CQ88" s="185" t="n">
        <v>0.001</v>
      </c>
      <c r="CR88" s="185" t="n">
        <v>0.0037</v>
      </c>
      <c r="CS88" s="185" t="n">
        <v>2.92E-005</v>
      </c>
      <c r="CT88" s="185" t="n">
        <v>0.00065</v>
      </c>
      <c r="CU88" s="185" t="n">
        <v>0.912</v>
      </c>
      <c r="CV88" s="185" t="n">
        <v>0.041</v>
      </c>
      <c r="CW88" s="168" t="n">
        <v>0.00102566371681416</v>
      </c>
      <c r="CX88" s="168"/>
    </row>
    <row r="89" s="186" customFormat="true" ht="12.8" hidden="false" customHeight="false" outlineLevel="0" collapsed="false">
      <c r="A89" s="186" t="s">
        <v>358</v>
      </c>
      <c r="B89" s="186" t="s">
        <v>113</v>
      </c>
      <c r="D89" s="186" t="s">
        <v>296</v>
      </c>
      <c r="E89" s="230" t="n">
        <v>25781</v>
      </c>
      <c r="F89" s="230" t="n">
        <v>43062</v>
      </c>
      <c r="G89" s="230" t="n">
        <v>43110</v>
      </c>
      <c r="H89" s="230" t="s">
        <v>103</v>
      </c>
      <c r="I89" s="188" t="n">
        <f aca="false">(G89-E89)/365.25</f>
        <v>47.4442162902122</v>
      </c>
      <c r="J89" s="189" t="n">
        <f aca="false">G89-E89</f>
        <v>17329</v>
      </c>
      <c r="K89" s="189" t="n">
        <f aca="false">G89-F89</f>
        <v>48</v>
      </c>
      <c r="L89" s="189" t="s">
        <v>114</v>
      </c>
      <c r="M89" s="189" t="s">
        <v>104</v>
      </c>
      <c r="N89" s="231" t="s">
        <v>115</v>
      </c>
      <c r="O89" s="191" t="n">
        <v>0</v>
      </c>
      <c r="P89" s="191" t="n">
        <v>0</v>
      </c>
      <c r="Q89" s="230" t="s">
        <v>116</v>
      </c>
      <c r="R89" s="230"/>
      <c r="S89" s="192" t="s">
        <v>117</v>
      </c>
      <c r="T89" s="191" t="n">
        <v>10</v>
      </c>
      <c r="U89" s="232" t="n">
        <v>2585.76</v>
      </c>
      <c r="V89" s="232" t="n">
        <v>73.92</v>
      </c>
      <c r="W89" s="196" t="n">
        <f aca="false">U89-V89</f>
        <v>2511.84</v>
      </c>
      <c r="X89" s="192"/>
      <c r="Y89" s="197"/>
      <c r="Z89" s="233" t="n">
        <v>12000000</v>
      </c>
      <c r="AA89" s="197"/>
      <c r="AB89" s="192"/>
      <c r="AC89" s="233" t="s">
        <v>318</v>
      </c>
      <c r="AD89" s="186" t="s">
        <v>359</v>
      </c>
      <c r="AE89" s="186" t="n">
        <v>37957</v>
      </c>
      <c r="AF89" s="186" t="n">
        <v>3055</v>
      </c>
      <c r="AG89" s="186" t="n">
        <f aca="false">100*0.0845</f>
        <v>8.45</v>
      </c>
      <c r="AH89" s="186" t="n">
        <f aca="false">100*0.278</f>
        <v>27.8</v>
      </c>
      <c r="AI89" s="186" t="n">
        <v>435</v>
      </c>
      <c r="AJ89" s="186" t="n">
        <f aca="false">100*0.012</f>
        <v>1.2</v>
      </c>
      <c r="AK89" s="186" t="n">
        <v>3110</v>
      </c>
      <c r="AL89" s="186" t="n">
        <f aca="false">100*0.0962</f>
        <v>9.62</v>
      </c>
      <c r="AM89" s="186" t="n">
        <f aca="false">100*0.0576</f>
        <v>5.76</v>
      </c>
      <c r="AN89" s="186" t="n">
        <f aca="false">100*0.017</f>
        <v>1.7</v>
      </c>
      <c r="AO89" s="186" t="n">
        <f aca="false">100*0.759</f>
        <v>75.9</v>
      </c>
      <c r="AP89" s="186" t="n">
        <f aca="false">100*0.0203</f>
        <v>2.03</v>
      </c>
      <c r="AQ89" s="186" t="n">
        <v>8751</v>
      </c>
      <c r="AR89" s="186" t="n">
        <f aca="false">100*0.25</f>
        <v>25</v>
      </c>
      <c r="AS89" s="186" t="n">
        <f aca="false">100*0.417</f>
        <v>41.7</v>
      </c>
      <c r="AT89" s="186" t="n">
        <f aca="false">100*0.404</f>
        <v>40.4</v>
      </c>
      <c r="AU89" s="186" t="n">
        <f aca="false">100*0.0743</f>
        <v>7.43</v>
      </c>
      <c r="AV89" s="186" t="n">
        <f aca="false">100*0.104</f>
        <v>10.4</v>
      </c>
      <c r="AW89" s="186" t="n">
        <f aca="false">100*0.164</f>
        <v>16.4</v>
      </c>
      <c r="AX89" s="186" t="n">
        <f aca="false">100*0.251</f>
        <v>25.1</v>
      </c>
      <c r="AY89" s="186" t="n">
        <f aca="false">100*0.261</f>
        <v>26.1</v>
      </c>
      <c r="AZ89" s="186" t="n">
        <f aca="false">100*0.324</f>
        <v>32.4</v>
      </c>
      <c r="BA89" s="186" t="n">
        <v>17369</v>
      </c>
      <c r="BB89" s="186" t="n">
        <f aca="false">100*0.112</f>
        <v>11.2</v>
      </c>
      <c r="BC89" s="186" t="n">
        <f aca="false">100*0.584</f>
        <v>58.4</v>
      </c>
      <c r="BD89" s="186" t="n">
        <f aca="false">100*0.146</f>
        <v>14.6</v>
      </c>
      <c r="BE89" s="186" t="n">
        <f aca="false">100*0.0253</f>
        <v>2.53</v>
      </c>
      <c r="BF89" s="186" t="n">
        <f aca="false">100*0.245</f>
        <v>24.5</v>
      </c>
      <c r="BG89" s="186" t="n">
        <f aca="false">100*0.423</f>
        <v>42.3</v>
      </c>
      <c r="BH89" s="186" t="n">
        <f aca="false">100*0.125</f>
        <v>12.5</v>
      </c>
      <c r="BI89" s="186" t="n">
        <f aca="false">100*0.0348</f>
        <v>3.48</v>
      </c>
      <c r="BJ89" s="186" t="n">
        <f aca="false">100*0.417</f>
        <v>41.7</v>
      </c>
      <c r="BK89" s="186" t="n">
        <f aca="false">100*0.822</f>
        <v>82.2</v>
      </c>
      <c r="BL89" s="186" t="n">
        <f aca="false">100*0.129</f>
        <v>12.9</v>
      </c>
      <c r="BM89" s="186" t="n">
        <f aca="false">100*0.0052</f>
        <v>0.52</v>
      </c>
      <c r="BN89" s="186" t="n">
        <f aca="false">100*0.0442</f>
        <v>4.42</v>
      </c>
      <c r="BO89" s="186" t="n">
        <f aca="false">100*0.227</f>
        <v>22.7</v>
      </c>
      <c r="BP89" s="186" t="n">
        <f aca="false">100*0.0419</f>
        <v>4.19</v>
      </c>
      <c r="BQ89" s="186" t="n">
        <f aca="false">100*0.092</f>
        <v>9.2</v>
      </c>
      <c r="BR89" s="186" t="n">
        <f aca="false">100*0.639</f>
        <v>63.9</v>
      </c>
      <c r="BS89" s="186" t="n">
        <f aca="false">100*0.686</f>
        <v>68.6</v>
      </c>
      <c r="BT89" s="186" t="n">
        <f aca="false">100*0.107</f>
        <v>10.7</v>
      </c>
      <c r="BU89" s="186" t="n">
        <f aca="false">100*0.0222</f>
        <v>2.22</v>
      </c>
      <c r="BV89" s="186" t="n">
        <f aca="false">100*0.185</f>
        <v>18.5</v>
      </c>
      <c r="BW89" s="186" t="n">
        <f aca="false">100*0.26</f>
        <v>26</v>
      </c>
      <c r="BX89" s="186" t="n">
        <f aca="false">100*0.0559</f>
        <v>5.59</v>
      </c>
      <c r="BY89" s="186" t="n">
        <f aca="false">100*0.0759</f>
        <v>7.59</v>
      </c>
      <c r="BZ89" s="186" t="n">
        <f aca="false">100*0.608</f>
        <v>60.8</v>
      </c>
      <c r="CA89" s="235" t="n">
        <f aca="false">AE89/CB89</f>
        <v>0.0194747857014222</v>
      </c>
      <c r="CB89" s="203" t="n">
        <v>1949033</v>
      </c>
      <c r="CC89" s="203" t="n">
        <v>1990000</v>
      </c>
      <c r="CD89" s="204" t="n">
        <v>485000</v>
      </c>
      <c r="CE89" s="204" t="n">
        <v>125787</v>
      </c>
      <c r="CF89" s="204" t="n">
        <v>23577</v>
      </c>
      <c r="CG89" s="204" t="n">
        <v>3472</v>
      </c>
      <c r="CH89" s="204" t="n">
        <v>10453</v>
      </c>
      <c r="CI89" s="204" t="n">
        <v>99099</v>
      </c>
      <c r="CJ89" s="204" t="n">
        <v>64283</v>
      </c>
      <c r="CK89" s="204" t="n">
        <v>0.244</v>
      </c>
      <c r="CL89" s="204" t="n">
        <v>0.0632</v>
      </c>
      <c r="CM89" s="204" t="n">
        <v>0.0118</v>
      </c>
      <c r="CN89" s="204" t="n">
        <v>0.0017</v>
      </c>
      <c r="CO89" s="204" t="n">
        <v>0.0053</v>
      </c>
      <c r="CP89" s="204" t="n">
        <v>0.0498</v>
      </c>
      <c r="CQ89" s="204" t="n">
        <v>0.0323</v>
      </c>
      <c r="CR89" s="204" t="n">
        <v>0.259</v>
      </c>
      <c r="CS89" s="204" t="n">
        <v>0.0486</v>
      </c>
      <c r="CT89" s="204" t="n">
        <v>0.0072</v>
      </c>
      <c r="CU89" s="204" t="n">
        <v>0.0216</v>
      </c>
      <c r="CV89" s="204" t="n">
        <v>0.204</v>
      </c>
      <c r="CW89" s="186" t="n">
        <v>0.132542268041237</v>
      </c>
    </row>
    <row r="90" s="205" customFormat="true" ht="12" hidden="false" customHeight="true" outlineLevel="0" collapsed="false">
      <c r="A90" s="205" t="s">
        <v>235</v>
      </c>
      <c r="B90" s="205" t="s">
        <v>113</v>
      </c>
      <c r="D90" s="205" t="s">
        <v>296</v>
      </c>
      <c r="E90" s="220" t="n">
        <v>23937</v>
      </c>
      <c r="F90" s="220" t="n">
        <v>42746</v>
      </c>
      <c r="G90" s="220" t="n">
        <v>43131</v>
      </c>
      <c r="H90" s="220" t="s">
        <v>157</v>
      </c>
      <c r="I90" s="208" t="n">
        <f aca="false">(G90-E90)/365.25</f>
        <v>52.5503080082136</v>
      </c>
      <c r="J90" s="209" t="n">
        <f aca="false">G90-E90</f>
        <v>19194</v>
      </c>
      <c r="K90" s="209" t="n">
        <f aca="false">G90-F90</f>
        <v>385</v>
      </c>
      <c r="L90" s="209" t="s">
        <v>104</v>
      </c>
      <c r="M90" s="209" t="s">
        <v>104</v>
      </c>
      <c r="N90" s="210" t="s">
        <v>115</v>
      </c>
      <c r="O90" s="221" t="n">
        <v>0</v>
      </c>
      <c r="P90" s="222" t="n">
        <v>0</v>
      </c>
      <c r="Q90" s="220" t="s">
        <v>116</v>
      </c>
      <c r="R90" s="220"/>
      <c r="S90" s="212" t="s">
        <v>117</v>
      </c>
      <c r="T90" s="222" t="n">
        <v>10</v>
      </c>
      <c r="U90" s="221" t="n">
        <v>1863.1</v>
      </c>
      <c r="V90" s="223" t="n">
        <v>82.24</v>
      </c>
      <c r="W90" s="224" t="n">
        <f aca="false">U90-V90</f>
        <v>1780.86</v>
      </c>
      <c r="X90" s="212"/>
      <c r="Y90" s="225"/>
      <c r="Z90" s="226" t="n">
        <v>18000000</v>
      </c>
      <c r="AA90" s="225"/>
      <c r="AB90" s="212"/>
      <c r="AC90" s="226" t="n">
        <v>2100000</v>
      </c>
      <c r="AD90" s="205" t="s">
        <v>360</v>
      </c>
      <c r="AE90" s="205" t="n">
        <v>203431</v>
      </c>
      <c r="AF90" s="205" t="n">
        <v>756</v>
      </c>
      <c r="AG90" s="205" t="n">
        <f aca="false">100*0.0039</f>
        <v>0.39</v>
      </c>
      <c r="AH90" s="205" t="n">
        <f aca="false">100*0.803</f>
        <v>80.3</v>
      </c>
      <c r="AI90" s="205" t="n">
        <v>280</v>
      </c>
      <c r="AJ90" s="205" t="n">
        <f aca="false">100*0.0014</f>
        <v>0.14</v>
      </c>
      <c r="AK90" s="205" t="n">
        <f aca="false">100*1897</f>
        <v>189700</v>
      </c>
      <c r="AL90" s="205" t="n">
        <f aca="false">100*0.0098</f>
        <v>0.98</v>
      </c>
      <c r="AM90" s="205" t="n">
        <f aca="false">100*0.332</f>
        <v>33.2</v>
      </c>
      <c r="AN90" s="205" t="n">
        <f aca="false">100*0.326</f>
        <v>32.6</v>
      </c>
      <c r="AO90" s="205" t="n">
        <f aca="false">100*0.474</f>
        <v>47.4</v>
      </c>
      <c r="AP90" s="205" t="n">
        <f aca="false">100*0.0648</f>
        <v>6.48</v>
      </c>
      <c r="AQ90" s="205" t="n">
        <v>51404</v>
      </c>
      <c r="AR90" s="205" t="n">
        <f aca="false">100*0.603</f>
        <v>60.3</v>
      </c>
      <c r="AS90" s="205" t="n">
        <f aca="false">100*0.373</f>
        <v>37.3</v>
      </c>
      <c r="AT90" s="205" t="n">
        <f aca="false">100*0.516</f>
        <v>51.6</v>
      </c>
      <c r="AU90" s="205" t="n">
        <f aca="false">100*0.0705</f>
        <v>7.05</v>
      </c>
      <c r="AV90" s="205" t="n">
        <f aca="false">100*0.0402</f>
        <v>4.02</v>
      </c>
      <c r="AW90" s="205" t="n">
        <f aca="false">100*0.201</f>
        <v>20.1</v>
      </c>
      <c r="AX90" s="205" t="n">
        <f aca="false">100*0.372</f>
        <v>37.2</v>
      </c>
      <c r="AY90" s="205" t="n">
        <f aca="false">100*0.214</f>
        <v>21.4</v>
      </c>
      <c r="AZ90" s="205" t="n">
        <f aca="false">100*0.212</f>
        <v>21.2</v>
      </c>
      <c r="BA90" s="205" t="n">
        <v>73540</v>
      </c>
      <c r="BB90" s="205" t="n">
        <f aca="false">100*0.516</f>
        <v>51.6</v>
      </c>
      <c r="BC90" s="205" t="n">
        <f aca="false">100*0.589</f>
        <v>58.9</v>
      </c>
      <c r="BD90" s="205" t="n">
        <f aca="false">100*0.166</f>
        <v>16.6</v>
      </c>
      <c r="BE90" s="205" t="n">
        <f aca="false">100*0.0252</f>
        <v>2.52</v>
      </c>
      <c r="BF90" s="205" t="n">
        <f aca="false">100*0.22</f>
        <v>22</v>
      </c>
      <c r="BG90" s="205" t="n">
        <f aca="false">100*0.423</f>
        <v>42.3</v>
      </c>
      <c r="BH90" s="205" t="n">
        <f aca="false">100*0.142</f>
        <v>14.2</v>
      </c>
      <c r="BI90" s="205" t="n">
        <f aca="false">100*0.0492</f>
        <v>4.92</v>
      </c>
      <c r="BJ90" s="205" t="n">
        <f aca="false">100*0.386</f>
        <v>38.6</v>
      </c>
      <c r="BK90" s="205" t="n">
        <f aca="false">100*0.433</f>
        <v>43.3</v>
      </c>
      <c r="BL90" s="205" t="n">
        <f aca="false">100*0.507</f>
        <v>50.7</v>
      </c>
      <c r="BM90" s="205" t="n">
        <f aca="false">100*0.0265</f>
        <v>2.65</v>
      </c>
      <c r="BN90" s="205" t="n">
        <f aca="false">100*0.0344</f>
        <v>3.44</v>
      </c>
      <c r="BO90" s="205" t="n">
        <f aca="false">100*0.263</f>
        <v>26.3</v>
      </c>
      <c r="BP90" s="205" t="n">
        <f aca="false">100*0.328</f>
        <v>32.8</v>
      </c>
      <c r="BQ90" s="205" t="n">
        <f aca="false">100*0.209</f>
        <v>20.9</v>
      </c>
      <c r="BR90" s="205" t="n">
        <f aca="false">100*0.2</f>
        <v>20</v>
      </c>
      <c r="BS90" s="205" t="n">
        <f aca="false">100*0.434</f>
        <v>43.4</v>
      </c>
      <c r="BT90" s="205" t="n">
        <f aca="false">100*0.466</f>
        <v>46.6</v>
      </c>
      <c r="BU90" s="205" t="n">
        <f aca="false">100*0.0401</f>
        <v>4.01</v>
      </c>
      <c r="BV90" s="205" t="n">
        <f aca="false">100*0.0601</f>
        <v>6.01</v>
      </c>
      <c r="BW90" s="205" t="n">
        <f aca="false">100*0.306</f>
        <v>30.6</v>
      </c>
      <c r="BX90" s="205" t="n">
        <f aca="false">100*0.375</f>
        <v>37.5</v>
      </c>
      <c r="BY90" s="205" t="n">
        <f aca="false">100*0.147</f>
        <v>14.7</v>
      </c>
      <c r="BZ90" s="205" t="n">
        <f aca="false">100*0.172</f>
        <v>17.2</v>
      </c>
      <c r="CA90" s="217" t="n">
        <f aca="false">AE90/CB90</f>
        <v>0.216242043632993</v>
      </c>
      <c r="CB90" s="218" t="n">
        <v>940756</v>
      </c>
      <c r="CC90" s="218" t="n">
        <v>986000</v>
      </c>
      <c r="CD90" s="219" t="n">
        <v>273327</v>
      </c>
      <c r="CE90" s="219" t="n">
        <v>101452</v>
      </c>
      <c r="CF90" s="219" t="n">
        <v>3720</v>
      </c>
      <c r="CG90" s="219" t="n">
        <v>2207</v>
      </c>
      <c r="CH90" s="219" t="n">
        <v>3217</v>
      </c>
      <c r="CI90" s="219" t="n">
        <v>9139</v>
      </c>
      <c r="CJ90" s="219" t="n">
        <v>19048</v>
      </c>
      <c r="CK90" s="219" t="n">
        <v>0.277</v>
      </c>
      <c r="CL90" s="219" t="n">
        <v>0.103</v>
      </c>
      <c r="CM90" s="219" t="n">
        <v>0.0038</v>
      </c>
      <c r="CN90" s="219" t="n">
        <v>0.0022</v>
      </c>
      <c r="CO90" s="219" t="n">
        <v>0.0033</v>
      </c>
      <c r="CP90" s="219" t="n">
        <v>0.0093</v>
      </c>
      <c r="CQ90" s="219" t="n">
        <v>0.0193</v>
      </c>
      <c r="CR90" s="219" t="n">
        <v>0.371</v>
      </c>
      <c r="CS90" s="219" t="n">
        <v>0.0136</v>
      </c>
      <c r="CT90" s="219" t="n">
        <v>0.0081</v>
      </c>
      <c r="CU90" s="219" t="n">
        <v>0.0118</v>
      </c>
      <c r="CV90" s="219" t="n">
        <v>0.0334</v>
      </c>
      <c r="CW90" s="205" t="n">
        <v>0.0696894196328939</v>
      </c>
    </row>
    <row r="91" s="205" customFormat="true" ht="12.8" hidden="false" customHeight="false" outlineLevel="0" collapsed="false">
      <c r="A91" s="205" t="s">
        <v>238</v>
      </c>
      <c r="B91" s="205" t="s">
        <v>101</v>
      </c>
      <c r="C91" s="205" t="s">
        <v>239</v>
      </c>
      <c r="D91" s="205" t="s">
        <v>296</v>
      </c>
      <c r="E91" s="206" t="n">
        <v>23937</v>
      </c>
      <c r="F91" s="206" t="n">
        <v>42746</v>
      </c>
      <c r="G91" s="206" t="n">
        <v>43178</v>
      </c>
      <c r="H91" s="206" t="s">
        <v>157</v>
      </c>
      <c r="I91" s="239" t="n">
        <f aca="false">(G91-E91)/365.25</f>
        <v>52.6789869952088</v>
      </c>
      <c r="J91" s="239" t="n">
        <f aca="false">G91-E91</f>
        <v>19241</v>
      </c>
      <c r="K91" s="239" t="n">
        <f aca="false">G91-F91</f>
        <v>432</v>
      </c>
      <c r="L91" s="251" t="s">
        <v>104</v>
      </c>
      <c r="M91" s="251" t="s">
        <v>104</v>
      </c>
      <c r="N91" s="210" t="s">
        <v>361</v>
      </c>
      <c r="Q91" s="240" t="s">
        <v>252</v>
      </c>
      <c r="R91" s="240" t="s">
        <v>241</v>
      </c>
      <c r="S91" s="241" t="s">
        <v>107</v>
      </c>
      <c r="T91" s="242" t="s">
        <v>178</v>
      </c>
      <c r="U91" s="213" t="n">
        <v>1670.97</v>
      </c>
      <c r="V91" s="213" t="n">
        <v>86.35</v>
      </c>
      <c r="W91" s="214" t="n">
        <f aca="false">U91-V91</f>
        <v>1584.62</v>
      </c>
      <c r="X91" s="243" t="s">
        <v>109</v>
      </c>
      <c r="Y91" s="215" t="n">
        <v>8200000</v>
      </c>
      <c r="Z91" s="216" t="n">
        <f aca="false">Y91*W91</f>
        <v>12993884000</v>
      </c>
      <c r="AA91" s="215" t="n">
        <f aca="false">155000000</f>
        <v>155000000</v>
      </c>
      <c r="AB91" s="212"/>
      <c r="AC91" s="216" t="n">
        <v>10000000</v>
      </c>
      <c r="AD91" s="205" t="s">
        <v>362</v>
      </c>
      <c r="AE91" s="205" t="n">
        <v>100378</v>
      </c>
      <c r="AF91" s="205" t="n">
        <v>569</v>
      </c>
      <c r="AG91" s="205" t="n">
        <f aca="false">100*0.0056</f>
        <v>0.56</v>
      </c>
      <c r="AH91" s="205" t="n">
        <f aca="false">100*0.0279</f>
        <v>2.79</v>
      </c>
      <c r="AI91" s="205" t="n">
        <v>66</v>
      </c>
      <c r="AJ91" s="205" t="n">
        <f aca="false">100*0.00065</f>
        <v>0.065</v>
      </c>
      <c r="AK91" s="205" t="n">
        <v>3094</v>
      </c>
      <c r="AL91" s="205" t="n">
        <f aca="false">100*0.0306</f>
        <v>3.06</v>
      </c>
      <c r="AM91" s="205" t="n">
        <f aca="false">100*0.0116</f>
        <v>1.16</v>
      </c>
      <c r="AN91" s="205" t="n">
        <f aca="false">100*0.0052</f>
        <v>0.52</v>
      </c>
      <c r="AO91" s="205" t="n">
        <f aca="false">100*0.592</f>
        <v>59.2</v>
      </c>
      <c r="AP91" s="205" t="n">
        <f aca="false">100*0.0711</f>
        <v>7.11</v>
      </c>
      <c r="AQ91" s="205" t="n">
        <v>27738</v>
      </c>
      <c r="AR91" s="205" t="n">
        <f aca="false">100*0.00705</f>
        <v>0.705</v>
      </c>
      <c r="AS91" s="205" t="n">
        <f aca="false">100*0.4079634</f>
        <v>40.79634</v>
      </c>
      <c r="AT91" s="205" t="n">
        <f aca="false">100*0.47694585</f>
        <v>47.694585</v>
      </c>
      <c r="AU91" s="205" t="n">
        <f aca="false">100*0.0634</f>
        <v>6.34</v>
      </c>
      <c r="AV91" s="205" t="n">
        <f aca="false">100*0.0537</f>
        <v>5.37</v>
      </c>
      <c r="AW91" s="205" t="n">
        <f aca="false">100*0.15117</f>
        <v>15.117</v>
      </c>
      <c r="AX91" s="205" t="n">
        <f aca="false">100*0.22056745</f>
        <v>22.056745</v>
      </c>
      <c r="AY91" s="205" t="n">
        <f aca="false">100*0.291</f>
        <v>29.1</v>
      </c>
      <c r="AZ91" s="205" t="n">
        <f aca="false">100*0.326</f>
        <v>32.6</v>
      </c>
      <c r="BA91" s="205" t="n">
        <v>58671</v>
      </c>
      <c r="BB91" s="205" t="n">
        <f aca="false">100*0.01345</f>
        <v>1.345</v>
      </c>
      <c r="BC91" s="205" t="n">
        <f aca="false">100*0.6489837</f>
        <v>64.89837</v>
      </c>
      <c r="BD91" s="205" t="n">
        <f aca="false">100*0.10599185</f>
        <v>10.599185</v>
      </c>
      <c r="BE91" s="205" t="n">
        <f aca="false">100*0.0182</f>
        <v>1.82</v>
      </c>
      <c r="BF91" s="205" t="n">
        <f aca="false">100*0.235</f>
        <v>23.5</v>
      </c>
      <c r="BG91" s="205" t="n">
        <f aca="false">100*0.31728</f>
        <v>31.728</v>
      </c>
      <c r="BH91" s="205" t="n">
        <f aca="false">100*0.06386475</f>
        <v>6.386475</v>
      </c>
      <c r="BI91" s="205" t="n">
        <f aca="false">100*0.0504</f>
        <v>5.04</v>
      </c>
      <c r="BJ91" s="205" t="n">
        <f aca="false">100*0.566</f>
        <v>56.6</v>
      </c>
      <c r="BK91" s="205" t="n">
        <f aca="false">100*0.183</f>
        <v>18.3</v>
      </c>
      <c r="BL91" s="205" t="n">
        <f aca="false">100*0.2052</f>
        <v>20.52</v>
      </c>
      <c r="BM91" s="205" t="n">
        <f aca="false">100*0.206</f>
        <v>20.6</v>
      </c>
      <c r="BN91" s="205" t="n">
        <f aca="false">100*0.404</f>
        <v>40.4</v>
      </c>
      <c r="BO91" s="205" t="n">
        <f aca="false">100*0.1581</f>
        <v>15.81</v>
      </c>
      <c r="BP91" s="205" t="n">
        <f aca="false">100*0.19125</f>
        <v>19.125</v>
      </c>
      <c r="BQ91" s="205" t="n">
        <f aca="false">100*0.154</f>
        <v>15.4</v>
      </c>
      <c r="BR91" s="205" t="n">
        <f aca="false">100*0.506</f>
        <v>50.6</v>
      </c>
      <c r="BS91" s="205" t="n">
        <f aca="false">100*0.245</f>
        <v>24.5</v>
      </c>
      <c r="BT91" s="205" t="n">
        <f aca="false">100*0.589</f>
        <v>58.9</v>
      </c>
      <c r="BU91" s="205" t="n">
        <f aca="false">100*0.0596</f>
        <v>5.96</v>
      </c>
      <c r="BV91" s="205" t="n">
        <f aca="false">100*0.0499</f>
        <v>4.99</v>
      </c>
      <c r="BW91" s="205" t="n">
        <f aca="false">100*0.1817</f>
        <v>18.17</v>
      </c>
      <c r="BX91" s="205" t="n">
        <f aca="false">100*0.384</f>
        <v>38.4</v>
      </c>
      <c r="BY91" s="205" t="n">
        <f aca="false">100*0.297</f>
        <v>29.7</v>
      </c>
      <c r="BZ91" s="205" t="n">
        <f aca="false">100*0.152</f>
        <v>15.2</v>
      </c>
      <c r="CA91" s="217" t="n">
        <f aca="false">AE91/CB91</f>
        <v>0.0141928868437603</v>
      </c>
      <c r="CB91" s="218" t="n">
        <v>7072416</v>
      </c>
      <c r="CC91" s="218" t="n">
        <v>748000</v>
      </c>
      <c r="CD91" s="205" t="n">
        <v>734000</v>
      </c>
      <c r="CE91" s="205" t="n">
        <v>40514</v>
      </c>
      <c r="CF91" s="205" t="n">
        <v>2258</v>
      </c>
      <c r="CG91" s="205" t="n">
        <v>1757</v>
      </c>
      <c r="CH91" s="205" t="n">
        <v>213532</v>
      </c>
      <c r="CI91" s="205" t="n">
        <v>89422</v>
      </c>
      <c r="CJ91" s="205" t="n">
        <v>4037</v>
      </c>
      <c r="CK91" s="205" t="n">
        <v>96.5</v>
      </c>
      <c r="CL91" s="205" t="n">
        <v>6.29</v>
      </c>
      <c r="CM91" s="205" t="n">
        <v>0.37</v>
      </c>
      <c r="CN91" s="205" t="n">
        <v>0.32</v>
      </c>
      <c r="CO91" s="205" t="n">
        <v>29.2</v>
      </c>
      <c r="CP91" s="205" t="n">
        <v>17.7</v>
      </c>
      <c r="CQ91" s="205" t="n">
        <v>1.33</v>
      </c>
      <c r="CR91" s="205" t="n">
        <v>6.53</v>
      </c>
      <c r="CS91" s="205" t="n">
        <v>0.39</v>
      </c>
      <c r="CT91" s="205" t="n">
        <v>0.34</v>
      </c>
      <c r="CU91" s="205" t="n">
        <v>30.2</v>
      </c>
      <c r="CV91" s="205" t="n">
        <v>18.1</v>
      </c>
      <c r="CW91" s="205" t="n">
        <v>1.37</v>
      </c>
    </row>
    <row r="92" s="205" customFormat="true" ht="12.6" hidden="false" customHeight="true" outlineLevel="0" collapsed="false">
      <c r="A92" s="205" t="s">
        <v>245</v>
      </c>
      <c r="B92" s="205" t="s">
        <v>101</v>
      </c>
      <c r="D92" s="205" t="s">
        <v>296</v>
      </c>
      <c r="E92" s="206" t="n">
        <v>23937</v>
      </c>
      <c r="F92" s="206" t="n">
        <v>42746</v>
      </c>
      <c r="G92" s="206" t="n">
        <v>43223</v>
      </c>
      <c r="H92" s="206" t="s">
        <v>157</v>
      </c>
      <c r="I92" s="239" t="n">
        <f aca="false">(G92-E92)/365.25</f>
        <v>52.8021902806297</v>
      </c>
      <c r="J92" s="239" t="n">
        <f aca="false">G92-E92</f>
        <v>19286</v>
      </c>
      <c r="K92" s="239" t="n">
        <f aca="false">G92-F92</f>
        <v>477</v>
      </c>
      <c r="L92" s="251" t="s">
        <v>104</v>
      </c>
      <c r="M92" s="251" t="s">
        <v>104</v>
      </c>
      <c r="N92" s="210" t="s">
        <v>361</v>
      </c>
      <c r="O92" s="211"/>
      <c r="P92" s="211"/>
      <c r="Q92" s="240" t="s">
        <v>116</v>
      </c>
      <c r="R92" s="240" t="s">
        <v>246</v>
      </c>
      <c r="S92" s="241" t="s">
        <v>107</v>
      </c>
      <c r="T92" s="242" t="s">
        <v>178</v>
      </c>
      <c r="U92" s="213" t="n">
        <v>1530.1</v>
      </c>
      <c r="V92" s="213" t="n">
        <v>102.72</v>
      </c>
      <c r="W92" s="214" t="n">
        <f aca="false">U92-V92</f>
        <v>1427.38</v>
      </c>
      <c r="X92" s="243" t="s">
        <v>109</v>
      </c>
      <c r="Y92" s="215" t="n">
        <v>20000000</v>
      </c>
      <c r="Z92" s="216" t="n">
        <f aca="false">Y92*W92</f>
        <v>28547600000</v>
      </c>
      <c r="AA92" s="215" t="n">
        <v>50500000</v>
      </c>
      <c r="AB92" s="241" t="s">
        <v>179</v>
      </c>
      <c r="AC92" s="216" t="n">
        <v>15400000</v>
      </c>
      <c r="AD92" s="245" t="s">
        <v>363</v>
      </c>
      <c r="AE92" s="205" t="n">
        <v>16926</v>
      </c>
      <c r="AF92" s="205" t="n">
        <v>163</v>
      </c>
      <c r="AG92" s="205" t="n">
        <f aca="false">100*0.0098</f>
        <v>0.98</v>
      </c>
      <c r="AH92" s="205" t="n">
        <f aca="false">100*0.0034</f>
        <v>0.34</v>
      </c>
      <c r="AI92" s="205" t="n">
        <v>10</v>
      </c>
      <c r="AJ92" s="205" t="n">
        <f aca="false">100*0.000575</f>
        <v>0.0575</v>
      </c>
      <c r="AK92" s="205" t="n">
        <v>801</v>
      </c>
      <c r="AL92" s="205" t="n">
        <f aca="false">100*0.05</f>
        <v>5</v>
      </c>
      <c r="AM92" s="205" t="n">
        <f aca="false">100*0.00265</f>
        <v>0.265</v>
      </c>
      <c r="AN92" s="205" t="n">
        <f aca="false">100*0.00125</f>
        <v>0.125</v>
      </c>
      <c r="AO92" s="205" t="n">
        <f aca="false">100*0.567</f>
        <v>56.7</v>
      </c>
      <c r="AP92" s="205" t="n">
        <f aca="false">100*0.044</f>
        <v>4.4</v>
      </c>
      <c r="AQ92" s="205" t="n">
        <v>3222</v>
      </c>
      <c r="AR92" s="205" t="n">
        <f aca="false">100*0.01586</f>
        <v>1.586</v>
      </c>
      <c r="AS92" s="205" t="n">
        <f aca="false">100*0.482</f>
        <v>48.2</v>
      </c>
      <c r="AT92" s="205" t="n">
        <f aca="false">100*0.39354</f>
        <v>39.354</v>
      </c>
      <c r="AU92" s="205" t="n">
        <f aca="false">100*0.0541</f>
        <v>5.41</v>
      </c>
      <c r="AV92" s="205" t="n">
        <f aca="false">100*0.0674</f>
        <v>6.74</v>
      </c>
      <c r="AW92" s="205" t="n">
        <f aca="false">100*0.14265</f>
        <v>14.265</v>
      </c>
      <c r="AX92" s="205" t="n">
        <f aca="false">100*0.227825</f>
        <v>22.7825</v>
      </c>
      <c r="AY92" s="205" t="n">
        <f aca="false">100*0.3257</f>
        <v>32.57</v>
      </c>
      <c r="AZ92" s="205" t="n">
        <f aca="false">100*0.303</f>
        <v>30.3</v>
      </c>
      <c r="BA92" s="205" t="n">
        <v>11594</v>
      </c>
      <c r="BB92" s="205" t="n">
        <f aca="false">100*0.0126</f>
        <v>1.26</v>
      </c>
      <c r="BC92" s="205" t="n">
        <f aca="false">100*0.65684</f>
        <v>65.684</v>
      </c>
      <c r="BD92" s="205" t="n">
        <f aca="false">100*0.102</f>
        <v>10.2</v>
      </c>
      <c r="BE92" s="205" t="n">
        <f aca="false">100*0.0252</f>
        <v>2.52</v>
      </c>
      <c r="BF92" s="205" t="n">
        <f aca="false">100*0.219</f>
        <v>21.9</v>
      </c>
      <c r="BG92" s="205" t="n">
        <f aca="false">100*0.2689042</f>
        <v>26.89042</v>
      </c>
      <c r="BH92" s="205" t="n">
        <f aca="false">100*0.0476</f>
        <v>4.76</v>
      </c>
      <c r="BI92" s="205" t="n">
        <f aca="false">100*0.0771</f>
        <v>7.71</v>
      </c>
      <c r="BJ92" s="205" t="n">
        <f aca="false">100*0.606</f>
        <v>60.6</v>
      </c>
      <c r="BK92" s="205" t="n">
        <f aca="false">100*0.308</f>
        <v>30.8</v>
      </c>
      <c r="BL92" s="205" t="n">
        <f aca="false">100*0.3655</f>
        <v>36.55</v>
      </c>
      <c r="BM92" s="205" t="n">
        <f aca="false">100*0.0241</f>
        <v>2.41</v>
      </c>
      <c r="BN92" s="205" t="n">
        <f aca="false">100*0.0479</f>
        <v>4.79</v>
      </c>
      <c r="BO92" s="205" t="n">
        <f aca="false">100*0.0297</f>
        <v>2.97</v>
      </c>
      <c r="BP92" s="205" t="n">
        <f aca="false">100*0.102</f>
        <v>10.2</v>
      </c>
      <c r="BQ92" s="205" t="n">
        <f aca="false">100*0.391</f>
        <v>39.1</v>
      </c>
      <c r="BR92" s="205" t="n">
        <f aca="false">100*0.446</f>
        <v>44.6</v>
      </c>
      <c r="BS92" s="205" t="n">
        <f aca="false">100*0.45</f>
        <v>45</v>
      </c>
      <c r="BT92" s="205" t="n">
        <f aca="false">100*0.358</f>
        <v>35.8</v>
      </c>
      <c r="BU92" s="205" t="n">
        <f aca="false">100*0.0639</f>
        <v>6.39</v>
      </c>
      <c r="BV92" s="205" t="n">
        <f aca="false">100*0.126</f>
        <v>12.6</v>
      </c>
      <c r="BW92" s="205" t="n">
        <f aca="false">100*0.113</f>
        <v>11.3</v>
      </c>
      <c r="BX92" s="205" t="n">
        <f aca="false">100*0.0741</f>
        <v>7.41</v>
      </c>
      <c r="BY92" s="205" t="n">
        <f aca="false">100*0.358</f>
        <v>35.8</v>
      </c>
      <c r="BZ92" s="205" t="n">
        <f aca="false">100*0.5</f>
        <v>50</v>
      </c>
      <c r="CA92" s="217" t="n">
        <f aca="false">AE92/CB92</f>
        <v>0.00328396966470371</v>
      </c>
      <c r="CB92" s="218" t="n">
        <v>5154128</v>
      </c>
      <c r="CC92" s="218" t="n">
        <v>420000</v>
      </c>
      <c r="CD92" s="205" t="n">
        <v>417000</v>
      </c>
      <c r="CE92" s="205" t="n">
        <v>6283</v>
      </c>
      <c r="CF92" s="205" t="n">
        <v>198</v>
      </c>
      <c r="CG92" s="205" t="n">
        <v>808</v>
      </c>
      <c r="CH92" s="205" t="n">
        <v>354340</v>
      </c>
      <c r="CI92" s="205" t="n">
        <v>18604</v>
      </c>
      <c r="CJ92" s="205" t="n">
        <v>2367</v>
      </c>
      <c r="CK92" s="205" t="s">
        <v>364</v>
      </c>
      <c r="CL92" s="205" t="n">
        <v>1.5</v>
      </c>
      <c r="CM92" s="205" t="n">
        <v>0.047</v>
      </c>
      <c r="CN92" s="205" t="n">
        <v>0.19</v>
      </c>
      <c r="CO92" s="205" t="n">
        <v>84.4</v>
      </c>
      <c r="CP92" s="205" t="n">
        <v>4.43</v>
      </c>
      <c r="CQ92" s="205" t="n">
        <v>0.56</v>
      </c>
      <c r="CR92" s="205" t="n">
        <v>1.51</v>
      </c>
      <c r="CS92" s="205" t="n">
        <v>0.047</v>
      </c>
      <c r="CT92" s="205" t="n">
        <v>0.19</v>
      </c>
      <c r="CU92" s="205" t="n">
        <v>85</v>
      </c>
      <c r="CV92" s="205" t="n">
        <v>4.46</v>
      </c>
      <c r="CW92" s="205" t="n">
        <v>0.57</v>
      </c>
    </row>
    <row r="93" s="205" customFormat="true" ht="12.8" hidden="false" customHeight="false" outlineLevel="0" collapsed="false">
      <c r="A93" s="205" t="s">
        <v>248</v>
      </c>
      <c r="B93" s="205" t="s">
        <v>113</v>
      </c>
      <c r="D93" s="205" t="s">
        <v>296</v>
      </c>
      <c r="E93" s="220" t="n">
        <v>23937</v>
      </c>
      <c r="F93" s="220" t="n">
        <v>42746</v>
      </c>
      <c r="G93" s="220" t="n">
        <v>43355</v>
      </c>
      <c r="H93" s="220" t="s">
        <v>157</v>
      </c>
      <c r="I93" s="208" t="n">
        <v>53.1635865845311</v>
      </c>
      <c r="J93" s="209" t="n">
        <v>19418</v>
      </c>
      <c r="K93" s="209" t="n">
        <v>609</v>
      </c>
      <c r="L93" s="209" t="s">
        <v>104</v>
      </c>
      <c r="M93" s="209" t="s">
        <v>104</v>
      </c>
      <c r="N93" s="210" t="n">
        <v>43223</v>
      </c>
      <c r="O93" s="221"/>
      <c r="P93" s="211"/>
      <c r="Q93" s="220" t="s">
        <v>116</v>
      </c>
      <c r="R93" s="220"/>
      <c r="S93" s="212" t="s">
        <v>117</v>
      </c>
      <c r="T93" s="222" t="n">
        <v>10</v>
      </c>
      <c r="U93" s="221" t="n">
        <v>1779.54</v>
      </c>
      <c r="V93" s="223" t="n">
        <v>85.09</v>
      </c>
      <c r="W93" s="224" t="n">
        <v>1694.45</v>
      </c>
      <c r="X93" s="212"/>
      <c r="Y93" s="225"/>
      <c r="Z93" s="226" t="n">
        <v>590000</v>
      </c>
      <c r="AA93" s="225"/>
      <c r="AB93" s="212"/>
      <c r="AC93" s="226" t="n">
        <v>8500000</v>
      </c>
      <c r="AD93" s="205" t="s">
        <v>365</v>
      </c>
      <c r="AE93" s="205" t="n">
        <v>75925</v>
      </c>
      <c r="AF93" s="205" t="n">
        <v>480</v>
      </c>
      <c r="AG93" s="205" t="n">
        <f aca="false">100*0.0064</f>
        <v>0.64</v>
      </c>
      <c r="AH93" s="205" t="n">
        <f aca="false">100*0.7</f>
        <v>70</v>
      </c>
      <c r="AI93" s="205" t="n">
        <v>16</v>
      </c>
      <c r="AJ93" s="205" t="n">
        <f aca="false">100*0.00021</f>
        <v>0.021</v>
      </c>
      <c r="AK93" s="205" t="n">
        <v>1517</v>
      </c>
      <c r="AL93" s="205" t="n">
        <f aca="false">100*0.0205</f>
        <v>2.05</v>
      </c>
      <c r="AM93" s="205" t="n">
        <f aca="false">100*0.27</f>
        <v>27</v>
      </c>
      <c r="AN93" s="205" t="n">
        <f aca="false">100*0.103</f>
        <v>10.3</v>
      </c>
      <c r="AO93" s="205" t="n">
        <f aca="false">100*0.672</f>
        <v>67.2</v>
      </c>
      <c r="AP93" s="205" t="n">
        <f aca="false">100*0.0409</f>
        <v>4.09</v>
      </c>
      <c r="AQ93" s="205" t="n">
        <v>34941</v>
      </c>
      <c r="AR93" s="205" t="n">
        <f aca="false">100*0.71</f>
        <v>71</v>
      </c>
      <c r="AS93" s="205" t="n">
        <f aca="false">100*0.456</f>
        <v>45.6</v>
      </c>
      <c r="AT93" s="205" t="n">
        <f aca="false">100*0.421</f>
        <v>42.1</v>
      </c>
      <c r="AU93" s="205" t="n">
        <f aca="false">100*0.0586</f>
        <v>5.86</v>
      </c>
      <c r="AV93" s="205" t="n">
        <f aca="false">100*0.0643</f>
        <v>6.43</v>
      </c>
      <c r="AW93" s="205" t="n">
        <f aca="false">100*0.246</f>
        <v>24.6</v>
      </c>
      <c r="AX93" s="205" t="n">
        <f aca="false">100*0.39</f>
        <v>39</v>
      </c>
      <c r="AY93" s="205" t="n">
        <f aca="false">100*0.195</f>
        <v>19.5</v>
      </c>
      <c r="AZ93" s="205" t="n">
        <f aca="false">100*0.168</f>
        <v>16.8</v>
      </c>
      <c r="BA93" s="205" t="n">
        <v>33964</v>
      </c>
      <c r="BB93" s="205" t="n">
        <f aca="false">100*0.497</f>
        <v>49.7</v>
      </c>
      <c r="BC93" s="205" t="n">
        <f aca="false">100*0.625</f>
        <v>62.5</v>
      </c>
      <c r="BD93" s="205" t="n">
        <f aca="false">100*0.187</f>
        <v>18.7</v>
      </c>
      <c r="BE93" s="205" t="n">
        <f aca="false">100*0.0045</f>
        <v>0.45</v>
      </c>
      <c r="BF93" s="205" t="n">
        <f aca="false">100*0.184</f>
        <v>18.4</v>
      </c>
      <c r="BG93" s="205" t="n">
        <f aca="false">100*0.317</f>
        <v>31.7</v>
      </c>
      <c r="BH93" s="205" t="n">
        <f aca="false">100*0.187</f>
        <v>18.7</v>
      </c>
      <c r="BI93" s="205" t="n">
        <f aca="false">100*0.0331</f>
        <v>3.31</v>
      </c>
      <c r="BJ93" s="205" t="n">
        <f aca="false">100*0.462</f>
        <v>46.2</v>
      </c>
      <c r="BK93" s="205" t="n">
        <f aca="false">100*0.394</f>
        <v>39.4</v>
      </c>
      <c r="BL93" s="205" t="n">
        <f aca="false">100*0.381</f>
        <v>38.1</v>
      </c>
      <c r="BM93" s="205" t="n">
        <f aca="false">100*0.104</f>
        <v>10.4</v>
      </c>
      <c r="BN93" s="205" t="n">
        <f aca="false">100*0.121</f>
        <v>12.1</v>
      </c>
      <c r="BO93" s="205" t="n">
        <f aca="false">100*0.227</f>
        <v>22.7</v>
      </c>
      <c r="BP93" s="205" t="n">
        <f aca="false">100*0.281</f>
        <v>28.1</v>
      </c>
      <c r="BQ93" s="205" t="n">
        <f aca="false">100*0.204</f>
        <v>20.4</v>
      </c>
      <c r="BR93" s="205" t="n">
        <f aca="false">100*0.287</f>
        <v>28.7</v>
      </c>
      <c r="BS93" s="205" t="n">
        <f aca="false">100*0.653</f>
        <v>65.3</v>
      </c>
      <c r="BT93" s="205" t="n">
        <f aca="false">100*0.259</f>
        <v>25.9</v>
      </c>
      <c r="BU93" s="205" t="n">
        <f aca="false">100*0.0264</f>
        <v>2.64</v>
      </c>
      <c r="BV93" s="205" t="n">
        <f aca="false">100*0.0613</f>
        <v>6.13</v>
      </c>
      <c r="BW93" s="205" t="n">
        <f aca="false">100*0.49</f>
        <v>49</v>
      </c>
      <c r="BX93" s="205" t="n">
        <f aca="false">100*0.204</f>
        <v>20.4</v>
      </c>
      <c r="BY93" s="205" t="n">
        <f aca="false">100*0.0817</f>
        <v>8.17</v>
      </c>
      <c r="BZ93" s="205" t="n">
        <f aca="false">100*0.225</f>
        <v>22.5</v>
      </c>
      <c r="CA93" s="217" t="n">
        <v>1</v>
      </c>
      <c r="CB93" s="218"/>
      <c r="CC93" s="218" t="n">
        <v>516000</v>
      </c>
      <c r="CD93" s="219" t="n">
        <v>433000</v>
      </c>
      <c r="CE93" s="219" t="n">
        <v>1677</v>
      </c>
      <c r="CF93" s="219" t="n">
        <v>20925</v>
      </c>
      <c r="CG93" s="219" t="n">
        <v>1256</v>
      </c>
      <c r="CH93" s="219" t="n">
        <v>7207</v>
      </c>
      <c r="CI93" s="219" t="n">
        <v>51470</v>
      </c>
      <c r="CJ93" s="219" t="n">
        <v>51412</v>
      </c>
      <c r="CK93" s="219" t="n">
        <v>83.9</v>
      </c>
      <c r="CL93" s="219" t="n">
        <v>0.33</v>
      </c>
      <c r="CM93" s="219" t="n">
        <v>4.06</v>
      </c>
      <c r="CN93" s="219" t="n">
        <v>0.24</v>
      </c>
      <c r="CO93" s="219" t="n">
        <v>1.4</v>
      </c>
      <c r="CP93" s="219" t="n">
        <v>9.97</v>
      </c>
      <c r="CQ93" s="219" t="n">
        <v>9.96</v>
      </c>
      <c r="CR93" s="219" t="n">
        <v>0.39</v>
      </c>
      <c r="CS93" s="219" t="n">
        <v>4.83</v>
      </c>
      <c r="CT93" s="219" t="n">
        <v>0.29</v>
      </c>
      <c r="CU93" s="219" t="n">
        <v>1.66</v>
      </c>
      <c r="CV93" s="219" t="n">
        <v>11.9</v>
      </c>
      <c r="CW93" s="205" t="n">
        <v>11.9</v>
      </c>
    </row>
    <row r="94" s="186" customFormat="true" ht="12.8" hidden="false" customHeight="false" outlineLevel="0" collapsed="false">
      <c r="A94" s="168" t="s">
        <v>250</v>
      </c>
      <c r="B94" s="168" t="s">
        <v>101</v>
      </c>
      <c r="C94" s="168"/>
      <c r="D94" s="168" t="s">
        <v>296</v>
      </c>
      <c r="E94" s="169" t="n">
        <v>25179</v>
      </c>
      <c r="F94" s="169" t="n">
        <v>43145</v>
      </c>
      <c r="G94" s="169" t="n">
        <v>43167</v>
      </c>
      <c r="H94" s="169" t="s">
        <v>157</v>
      </c>
      <c r="I94" s="171" t="n">
        <f aca="false">(G94-E94)/365.25</f>
        <v>49.2484599589322</v>
      </c>
      <c r="J94" s="171" t="n">
        <f aca="false">G94-E94</f>
        <v>17988</v>
      </c>
      <c r="K94" s="171" t="n">
        <f aca="false">G94-F94</f>
        <v>22</v>
      </c>
      <c r="L94" s="172" t="s">
        <v>104</v>
      </c>
      <c r="M94" s="172" t="s">
        <v>104</v>
      </c>
      <c r="N94" s="173" t="s">
        <v>366</v>
      </c>
      <c r="O94" s="174"/>
      <c r="P94" s="174"/>
      <c r="Q94" s="175" t="s">
        <v>252</v>
      </c>
      <c r="R94" s="175" t="s">
        <v>253</v>
      </c>
      <c r="S94" s="176" t="s">
        <v>107</v>
      </c>
      <c r="T94" s="177" t="s">
        <v>178</v>
      </c>
      <c r="U94" s="178" t="n">
        <f aca="false">1244.81+890</f>
        <v>2134.81</v>
      </c>
      <c r="V94" s="178" t="n">
        <v>73.17</v>
      </c>
      <c r="W94" s="179" t="n">
        <f aca="false">U94-V94</f>
        <v>2061.64</v>
      </c>
      <c r="X94" s="180" t="s">
        <v>109</v>
      </c>
      <c r="Y94" s="181" t="n">
        <v>1700000</v>
      </c>
      <c r="Z94" s="182" t="n">
        <f aca="false">Y94*W94</f>
        <v>3504788000</v>
      </c>
      <c r="AA94" s="181" t="n">
        <f aca="false">54000000*5</f>
        <v>270000000</v>
      </c>
      <c r="AB94" s="176" t="s">
        <v>253</v>
      </c>
      <c r="AC94" s="182" t="n">
        <v>40000000</v>
      </c>
      <c r="AD94" s="168" t="s">
        <v>367</v>
      </c>
      <c r="AE94" s="168" t="n">
        <v>135007</v>
      </c>
      <c r="AF94" s="168" t="n">
        <v>135</v>
      </c>
      <c r="AG94" s="168" t="n">
        <f aca="false">100*0.0011</f>
        <v>0.11</v>
      </c>
      <c r="AH94" s="168" t="n">
        <f aca="false">100*0.08215</f>
        <v>8.215</v>
      </c>
      <c r="AI94" s="168" t="n">
        <v>531</v>
      </c>
      <c r="AJ94" s="168" t="n">
        <f aca="false">100*0.0028</f>
        <v>0.28</v>
      </c>
      <c r="AK94" s="168" t="n">
        <v>1591</v>
      </c>
      <c r="AL94" s="168" t="n">
        <f aca="false">100*0.012</f>
        <v>1.2</v>
      </c>
      <c r="AM94" s="168" t="n">
        <f aca="false">100*0.02835</f>
        <v>2.835</v>
      </c>
      <c r="AN94" s="168" t="n">
        <f aca="false">100*0.0165</f>
        <v>1.65</v>
      </c>
      <c r="AO94" s="168" t="n">
        <f aca="false">100*0.732</f>
        <v>73.2</v>
      </c>
      <c r="AP94" s="168" t="n">
        <f aca="false">100*0.0554</f>
        <v>5.54</v>
      </c>
      <c r="AQ94" s="168" t="n">
        <v>69314</v>
      </c>
      <c r="AR94" s="168" t="n">
        <f aca="false">100*0.0255</f>
        <v>2.55</v>
      </c>
      <c r="AS94" s="168" t="n">
        <f aca="false">100*0.24378</f>
        <v>24.378</v>
      </c>
      <c r="AT94" s="168" t="n">
        <f aca="false">100*0.3508638</f>
        <v>35.08638</v>
      </c>
      <c r="AU94" s="168" t="n">
        <f aca="false">100*0.24884</f>
        <v>24.884</v>
      </c>
      <c r="AV94" s="168" t="n">
        <f aca="false">100*0.15</f>
        <v>15</v>
      </c>
      <c r="AW94" s="168" t="n">
        <f aca="false">100*0.08386</f>
        <v>8.386</v>
      </c>
      <c r="AX94" s="168" t="n">
        <f aca="false">100*0.16764</f>
        <v>16.764</v>
      </c>
      <c r="AY94" s="168" t="n">
        <f aca="false">100*0.40864</f>
        <v>40.864</v>
      </c>
      <c r="AZ94" s="168" t="n">
        <f aca="false">100*0.339</f>
        <v>33.9</v>
      </c>
      <c r="BA94" s="168" t="n">
        <v>37024</v>
      </c>
      <c r="BB94" s="168" t="n">
        <f aca="false">100*0.03851</f>
        <v>3.851</v>
      </c>
      <c r="BC94" s="168" t="n">
        <f aca="false">100*0.5777</f>
        <v>57.77</v>
      </c>
      <c r="BD94" s="168" t="n">
        <f aca="false">100*0.08877295</f>
        <v>8.877295</v>
      </c>
      <c r="BE94" s="168" t="n">
        <f aca="false">100*0.0302</f>
        <v>3.02</v>
      </c>
      <c r="BF94" s="168" t="n">
        <f aca="false">100*0.309</f>
        <v>30.9</v>
      </c>
      <c r="BG94" s="168" t="n">
        <f aca="false">100*0.42522</f>
        <v>42.522</v>
      </c>
      <c r="BH94" s="168" t="n">
        <f aca="false">100*0.08214</f>
        <v>8.214</v>
      </c>
      <c r="BI94" s="168" t="n">
        <f aca="false">100*0.0390459</f>
        <v>3.90459</v>
      </c>
      <c r="BJ94" s="168" t="n">
        <f aca="false">100*0.445</f>
        <v>44.5</v>
      </c>
      <c r="BK94" s="168" t="n">
        <f aca="false">100*0.338</f>
        <v>33.8</v>
      </c>
      <c r="BL94" s="168" t="n">
        <f aca="false">100*0.0455</f>
        <v>4.55</v>
      </c>
      <c r="BM94" s="168" t="n">
        <f aca="false">100*0.0447</f>
        <v>4.47</v>
      </c>
      <c r="BN94" s="168" t="n">
        <f aca="false">100*0.311</f>
        <v>31.1</v>
      </c>
      <c r="BO94" s="168" t="n">
        <f aca="false">100*0.147</f>
        <v>14.7</v>
      </c>
      <c r="BP94" s="168" t="n">
        <f aca="false">100*0.0615</f>
        <v>6.15</v>
      </c>
      <c r="BQ94" s="168" t="n">
        <f aca="false">100*0.067</f>
        <v>6.7</v>
      </c>
      <c r="BR94" s="168" t="n">
        <f aca="false">100*0.719</f>
        <v>71.9</v>
      </c>
      <c r="BS94" s="168" t="n">
        <f aca="false">100*0.526</f>
        <v>52.6</v>
      </c>
      <c r="BT94" s="168" t="n">
        <f aca="false">100*0.207</f>
        <v>20.7</v>
      </c>
      <c r="BU94" s="168" t="n">
        <f aca="false">100*0.0615</f>
        <v>6.15</v>
      </c>
      <c r="BV94" s="168" t="n">
        <f aca="false">100*0.195</f>
        <v>19.5</v>
      </c>
      <c r="BW94" s="168" t="n">
        <f aca="false">100*0.044</f>
        <v>4.4</v>
      </c>
      <c r="BX94" s="168" t="n">
        <f aca="false">100*0.0347</f>
        <v>3.47</v>
      </c>
      <c r="BY94" s="168" t="n">
        <f aca="false">100*0.18</f>
        <v>18</v>
      </c>
      <c r="BZ94" s="168" t="n">
        <f aca="false">100*0.75</f>
        <v>75</v>
      </c>
      <c r="CA94" s="229" t="n">
        <f aca="false">AE94/CB94</f>
        <v>0.0327524085114972</v>
      </c>
      <c r="CB94" s="184" t="n">
        <v>4122048</v>
      </c>
      <c r="CC94" s="184" t="n">
        <v>694000</v>
      </c>
      <c r="CD94" s="185" t="n">
        <v>668000</v>
      </c>
      <c r="CE94" s="185" t="n">
        <v>87149</v>
      </c>
      <c r="CF94" s="185" t="n">
        <v>498</v>
      </c>
      <c r="CG94" s="185" t="n">
        <v>3161</v>
      </c>
      <c r="CH94" s="185" t="n">
        <v>209903</v>
      </c>
      <c r="CI94" s="185" t="n">
        <v>135415</v>
      </c>
      <c r="CJ94" s="185" t="n">
        <v>4334</v>
      </c>
      <c r="CK94" s="185" t="n">
        <v>96.1</v>
      </c>
      <c r="CL94" s="185" t="n">
        <v>12.6</v>
      </c>
      <c r="CM94" s="185" t="n">
        <v>0.061</v>
      </c>
      <c r="CN94" s="185" t="n">
        <v>0.46</v>
      </c>
      <c r="CO94" s="185" t="n">
        <v>29.5</v>
      </c>
      <c r="CP94" s="185" t="n">
        <v>18</v>
      </c>
      <c r="CQ94" s="185" t="n">
        <v>0.62</v>
      </c>
      <c r="CR94" s="185" t="n">
        <v>13.3</v>
      </c>
      <c r="CS94" s="185" t="n">
        <v>0.063</v>
      </c>
      <c r="CT94" s="185" t="n">
        <v>0.47</v>
      </c>
      <c r="CU94" s="185" t="n">
        <v>30.7</v>
      </c>
      <c r="CV94" s="185" t="n">
        <v>18.7</v>
      </c>
      <c r="CW94" s="168" t="n">
        <v>0.65</v>
      </c>
      <c r="CX94" s="168"/>
    </row>
    <row r="95" s="205" customFormat="true" ht="12.8" hidden="false" customHeight="false" outlineLevel="0" collapsed="false">
      <c r="A95" s="205" t="s">
        <v>255</v>
      </c>
      <c r="B95" s="205" t="s">
        <v>101</v>
      </c>
      <c r="D95" s="205" t="s">
        <v>296</v>
      </c>
      <c r="E95" s="220" t="n">
        <v>25372</v>
      </c>
      <c r="F95" s="220" t="n">
        <v>42866</v>
      </c>
      <c r="G95" s="220" t="n">
        <v>43241</v>
      </c>
      <c r="H95" s="220" t="s">
        <v>103</v>
      </c>
      <c r="I95" s="208" t="n">
        <f aca="false">(G95-E95)/365.25</f>
        <v>48.9226557152635</v>
      </c>
      <c r="J95" s="209" t="n">
        <f aca="false">G95-E95</f>
        <v>17869</v>
      </c>
      <c r="K95" s="209" t="n">
        <f aca="false">G95-F95</f>
        <v>375</v>
      </c>
      <c r="L95" s="209" t="s">
        <v>114</v>
      </c>
      <c r="M95" s="209" t="s">
        <v>114</v>
      </c>
      <c r="N95" s="210" t="s">
        <v>361</v>
      </c>
      <c r="O95" s="221"/>
      <c r="P95" s="211"/>
      <c r="Q95" s="258" t="s">
        <v>252</v>
      </c>
      <c r="R95" s="258" t="s">
        <v>256</v>
      </c>
      <c r="S95" s="259" t="s">
        <v>257</v>
      </c>
      <c r="T95" s="260" t="n">
        <v>4</v>
      </c>
      <c r="U95" s="261" t="n">
        <f aca="false">1066.45+1260.87</f>
        <v>2327.32</v>
      </c>
      <c r="V95" s="261" t="n">
        <f aca="false">(60.24+49.61)/2</f>
        <v>54.925</v>
      </c>
      <c r="W95" s="262" t="n">
        <f aca="false">U95-V95</f>
        <v>2272.395</v>
      </c>
      <c r="X95" s="263" t="s">
        <v>109</v>
      </c>
      <c r="Y95" s="263" t="n">
        <v>610000</v>
      </c>
      <c r="Z95" s="264" t="n">
        <f aca="false">Y95*W95</f>
        <v>1386160950</v>
      </c>
      <c r="AA95" s="263" t="n">
        <v>270000000</v>
      </c>
      <c r="AB95" s="205" t="s">
        <v>368</v>
      </c>
      <c r="AC95" s="226" t="n">
        <v>19800000</v>
      </c>
      <c r="AD95" s="205" t="s">
        <v>369</v>
      </c>
      <c r="AE95" s="205" t="n">
        <v>10567</v>
      </c>
      <c r="AF95" s="205" t="n">
        <v>477</v>
      </c>
      <c r="AG95" s="205" t="n">
        <f aca="false">100*0.0394</f>
        <v>3.94</v>
      </c>
      <c r="AH95" s="205" t="n">
        <f aca="false">100*0.00835</f>
        <v>0.835</v>
      </c>
      <c r="AI95" s="205" t="n">
        <v>49</v>
      </c>
      <c r="AJ95" s="205" t="n">
        <f aca="false">100*0.00485</f>
        <v>0.485</v>
      </c>
      <c r="AK95" s="205" t="n">
        <v>735</v>
      </c>
      <c r="AL95" s="205" t="n">
        <f aca="false">100*0.0697</f>
        <v>6.97</v>
      </c>
      <c r="AM95" s="205" t="n">
        <v>0</v>
      </c>
      <c r="AN95" s="205" t="n">
        <v>0</v>
      </c>
      <c r="AO95" s="205" t="n">
        <f aca="false">100*0.753</f>
        <v>75.3</v>
      </c>
      <c r="AP95" s="205" t="n">
        <f aca="false">100*0.0259</f>
        <v>2.59</v>
      </c>
      <c r="AQ95" s="205" t="n">
        <v>2057</v>
      </c>
      <c r="AR95" s="205" t="n">
        <f aca="false">100*0.02955</f>
        <v>2.955</v>
      </c>
      <c r="AS95" s="205" t="n">
        <f aca="false">100*0.551</f>
        <v>55.1</v>
      </c>
      <c r="AT95" s="205" t="n">
        <f aca="false">100*0.206</f>
        <v>20.6</v>
      </c>
      <c r="AU95" s="205" t="n">
        <f aca="false">100*0.0608</f>
        <v>6.08</v>
      </c>
      <c r="AV95" s="205" t="n">
        <f aca="false">100*0.157</f>
        <v>15.7</v>
      </c>
      <c r="AW95" s="205" t="n">
        <f aca="false">100*0.134</f>
        <v>13.4</v>
      </c>
      <c r="AX95" s="205" t="n">
        <f aca="false">100*0.0988</f>
        <v>9.88</v>
      </c>
      <c r="AY95" s="205" t="n">
        <f aca="false">100*0.145</f>
        <v>14.5</v>
      </c>
      <c r="AZ95" s="205" t="n">
        <f aca="false">100*0.651</f>
        <v>65.1</v>
      </c>
      <c r="BA95" s="205" t="n">
        <v>6444</v>
      </c>
      <c r="BB95" s="205" t="n">
        <v>0</v>
      </c>
      <c r="BC95" s="205" t="n">
        <f aca="false">100*0.71881</f>
        <v>71.881</v>
      </c>
      <c r="BD95" s="205" t="n">
        <f aca="false">100*0.0947</f>
        <v>9.47</v>
      </c>
      <c r="BE95" s="205" t="n">
        <f aca="false">100*0.0068</f>
        <v>0.68</v>
      </c>
      <c r="BF95" s="205" t="n">
        <f aca="false">100*0.178</f>
        <v>17.8</v>
      </c>
      <c r="BG95" s="205" t="n">
        <f aca="false">100*0.56784</f>
        <v>56.784</v>
      </c>
      <c r="BH95" s="205" t="n">
        <f aca="false">100*0.0846</f>
        <v>8.46</v>
      </c>
      <c r="BI95" s="205" t="n">
        <f aca="false">100*0.0126</f>
        <v>1.26</v>
      </c>
      <c r="BJ95" s="205" t="n">
        <f aca="false">100*0.33</f>
        <v>33</v>
      </c>
      <c r="BK95" s="205" t="n">
        <f aca="false">100*0.4072</f>
        <v>40.72</v>
      </c>
      <c r="BL95" s="205" t="n">
        <f aca="false">100*0.06585</f>
        <v>6.585</v>
      </c>
      <c r="BM95" s="205" t="n">
        <f aca="false">100*0.145</f>
        <v>14.5</v>
      </c>
      <c r="BN95" s="205" t="n">
        <f aca="false">100*0.367</f>
        <v>36.7</v>
      </c>
      <c r="BO95" s="205" t="n">
        <f aca="false">100*0.335</f>
        <v>33.5</v>
      </c>
      <c r="BP95" s="205" t="n">
        <f aca="false">100*0.0439</f>
        <v>4.39</v>
      </c>
      <c r="BQ95" s="205" t="n">
        <f aca="false">100*0.1729</f>
        <v>17.29</v>
      </c>
      <c r="BR95" s="205" t="n">
        <f aca="false">100*0.478</f>
        <v>47.8</v>
      </c>
      <c r="BS95" s="205" t="n">
        <f aca="false">100*0.439</f>
        <v>43.9</v>
      </c>
      <c r="BT95" s="205" t="n">
        <f aca="false">100*0.0589</f>
        <v>5.89</v>
      </c>
      <c r="BU95" s="205" t="n">
        <f aca="false">100*0.1176</f>
        <v>11.76</v>
      </c>
      <c r="BV95" s="205" t="n">
        <f aca="false">100*0.375</f>
        <v>37.5</v>
      </c>
      <c r="BW95" s="205" t="n">
        <f aca="false">100*0.103</f>
        <v>10.3</v>
      </c>
      <c r="BX95" s="205" t="n">
        <f aca="false">100*0.0183</f>
        <v>1.83</v>
      </c>
      <c r="BY95" s="205" t="n">
        <f aca="false">100*0.123</f>
        <v>12.3</v>
      </c>
      <c r="BZ95" s="205" t="n">
        <f aca="false">100*0.772</f>
        <v>77.2</v>
      </c>
      <c r="CA95" s="217" t="n">
        <v>0.0103</v>
      </c>
      <c r="CB95" s="218"/>
      <c r="CC95" s="218" t="n">
        <v>1650000</v>
      </c>
      <c r="CD95" s="219" t="n">
        <v>1530000</v>
      </c>
      <c r="CE95" s="219" t="n">
        <v>45992</v>
      </c>
      <c r="CF95" s="219" t="n">
        <v>4032</v>
      </c>
      <c r="CG95" s="219" t="n">
        <v>152</v>
      </c>
      <c r="CH95" s="219" t="n">
        <v>1260000</v>
      </c>
      <c r="CI95" s="219" t="n">
        <v>23935</v>
      </c>
      <c r="CJ95" s="219" t="n">
        <v>10145</v>
      </c>
      <c r="CK95" s="219" t="n">
        <v>92.7</v>
      </c>
      <c r="CL95" s="219" t="n">
        <v>2.79</v>
      </c>
      <c r="CM95" s="219" t="n">
        <v>0.24</v>
      </c>
      <c r="CN95" s="219" t="n">
        <v>0.00921</v>
      </c>
      <c r="CO95" s="219" t="n">
        <v>76.4</v>
      </c>
      <c r="CP95" s="219" t="n">
        <v>1.45</v>
      </c>
      <c r="CQ95" s="219" t="n">
        <v>0.61</v>
      </c>
      <c r="CR95" s="219" t="n">
        <v>3.01</v>
      </c>
      <c r="CS95" s="219" t="n">
        <v>0.26</v>
      </c>
      <c r="CT95" s="219" t="n">
        <v>0.00993</v>
      </c>
      <c r="CU95" s="219" t="n">
        <v>82.4</v>
      </c>
      <c r="CV95" s="219" t="n">
        <v>1.56</v>
      </c>
      <c r="CW95" s="205" t="n">
        <v>0.66</v>
      </c>
    </row>
    <row r="96" s="205" customFormat="true" ht="12.8" hidden="false" customHeight="false" outlineLevel="0" collapsed="false">
      <c r="A96" s="205" t="s">
        <v>260</v>
      </c>
      <c r="B96" s="205" t="s">
        <v>113</v>
      </c>
      <c r="D96" s="205" t="s">
        <v>296</v>
      </c>
      <c r="E96" s="220" t="n">
        <v>25372</v>
      </c>
      <c r="F96" s="220" t="n">
        <v>42866</v>
      </c>
      <c r="G96" s="220" t="n">
        <v>43370</v>
      </c>
      <c r="H96" s="220" t="s">
        <v>103</v>
      </c>
      <c r="I96" s="208" t="n">
        <v>49.2758384668036</v>
      </c>
      <c r="J96" s="209" t="n">
        <v>17998</v>
      </c>
      <c r="K96" s="209" t="n">
        <v>504</v>
      </c>
      <c r="L96" s="209" t="s">
        <v>114</v>
      </c>
      <c r="M96" s="209" t="s">
        <v>114</v>
      </c>
      <c r="N96" s="210" t="n">
        <v>43254</v>
      </c>
      <c r="O96" s="221"/>
      <c r="P96" s="211"/>
      <c r="Q96" s="220" t="s">
        <v>116</v>
      </c>
      <c r="R96" s="220"/>
      <c r="S96" s="212" t="s">
        <v>261</v>
      </c>
      <c r="T96" s="222" t="n">
        <v>10</v>
      </c>
      <c r="U96" s="221" t="n">
        <v>1268.48</v>
      </c>
      <c r="V96" s="223" t="n">
        <v>51.49</v>
      </c>
      <c r="W96" s="224" t="n">
        <v>1216.99</v>
      </c>
      <c r="X96" s="212"/>
      <c r="Y96" s="225"/>
      <c r="Z96" s="226" t="n">
        <v>24900000</v>
      </c>
      <c r="AA96" s="225"/>
      <c r="AB96" s="212"/>
      <c r="AC96" s="226" t="n">
        <v>9750000</v>
      </c>
      <c r="AD96" s="205" t="s">
        <v>370</v>
      </c>
      <c r="AE96" s="205" t="n">
        <v>147986</v>
      </c>
      <c r="AF96" s="205" t="n">
        <v>3954</v>
      </c>
      <c r="AG96" s="205" t="n">
        <f aca="false">100*0.0274</f>
        <v>2.74</v>
      </c>
      <c r="AH96" s="205" t="n">
        <f aca="false">100*0.1788</f>
        <v>17.88</v>
      </c>
      <c r="AI96" s="205" t="n">
        <v>179</v>
      </c>
      <c r="AJ96" s="205" t="n">
        <f aca="false">100*0.0012</f>
        <v>0.12</v>
      </c>
      <c r="AK96" s="205" t="n">
        <v>4438</v>
      </c>
      <c r="AL96" s="205" t="n">
        <f aca="false">100*0.0328</f>
        <v>3.28</v>
      </c>
      <c r="AM96" s="205" t="n">
        <f aca="false">100*0.0027</f>
        <v>0.27</v>
      </c>
      <c r="AN96" s="205" t="n">
        <f aca="false">100*0.00046</f>
        <v>0.046</v>
      </c>
      <c r="AO96" s="205" t="n">
        <f aca="false">100*0.805</f>
        <v>80.5</v>
      </c>
      <c r="AP96" s="205" t="n">
        <f aca="false">100*0.025</f>
        <v>2.5</v>
      </c>
      <c r="AQ96" s="205" t="n">
        <v>66776</v>
      </c>
      <c r="AR96" s="205" t="n">
        <f aca="false">100*0.1469317</f>
        <v>14.69317</v>
      </c>
      <c r="AS96" s="205" t="n">
        <f aca="false">100*0.5478</f>
        <v>54.78</v>
      </c>
      <c r="AT96" s="205" t="n">
        <f aca="false">100*0.1879</f>
        <v>18.79</v>
      </c>
      <c r="AU96" s="205" t="n">
        <f aca="false">100*0.0630098</f>
        <v>6.30098</v>
      </c>
      <c r="AV96" s="205" t="n">
        <f aca="false">100*0.177</f>
        <v>17.7</v>
      </c>
      <c r="AW96" s="205" t="n">
        <f aca="false">100*0.0948445</f>
        <v>9.48445</v>
      </c>
      <c r="AX96" s="205" t="n">
        <f aca="false">100*0.08739075</f>
        <v>8.739075</v>
      </c>
      <c r="AY96" s="205" t="n">
        <f aca="false">100*0.2068</f>
        <v>20.68</v>
      </c>
      <c r="AZ96" s="205" t="n">
        <f aca="false">100*0.616</f>
        <v>61.6</v>
      </c>
      <c r="BA96" s="205" t="n">
        <v>63838</v>
      </c>
      <c r="BB96" s="205" t="n">
        <f aca="false">100*0.0323894</f>
        <v>3.23894</v>
      </c>
      <c r="BC96" s="205" t="n">
        <f aca="false">100*0.5408</f>
        <v>54.08</v>
      </c>
      <c r="BD96" s="205" t="n">
        <f aca="false">100*0.135518</f>
        <v>13.5518</v>
      </c>
      <c r="BE96" s="205" t="n">
        <f aca="false">100*0.0205479</f>
        <v>2.05479</v>
      </c>
      <c r="BF96" s="205" t="n">
        <f aca="false">100*0.3</f>
        <v>30</v>
      </c>
      <c r="BG96" s="205" t="n">
        <f aca="false">100*0.47772</f>
        <v>47.772</v>
      </c>
      <c r="BH96" s="205" t="n">
        <f aca="false">100*0.072869</f>
        <v>7.2869</v>
      </c>
      <c r="BI96" s="205" t="n">
        <f aca="false">100*0.0155653</f>
        <v>1.55653</v>
      </c>
      <c r="BJ96" s="205" t="n">
        <f aca="false">100*0.439</f>
        <v>43.9</v>
      </c>
      <c r="BK96" s="205" t="n">
        <f aca="false">100*0.29249</f>
        <v>29.249</v>
      </c>
      <c r="BL96" s="205" t="n">
        <f aca="false">100*0.065</f>
        <v>6.5</v>
      </c>
      <c r="BM96" s="205" t="n">
        <f aca="false">100*0.17973</f>
        <v>17.973</v>
      </c>
      <c r="BN96" s="205" t="n">
        <f aca="false">100*0.471</f>
        <v>47.1</v>
      </c>
      <c r="BO96" s="205" t="n">
        <f aca="false">100*0.218</f>
        <v>21.8</v>
      </c>
      <c r="BP96" s="205" t="n">
        <f aca="false">100*0.062365</f>
        <v>6.2365</v>
      </c>
      <c r="BQ96" s="205" t="n">
        <f aca="false">100*0.16</f>
        <v>16</v>
      </c>
      <c r="BR96" s="205" t="n">
        <f aca="false">100*0.562</f>
        <v>56.2</v>
      </c>
      <c r="BS96" s="205" t="n">
        <f aca="false">100*0.456</f>
        <v>45.6</v>
      </c>
      <c r="BT96" s="205" t="n">
        <f aca="false">100*0.13</f>
        <v>13</v>
      </c>
      <c r="BU96" s="205" t="n">
        <f aca="false">100*0.15077</f>
        <v>15.077</v>
      </c>
      <c r="BV96" s="205" t="n">
        <f aca="false">100*0.259</f>
        <v>25.9</v>
      </c>
      <c r="BW96" s="205" t="n">
        <f aca="false">100*0.25377</f>
        <v>25.377</v>
      </c>
      <c r="BX96" s="205" t="n">
        <f aca="false">100*0.056685</f>
        <v>5.6685</v>
      </c>
      <c r="BY96" s="205" t="n">
        <f aca="false">100*0.16577</f>
        <v>16.577</v>
      </c>
      <c r="BZ96" s="205" t="n">
        <f aca="false">100*0.535</f>
        <v>53.5</v>
      </c>
      <c r="CA96" s="217" t="n">
        <v>0.0012</v>
      </c>
      <c r="CB96" s="218"/>
      <c r="CC96" s="218" t="n">
        <v>1840000</v>
      </c>
      <c r="CD96" s="219" t="n">
        <v>1730000</v>
      </c>
      <c r="CE96" s="219" t="n">
        <v>1374</v>
      </c>
      <c r="CF96" s="219" t="n">
        <v>40711</v>
      </c>
      <c r="CG96" s="219" t="n">
        <v>26127</v>
      </c>
      <c r="CH96" s="219" t="n">
        <v>151043</v>
      </c>
      <c r="CI96" s="219" t="n">
        <v>482000</v>
      </c>
      <c r="CJ96" s="219" t="n">
        <v>192467</v>
      </c>
      <c r="CK96" s="219" t="n">
        <v>94</v>
      </c>
      <c r="CL96" s="219" t="n">
        <v>0.075</v>
      </c>
      <c r="CM96" s="219" t="n">
        <v>2.21</v>
      </c>
      <c r="CN96" s="219" t="n">
        <v>1.42</v>
      </c>
      <c r="CO96" s="219" t="n">
        <v>8.21</v>
      </c>
      <c r="CP96" s="219" t="n">
        <v>26.2</v>
      </c>
      <c r="CQ96" s="219" t="n">
        <v>10.5</v>
      </c>
      <c r="CR96" s="219" t="n">
        <v>0.079</v>
      </c>
      <c r="CS96" s="219" t="n">
        <v>2.35</v>
      </c>
      <c r="CT96" s="219" t="n">
        <v>1.51</v>
      </c>
      <c r="CU96" s="219" t="n">
        <v>8.73</v>
      </c>
      <c r="CV96" s="219" t="n">
        <v>27.9</v>
      </c>
      <c r="CW96" s="205" t="n">
        <v>11.1</v>
      </c>
    </row>
    <row r="97" s="186" customFormat="true" ht="12.8" hidden="false" customHeight="false" outlineLevel="0" collapsed="false">
      <c r="A97" s="168" t="s">
        <v>263</v>
      </c>
      <c r="B97" s="168" t="s">
        <v>101</v>
      </c>
      <c r="C97" s="265"/>
      <c r="D97" s="168" t="s">
        <v>296</v>
      </c>
      <c r="E97" s="169" t="n">
        <v>13611</v>
      </c>
      <c r="F97" s="169" t="n">
        <v>42583</v>
      </c>
      <c r="G97" s="169" t="n">
        <v>43305</v>
      </c>
      <c r="H97" s="169" t="s">
        <v>103</v>
      </c>
      <c r="I97" s="171" t="n">
        <f aca="false">(G97-E97)/365.25</f>
        <v>81.2977412731006</v>
      </c>
      <c r="J97" s="171" t="n">
        <f aca="false">G97-E97</f>
        <v>29694</v>
      </c>
      <c r="K97" s="171" t="n">
        <f aca="false">G97-F97</f>
        <v>722</v>
      </c>
      <c r="L97" s="172" t="s">
        <v>114</v>
      </c>
      <c r="M97" s="172" t="s">
        <v>114</v>
      </c>
      <c r="N97" s="246" t="s">
        <v>209</v>
      </c>
      <c r="O97" s="265"/>
      <c r="P97" s="265"/>
      <c r="Q97" s="175" t="s">
        <v>252</v>
      </c>
      <c r="R97" s="175" t="s">
        <v>264</v>
      </c>
      <c r="S97" s="176" t="s">
        <v>265</v>
      </c>
      <c r="T97" s="266" t="n">
        <v>5</v>
      </c>
      <c r="U97" s="247" t="n">
        <v>1200.89</v>
      </c>
      <c r="V97" s="247" t="n">
        <v>72.42</v>
      </c>
      <c r="W97" s="179" t="n">
        <f aca="false">U97-V97</f>
        <v>1128.47</v>
      </c>
      <c r="X97" s="180" t="s">
        <v>109</v>
      </c>
      <c r="Y97" s="181" t="n">
        <v>177000000</v>
      </c>
      <c r="Z97" s="182" t="n">
        <f aca="false">Y97*W97</f>
        <v>199739190000</v>
      </c>
      <c r="AA97" s="181" t="n">
        <v>177000000</v>
      </c>
      <c r="AB97" s="176" t="s">
        <v>266</v>
      </c>
      <c r="AC97" s="182" t="n">
        <v>25900000</v>
      </c>
      <c r="AD97" s="265" t="s">
        <v>371</v>
      </c>
      <c r="AE97" s="265" t="n">
        <v>62308</v>
      </c>
      <c r="AF97" s="265" t="n">
        <v>11722</v>
      </c>
      <c r="AG97" s="265" t="n">
        <f aca="false">100*0.212</f>
        <v>21.2</v>
      </c>
      <c r="AH97" s="265" t="n">
        <f aca="false">100*0.0010147</f>
        <v>0.10147</v>
      </c>
      <c r="AI97" s="265" t="n">
        <v>4</v>
      </c>
      <c r="AJ97" s="265" t="n">
        <f aca="false">100*0.00008385</f>
        <v>0.008385</v>
      </c>
      <c r="AK97" s="265" t="n">
        <v>1918</v>
      </c>
      <c r="AL97" s="265" t="n">
        <f aca="false">100*0.0425</f>
        <v>4.25</v>
      </c>
      <c r="AM97" s="265" t="n">
        <f aca="false">100*0.00185</f>
        <v>0.185</v>
      </c>
      <c r="AN97" s="265" t="n">
        <f aca="false">100*0.00115</f>
        <v>0.115</v>
      </c>
      <c r="AO97" s="265" t="n">
        <f aca="false">100*0.642</f>
        <v>64.2</v>
      </c>
      <c r="AP97" s="265" t="n">
        <f aca="false">100*0.0506</f>
        <v>5.06</v>
      </c>
      <c r="AQ97" s="265" t="n">
        <v>23288</v>
      </c>
      <c r="AR97" s="265" t="n">
        <f aca="false">100*0.00295</f>
        <v>0.295</v>
      </c>
      <c r="AS97" s="265" t="n">
        <f aca="false">100*0.1349</f>
        <v>13.49</v>
      </c>
      <c r="AT97" s="265" t="n">
        <f aca="false">100*0.0417</f>
        <v>4.17</v>
      </c>
      <c r="AU97" s="265" t="n">
        <f aca="false">100*0.364</f>
        <v>36.4</v>
      </c>
      <c r="AV97" s="265" t="n">
        <f aca="false">100*0.451</f>
        <v>45.1</v>
      </c>
      <c r="AW97" s="265" t="n">
        <f aca="false">100*0.0182568</f>
        <v>1.82568</v>
      </c>
      <c r="AX97" s="265" t="n">
        <f aca="false">100*0.016</f>
        <v>1.6</v>
      </c>
      <c r="AY97" s="265" t="n">
        <f aca="false">100*0.476</f>
        <v>47.6</v>
      </c>
      <c r="AZ97" s="265" t="n">
        <f aca="false">100*0.485</f>
        <v>48.5</v>
      </c>
      <c r="BA97" s="265" t="n">
        <v>13633</v>
      </c>
      <c r="BB97" s="265" t="n">
        <f aca="false">100*0.00985</f>
        <v>0.985</v>
      </c>
      <c r="BC97" s="265" t="n">
        <f aca="false">100*0.3479055</f>
        <v>34.79055</v>
      </c>
      <c r="BD97" s="265" t="n">
        <f aca="false">100*0.0224</f>
        <v>2.24</v>
      </c>
      <c r="BE97" s="265" t="n">
        <f aca="false">100*0.0820362</f>
        <v>8.20362</v>
      </c>
      <c r="BF97" s="265" t="n">
        <f aca="false">100*0.547</f>
        <v>54.7</v>
      </c>
      <c r="BG97" s="265" t="n">
        <f aca="false">100*0.21185</f>
        <v>21.185</v>
      </c>
      <c r="BH97" s="265" t="n">
        <f aca="false">100*0.0139681</f>
        <v>1.39681</v>
      </c>
      <c r="BI97" s="265" t="n">
        <f aca="false">100*0.0836</f>
        <v>8.36</v>
      </c>
      <c r="BJ97" s="265" t="n">
        <f aca="false">100*0.682</f>
        <v>68.2</v>
      </c>
      <c r="BK97" s="265" t="n">
        <f aca="false">100*0.11069</f>
        <v>11.069</v>
      </c>
      <c r="BL97" s="265" t="n">
        <f aca="false">100*0.004725</f>
        <v>0.4725</v>
      </c>
      <c r="BM97" s="265" t="n">
        <f aca="false">100*0.02085</f>
        <v>2.085</v>
      </c>
      <c r="BN97" s="265" t="n">
        <f aca="false">100*0.863</f>
        <v>86.3</v>
      </c>
      <c r="BO97" s="265" t="n">
        <f aca="false">100*0.10083</f>
        <v>10.083</v>
      </c>
      <c r="BP97" s="265" t="n">
        <f aca="false">100*0.00179</f>
        <v>0.179</v>
      </c>
      <c r="BQ97" s="265" t="n">
        <f aca="false">100*0.0354</f>
        <v>3.54</v>
      </c>
      <c r="BR97" s="265" t="n">
        <f aca="false">100*0.861</f>
        <v>86.1</v>
      </c>
      <c r="BS97" s="265" t="n">
        <f aca="false">100*0.511</f>
        <v>51.1</v>
      </c>
      <c r="BT97" s="265" t="n">
        <f aca="false">100*0.0049</f>
        <v>0.49</v>
      </c>
      <c r="BU97" s="265" t="n">
        <f aca="false">100*0.0087</f>
        <v>0.87</v>
      </c>
      <c r="BV97" s="265" t="n">
        <f aca="false">100*0.475</f>
        <v>47.5</v>
      </c>
      <c r="BW97" s="265" t="n">
        <f aca="false">100*0.134</f>
        <v>13.4</v>
      </c>
      <c r="BX97" s="265" t="n">
        <f aca="false">100*0.013</f>
        <v>1.3</v>
      </c>
      <c r="BY97" s="265" t="n">
        <f aca="false">100*0.02879</f>
        <v>2.879</v>
      </c>
      <c r="BZ97" s="265" t="n">
        <f aca="false">100*0.821</f>
        <v>82.1</v>
      </c>
      <c r="CA97" s="265" t="n">
        <f aca="false">100*0.0072</f>
        <v>0.72</v>
      </c>
      <c r="CB97" s="267" t="n">
        <f aca="false">AE97/CA97</f>
        <v>86538.8888888889</v>
      </c>
      <c r="CC97" s="265" t="n">
        <v>3130000</v>
      </c>
      <c r="CD97" s="265" t="n">
        <v>2880000</v>
      </c>
      <c r="CE97" s="265" t="n">
        <v>24768</v>
      </c>
      <c r="CF97" s="265" t="n">
        <v>928</v>
      </c>
      <c r="CG97" s="265" t="n">
        <v>57842</v>
      </c>
      <c r="CH97" s="265" t="n">
        <v>282588</v>
      </c>
      <c r="CI97" s="265" t="n">
        <v>28883</v>
      </c>
      <c r="CJ97" s="265" t="n">
        <v>5671</v>
      </c>
      <c r="CK97" s="265" t="n">
        <v>92.4</v>
      </c>
      <c r="CL97" s="265" t="n">
        <v>0.79</v>
      </c>
      <c r="CM97" s="265" t="n">
        <v>0.03</v>
      </c>
      <c r="CN97" s="265" t="n">
        <v>1.85</v>
      </c>
      <c r="CO97" s="265" t="n">
        <v>9.03</v>
      </c>
      <c r="CP97" s="265" t="n">
        <v>0.92</v>
      </c>
      <c r="CQ97" s="265" t="n">
        <v>0.0765</v>
      </c>
      <c r="CR97" s="265" t="n">
        <v>0.86</v>
      </c>
      <c r="CS97" s="265" t="n">
        <v>0.032</v>
      </c>
      <c r="CT97" s="265" t="n">
        <v>2.01</v>
      </c>
      <c r="CU97" s="265" t="n">
        <v>9.81</v>
      </c>
      <c r="CV97" s="265" t="n">
        <v>1</v>
      </c>
      <c r="CW97" s="265" t="n">
        <v>0.014</v>
      </c>
      <c r="CX97" s="265"/>
    </row>
    <row r="98" s="186" customFormat="true" ht="12.8" hidden="false" customHeight="false" outlineLevel="0" collapsed="false">
      <c r="A98" s="186" t="s">
        <v>268</v>
      </c>
      <c r="B98" s="186" t="s">
        <v>113</v>
      </c>
      <c r="D98" s="186" t="s">
        <v>296</v>
      </c>
      <c r="E98" s="268" t="n">
        <v>18194</v>
      </c>
      <c r="F98" s="268" t="n">
        <v>43270</v>
      </c>
      <c r="G98" s="268" t="n">
        <v>43341</v>
      </c>
      <c r="H98" s="269" t="s">
        <v>103</v>
      </c>
      <c r="I98" s="270" t="n">
        <v>68.848733744011</v>
      </c>
      <c r="J98" s="197" t="n">
        <v>25147</v>
      </c>
      <c r="K98" s="197" t="n">
        <v>71</v>
      </c>
      <c r="L98" s="189" t="s">
        <v>104</v>
      </c>
      <c r="M98" s="189" t="s">
        <v>114</v>
      </c>
      <c r="N98" s="231" t="s">
        <v>115</v>
      </c>
      <c r="Q98" s="269" t="s">
        <v>116</v>
      </c>
      <c r="R98" s="269"/>
      <c r="S98" s="186" t="s">
        <v>117</v>
      </c>
      <c r="T98" s="269" t="n">
        <v>10</v>
      </c>
      <c r="U98" s="269" t="n">
        <v>2452.48</v>
      </c>
      <c r="V98" s="269" t="n">
        <v>86.65</v>
      </c>
      <c r="W98" s="197" t="n">
        <v>2365.83</v>
      </c>
      <c r="X98" s="192"/>
      <c r="Y98" s="197"/>
      <c r="Z98" s="269" t="n">
        <v>4500000</v>
      </c>
      <c r="AA98" s="197"/>
      <c r="AB98" s="192"/>
      <c r="AC98" s="198" t="n">
        <v>25000000</v>
      </c>
      <c r="AD98" s="186" t="s">
        <v>372</v>
      </c>
      <c r="AE98" s="186" t="n">
        <v>66901</v>
      </c>
      <c r="AF98" s="186" t="n">
        <v>1925</v>
      </c>
      <c r="AG98" s="186" t="n">
        <f aca="false">100*0.0291</f>
        <v>2.91</v>
      </c>
      <c r="AH98" s="186" t="n">
        <f aca="false">100*0.351</f>
        <v>35.1</v>
      </c>
      <c r="AI98" s="186" t="n">
        <v>8</v>
      </c>
      <c r="AJ98" s="186" t="n">
        <f aca="false">100*0.00012</f>
        <v>0.012</v>
      </c>
      <c r="AK98" s="186" t="n">
        <v>777</v>
      </c>
      <c r="AL98" s="186" t="n">
        <f aca="false">100*0.0121</f>
        <v>1.21</v>
      </c>
      <c r="AM98" s="186" t="n">
        <f aca="false">100*0.0373</f>
        <v>3.73</v>
      </c>
      <c r="AN98" s="186" t="n">
        <f aca="false">100*0.0013</f>
        <v>0.13</v>
      </c>
      <c r="AO98" s="186" t="n">
        <f aca="false">100*0.921</f>
        <v>92.1</v>
      </c>
      <c r="AP98" s="186" t="n">
        <f aca="false">100*0.0399</f>
        <v>3.99</v>
      </c>
      <c r="AQ98" s="186" t="n">
        <v>25492</v>
      </c>
      <c r="AR98" s="186" t="n">
        <f aca="false">100*0.348</f>
        <v>34.8</v>
      </c>
      <c r="AS98" s="186" t="n">
        <f aca="false">100*0.552</f>
        <v>55.2</v>
      </c>
      <c r="AT98" s="186" t="n">
        <f aca="false">100*0.28</f>
        <v>28</v>
      </c>
      <c r="AU98" s="186" t="n">
        <f aca="false">100*0.0685</f>
        <v>6.85</v>
      </c>
      <c r="AV98" s="186" t="n">
        <f aca="false">100*0.1</f>
        <v>10</v>
      </c>
      <c r="AW98" s="186" t="n">
        <f aca="false">100*0.197</f>
        <v>19.7</v>
      </c>
      <c r="AX98" s="186" t="n">
        <f aca="false">100*0.169</f>
        <v>16.9</v>
      </c>
      <c r="AY98" s="186" t="n">
        <f aca="false">100*0.251</f>
        <v>25.1</v>
      </c>
      <c r="AZ98" s="186" t="n">
        <f aca="false">100*0.383</f>
        <v>38.3</v>
      </c>
      <c r="BA98" s="186" t="n">
        <v>35622</v>
      </c>
      <c r="BB98" s="186" t="n">
        <f aca="false">100*0.0116</f>
        <v>1.16</v>
      </c>
      <c r="BC98" s="186" t="n">
        <f aca="false">100*0.667</f>
        <v>66.7</v>
      </c>
      <c r="BD98" s="186" t="n">
        <f aca="false">100*0.0945</f>
        <v>9.45</v>
      </c>
      <c r="BE98" s="186" t="n">
        <f aca="false">100*0.0034</f>
        <v>0.34</v>
      </c>
      <c r="BF98" s="186" t="n">
        <f aca="false">100*0.235</f>
        <v>23.5</v>
      </c>
      <c r="BG98" s="186" t="n">
        <f aca="false">100*0.456</f>
        <v>45.6</v>
      </c>
      <c r="BH98" s="186" t="n">
        <f aca="false">100*0.0866</f>
        <v>8.66</v>
      </c>
      <c r="BI98" s="186" t="n">
        <f aca="false">100*0.0114</f>
        <v>1.14</v>
      </c>
      <c r="BJ98" s="186" t="n">
        <f aca="false">100*0.446</f>
        <v>44.6</v>
      </c>
      <c r="BK98" s="186" t="n">
        <f aca="false">100*0.462</f>
        <v>46.2</v>
      </c>
      <c r="BL98" s="186" t="n">
        <f aca="false">100*0.39</f>
        <v>39</v>
      </c>
      <c r="BM98" s="186" t="n">
        <f aca="false">100*0.0369</f>
        <v>3.69</v>
      </c>
      <c r="BN98" s="186" t="n">
        <f aca="false">100*0.111</f>
        <v>11.1</v>
      </c>
      <c r="BO98" s="186" t="n">
        <f aca="false">100*0.124</f>
        <v>12.4</v>
      </c>
      <c r="BP98" s="186" t="n">
        <f aca="false">100*0.134</f>
        <v>13.4</v>
      </c>
      <c r="BQ98" s="186" t="n">
        <f aca="false">100*0.276</f>
        <v>27.6</v>
      </c>
      <c r="BR98" s="186" t="n">
        <f aca="false">100*0.465</f>
        <v>46.5</v>
      </c>
      <c r="BS98" s="186" t="n">
        <f aca="false">100*0.623</f>
        <v>62.3</v>
      </c>
      <c r="BT98" s="186" t="n">
        <f aca="false">100*0.147</f>
        <v>14.7</v>
      </c>
      <c r="BU98" s="186" t="n">
        <f aca="false">100*0.0373</f>
        <v>3.73</v>
      </c>
      <c r="BV98" s="186" t="n">
        <f aca="false">100*0.193</f>
        <v>19.3</v>
      </c>
      <c r="BW98" s="186" t="n">
        <f aca="false">100*0.273</f>
        <v>27.3</v>
      </c>
      <c r="BX98" s="186" t="n">
        <f aca="false">100*0.0772</f>
        <v>7.72</v>
      </c>
      <c r="BY98" s="186" t="n">
        <f aca="false">100*0.111</f>
        <v>11.1</v>
      </c>
      <c r="BZ98" s="186" t="n">
        <f aca="false">100*0.539</f>
        <v>53.9</v>
      </c>
      <c r="CA98" s="235" t="n">
        <v>0.0768</v>
      </c>
      <c r="CB98" s="203"/>
      <c r="CC98" s="203" t="n">
        <v>475000</v>
      </c>
      <c r="CD98" s="186" t="n">
        <v>455000</v>
      </c>
      <c r="CE98" s="186" t="n">
        <v>26</v>
      </c>
      <c r="CF98" s="186" t="n">
        <v>12765</v>
      </c>
      <c r="CG98" s="186" t="n">
        <v>329</v>
      </c>
      <c r="CH98" s="186" t="n">
        <v>25682</v>
      </c>
      <c r="CI98" s="186" t="n">
        <v>236385</v>
      </c>
      <c r="CJ98" s="186" t="n">
        <v>24014</v>
      </c>
      <c r="CK98" s="186" t="n">
        <v>95.8</v>
      </c>
      <c r="CL98" s="186" t="n">
        <v>0.00547</v>
      </c>
      <c r="CM98" s="186" t="n">
        <v>2.69</v>
      </c>
      <c r="CN98" s="186" t="n">
        <v>0.069</v>
      </c>
      <c r="CO98" s="186" t="n">
        <v>5.41</v>
      </c>
      <c r="CP98" s="186" t="n">
        <v>49.8</v>
      </c>
      <c r="CQ98" s="186" t="n">
        <v>5.06</v>
      </c>
      <c r="CR98" s="186" t="n">
        <v>0.00571</v>
      </c>
      <c r="CS98" s="186" t="n">
        <v>2.81</v>
      </c>
      <c r="CT98" s="186" t="n">
        <v>0.072</v>
      </c>
      <c r="CU98" s="186" t="n">
        <v>5.64</v>
      </c>
      <c r="CV98" s="186" t="n">
        <v>52</v>
      </c>
      <c r="CW98" s="186" t="n">
        <v>5.28</v>
      </c>
    </row>
    <row r="99" s="186" customFormat="true" ht="12.8" hidden="false" customHeight="false" outlineLevel="0" collapsed="false">
      <c r="A99" s="168" t="s">
        <v>271</v>
      </c>
      <c r="B99" s="168" t="s">
        <v>101</v>
      </c>
      <c r="C99" s="265"/>
      <c r="D99" s="168" t="s">
        <v>296</v>
      </c>
      <c r="E99" s="271" t="n">
        <v>27494</v>
      </c>
      <c r="F99" s="271" t="n">
        <v>43325</v>
      </c>
      <c r="G99" s="271" t="n">
        <v>43434</v>
      </c>
      <c r="H99" s="266" t="s">
        <v>157</v>
      </c>
      <c r="I99" s="272" t="n">
        <v>43.6413415468857</v>
      </c>
      <c r="J99" s="273" t="n">
        <v>15940</v>
      </c>
      <c r="K99" s="273" t="n">
        <v>109</v>
      </c>
      <c r="L99" s="273" t="s">
        <v>104</v>
      </c>
      <c r="M99" s="273" t="s">
        <v>104</v>
      </c>
      <c r="N99" s="265" t="s">
        <v>272</v>
      </c>
      <c r="O99" s="265"/>
      <c r="P99" s="265"/>
      <c r="Q99" s="266" t="s">
        <v>252</v>
      </c>
      <c r="R99" s="266" t="s">
        <v>273</v>
      </c>
      <c r="S99" s="265" t="s">
        <v>274</v>
      </c>
      <c r="T99" s="266" t="s">
        <v>178</v>
      </c>
      <c r="U99" s="266" t="n">
        <v>880.45</v>
      </c>
      <c r="V99" s="266" t="n">
        <v>74.12</v>
      </c>
      <c r="W99" s="273" t="n">
        <v>806.33</v>
      </c>
      <c r="X99" s="274" t="s">
        <v>109</v>
      </c>
      <c r="Y99" s="273" t="n">
        <v>35000000</v>
      </c>
      <c r="Z99" s="266" t="n">
        <v>28221550000</v>
      </c>
      <c r="AA99" s="273" t="n">
        <v>35000000</v>
      </c>
      <c r="AB99" s="274" t="s">
        <v>179</v>
      </c>
      <c r="AC99" s="275" t="n">
        <v>25500000</v>
      </c>
      <c r="AD99" s="265" t="s">
        <v>373</v>
      </c>
      <c r="AE99" s="265" t="n">
        <v>176995</v>
      </c>
      <c r="AF99" s="265" t="n">
        <v>2745</v>
      </c>
      <c r="AG99" s="265" t="n">
        <f aca="false">100*0.0182</f>
        <v>1.82</v>
      </c>
      <c r="AH99" s="265" t="n">
        <f aca="false">100*0.005</f>
        <v>0.5</v>
      </c>
      <c r="AI99" s="265" t="n">
        <v>591</v>
      </c>
      <c r="AJ99" s="265" t="n">
        <f aca="false">100*0.00345</f>
        <v>0.345</v>
      </c>
      <c r="AK99" s="265" t="n">
        <v>3382</v>
      </c>
      <c r="AL99" s="265" t="n">
        <f aca="false">100*0.0204</f>
        <v>2.04</v>
      </c>
      <c r="AM99" s="265" t="n">
        <f aca="false">100*0.00109</f>
        <v>0.109</v>
      </c>
      <c r="AN99" s="265" t="n">
        <f aca="false">100*0.000775</f>
        <v>0.0775</v>
      </c>
      <c r="AO99" s="265" t="n">
        <f aca="false">100*0.789</f>
        <v>78.9</v>
      </c>
      <c r="AP99" s="265" t="n">
        <f aca="false">100*0.0373</f>
        <v>3.73</v>
      </c>
      <c r="AQ99" s="265" t="n">
        <v>14755</v>
      </c>
      <c r="AR99" s="265" t="n">
        <f aca="false">100*0.09289</f>
        <v>9.289</v>
      </c>
      <c r="AS99" s="265" t="n">
        <f aca="false">100*0.56039</f>
        <v>56.039</v>
      </c>
      <c r="AT99" s="265" t="n">
        <f aca="false">100*0.352465</f>
        <v>35.2465</v>
      </c>
      <c r="AU99" s="265" t="n">
        <f aca="false">100*0.01436</f>
        <v>1.436</v>
      </c>
      <c r="AV99" s="265" t="n">
        <f aca="false">100*0.0669</f>
        <v>6.69</v>
      </c>
      <c r="AW99" s="265" t="n">
        <f aca="false">100*0.49187</f>
        <v>49.187</v>
      </c>
      <c r="AX99" s="265" t="n">
        <f aca="false">100*0.366565</f>
        <v>36.6565</v>
      </c>
      <c r="AY99" s="265" t="n">
        <f aca="false">100*0.02943</f>
        <v>2.943</v>
      </c>
      <c r="AZ99" s="265" t="n">
        <f aca="false">100*0.11</f>
        <v>11</v>
      </c>
      <c r="BA99" s="265" t="n">
        <v>136085</v>
      </c>
      <c r="BB99" s="265" t="n">
        <f aca="false">100*0.0163757</f>
        <v>1.63757</v>
      </c>
      <c r="BC99" s="265" t="n">
        <f aca="false">100*0.74017</f>
        <v>74.017</v>
      </c>
      <c r="BD99" s="265" t="n">
        <f aca="false">100*0.059051</f>
        <v>5.9051</v>
      </c>
      <c r="BE99" s="265" t="n">
        <f aca="false">100*0.0018</f>
        <v>0.18</v>
      </c>
      <c r="BF99" s="265" t="n">
        <f aca="false">100*0.184</f>
        <v>18.4</v>
      </c>
      <c r="BG99" s="265" t="n">
        <f aca="false">100*0.61387</f>
        <v>61.387</v>
      </c>
      <c r="BH99" s="265" t="n">
        <f aca="false">100*0.0562607</f>
        <v>5.62607</v>
      </c>
      <c r="BI99" s="265" t="n">
        <f aca="false">100*0.0054</f>
        <v>0.54</v>
      </c>
      <c r="BJ99" s="265" t="n">
        <f aca="false">100*0.325</f>
        <v>32.5</v>
      </c>
      <c r="BK99" s="265" t="n">
        <f aca="false">100*0.5154</f>
        <v>51.54</v>
      </c>
      <c r="BL99" s="265" t="n">
        <f aca="false">100*0.1032</f>
        <v>10.32</v>
      </c>
      <c r="BM99" s="265" t="n">
        <f aca="false">100*0.0495</f>
        <v>4.95</v>
      </c>
      <c r="BN99" s="265" t="n">
        <f aca="false">100*0.325</f>
        <v>32.5</v>
      </c>
      <c r="BO99" s="265" t="n">
        <f aca="false">100*0.421</f>
        <v>42.1</v>
      </c>
      <c r="BP99" s="265" t="n">
        <f aca="false">100*0.06743</f>
        <v>6.743</v>
      </c>
      <c r="BQ99" s="265" t="n">
        <f aca="false">100*0.0767</f>
        <v>7.67</v>
      </c>
      <c r="BR99" s="265" t="n">
        <f aca="false">100*0.429</f>
        <v>42.9</v>
      </c>
      <c r="BS99" s="265" t="n">
        <f aca="false">100*0.70748</f>
        <v>70.748</v>
      </c>
      <c r="BT99" s="265" t="n">
        <f aca="false">100*0.09817</f>
        <v>9.817</v>
      </c>
      <c r="BU99" s="265" t="n">
        <f aca="false">100*0.0272</f>
        <v>2.72</v>
      </c>
      <c r="BV99" s="265" t="n">
        <f aca="false">100*0.164</f>
        <v>16.4</v>
      </c>
      <c r="BW99" s="265" t="n">
        <f aca="false">100*0.361</f>
        <v>36.1</v>
      </c>
      <c r="BX99" s="265" t="n">
        <f aca="false">100*0.0391</f>
        <v>3.91</v>
      </c>
      <c r="BY99" s="265" t="n">
        <f aca="false">100*0.0773</f>
        <v>7.73</v>
      </c>
      <c r="BZ99" s="265" t="n">
        <f aca="false">100*0.522</f>
        <v>52.2</v>
      </c>
      <c r="CA99" s="265" t="n">
        <v>0.0407</v>
      </c>
      <c r="CB99" s="267" t="n">
        <f aca="false">AE99/CA99</f>
        <v>4348771.4987715</v>
      </c>
      <c r="CC99" s="265" t="n">
        <v>5100000</v>
      </c>
      <c r="CD99" s="265" t="n">
        <v>5090000</v>
      </c>
      <c r="CE99" s="265" t="n">
        <v>1141</v>
      </c>
      <c r="CF99" s="265" t="n">
        <v>1702</v>
      </c>
      <c r="CG99" s="265" t="n">
        <v>5965</v>
      </c>
      <c r="CH99" s="265" t="n">
        <v>4600000</v>
      </c>
      <c r="CI99" s="265" t="n">
        <v>156590</v>
      </c>
      <c r="CJ99" s="265" t="n">
        <v>7273</v>
      </c>
      <c r="CK99" s="265" t="n">
        <v>99.8</v>
      </c>
      <c r="CL99" s="265" t="n">
        <v>0.022</v>
      </c>
      <c r="CM99" s="265" t="n">
        <v>0.033</v>
      </c>
      <c r="CN99" s="265" t="n">
        <v>0.12</v>
      </c>
      <c r="CO99" s="265" t="n">
        <v>90.2</v>
      </c>
      <c r="CP99" s="265" t="n">
        <v>3.07</v>
      </c>
      <c r="CQ99" s="265" t="n">
        <v>0.14</v>
      </c>
      <c r="CR99" s="265" t="n">
        <v>0.022</v>
      </c>
      <c r="CS99" s="265" t="n">
        <v>0.033</v>
      </c>
      <c r="CT99" s="265" t="n">
        <v>0.12</v>
      </c>
      <c r="CU99" s="265" t="n">
        <v>90.4</v>
      </c>
      <c r="CV99" s="265" t="n">
        <v>3.08</v>
      </c>
      <c r="CW99" s="265" t="n">
        <v>0.14</v>
      </c>
      <c r="CX99" s="265"/>
    </row>
    <row r="100" s="186" customFormat="true" ht="12.8" hidden="false" customHeight="false" outlineLevel="0" collapsed="false">
      <c r="A100" s="186" t="s">
        <v>276</v>
      </c>
      <c r="B100" s="186" t="s">
        <v>113</v>
      </c>
      <c r="D100" s="186" t="s">
        <v>296</v>
      </c>
      <c r="E100" s="230" t="n">
        <v>28932</v>
      </c>
      <c r="F100" s="230" t="n">
        <v>43344</v>
      </c>
      <c r="G100" s="230" t="n">
        <v>43433</v>
      </c>
      <c r="H100" s="230" t="s">
        <v>157</v>
      </c>
      <c r="I100" s="188" t="n">
        <f aca="false">(G100-E100)/365.25</f>
        <v>39.7015742642026</v>
      </c>
      <c r="J100" s="189" t="n">
        <f aca="false">G100-E100</f>
        <v>14501</v>
      </c>
      <c r="K100" s="189" t="n">
        <f aca="false">G100-F100</f>
        <v>89</v>
      </c>
      <c r="L100" s="189" t="s">
        <v>104</v>
      </c>
      <c r="M100" s="189" t="s">
        <v>104</v>
      </c>
      <c r="N100" s="231" t="s">
        <v>115</v>
      </c>
      <c r="Q100" s="230" t="s">
        <v>116</v>
      </c>
      <c r="R100" s="230"/>
      <c r="S100" s="192" t="s">
        <v>277</v>
      </c>
      <c r="T100" s="191" t="n">
        <v>10</v>
      </c>
      <c r="U100" s="194" t="n">
        <v>2162.13</v>
      </c>
      <c r="V100" s="195" t="n">
        <v>78.3</v>
      </c>
      <c r="W100" s="196" t="n">
        <f aca="false">U100-V100</f>
        <v>2083.83</v>
      </c>
      <c r="X100" s="192"/>
      <c r="Y100" s="197"/>
      <c r="Z100" s="198" t="n">
        <v>12000000</v>
      </c>
      <c r="AA100" s="197"/>
      <c r="AB100" s="192"/>
      <c r="AC100" s="198" t="n">
        <v>20800000</v>
      </c>
      <c r="AD100" s="186" t="s">
        <v>374</v>
      </c>
      <c r="AE100" s="186" t="n">
        <v>12350</v>
      </c>
      <c r="AF100" s="186" t="n">
        <v>688</v>
      </c>
      <c r="AG100" s="186" t="n">
        <f aca="false">100*0.062</f>
        <v>6.2</v>
      </c>
      <c r="AH100" s="186" t="n">
        <f aca="false">100*0.509</f>
        <v>50.9</v>
      </c>
      <c r="AI100" s="186" t="n">
        <v>3</v>
      </c>
      <c r="AJ100" s="186" t="n">
        <f aca="false">100*0.00027</f>
        <v>0.027</v>
      </c>
      <c r="AK100" s="186" t="n">
        <v>236</v>
      </c>
      <c r="AL100" s="186" t="n">
        <f aca="false">100*0.0228</f>
        <v>2.28</v>
      </c>
      <c r="AM100" s="186" t="n">
        <f aca="false">100*0.136</f>
        <v>13.6</v>
      </c>
      <c r="AN100" s="186" t="n">
        <f aca="false">100*0.0466</f>
        <v>4.66</v>
      </c>
      <c r="AO100" s="186" t="n">
        <f aca="false">100*0.775</f>
        <v>77.5</v>
      </c>
      <c r="AP100" s="186" t="n">
        <f aca="false">100*0.0763</f>
        <v>7.63</v>
      </c>
      <c r="AQ100" s="186" t="n">
        <v>2646</v>
      </c>
      <c r="AR100" s="186" t="n">
        <f aca="false">100*0.531</f>
        <v>53.1</v>
      </c>
      <c r="AS100" s="186" t="n">
        <f aca="false">100*0.486</f>
        <v>48.6</v>
      </c>
      <c r="AT100" s="186" t="n">
        <f aca="false">100*0.175</f>
        <v>17.5</v>
      </c>
      <c r="AU100" s="186" t="n">
        <f aca="false">100*0.0711</f>
        <v>7.11</v>
      </c>
      <c r="AV100" s="186" t="n">
        <f aca="false">100*0.268</f>
        <v>26.8</v>
      </c>
      <c r="AW100" s="186" t="n">
        <f aca="false">100*0.0707</f>
        <v>7.07</v>
      </c>
      <c r="AX100" s="186" t="n">
        <f aca="false">100*0.0302</f>
        <v>3.02</v>
      </c>
      <c r="AY100" s="186" t="n">
        <f aca="false">100*0.261</f>
        <v>26.1</v>
      </c>
      <c r="AZ100" s="186" t="n">
        <f aca="false">100*0.638</f>
        <v>63.8</v>
      </c>
      <c r="BA100" s="186" t="n">
        <v>6534</v>
      </c>
      <c r="BB100" s="186" t="n">
        <f aca="false">100*0.223</f>
        <v>22.3</v>
      </c>
      <c r="BC100" s="186" t="n">
        <f aca="false">100*0.652</f>
        <v>65.2</v>
      </c>
      <c r="BD100" s="186" t="n">
        <f aca="false">100*0.0141</f>
        <v>1.41</v>
      </c>
      <c r="BE100" s="186" t="n">
        <f aca="false">100*0.0035</f>
        <v>0.35</v>
      </c>
      <c r="BF100" s="186" t="n">
        <f aca="false">100*0.33</f>
        <v>33</v>
      </c>
      <c r="BG100" s="186" t="n">
        <f aca="false">100*0.161</f>
        <v>16.1</v>
      </c>
      <c r="BH100" s="186" t="n">
        <f aca="false">100*0.0112</f>
        <v>1.12</v>
      </c>
      <c r="BI100" s="186" t="n">
        <f aca="false">100*0.006</f>
        <v>0.6</v>
      </c>
      <c r="BJ100" s="186" t="n">
        <f aca="false">100*0.822</f>
        <v>82.2</v>
      </c>
      <c r="BK100" s="186" t="n">
        <f aca="false">100*0.43</f>
        <v>43</v>
      </c>
      <c r="BL100" s="186" t="n">
        <f aca="false">100*0.0262</f>
        <v>2.62</v>
      </c>
      <c r="BM100" s="186" t="n">
        <f aca="false">100*0.0334</f>
        <v>3.34</v>
      </c>
      <c r="BN100" s="186" t="n">
        <f aca="false">100*0.51</f>
        <v>51</v>
      </c>
      <c r="BO100" s="186" t="n">
        <f aca="false">100*0.128</f>
        <v>12.8</v>
      </c>
      <c r="BP100" s="186" t="n">
        <f aca="false">100*0.0116</f>
        <v>1.16</v>
      </c>
      <c r="BQ100" s="186" t="n">
        <f aca="false">100*0.0712</f>
        <v>7.12</v>
      </c>
      <c r="BR100" s="186" t="n">
        <f aca="false">100*0.789</f>
        <v>78.9</v>
      </c>
      <c r="BS100" s="186" t="n">
        <f aca="false">100*0.424</f>
        <v>42.4</v>
      </c>
      <c r="BT100" s="186" t="n">
        <f aca="false">100*0.0424</f>
        <v>4.24</v>
      </c>
      <c r="BU100" s="186" t="n">
        <f aca="false">100*0.0424</f>
        <v>4.24</v>
      </c>
      <c r="BV100" s="186" t="n">
        <f aca="false">100*0.492</f>
        <v>49.2</v>
      </c>
      <c r="BW100" s="186" t="n">
        <f aca="false">100*0.174</f>
        <v>17.4</v>
      </c>
      <c r="BX100" s="186" t="n">
        <f aca="false">100*0.0085</f>
        <v>0.85</v>
      </c>
      <c r="BY100" s="186" t="n">
        <f aca="false">100*0.0424</f>
        <v>4.24</v>
      </c>
      <c r="BZ100" s="186" t="n">
        <f aca="false">100*0.775</f>
        <v>77.5</v>
      </c>
      <c r="CA100" s="235" t="n">
        <v>0.0054</v>
      </c>
      <c r="CB100" s="203"/>
      <c r="CC100" s="203" t="n">
        <v>1580000</v>
      </c>
      <c r="CD100" s="204" t="n">
        <v>250846</v>
      </c>
      <c r="CE100" s="204" t="n">
        <v>2460</v>
      </c>
      <c r="CF100" s="204" t="n">
        <v>37814</v>
      </c>
      <c r="CG100" s="204" t="n">
        <v>253</v>
      </c>
      <c r="CH100" s="204" t="n">
        <v>644</v>
      </c>
      <c r="CI100" s="204" t="n">
        <v>87352</v>
      </c>
      <c r="CJ100" s="204" t="n">
        <v>30204</v>
      </c>
      <c r="CK100" s="204" t="n">
        <v>15.9</v>
      </c>
      <c r="CL100" s="204" t="n">
        <v>0.16</v>
      </c>
      <c r="CM100" s="204" t="n">
        <v>2.39</v>
      </c>
      <c r="CN100" s="204" t="n">
        <v>0.016</v>
      </c>
      <c r="CO100" s="204" t="n">
        <v>0.041</v>
      </c>
      <c r="CP100" s="204" t="n">
        <v>5.53</v>
      </c>
      <c r="CQ100" s="204" t="n">
        <v>1.91</v>
      </c>
      <c r="CR100" s="204" t="n">
        <v>0.98</v>
      </c>
      <c r="CS100" s="204" t="n">
        <v>15.1</v>
      </c>
      <c r="CT100" s="204" t="n">
        <v>0.1</v>
      </c>
      <c r="CU100" s="204" t="n">
        <v>0.26</v>
      </c>
      <c r="CV100" s="204" t="n">
        <v>34.8</v>
      </c>
      <c r="CW100" s="186" t="n">
        <v>12</v>
      </c>
    </row>
    <row r="101" s="186" customFormat="true" ht="12.8" hidden="false" customHeight="false" outlineLevel="0" collapsed="false">
      <c r="A101" s="186" t="s">
        <v>279</v>
      </c>
      <c r="B101" s="186" t="s">
        <v>113</v>
      </c>
      <c r="D101" s="186" t="s">
        <v>296</v>
      </c>
      <c r="E101" s="230" t="n">
        <v>28290</v>
      </c>
      <c r="F101" s="230" t="n">
        <v>43344</v>
      </c>
      <c r="G101" s="230" t="n">
        <v>43440</v>
      </c>
      <c r="H101" s="230" t="s">
        <v>157</v>
      </c>
      <c r="I101" s="188" t="n">
        <v>41.4784394250513</v>
      </c>
      <c r="J101" s="189" t="n">
        <v>15150</v>
      </c>
      <c r="K101" s="189" t="n">
        <v>96</v>
      </c>
      <c r="L101" s="189" t="s">
        <v>104</v>
      </c>
      <c r="M101" s="189" t="s">
        <v>104</v>
      </c>
      <c r="N101" s="231" t="s">
        <v>115</v>
      </c>
      <c r="Q101" s="230" t="s">
        <v>116</v>
      </c>
      <c r="R101" s="230"/>
      <c r="S101" s="192" t="s">
        <v>277</v>
      </c>
      <c r="T101" s="191" t="n">
        <v>10</v>
      </c>
      <c r="U101" s="194" t="n">
        <v>2573.97</v>
      </c>
      <c r="V101" s="195" t="n">
        <v>78</v>
      </c>
      <c r="W101" s="196" t="n">
        <v>2495.97</v>
      </c>
      <c r="X101" s="192"/>
      <c r="Y101" s="197"/>
      <c r="Z101" s="198" t="n">
        <v>960000</v>
      </c>
      <c r="AA101" s="197"/>
      <c r="AB101" s="192"/>
      <c r="AC101" s="198" t="n">
        <v>15000000</v>
      </c>
      <c r="AD101" s="186" t="s">
        <v>375</v>
      </c>
      <c r="AE101" s="186" t="n">
        <v>10086</v>
      </c>
      <c r="AF101" s="186" t="n">
        <v>205</v>
      </c>
      <c r="AG101" s="186" t="n">
        <f aca="false">100*0.0221</f>
        <v>2.21</v>
      </c>
      <c r="AH101" s="186" t="n">
        <f aca="false">100*0.41</f>
        <v>41</v>
      </c>
      <c r="AI101" s="186" t="n">
        <v>187</v>
      </c>
      <c r="AJ101" s="186" t="n">
        <f aca="false">100*0.0201</f>
        <v>2.01</v>
      </c>
      <c r="AK101" s="186" t="n">
        <v>166</v>
      </c>
      <c r="AL101" s="186" t="n">
        <f aca="false">100*0.0188</f>
        <v>1.88</v>
      </c>
      <c r="AM101" s="186" t="n">
        <f aca="false">100*0.102</f>
        <v>10.2</v>
      </c>
      <c r="AN101" s="186" t="n">
        <f aca="false">100*0.012</f>
        <v>1.2</v>
      </c>
      <c r="AO101" s="186" t="n">
        <f aca="false">100*0.651</f>
        <v>65.1</v>
      </c>
      <c r="AP101" s="186" t="n">
        <f aca="false">100*0.169</f>
        <v>16.9</v>
      </c>
      <c r="AQ101" s="186" t="n">
        <v>787</v>
      </c>
      <c r="AR101" s="186" t="n">
        <f aca="false">100*0.541</f>
        <v>54.1</v>
      </c>
      <c r="AS101" s="186" t="n">
        <f aca="false">100*0.396</f>
        <v>39.6</v>
      </c>
      <c r="AT101" s="186" t="n">
        <f aca="false">100*0.114</f>
        <v>11.4</v>
      </c>
      <c r="AU101" s="186" t="n">
        <f aca="false">100*0.193</f>
        <v>19.3</v>
      </c>
      <c r="AV101" s="186" t="n">
        <f aca="false">100*0.296</f>
        <v>29.6</v>
      </c>
      <c r="AW101" s="186" t="n">
        <f aca="false">100*0.48</f>
        <v>48</v>
      </c>
      <c r="AX101" s="186" t="n">
        <f aca="false">100*0.188</f>
        <v>18.8</v>
      </c>
      <c r="AY101" s="186" t="n">
        <f aca="false">100*0.119</f>
        <v>11.9</v>
      </c>
      <c r="AZ101" s="186" t="n">
        <f aca="false">100*0.212</f>
        <v>21.2</v>
      </c>
      <c r="BA101" s="186" t="n">
        <v>7014</v>
      </c>
      <c r="BB101" s="186" t="n">
        <f aca="false">100*0.175</f>
        <v>17.5</v>
      </c>
      <c r="BC101" s="186" t="n">
        <f aca="false">100*0.192</f>
        <v>19.2</v>
      </c>
      <c r="BD101" s="186" t="n">
        <f aca="false">100*0.0154</f>
        <v>1.54</v>
      </c>
      <c r="BE101" s="186" t="n">
        <f aca="false">100*0.0252</f>
        <v>2.52</v>
      </c>
      <c r="BF101" s="186" t="n">
        <f aca="false">100*0.768</f>
        <v>76.8</v>
      </c>
      <c r="BG101" s="186" t="n">
        <f aca="false">100*0.257</f>
        <v>25.7</v>
      </c>
      <c r="BH101" s="186" t="n">
        <f aca="false">100*0.0201</f>
        <v>2.01</v>
      </c>
      <c r="BI101" s="186" t="n">
        <f aca="false">100*0.0205</f>
        <v>2.05</v>
      </c>
      <c r="BJ101" s="186" t="n">
        <f aca="false">100*0.702</f>
        <v>70.2</v>
      </c>
      <c r="BK101" s="186" t="n">
        <f aca="false">100*0.234</f>
        <v>23.4</v>
      </c>
      <c r="BL101" s="186" t="n">
        <f aca="false">100*0.0488</f>
        <v>4.88</v>
      </c>
      <c r="BM101" s="186" t="n">
        <f aca="false">100*0.327</f>
        <v>32.7</v>
      </c>
      <c r="BN101" s="186" t="n">
        <f aca="false">100*0.39</f>
        <v>39</v>
      </c>
      <c r="BO101" s="186" t="n">
        <f aca="false">100*0.122</f>
        <v>12.2</v>
      </c>
      <c r="BP101" s="186" t="n">
        <f aca="false">100*0.0098</f>
        <v>0.98</v>
      </c>
      <c r="BQ101" s="186" t="n">
        <f aca="false">100*0.366</f>
        <v>36.6</v>
      </c>
      <c r="BR101" s="186" t="n">
        <f aca="false">100*0.502</f>
        <v>50.2</v>
      </c>
      <c r="BS101" s="186" t="n">
        <f aca="false">100*0.163</f>
        <v>16.3</v>
      </c>
      <c r="BT101" s="186" t="n">
        <f aca="false">100*0.006</f>
        <v>0.6</v>
      </c>
      <c r="BU101" s="186" t="n">
        <f aca="false">100*0.0241</f>
        <v>2.41</v>
      </c>
      <c r="BV101" s="186" t="n">
        <f aca="false">100*0.807</f>
        <v>80.7</v>
      </c>
      <c r="BW101" s="186" t="n">
        <f aca="false">100*0.578</f>
        <v>57.8</v>
      </c>
      <c r="BX101" s="186" t="n">
        <f aca="false">100*0.0241</f>
        <v>2.41</v>
      </c>
      <c r="BY101" s="186" t="n">
        <f aca="false">100*0.006</f>
        <v>0.6</v>
      </c>
      <c r="BZ101" s="186" t="n">
        <f aca="false">100*0.392</f>
        <v>39.2</v>
      </c>
      <c r="CA101" s="235" t="n">
        <v>0.0436</v>
      </c>
      <c r="CB101" s="203"/>
      <c r="CC101" s="203" t="n">
        <v>210015</v>
      </c>
      <c r="CD101" s="204" t="n">
        <v>109929</v>
      </c>
      <c r="CE101" s="204" t="n">
        <v>752</v>
      </c>
      <c r="CF101" s="204" t="n">
        <v>556</v>
      </c>
      <c r="CG101" s="204" t="n">
        <v>274</v>
      </c>
      <c r="CH101" s="204" t="n">
        <v>1708</v>
      </c>
      <c r="CI101" s="204" t="n">
        <v>12005</v>
      </c>
      <c r="CJ101" s="204" t="n">
        <v>5398</v>
      </c>
      <c r="CK101" s="204" t="n">
        <v>52.3</v>
      </c>
      <c r="CL101" s="204" t="n">
        <v>0.36</v>
      </c>
      <c r="CM101" s="204" t="n">
        <v>0.26</v>
      </c>
      <c r="CN101" s="204" t="n">
        <v>0.13</v>
      </c>
      <c r="CO101" s="204" t="n">
        <v>0.81</v>
      </c>
      <c r="CP101" s="204" t="n">
        <v>5.72</v>
      </c>
      <c r="CQ101" s="204" t="n">
        <v>2.57</v>
      </c>
      <c r="CR101" s="204" t="n">
        <v>0.68</v>
      </c>
      <c r="CS101" s="204" t="n">
        <v>0.51</v>
      </c>
      <c r="CT101" s="204" t="n">
        <v>0.25</v>
      </c>
      <c r="CU101" s="204" t="n">
        <v>1.55</v>
      </c>
      <c r="CV101" s="204" t="n">
        <v>10.9</v>
      </c>
      <c r="CW101" s="186" t="n">
        <v>4.91</v>
      </c>
    </row>
    <row r="102" s="205" customFormat="true" ht="12.8" hidden="false" customHeight="false" outlineLevel="0" collapsed="false">
      <c r="A102" s="205" t="s">
        <v>281</v>
      </c>
      <c r="B102" s="205" t="s">
        <v>113</v>
      </c>
      <c r="D102" s="205" t="s">
        <v>296</v>
      </c>
      <c r="E102" s="276" t="n">
        <v>15977</v>
      </c>
      <c r="F102" s="276" t="n">
        <v>42948</v>
      </c>
      <c r="G102" s="276" t="n">
        <v>43445</v>
      </c>
      <c r="H102" s="220" t="s">
        <v>103</v>
      </c>
      <c r="I102" s="208" t="n">
        <v>75.2032854209446</v>
      </c>
      <c r="J102" s="209" t="n">
        <v>27468</v>
      </c>
      <c r="K102" s="209" t="n">
        <v>497</v>
      </c>
      <c r="L102" s="209" t="s">
        <v>114</v>
      </c>
      <c r="M102" s="209" t="s">
        <v>114</v>
      </c>
      <c r="N102" s="210" t="s">
        <v>282</v>
      </c>
      <c r="O102" s="205" t="n">
        <v>0</v>
      </c>
      <c r="P102" s="205" t="n">
        <v>0</v>
      </c>
      <c r="Q102" s="276" t="s">
        <v>116</v>
      </c>
      <c r="R102" s="276"/>
      <c r="S102" s="212" t="s">
        <v>277</v>
      </c>
      <c r="T102" s="222" t="n">
        <v>10</v>
      </c>
      <c r="U102" s="221" t="n">
        <v>1639.14</v>
      </c>
      <c r="V102" s="223" t="n">
        <v>86.96</v>
      </c>
      <c r="W102" s="224" t="n">
        <v>1552.18</v>
      </c>
      <c r="X102" s="212"/>
      <c r="Y102" s="225"/>
      <c r="Z102" s="252" t="n">
        <v>49600000</v>
      </c>
      <c r="AA102" s="252"/>
      <c r="AB102" s="277"/>
      <c r="AC102" s="252" t="n">
        <v>14600000</v>
      </c>
      <c r="AD102" s="205" t="s">
        <v>376</v>
      </c>
      <c r="AE102" s="205" t="n">
        <v>4115</v>
      </c>
      <c r="AF102" s="205" t="n">
        <v>175</v>
      </c>
      <c r="AG102" s="205" t="n">
        <f aca="false">100*0.0551</f>
        <v>5.51</v>
      </c>
      <c r="AH102" s="205" t="n">
        <f aca="false">100*0.2955</f>
        <v>29.55</v>
      </c>
      <c r="AI102" s="205" t="n">
        <v>2</v>
      </c>
      <c r="AJ102" s="205" t="n">
        <f aca="false">100*0.000345</f>
        <v>0.0345</v>
      </c>
      <c r="AK102" s="205" t="n">
        <v>332</v>
      </c>
      <c r="AL102" s="205" t="n">
        <f aca="false">100*0.127</f>
        <v>12.7</v>
      </c>
      <c r="AM102" s="205" t="n">
        <f aca="false">100*0.00845</f>
        <v>0.845</v>
      </c>
      <c r="AN102" s="205" t="n">
        <f aca="false">100*0.00785</f>
        <v>0.785</v>
      </c>
      <c r="AO102" s="205" t="n">
        <f aca="false">100*0.552</f>
        <v>55.2</v>
      </c>
      <c r="AP102" s="205" t="n">
        <f aca="false">100*0.109</f>
        <v>10.9</v>
      </c>
      <c r="AQ102" s="205" t="n">
        <v>310</v>
      </c>
      <c r="AR102" s="205" t="n">
        <f aca="false">100*0.1665</f>
        <v>16.65</v>
      </c>
      <c r="AS102" s="205" t="n">
        <f aca="false">100*0.602</f>
        <v>60.2</v>
      </c>
      <c r="AT102" s="205" t="n">
        <f aca="false">100*0.15855</f>
        <v>15.855</v>
      </c>
      <c r="AU102" s="205" t="n">
        <f aca="false">100*0.0588</f>
        <v>5.88</v>
      </c>
      <c r="AV102" s="205" t="n">
        <f aca="false">100*0.181</f>
        <v>18.1</v>
      </c>
      <c r="AW102" s="205" t="n">
        <f aca="false">100*0.169</f>
        <v>16.9</v>
      </c>
      <c r="AX102" s="205" t="n">
        <f aca="false">100*0.06645</f>
        <v>6.645</v>
      </c>
      <c r="AY102" s="205" t="n">
        <f aca="false">100*0.1301</f>
        <v>13.01</v>
      </c>
      <c r="AZ102" s="205" t="n">
        <f aca="false">100*0.626</f>
        <v>62.6</v>
      </c>
      <c r="BA102" s="205" t="n">
        <v>1859</v>
      </c>
      <c r="BB102" s="205" t="n">
        <f aca="false">100*0.0979</f>
        <v>9.79</v>
      </c>
      <c r="BC102" s="205" t="n">
        <f aca="false">100*0.516</f>
        <v>51.6</v>
      </c>
      <c r="BD102" s="205" t="n">
        <f aca="false">100*0.091365</f>
        <v>9.1365</v>
      </c>
      <c r="BE102" s="205" t="n">
        <f aca="false">100*0.00973</f>
        <v>0.973</v>
      </c>
      <c r="BF102" s="205" t="n">
        <f aca="false">100*0.407</f>
        <v>40.7</v>
      </c>
      <c r="BG102" s="205" t="n">
        <f aca="false">100*0.3258</f>
        <v>32.58</v>
      </c>
      <c r="BH102" s="205" t="n">
        <f aca="false">100*0.083455</f>
        <v>8.3455</v>
      </c>
      <c r="BI102" s="205" t="n">
        <f aca="false">100*0.0145</f>
        <v>1.45</v>
      </c>
      <c r="BJ102" s="205" t="n">
        <f aca="false">100*0.58</f>
        <v>58</v>
      </c>
      <c r="BK102" s="205" t="n">
        <f aca="false">100*0.341</f>
        <v>34.1</v>
      </c>
      <c r="BL102" s="205" t="n">
        <f aca="false">100*0.1403</f>
        <v>14.03</v>
      </c>
      <c r="BM102" s="205" t="n">
        <f aca="false">100*0.103</f>
        <v>10.3</v>
      </c>
      <c r="BN102" s="205" t="n">
        <f aca="false">100*0.376</f>
        <v>37.6</v>
      </c>
      <c r="BO102" s="205" t="n">
        <f aca="false">100*0.117</f>
        <v>11.7</v>
      </c>
      <c r="BP102" s="205" t="n">
        <f aca="false">100*0.0246</f>
        <v>2.46</v>
      </c>
      <c r="BQ102" s="205" t="n">
        <f aca="false">100*0.149</f>
        <v>14.9</v>
      </c>
      <c r="BR102" s="205" t="n">
        <f aca="false">100*0.709</f>
        <v>70.9</v>
      </c>
      <c r="BS102" s="205" t="n">
        <f aca="false">100*0.422</f>
        <v>42.2</v>
      </c>
      <c r="BT102" s="205" t="n">
        <f aca="false">100*0.0409</f>
        <v>4.09</v>
      </c>
      <c r="BU102" s="205" t="n">
        <f aca="false">100*0.0542</f>
        <v>5.42</v>
      </c>
      <c r="BV102" s="205" t="n">
        <f aca="false">100*0.467</f>
        <v>46.7</v>
      </c>
      <c r="BW102" s="205" t="n">
        <f aca="false">100*0.231</f>
        <v>23.1</v>
      </c>
      <c r="BX102" s="205" t="n">
        <f aca="false">100*0.0252</f>
        <v>2.52</v>
      </c>
      <c r="BY102" s="205" t="n">
        <f aca="false">100*0.0924</f>
        <v>9.24</v>
      </c>
      <c r="BZ102" s="205" t="n">
        <f aca="false">100*0.643</f>
        <v>64.3</v>
      </c>
      <c r="CA102" s="217"/>
      <c r="CB102" s="218"/>
      <c r="CC102" s="218" t="n">
        <v>2970000</v>
      </c>
      <c r="CD102" s="205" t="n">
        <v>1020000</v>
      </c>
      <c r="CE102" s="205" t="n">
        <v>1057</v>
      </c>
      <c r="CF102" s="205" t="n">
        <v>11901</v>
      </c>
      <c r="CG102" s="205" t="n">
        <v>19598</v>
      </c>
      <c r="CH102" s="205" t="n">
        <v>96527</v>
      </c>
      <c r="CI102" s="205" t="n">
        <v>727000</v>
      </c>
      <c r="CJ102" s="205" t="n">
        <v>27389</v>
      </c>
      <c r="CK102" s="205" t="n">
        <v>34.3</v>
      </c>
      <c r="CL102" s="205" t="n">
        <v>0.036</v>
      </c>
      <c r="CM102" s="205" t="n">
        <v>0.4</v>
      </c>
      <c r="CN102" s="205" t="n">
        <v>0.66</v>
      </c>
      <c r="CO102" s="205" t="n">
        <v>3.25</v>
      </c>
      <c r="CP102" s="205" t="n">
        <v>24.5</v>
      </c>
      <c r="CQ102" s="205" t="n">
        <v>0.92</v>
      </c>
      <c r="CR102" s="205" t="n">
        <v>0.1</v>
      </c>
      <c r="CS102" s="205" t="n">
        <v>1.17</v>
      </c>
      <c r="CT102" s="205" t="n">
        <v>1.92</v>
      </c>
      <c r="CU102" s="205" t="n">
        <v>9.46</v>
      </c>
      <c r="CV102" s="205" t="n">
        <v>71.3</v>
      </c>
      <c r="CW102" s="205" t="n">
        <v>2.69</v>
      </c>
    </row>
    <row r="103" s="205" customFormat="true" ht="12.8" hidden="false" customHeight="false" outlineLevel="0" collapsed="false">
      <c r="A103" s="205" t="s">
        <v>284</v>
      </c>
      <c r="B103" s="205" t="s">
        <v>101</v>
      </c>
      <c r="D103" s="205" t="s">
        <v>296</v>
      </c>
      <c r="E103" s="206" t="n">
        <v>15977</v>
      </c>
      <c r="F103" s="206" t="n">
        <v>42948</v>
      </c>
      <c r="G103" s="206" t="n">
        <v>43493</v>
      </c>
      <c r="H103" s="206" t="s">
        <v>103</v>
      </c>
      <c r="I103" s="239" t="n">
        <v>75.3347022587269</v>
      </c>
      <c r="J103" s="239" t="n">
        <v>27516</v>
      </c>
      <c r="K103" s="239" t="n">
        <v>545</v>
      </c>
      <c r="L103" s="209" t="s">
        <v>114</v>
      </c>
      <c r="M103" s="209" t="s">
        <v>114</v>
      </c>
      <c r="N103" s="210" t="s">
        <v>168</v>
      </c>
      <c r="O103" s="211"/>
      <c r="P103" s="211"/>
      <c r="Q103" s="240" t="s">
        <v>116</v>
      </c>
      <c r="R103" s="240" t="s">
        <v>285</v>
      </c>
      <c r="S103" s="241" t="s">
        <v>286</v>
      </c>
      <c r="T103" s="242" t="s">
        <v>106</v>
      </c>
      <c r="U103" s="213" t="n">
        <v>1760.59</v>
      </c>
      <c r="V103" s="213" t="n">
        <v>55.7</v>
      </c>
      <c r="W103" s="214" t="n">
        <v>1704.89</v>
      </c>
      <c r="X103" s="243" t="s">
        <v>287</v>
      </c>
      <c r="Y103" s="215" t="n">
        <v>1200000</v>
      </c>
      <c r="Z103" s="216" t="n">
        <v>2045868000</v>
      </c>
      <c r="AA103" s="215" t="n">
        <v>475000000</v>
      </c>
      <c r="AB103" s="241" t="s">
        <v>288</v>
      </c>
      <c r="AC103" s="244" t="n">
        <v>11000000</v>
      </c>
      <c r="AD103" s="245" t="s">
        <v>377</v>
      </c>
      <c r="AE103" s="205" t="n">
        <v>50892</v>
      </c>
      <c r="AF103" s="205" t="n">
        <v>413</v>
      </c>
      <c r="AG103" s="205" t="n">
        <f aca="false">100*0.0325</f>
        <v>3.25</v>
      </c>
      <c r="AH103" s="205" t="n">
        <f aca="false">100*0.00235</f>
        <v>0.235</v>
      </c>
      <c r="AI103" s="205" t="n">
        <v>0</v>
      </c>
      <c r="AJ103" s="205" t="n">
        <v>0</v>
      </c>
      <c r="AK103" s="205" t="n">
        <v>356</v>
      </c>
      <c r="AL103" s="205" t="n">
        <f aca="false">100*0.0273</f>
        <v>2.73</v>
      </c>
      <c r="AM103" s="205" t="n">
        <v>0</v>
      </c>
      <c r="AN103" s="205" t="n">
        <v>0</v>
      </c>
      <c r="AO103" s="205" t="n">
        <f aca="false">100*0.615</f>
        <v>61.5</v>
      </c>
      <c r="AP103" s="205" t="n">
        <f aca="false">100*0.152</f>
        <v>15.2</v>
      </c>
      <c r="AQ103" s="205" t="n">
        <v>1479</v>
      </c>
      <c r="AR103" s="205" t="n">
        <f aca="false">100*0.000155</f>
        <v>0.0155</v>
      </c>
      <c r="AS103" s="205" t="n">
        <f aca="false">100*0.504</f>
        <v>50.4</v>
      </c>
      <c r="AT103" s="205" t="n">
        <f aca="false">100*0.23</f>
        <v>23</v>
      </c>
      <c r="AU103" s="205" t="n">
        <f aca="false">100*0.068</f>
        <v>6.8</v>
      </c>
      <c r="AV103" s="205" t="n">
        <f aca="false">100*0.196</f>
        <v>19.6</v>
      </c>
      <c r="AW103" s="205" t="n">
        <f aca="false">100*0.393</f>
        <v>39.3</v>
      </c>
      <c r="AX103" s="205" t="n">
        <f aca="false">100*0.107</f>
        <v>10.7</v>
      </c>
      <c r="AY103" s="205" t="n">
        <f aca="false">100*0.162</f>
        <v>16.2</v>
      </c>
      <c r="AZ103" s="205" t="n">
        <f aca="false">100*0.338</f>
        <v>33.8</v>
      </c>
      <c r="BA103" s="205" t="n">
        <v>10276</v>
      </c>
      <c r="BB103" s="205" t="n">
        <f aca="false">100*0.00115</f>
        <v>0.115</v>
      </c>
      <c r="BC103" s="205" t="n">
        <f aca="false">100*0.52187</f>
        <v>52.187</v>
      </c>
      <c r="BD103" s="205" t="n">
        <f aca="false">100*0.0463</f>
        <v>4.63</v>
      </c>
      <c r="BE103" s="205" t="n">
        <f aca="false">100*0.012</f>
        <v>1.2</v>
      </c>
      <c r="BF103" s="205" t="n">
        <f aca="false">100*0.421</f>
        <v>42.1</v>
      </c>
      <c r="BG103" s="205" t="n">
        <f aca="false">100*0.42466</f>
        <v>42.466</v>
      </c>
      <c r="BH103" s="205" t="n">
        <f aca="false">100*0.043</f>
        <v>4.3</v>
      </c>
      <c r="BI103" s="205" t="n">
        <f aca="false">100*0.0209</f>
        <v>2.09</v>
      </c>
      <c r="BJ103" s="205" t="n">
        <f aca="false">100*0.517</f>
        <v>51.7</v>
      </c>
      <c r="BK103" s="205" t="n">
        <f aca="false">100*0.0921</f>
        <v>9.21</v>
      </c>
      <c r="BL103" s="205" t="n">
        <f aca="false">100*0.25265</f>
        <v>25.265</v>
      </c>
      <c r="BM103" s="205" t="n">
        <f aca="false">100*0.458</f>
        <v>45.8</v>
      </c>
      <c r="BN103" s="205" t="n">
        <f aca="false">100*0.179</f>
        <v>17.9</v>
      </c>
      <c r="BO103" s="205" t="n">
        <f aca="false">100*0.0237</f>
        <v>2.37</v>
      </c>
      <c r="BP103" s="205" t="n">
        <f aca="false">100*0.0386</f>
        <v>3.86</v>
      </c>
      <c r="BQ103" s="205" t="n">
        <f aca="false">100*0.659</f>
        <v>65.9</v>
      </c>
      <c r="BR103" s="205" t="n">
        <f aca="false">100*0.254</f>
        <v>25.4</v>
      </c>
      <c r="BS103" s="205" t="n">
        <f aca="false">100*0.3</f>
        <v>30</v>
      </c>
      <c r="BT103" s="205" t="n">
        <f aca="false">100*0.146</f>
        <v>14.6</v>
      </c>
      <c r="BU103" s="205" t="n">
        <f aca="false">100*0.138</f>
        <v>13.8</v>
      </c>
      <c r="BV103" s="205" t="n">
        <f aca="false">100*0.416</f>
        <v>41.6</v>
      </c>
      <c r="BW103" s="205" t="n">
        <f aca="false">100*0.0456</f>
        <v>4.56</v>
      </c>
      <c r="BX103" s="205" t="n">
        <f aca="false">100*0.0228</f>
        <v>2.28</v>
      </c>
      <c r="BY103" s="205" t="n">
        <f aca="false">100*0.213</f>
        <v>21.3</v>
      </c>
      <c r="BZ103" s="205" t="n">
        <f aca="false">100*0.685</f>
        <v>68.5</v>
      </c>
      <c r="CA103" s="217" t="n">
        <f aca="false">100*0.0035</f>
        <v>0.35</v>
      </c>
      <c r="CB103" s="278" t="n">
        <f aca="false">AE103/CA103</f>
        <v>145405.714285714</v>
      </c>
      <c r="CC103" s="218" t="n">
        <v>5500000</v>
      </c>
      <c r="CD103" s="205" t="n">
        <v>5420000</v>
      </c>
      <c r="CE103" s="205" t="n">
        <v>836</v>
      </c>
      <c r="CF103" s="205" t="n">
        <v>932</v>
      </c>
      <c r="CG103" s="205" t="n">
        <v>4015</v>
      </c>
      <c r="CH103" s="205" t="n">
        <v>3870000</v>
      </c>
      <c r="CI103" s="205" t="n">
        <v>749000</v>
      </c>
      <c r="CJ103" s="205" t="n">
        <v>6381</v>
      </c>
      <c r="CK103" s="205" t="n">
        <v>98.5</v>
      </c>
      <c r="CL103" s="205" t="n">
        <v>0.015</v>
      </c>
      <c r="CM103" s="205" t="n">
        <v>0.017</v>
      </c>
      <c r="CN103" s="205" t="n">
        <v>0.073</v>
      </c>
      <c r="CO103" s="205" t="n">
        <v>70.4</v>
      </c>
      <c r="CP103" s="205" t="n">
        <v>13.6</v>
      </c>
      <c r="CQ103" s="205" t="n">
        <v>0.12</v>
      </c>
      <c r="CR103" s="205" t="n">
        <v>0.015</v>
      </c>
      <c r="CS103" s="205" t="n">
        <v>0.017</v>
      </c>
      <c r="CT103" s="205" t="n">
        <v>0.074</v>
      </c>
      <c r="CU103" s="205" t="n">
        <v>71.4</v>
      </c>
      <c r="CV103" s="205" t="n">
        <v>13.8</v>
      </c>
      <c r="CW103" s="205" t="n">
        <v>0.12</v>
      </c>
    </row>
    <row r="104" s="186" customFormat="true" ht="12.8" hidden="false" customHeight="false" outlineLevel="0" collapsed="false">
      <c r="A104" s="186" t="s">
        <v>290</v>
      </c>
      <c r="B104" s="186" t="s">
        <v>113</v>
      </c>
      <c r="D104" s="186" t="s">
        <v>296</v>
      </c>
      <c r="E104" s="187" t="n">
        <v>16873</v>
      </c>
      <c r="F104" s="187" t="n">
        <v>42993</v>
      </c>
      <c r="G104" s="187" t="n">
        <v>43418</v>
      </c>
      <c r="H104" s="230" t="s">
        <v>157</v>
      </c>
      <c r="I104" s="188" t="n">
        <v>72.6762491444216</v>
      </c>
      <c r="J104" s="189" t="n">
        <v>26545</v>
      </c>
      <c r="K104" s="189" t="n">
        <v>425</v>
      </c>
      <c r="L104" s="189" t="s">
        <v>104</v>
      </c>
      <c r="M104" s="189" t="s">
        <v>104</v>
      </c>
      <c r="N104" s="231" t="n">
        <v>43434</v>
      </c>
      <c r="O104" s="186" t="n">
        <v>1</v>
      </c>
      <c r="P104" s="186" t="s">
        <v>272</v>
      </c>
      <c r="Q104" s="187" t="s">
        <v>116</v>
      </c>
      <c r="R104" s="187"/>
      <c r="S104" s="192" t="s">
        <v>291</v>
      </c>
      <c r="T104" s="191" t="n">
        <v>10</v>
      </c>
      <c r="U104" s="279" t="s">
        <v>292</v>
      </c>
      <c r="V104" s="280"/>
      <c r="W104" s="196" t="n">
        <v>3185.64</v>
      </c>
      <c r="X104" s="192"/>
      <c r="Y104" s="197"/>
      <c r="Z104" s="198" t="n">
        <v>10800000</v>
      </c>
      <c r="AA104" s="198"/>
      <c r="AB104" s="281"/>
      <c r="AC104" s="198" t="n">
        <v>14400000</v>
      </c>
      <c r="AD104" s="186" t="s">
        <v>378</v>
      </c>
      <c r="AE104" s="186" t="n">
        <v>197871</v>
      </c>
      <c r="AF104" s="186" t="n">
        <v>1734</v>
      </c>
      <c r="AG104" s="186" t="n">
        <f aca="false">100*0.0093</f>
        <v>0.93</v>
      </c>
      <c r="AH104" s="186" t="n">
        <f aca="false">100*0.555</f>
        <v>55.5</v>
      </c>
      <c r="AI104" s="186" t="n">
        <v>15</v>
      </c>
      <c r="AJ104" s="186" t="n">
        <f aca="false">100*0.0000802</f>
        <v>0.00802</v>
      </c>
      <c r="AK104" s="186" t="n">
        <v>6090</v>
      </c>
      <c r="AL104" s="186" t="n">
        <f aca="false">100*0.033</f>
        <v>3.3</v>
      </c>
      <c r="AM104" s="186" t="n">
        <f aca="false">100*0.165</f>
        <v>16.5</v>
      </c>
      <c r="AN104" s="186" t="n">
        <f aca="false">100*0.0113</f>
        <v>1.13</v>
      </c>
      <c r="AO104" s="186" t="n">
        <f aca="false">100*0.808</f>
        <v>80.8</v>
      </c>
      <c r="AP104" s="186" t="n">
        <f aca="false">100*0.0199</f>
        <v>1.99</v>
      </c>
      <c r="AQ104" s="186" t="n">
        <v>106528</v>
      </c>
      <c r="AR104" s="186" t="n">
        <f aca="false">100*0.4</f>
        <v>40</v>
      </c>
      <c r="AS104" s="186" t="n">
        <f aca="false">100*0.107</f>
        <v>10.7</v>
      </c>
      <c r="AT104" s="186" t="n">
        <f aca="false">100*0.268</f>
        <v>26.8</v>
      </c>
      <c r="AU104" s="186" t="n">
        <f aca="false">100*0.525</f>
        <v>52.5</v>
      </c>
      <c r="AV104" s="186" t="n">
        <f aca="false">100*0.0994</f>
        <v>9.94</v>
      </c>
      <c r="AW104" s="186" t="n">
        <f aca="false">100*0.0238</f>
        <v>2.38</v>
      </c>
      <c r="AX104" s="186" t="n">
        <f aca="false">100*0.0863</f>
        <v>8.63</v>
      </c>
      <c r="AY104" s="186" t="n">
        <f aca="false">100*0.737</f>
        <v>73.7</v>
      </c>
      <c r="AZ104" s="186" t="n">
        <f aca="false">100*0.153</f>
        <v>15.3</v>
      </c>
      <c r="BA104" s="186" t="n">
        <v>60793</v>
      </c>
      <c r="BB104" s="186" t="n">
        <f aca="false">100*0.11</f>
        <v>11</v>
      </c>
      <c r="BC104" s="186" t="n">
        <f aca="false">100*0.501</f>
        <v>50.1</v>
      </c>
      <c r="BD104" s="186" t="n">
        <f aca="false">100*0.13</f>
        <v>13</v>
      </c>
      <c r="BE104" s="186" t="n">
        <f aca="false">100*0.0315</f>
        <v>3.15</v>
      </c>
      <c r="BF104" s="186" t="n">
        <f aca="false">100*0.337</f>
        <v>33.7</v>
      </c>
      <c r="BG104" s="186" t="n">
        <f aca="false">100*0.55</f>
        <v>55</v>
      </c>
      <c r="BH104" s="186" t="n">
        <f aca="false">100*0.111</f>
        <v>11.1</v>
      </c>
      <c r="BI104" s="186" t="n">
        <f aca="false">100*0.0267</f>
        <v>2.67</v>
      </c>
      <c r="BJ104" s="186" t="n">
        <f aca="false">100*0.313</f>
        <v>31.3</v>
      </c>
      <c r="BK104" s="186" t="n">
        <f aca="false">100*0.332</f>
        <v>33.2</v>
      </c>
      <c r="BL104" s="186" t="n">
        <f aca="false">100*0.337</f>
        <v>33.7</v>
      </c>
      <c r="BM104" s="186" t="n">
        <f aca="false">100*0.131</f>
        <v>13.1</v>
      </c>
      <c r="BN104" s="186" t="n">
        <f aca="false">100*0.2</f>
        <v>20</v>
      </c>
      <c r="BO104" s="186" t="n">
        <f aca="false">100*0.229</f>
        <v>22.9</v>
      </c>
      <c r="BP104" s="186" t="n">
        <f aca="false">100*0.248</f>
        <v>24.8</v>
      </c>
      <c r="BQ104" s="186" t="n">
        <f aca="false">100*0.231</f>
        <v>23.1</v>
      </c>
      <c r="BR104" s="186" t="n">
        <f aca="false">100*0.292</f>
        <v>29.2</v>
      </c>
      <c r="BS104" s="186" t="n">
        <f aca="false">100*0.47</f>
        <v>47</v>
      </c>
      <c r="BT104" s="186" t="n">
        <f aca="false">100*0.321</f>
        <v>32.1</v>
      </c>
      <c r="BU104" s="186" t="n">
        <f aca="false">100*0.0726</f>
        <v>7.26</v>
      </c>
      <c r="BV104" s="186" t="n">
        <f aca="false">100*0.137</f>
        <v>13.7</v>
      </c>
      <c r="BW104" s="186" t="n">
        <f aca="false">100*0.348</f>
        <v>34.8</v>
      </c>
      <c r="BX104" s="186" t="n">
        <f aca="false">100*0.224</f>
        <v>22.4</v>
      </c>
      <c r="BY104" s="186" t="n">
        <f aca="false">100*0.152</f>
        <v>15.2</v>
      </c>
      <c r="BZ104" s="186" t="n">
        <f aca="false">100*0.276</f>
        <v>27.6</v>
      </c>
      <c r="CA104" s="235" t="n">
        <f aca="false">100*0.0443</f>
        <v>4.43</v>
      </c>
      <c r="CB104" s="203"/>
      <c r="CC104" s="203" t="n">
        <v>2610000</v>
      </c>
      <c r="CD104" s="186" t="n">
        <v>1460000</v>
      </c>
      <c r="CE104" s="186" t="n">
        <v>838</v>
      </c>
      <c r="CF104" s="186" t="n">
        <v>39471</v>
      </c>
      <c r="CG104" s="186" t="n">
        <v>11666</v>
      </c>
      <c r="CH104" s="186" t="n">
        <v>26750</v>
      </c>
      <c r="CI104" s="186" t="n">
        <v>699000</v>
      </c>
      <c r="CJ104" s="186" t="n">
        <v>161020</v>
      </c>
      <c r="CK104" s="186" t="n">
        <v>55.9</v>
      </c>
      <c r="CL104" s="186" t="n">
        <v>0.032</v>
      </c>
      <c r="CM104" s="186" t="n">
        <v>1.51</v>
      </c>
      <c r="CN104" s="186" t="n">
        <v>0.45</v>
      </c>
      <c r="CO104" s="186" t="n">
        <v>1.02</v>
      </c>
      <c r="CP104" s="186" t="n">
        <v>26.8</v>
      </c>
      <c r="CQ104" s="186" t="n">
        <v>6.17</v>
      </c>
      <c r="CR104" s="186" t="n">
        <v>0.057</v>
      </c>
      <c r="CS104" s="186" t="n">
        <v>2.7</v>
      </c>
      <c r="CT104" s="186" t="n">
        <v>0.8</v>
      </c>
      <c r="CU104" s="186" t="n">
        <v>1.83</v>
      </c>
      <c r="CV104" s="186" t="n">
        <v>47.9</v>
      </c>
      <c r="CW104" s="186" t="n">
        <v>11</v>
      </c>
    </row>
    <row r="105" s="168" customFormat="true" ht="13.9" hidden="false" customHeight="true" outlineLevel="0" collapsed="false">
      <c r="A105" s="186" t="s">
        <v>294</v>
      </c>
      <c r="B105" s="186" t="s">
        <v>113</v>
      </c>
      <c r="C105" s="186"/>
      <c r="D105" s="186" t="s">
        <v>296</v>
      </c>
      <c r="E105" s="268" t="n">
        <v>26786</v>
      </c>
      <c r="F105" s="268" t="n">
        <v>43012</v>
      </c>
      <c r="G105" s="268" t="n">
        <v>43469</v>
      </c>
      <c r="H105" s="269" t="s">
        <v>157</v>
      </c>
      <c r="I105" s="270" t="n">
        <v>45.6755646817248</v>
      </c>
      <c r="J105" s="197" t="n">
        <v>16683</v>
      </c>
      <c r="K105" s="197" t="n">
        <v>457</v>
      </c>
      <c r="L105" s="197" t="s">
        <v>114</v>
      </c>
      <c r="M105" s="197" t="s">
        <v>104</v>
      </c>
      <c r="N105" s="192" t="s">
        <v>282</v>
      </c>
      <c r="O105" s="186" t="n">
        <v>0</v>
      </c>
      <c r="P105" s="186" t="n">
        <v>0</v>
      </c>
      <c r="Q105" s="269" t="s">
        <v>116</v>
      </c>
      <c r="R105" s="269"/>
      <c r="S105" s="186" t="s">
        <v>277</v>
      </c>
      <c r="T105" s="269" t="n">
        <v>10</v>
      </c>
      <c r="U105" s="269" t="n">
        <v>2175.36</v>
      </c>
      <c r="V105" s="269" t="n">
        <v>67.66</v>
      </c>
      <c r="W105" s="196" t="n">
        <f aca="false">U105-V105</f>
        <v>2107.7</v>
      </c>
      <c r="X105" s="192"/>
      <c r="Y105" s="197"/>
      <c r="Z105" s="269" t="n">
        <v>10400000</v>
      </c>
      <c r="AA105" s="197"/>
      <c r="AB105" s="192"/>
      <c r="AC105" s="282" t="n">
        <v>10600000</v>
      </c>
      <c r="AD105" s="186" t="s">
        <v>379</v>
      </c>
      <c r="AE105" s="186" t="n">
        <v>77517</v>
      </c>
      <c r="AF105" s="186" t="n">
        <v>1898</v>
      </c>
      <c r="AG105" s="186" t="n">
        <f aca="false">100*0.0255</f>
        <v>2.55</v>
      </c>
      <c r="AH105" s="186" t="n">
        <f aca="false">100*0.0885</f>
        <v>8.85</v>
      </c>
      <c r="AI105" s="186" t="n">
        <v>321</v>
      </c>
      <c r="AJ105" s="186" t="n">
        <f aca="false">100*0.0043</f>
        <v>0.43</v>
      </c>
      <c r="AK105" s="186" t="n">
        <v>10387</v>
      </c>
      <c r="AL105" s="186" t="n">
        <f aca="false">100*0.144</f>
        <v>14.4</v>
      </c>
      <c r="AM105" s="186" t="n">
        <f aca="false">100*0.0051</f>
        <v>0.51</v>
      </c>
      <c r="AN105" s="186" t="n">
        <f aca="false">100*0.00029</f>
        <v>0.029</v>
      </c>
      <c r="AO105" s="186" t="n">
        <f aca="false">100*0.876</f>
        <v>87.6</v>
      </c>
      <c r="AP105" s="186" t="n">
        <f aca="false">100*0.0153</f>
        <v>1.53</v>
      </c>
      <c r="AQ105" s="186" t="n">
        <v>22129</v>
      </c>
      <c r="AR105" s="186" t="n">
        <f aca="false">100*0.125</f>
        <v>12.5</v>
      </c>
      <c r="AS105" s="186" t="n">
        <f aca="false">100*0.62</f>
        <v>62</v>
      </c>
      <c r="AT105" s="186" t="n">
        <f aca="false">100*0.188</f>
        <v>18.8</v>
      </c>
      <c r="AU105" s="186" t="n">
        <f aca="false">100*0.0392</f>
        <v>3.92</v>
      </c>
      <c r="AV105" s="186" t="n">
        <f aca="false">100*0.152</f>
        <v>15.2</v>
      </c>
      <c r="AW105" s="186" t="n">
        <f aca="false">100*0.139</f>
        <v>13.9</v>
      </c>
      <c r="AX105" s="186" t="n">
        <f aca="false">100*0.0851</f>
        <v>8.51</v>
      </c>
      <c r="AY105" s="186" t="n">
        <f aca="false">100*0.143</f>
        <v>14.3</v>
      </c>
      <c r="AZ105" s="186" t="n">
        <f aca="false">100*0.634</f>
        <v>63.4</v>
      </c>
      <c r="BA105" s="186" t="n">
        <v>32865</v>
      </c>
      <c r="BB105" s="186" t="n">
        <f aca="false">100*0.0417</f>
        <v>4.17</v>
      </c>
      <c r="BC105" s="186" t="n">
        <f aca="false">100*0.755</f>
        <v>75.5</v>
      </c>
      <c r="BD105" s="186" t="n">
        <f aca="false">100*0.0517</f>
        <v>5.17</v>
      </c>
      <c r="BE105" s="186" t="n">
        <f aca="false">100*0.0079</f>
        <v>0.79</v>
      </c>
      <c r="BF105" s="186" t="n">
        <f aca="false">100*0.185</f>
        <v>18.5</v>
      </c>
      <c r="BG105" s="186" t="n">
        <f aca="false">100*0.445</f>
        <v>44.5</v>
      </c>
      <c r="BH105" s="186" t="n">
        <f aca="false">100*0.0422</f>
        <v>4.22</v>
      </c>
      <c r="BI105" s="186" t="n">
        <f aca="false">100*0.0145</f>
        <v>1.45</v>
      </c>
      <c r="BJ105" s="186" t="n">
        <f aca="false">100*0.499</f>
        <v>49.9</v>
      </c>
      <c r="BK105" s="186" t="n">
        <f aca="false">100*0.271</f>
        <v>27.1</v>
      </c>
      <c r="BL105" s="186" t="n">
        <f aca="false">100*0.144</f>
        <v>14.4</v>
      </c>
      <c r="BM105" s="186" t="n">
        <f aca="false">100*0.345</f>
        <v>34.5</v>
      </c>
      <c r="BN105" s="186" t="n">
        <f aca="false">100*0.24</f>
        <v>24</v>
      </c>
      <c r="BO105" s="186" t="n">
        <f aca="false">100*0.0801</f>
        <v>8.01</v>
      </c>
      <c r="BP105" s="186" t="n">
        <f aca="false">100*0.0253</f>
        <v>2.53</v>
      </c>
      <c r="BQ105" s="186" t="n">
        <f aca="false">100*0.451</f>
        <v>45.1</v>
      </c>
      <c r="BR105" s="186" t="n">
        <f aca="false">100*0.444</f>
        <v>44.4</v>
      </c>
      <c r="BS105" s="186" t="n">
        <f aca="false">100*0.622</f>
        <v>62.2</v>
      </c>
      <c r="BT105" s="186" t="n">
        <f aca="false">100*0.0985</f>
        <v>9.85</v>
      </c>
      <c r="BU105" s="186" t="n">
        <f aca="false">100*0.0219</f>
        <v>2.19</v>
      </c>
      <c r="BV105" s="186" t="n">
        <f aca="false">100*0.258</f>
        <v>25.8</v>
      </c>
      <c r="BW105" s="186" t="n">
        <f aca="false">100*0.101</f>
        <v>10.1</v>
      </c>
      <c r="BX105" s="186" t="n">
        <f aca="false">100*0.0074</f>
        <v>0.74</v>
      </c>
      <c r="BY105" s="186" t="n">
        <f aca="false">100*0.117</f>
        <v>11.7</v>
      </c>
      <c r="BZ105" s="186" t="n">
        <f aca="false">100*0.774</f>
        <v>77.4</v>
      </c>
      <c r="CA105" s="235" t="n">
        <v>0.0182</v>
      </c>
      <c r="CB105" s="203"/>
      <c r="CC105" s="203" t="n">
        <v>2330000</v>
      </c>
      <c r="CD105" s="186" t="n">
        <v>764000</v>
      </c>
      <c r="CE105" s="186" t="n">
        <v>7548</v>
      </c>
      <c r="CF105" s="186" t="n">
        <v>10459</v>
      </c>
      <c r="CG105" s="186" t="n">
        <v>4789</v>
      </c>
      <c r="CH105" s="186" t="n">
        <v>49674</v>
      </c>
      <c r="CI105" s="186" t="n">
        <v>356937</v>
      </c>
      <c r="CJ105" s="186" t="n">
        <v>111483</v>
      </c>
      <c r="CK105" s="186" t="n">
        <v>32.8</v>
      </c>
      <c r="CL105" s="186" t="n">
        <v>0.32</v>
      </c>
      <c r="CM105" s="186" t="n">
        <v>0.45</v>
      </c>
      <c r="CN105" s="186" t="n">
        <v>0.21</v>
      </c>
      <c r="CO105" s="186" t="n">
        <v>2.13</v>
      </c>
      <c r="CP105" s="186" t="n">
        <v>15.3</v>
      </c>
      <c r="CQ105" s="186" t="n">
        <v>4.78</v>
      </c>
      <c r="CR105" s="186" t="n">
        <v>0.99</v>
      </c>
      <c r="CS105" s="186" t="n">
        <v>1.37</v>
      </c>
      <c r="CT105" s="186" t="n">
        <v>0.63</v>
      </c>
      <c r="CU105" s="186" t="n">
        <v>6.5</v>
      </c>
      <c r="CV105" s="186" t="n">
        <v>46.7</v>
      </c>
      <c r="CW105" s="186" t="n">
        <v>14.6</v>
      </c>
      <c r="CX105" s="186"/>
    </row>
    <row r="106" customFormat="false" ht="12.8" hidden="false" customHeight="false" outlineLevel="0" collapsed="false">
      <c r="CD106" s="1"/>
      <c r="CE106" s="1"/>
      <c r="CF106" s="1"/>
      <c r="CG106" s="1"/>
      <c r="CH106" s="1"/>
      <c r="CI106" s="1"/>
      <c r="CJ106" s="1"/>
      <c r="CK106" s="1"/>
      <c r="CL106" s="1"/>
      <c r="CM106" s="1"/>
      <c r="CN106" s="1"/>
      <c r="CO106" s="1"/>
      <c r="CP106" s="1"/>
      <c r="CQ106" s="1"/>
      <c r="CR106" s="1"/>
      <c r="CS106" s="1"/>
      <c r="CT106" s="1"/>
      <c r="CU106" s="1"/>
      <c r="CV106" s="1"/>
      <c r="CW106" s="1"/>
    </row>
    <row r="107" customFormat="false" ht="12.8" hidden="false" customHeight="false" outlineLevel="0" collapsed="false">
      <c r="CD107" s="1"/>
      <c r="CE107" s="1"/>
      <c r="CF107" s="1"/>
      <c r="CG107" s="1"/>
      <c r="CH107" s="1"/>
      <c r="CI107" s="1"/>
      <c r="CJ107" s="1"/>
      <c r="CK107" s="1"/>
      <c r="CL107" s="1"/>
      <c r="CM107" s="1"/>
      <c r="CN107" s="1"/>
      <c r="CO107" s="1"/>
      <c r="CP107" s="1"/>
      <c r="CQ107" s="1"/>
      <c r="CR107" s="1"/>
      <c r="CS107" s="1"/>
      <c r="CT107" s="1"/>
      <c r="CU107" s="1"/>
      <c r="CV107" s="1"/>
      <c r="CW107" s="1"/>
    </row>
    <row r="108" customFormat="false" ht="12.8" hidden="false" customHeight="false" outlineLevel="0" collapsed="false">
      <c r="CD108" s="1"/>
      <c r="CE108" s="1"/>
      <c r="CF108" s="1"/>
      <c r="CG108" s="1"/>
      <c r="CH108" s="1"/>
      <c r="CI108" s="1"/>
      <c r="CJ108" s="1"/>
      <c r="CK108" s="1"/>
      <c r="CL108" s="1"/>
      <c r="CM108" s="1"/>
      <c r="CN108" s="1"/>
      <c r="CO108" s="1"/>
      <c r="CP108" s="1"/>
      <c r="CQ108" s="1"/>
      <c r="CR108" s="1"/>
      <c r="CS108" s="1"/>
      <c r="CT108" s="1"/>
      <c r="CU108" s="1"/>
      <c r="CV108" s="1"/>
      <c r="CW108" s="1"/>
    </row>
    <row r="109" customFormat="false" ht="12.8" hidden="false" customHeight="false" outlineLevel="0" collapsed="false">
      <c r="CD109" s="1"/>
      <c r="CE109" s="1"/>
      <c r="CF109" s="1"/>
      <c r="CG109" s="1"/>
      <c r="CH109" s="1"/>
      <c r="CI109" s="1"/>
      <c r="CJ109" s="1"/>
      <c r="CK109" s="1"/>
      <c r="CL109" s="1"/>
      <c r="CM109" s="1"/>
      <c r="CN109" s="1"/>
      <c r="CO109" s="1"/>
      <c r="CP109" s="1"/>
      <c r="CQ109" s="1"/>
      <c r="CR109" s="1"/>
      <c r="CS109" s="1"/>
      <c r="CT109" s="1"/>
      <c r="CU109" s="1"/>
      <c r="CV109" s="1"/>
    </row>
    <row r="110" customFormat="false" ht="12.8" hidden="false" customHeight="false" outlineLevel="0" collapsed="false">
      <c r="CD110" s="1"/>
      <c r="CE110" s="1"/>
      <c r="CF110" s="1"/>
      <c r="CG110" s="1"/>
      <c r="CH110" s="1"/>
      <c r="CI110" s="1"/>
      <c r="CJ110" s="1"/>
      <c r="CK110" s="1"/>
      <c r="CL110" s="1"/>
      <c r="CM110" s="1"/>
      <c r="CN110" s="1"/>
      <c r="CO110" s="1"/>
      <c r="CP110" s="1"/>
      <c r="CQ110" s="1"/>
      <c r="CR110" s="1"/>
      <c r="CS110" s="1"/>
      <c r="CT110" s="1"/>
      <c r="CU110" s="1"/>
      <c r="CV110" s="1"/>
    </row>
    <row r="111" customFormat="false" ht="12.8" hidden="false" customHeight="false" outlineLevel="0" collapsed="false">
      <c r="CD111" s="1"/>
      <c r="CE111" s="1"/>
      <c r="CF111" s="1"/>
      <c r="CG111" s="1"/>
      <c r="CH111" s="1"/>
      <c r="CI111" s="1"/>
      <c r="CJ111" s="1"/>
      <c r="CK111" s="1"/>
      <c r="CL111" s="1"/>
      <c r="CM111" s="1"/>
      <c r="CN111" s="1"/>
      <c r="CO111" s="1"/>
      <c r="CP111" s="1"/>
      <c r="CQ111" s="1"/>
      <c r="CR111" s="1"/>
      <c r="CS111" s="1"/>
      <c r="CT111" s="1"/>
      <c r="CU111" s="1"/>
      <c r="CV111" s="1"/>
    </row>
    <row r="112" customFormat="false" ht="12.8" hidden="false" customHeight="false" outlineLevel="0" collapsed="false">
      <c r="CD112" s="1"/>
      <c r="CE112" s="1"/>
      <c r="CF112" s="1"/>
      <c r="CG112" s="1"/>
      <c r="CH112" s="1"/>
      <c r="CI112" s="1"/>
      <c r="CJ112" s="1"/>
      <c r="CK112" s="1"/>
      <c r="CL112" s="1"/>
      <c r="CM112" s="1"/>
      <c r="CN112" s="1"/>
      <c r="CO112" s="1"/>
      <c r="CP112" s="1"/>
      <c r="CQ112" s="1"/>
      <c r="CR112" s="1"/>
      <c r="CS112" s="1"/>
      <c r="CT112" s="1"/>
      <c r="CU112" s="1"/>
      <c r="CV112" s="1"/>
    </row>
    <row r="113" customFormat="false" ht="12.8" hidden="false" customHeight="false" outlineLevel="0" collapsed="false">
      <c r="CD113" s="1"/>
      <c r="CE113" s="1"/>
      <c r="CF113" s="1"/>
      <c r="CG113" s="1"/>
      <c r="CH113" s="1"/>
      <c r="CI113" s="1"/>
      <c r="CJ113" s="1"/>
      <c r="CK113" s="1"/>
      <c r="CL113" s="1"/>
      <c r="CM113" s="1"/>
      <c r="CN113" s="1"/>
      <c r="CO113" s="1"/>
      <c r="CP113" s="1"/>
      <c r="CQ113" s="1"/>
      <c r="CR113" s="1"/>
      <c r="CS113" s="1"/>
      <c r="CT113" s="1"/>
      <c r="CU113" s="1"/>
      <c r="CV113" s="1"/>
    </row>
    <row r="114" customFormat="false" ht="12.8" hidden="false" customHeight="false" outlineLevel="0" collapsed="false">
      <c r="CD114" s="1"/>
      <c r="CE114" s="1"/>
      <c r="CF114" s="1"/>
      <c r="CG114" s="1"/>
      <c r="CH114" s="1"/>
      <c r="CI114" s="1"/>
      <c r="CJ114" s="1"/>
      <c r="CK114" s="1"/>
      <c r="CL114" s="1"/>
      <c r="CM114" s="1"/>
      <c r="CN114" s="1"/>
      <c r="CO114" s="1"/>
      <c r="CP114" s="1"/>
      <c r="CQ114" s="1"/>
      <c r="CR114" s="1"/>
      <c r="CS114" s="1"/>
      <c r="CT114" s="1"/>
      <c r="CU114" s="1"/>
      <c r="CV114" s="1"/>
    </row>
    <row r="115" customFormat="false" ht="12.8" hidden="false" customHeight="false" outlineLevel="0" collapsed="false">
      <c r="CD115" s="1"/>
      <c r="CE115" s="1"/>
      <c r="CF115" s="1"/>
      <c r="CG115" s="1"/>
      <c r="CH115" s="1"/>
      <c r="CI115" s="1"/>
      <c r="CJ115" s="1"/>
      <c r="CK115" s="1"/>
      <c r="CL115" s="1"/>
      <c r="CM115" s="1"/>
      <c r="CN115" s="1"/>
      <c r="CO115" s="1"/>
      <c r="CP115" s="1"/>
      <c r="CQ115" s="1"/>
      <c r="CR115" s="1"/>
      <c r="CS115" s="1"/>
      <c r="CT115" s="1"/>
      <c r="CU115" s="1"/>
      <c r="CV115" s="1"/>
    </row>
    <row r="116" customFormat="false" ht="12.8" hidden="false" customHeight="false" outlineLevel="0" collapsed="false">
      <c r="CD116" s="1"/>
      <c r="CE116" s="1"/>
      <c r="CF116" s="1"/>
      <c r="CG116" s="1"/>
      <c r="CH116" s="1"/>
      <c r="CI116" s="1"/>
      <c r="CJ116" s="1"/>
      <c r="CK116" s="1"/>
      <c r="CL116" s="1"/>
      <c r="CM116" s="1"/>
      <c r="CN116" s="1"/>
      <c r="CO116" s="1"/>
      <c r="CP116" s="1"/>
      <c r="CQ116" s="1"/>
      <c r="CR116" s="1"/>
      <c r="CS116" s="1"/>
      <c r="CT116" s="1"/>
      <c r="CU116" s="1"/>
      <c r="CV116" s="1"/>
    </row>
    <row r="117" customFormat="false" ht="12.8" hidden="false" customHeight="false" outlineLevel="0" collapsed="false">
      <c r="CD117" s="1"/>
      <c r="CE117" s="1"/>
      <c r="CF117" s="1"/>
      <c r="CG117" s="1"/>
      <c r="CH117" s="1"/>
      <c r="CI117" s="1"/>
      <c r="CJ117" s="1"/>
      <c r="CK117" s="1"/>
      <c r="CL117" s="1"/>
      <c r="CM117" s="1"/>
      <c r="CN117" s="1"/>
      <c r="CO117" s="1"/>
      <c r="CP117" s="1"/>
      <c r="CQ117" s="1"/>
      <c r="CR117" s="1"/>
      <c r="CS117" s="1"/>
      <c r="CT117" s="1"/>
      <c r="CU117" s="1"/>
      <c r="CV117" s="1"/>
    </row>
    <row r="118" customFormat="false" ht="12.8" hidden="false" customHeight="false" outlineLevel="0" collapsed="false">
      <c r="CD118" s="1"/>
      <c r="CE118" s="1"/>
      <c r="CF118" s="1"/>
      <c r="CG118" s="1"/>
      <c r="CH118" s="1"/>
      <c r="CI118" s="1"/>
      <c r="CJ118" s="1"/>
      <c r="CK118" s="1"/>
      <c r="CL118" s="1"/>
      <c r="CM118" s="1"/>
      <c r="CN118" s="1"/>
      <c r="CO118" s="1"/>
      <c r="CP118" s="1"/>
      <c r="CQ118" s="1"/>
      <c r="CR118" s="1"/>
      <c r="CS118" s="1"/>
      <c r="CT118" s="1"/>
      <c r="CU118" s="1"/>
      <c r="CV118" s="1"/>
    </row>
    <row r="119" customFormat="false" ht="12.8" hidden="false" customHeight="false" outlineLevel="0" collapsed="false">
      <c r="CD119" s="1"/>
      <c r="CE119" s="1"/>
      <c r="CF119" s="1"/>
      <c r="CG119" s="1"/>
      <c r="CH119" s="1"/>
      <c r="CI119" s="1"/>
      <c r="CJ119" s="1"/>
      <c r="CK119" s="1"/>
      <c r="CL119" s="1"/>
      <c r="CM119" s="1"/>
      <c r="CN119" s="1"/>
      <c r="CO119" s="1"/>
      <c r="CP119" s="1"/>
      <c r="CQ119" s="1"/>
      <c r="CR119" s="1"/>
      <c r="CS119" s="1"/>
      <c r="CT119" s="1"/>
      <c r="CU119" s="1"/>
      <c r="CV119" s="1"/>
    </row>
    <row r="120" customFormat="false" ht="12.8" hidden="false" customHeight="false" outlineLevel="0" collapsed="false">
      <c r="CD120" s="1"/>
      <c r="CE120" s="1"/>
      <c r="CF120" s="1"/>
      <c r="CG120" s="1"/>
      <c r="CH120" s="1"/>
      <c r="CI120" s="1"/>
      <c r="CJ120" s="1"/>
      <c r="CK120" s="1"/>
      <c r="CL120" s="1"/>
      <c r="CM120" s="1"/>
      <c r="CN120" s="1"/>
      <c r="CO120" s="1"/>
      <c r="CP120" s="1"/>
      <c r="CQ120" s="1"/>
      <c r="CR120" s="1"/>
      <c r="CS120" s="1"/>
      <c r="CT120" s="1"/>
      <c r="CU120" s="1"/>
      <c r="CV120" s="1"/>
    </row>
    <row r="121" customFormat="false" ht="12.8" hidden="false" customHeight="false" outlineLevel="0" collapsed="false">
      <c r="CD121" s="1"/>
      <c r="CE121" s="1"/>
      <c r="CF121" s="1"/>
      <c r="CG121" s="1"/>
      <c r="CH121" s="1"/>
      <c r="CI121" s="1"/>
      <c r="CJ121" s="1"/>
      <c r="CK121" s="1"/>
      <c r="CL121" s="1"/>
      <c r="CM121" s="1"/>
      <c r="CN121" s="1"/>
      <c r="CO121" s="1"/>
      <c r="CP121" s="1"/>
      <c r="CQ121" s="1"/>
      <c r="CR121" s="1"/>
      <c r="CS121" s="1"/>
      <c r="CT121" s="1"/>
      <c r="CU121" s="1"/>
      <c r="CV121" s="1"/>
    </row>
    <row r="122" customFormat="false" ht="12.8" hidden="false" customHeight="false" outlineLevel="0" collapsed="false">
      <c r="CD122" s="1"/>
      <c r="CE122" s="1"/>
      <c r="CF122" s="1"/>
      <c r="CG122" s="1"/>
      <c r="CH122" s="1"/>
      <c r="CI122" s="1"/>
      <c r="CJ122" s="1"/>
      <c r="CK122" s="1"/>
      <c r="CL122" s="1"/>
      <c r="CM122" s="1"/>
      <c r="CN122" s="1"/>
      <c r="CO122" s="1"/>
      <c r="CP122" s="1"/>
      <c r="CQ122" s="1"/>
      <c r="CR122" s="1"/>
      <c r="CS122" s="1"/>
      <c r="CT122" s="1"/>
      <c r="CU122" s="1"/>
      <c r="CV122" s="1"/>
    </row>
    <row r="123" customFormat="false" ht="12.8" hidden="false" customHeight="false" outlineLevel="0" collapsed="false">
      <c r="CD123" s="1"/>
      <c r="CE123" s="1"/>
      <c r="CF123" s="1"/>
      <c r="CG123" s="1"/>
      <c r="CH123" s="1"/>
      <c r="CI123" s="1"/>
      <c r="CJ123" s="1"/>
      <c r="CK123" s="1"/>
      <c r="CL123" s="1"/>
      <c r="CM123" s="1"/>
      <c r="CN123" s="1"/>
      <c r="CO123" s="1"/>
      <c r="CP123" s="1"/>
      <c r="CQ123" s="1"/>
      <c r="CR123" s="1"/>
      <c r="CS123" s="1"/>
      <c r="CT123" s="1"/>
      <c r="CU123" s="1"/>
      <c r="CV123" s="1"/>
    </row>
    <row r="124" customFormat="false" ht="12.8" hidden="false" customHeight="false" outlineLevel="0" collapsed="false">
      <c r="CD124" s="1"/>
      <c r="CE124" s="1"/>
      <c r="CF124" s="1"/>
      <c r="CG124" s="1"/>
      <c r="CH124" s="1"/>
      <c r="CI124" s="1"/>
      <c r="CJ124" s="1"/>
      <c r="CK124" s="1"/>
      <c r="CL124" s="1"/>
      <c r="CM124" s="1"/>
      <c r="CN124" s="1"/>
      <c r="CO124" s="1"/>
      <c r="CP124" s="1"/>
      <c r="CQ124" s="1"/>
      <c r="CR124" s="1"/>
      <c r="CS124" s="1"/>
      <c r="CT124" s="1"/>
      <c r="CU124" s="1"/>
      <c r="CV124" s="1"/>
    </row>
    <row r="125" customFormat="false" ht="12.8" hidden="false" customHeight="false" outlineLevel="0" collapsed="false">
      <c r="CD125" s="1"/>
      <c r="CE125" s="1"/>
      <c r="CF125" s="1"/>
      <c r="CG125" s="1"/>
      <c r="CH125" s="1"/>
      <c r="CI125" s="1"/>
      <c r="CJ125" s="1"/>
      <c r="CK125" s="1"/>
      <c r="CL125" s="1"/>
      <c r="CM125" s="1"/>
      <c r="CN125" s="1"/>
      <c r="CO125" s="1"/>
      <c r="CP125" s="1"/>
      <c r="CQ125" s="1"/>
      <c r="CR125" s="1"/>
      <c r="CS125" s="1"/>
      <c r="CT125" s="1"/>
      <c r="CU125" s="1"/>
      <c r="CV125" s="1"/>
    </row>
    <row r="126" customFormat="false" ht="12.8" hidden="false" customHeight="false" outlineLevel="0" collapsed="false">
      <c r="CD126" s="1"/>
      <c r="CE126" s="1"/>
      <c r="CF126" s="1"/>
      <c r="CG126" s="1"/>
      <c r="CH126" s="1"/>
      <c r="CI126" s="1"/>
      <c r="CJ126" s="1"/>
      <c r="CK126" s="1"/>
      <c r="CL126" s="1"/>
      <c r="CM126" s="1"/>
      <c r="CN126" s="1"/>
      <c r="CO126" s="1"/>
      <c r="CP126" s="1"/>
      <c r="CQ126" s="1"/>
      <c r="CR126" s="1"/>
      <c r="CS126" s="1"/>
      <c r="CT126" s="1"/>
      <c r="CU126" s="1"/>
      <c r="CV126" s="1"/>
    </row>
    <row r="127" customFormat="false" ht="12.8" hidden="false" customHeight="false" outlineLevel="0" collapsed="false">
      <c r="CD127" s="1"/>
      <c r="CE127" s="1"/>
      <c r="CF127" s="1"/>
      <c r="CG127" s="1"/>
      <c r="CH127" s="1"/>
      <c r="CI127" s="1"/>
      <c r="CJ127" s="1"/>
      <c r="CK127" s="1"/>
      <c r="CL127" s="1"/>
      <c r="CM127" s="1"/>
      <c r="CN127" s="1"/>
      <c r="CO127" s="1"/>
      <c r="CP127" s="1"/>
      <c r="CQ127" s="1"/>
      <c r="CR127" s="1"/>
      <c r="CS127" s="1"/>
      <c r="CT127" s="1"/>
      <c r="CU127" s="1"/>
      <c r="CV127" s="1"/>
    </row>
    <row r="128" customFormat="false" ht="12.8" hidden="false" customHeight="false" outlineLevel="0" collapsed="false">
      <c r="CD128" s="1"/>
      <c r="CE128" s="1"/>
      <c r="CF128" s="1"/>
      <c r="CG128" s="1"/>
      <c r="CH128" s="1"/>
      <c r="CI128" s="1"/>
      <c r="CJ128" s="1"/>
      <c r="CK128" s="1"/>
      <c r="CL128" s="1"/>
      <c r="CM128" s="1"/>
      <c r="CN128" s="1"/>
      <c r="CO128" s="1"/>
      <c r="CP128" s="1"/>
      <c r="CQ128" s="1"/>
      <c r="CR128" s="1"/>
      <c r="CS128" s="1"/>
      <c r="CT128" s="1"/>
      <c r="CU128" s="1"/>
      <c r="CV128" s="1"/>
    </row>
    <row r="129" customFormat="false" ht="12.8" hidden="false" customHeight="false" outlineLevel="0" collapsed="false">
      <c r="CD129" s="1"/>
      <c r="CE129" s="1"/>
      <c r="CF129" s="1"/>
      <c r="CG129" s="1"/>
      <c r="CH129" s="1"/>
      <c r="CI129" s="1"/>
      <c r="CJ129" s="1"/>
      <c r="CK129" s="1"/>
      <c r="CL129" s="1"/>
      <c r="CM129" s="1"/>
      <c r="CN129" s="1"/>
      <c r="CO129" s="1"/>
      <c r="CP129" s="1"/>
      <c r="CQ129" s="1"/>
      <c r="CR129" s="1"/>
      <c r="CS129" s="1"/>
      <c r="CT129" s="1"/>
      <c r="CU129" s="1"/>
      <c r="CV129" s="1"/>
    </row>
    <row r="130" customFormat="false" ht="12.8" hidden="false" customHeight="false" outlineLevel="0" collapsed="false">
      <c r="CD130" s="1"/>
      <c r="CE130" s="1"/>
      <c r="CF130" s="1"/>
      <c r="CG130" s="1"/>
      <c r="CH130" s="1"/>
      <c r="CI130" s="1"/>
      <c r="CJ130" s="1"/>
      <c r="CK130" s="1"/>
      <c r="CL130" s="1"/>
      <c r="CM130" s="1"/>
      <c r="CN130" s="1"/>
      <c r="CO130" s="1"/>
      <c r="CP130" s="1"/>
      <c r="CQ130" s="1"/>
      <c r="CR130" s="1"/>
      <c r="CS130" s="1"/>
      <c r="CT130" s="1"/>
      <c r="CU130" s="1"/>
      <c r="CV130" s="1"/>
    </row>
    <row r="131" customFormat="false" ht="12.8" hidden="false" customHeight="false" outlineLevel="0" collapsed="false">
      <c r="CD131" s="1"/>
      <c r="CE131" s="1"/>
      <c r="CF131" s="1"/>
      <c r="CG131" s="1"/>
      <c r="CH131" s="1"/>
      <c r="CI131" s="1"/>
      <c r="CJ131" s="1"/>
      <c r="CK131" s="1"/>
      <c r="CL131" s="1"/>
      <c r="CM131" s="1"/>
      <c r="CN131" s="1"/>
      <c r="CO131" s="1"/>
      <c r="CP131" s="1"/>
      <c r="CQ131" s="1"/>
      <c r="CR131" s="1"/>
      <c r="CS131" s="1"/>
      <c r="CT131" s="1"/>
      <c r="CU131" s="1"/>
      <c r="CV131" s="1"/>
    </row>
    <row r="132" customFormat="false" ht="12.8" hidden="false" customHeight="false" outlineLevel="0" collapsed="false">
      <c r="CD132" s="1"/>
      <c r="CE132" s="1"/>
      <c r="CF132" s="1"/>
      <c r="CG132" s="1"/>
      <c r="CH132" s="1"/>
      <c r="CI132" s="1"/>
      <c r="CJ132" s="1"/>
      <c r="CK132" s="1"/>
      <c r="CL132" s="1"/>
      <c r="CM132" s="1"/>
      <c r="CN132" s="1"/>
      <c r="CO132" s="1"/>
      <c r="CP132" s="1"/>
      <c r="CQ132" s="1"/>
      <c r="CR132" s="1"/>
      <c r="CS132" s="1"/>
      <c r="CT132" s="1"/>
      <c r="CU132" s="1"/>
      <c r="CV132" s="1"/>
    </row>
    <row r="133" customFormat="false" ht="12.8" hidden="false" customHeight="false" outlineLevel="0" collapsed="false">
      <c r="CD133" s="1"/>
      <c r="CE133" s="1"/>
      <c r="CF133" s="1"/>
      <c r="CG133" s="1"/>
      <c r="CH133" s="1"/>
      <c r="CI133" s="1"/>
      <c r="CJ133" s="1"/>
      <c r="CK133" s="1"/>
      <c r="CL133" s="1"/>
      <c r="CM133" s="1"/>
      <c r="CN133" s="1"/>
      <c r="CO133" s="1"/>
      <c r="CP133" s="1"/>
      <c r="CQ133" s="1"/>
      <c r="CR133" s="1"/>
      <c r="CS133" s="1"/>
      <c r="CT133" s="1"/>
      <c r="CU133" s="1"/>
      <c r="CV133" s="1"/>
    </row>
    <row r="134" customFormat="false" ht="12.8" hidden="false" customHeight="false" outlineLevel="0" collapsed="false">
      <c r="CD134" s="1"/>
      <c r="CE134" s="1"/>
      <c r="CF134" s="1"/>
      <c r="CG134" s="1"/>
      <c r="CH134" s="1"/>
      <c r="CI134" s="1"/>
      <c r="CJ134" s="1"/>
      <c r="CK134" s="1"/>
      <c r="CL134" s="1"/>
      <c r="CM134" s="1"/>
      <c r="CN134" s="1"/>
      <c r="CO134" s="1"/>
      <c r="CP134" s="1"/>
      <c r="CQ134" s="1"/>
      <c r="CR134" s="1"/>
      <c r="CS134" s="1"/>
      <c r="CT134" s="1"/>
      <c r="CU134" s="1"/>
      <c r="CV134" s="1"/>
    </row>
    <row r="135" customFormat="false" ht="12.8" hidden="false" customHeight="false" outlineLevel="0" collapsed="false">
      <c r="CD135" s="1"/>
      <c r="CE135" s="1"/>
      <c r="CF135" s="1"/>
      <c r="CG135" s="1"/>
      <c r="CH135" s="1"/>
      <c r="CI135" s="1"/>
      <c r="CJ135" s="1"/>
      <c r="CK135" s="1"/>
      <c r="CL135" s="1"/>
      <c r="CM135" s="1"/>
      <c r="CN135" s="1"/>
      <c r="CO135" s="1"/>
      <c r="CP135" s="1"/>
      <c r="CQ135" s="1"/>
      <c r="CR135" s="1"/>
      <c r="CS135" s="1"/>
      <c r="CT135" s="1"/>
      <c r="CU135" s="1"/>
      <c r="CV135" s="1"/>
    </row>
    <row r="136" customFormat="false" ht="12.8" hidden="false" customHeight="false" outlineLevel="0" collapsed="false">
      <c r="CD136" s="1"/>
      <c r="CE136" s="1"/>
      <c r="CF136" s="1"/>
      <c r="CG136" s="1"/>
      <c r="CH136" s="1"/>
      <c r="CI136" s="1"/>
      <c r="CJ136" s="1"/>
      <c r="CK136" s="1"/>
      <c r="CL136" s="1"/>
      <c r="CM136" s="1"/>
      <c r="CN136" s="1"/>
      <c r="CO136" s="1"/>
      <c r="CP136" s="1"/>
      <c r="CQ136" s="1"/>
      <c r="CR136" s="1"/>
      <c r="CS136" s="1"/>
      <c r="CT136" s="1"/>
      <c r="CU136" s="1"/>
      <c r="CV136" s="1"/>
    </row>
    <row r="137" customFormat="false" ht="12.8" hidden="false" customHeight="false" outlineLevel="0" collapsed="false">
      <c r="CD137" s="1"/>
      <c r="CE137" s="1"/>
      <c r="CF137" s="1"/>
      <c r="CG137" s="1"/>
      <c r="CH137" s="1"/>
      <c r="CI137" s="1"/>
      <c r="CJ137" s="1"/>
      <c r="CK137" s="1"/>
      <c r="CL137" s="1"/>
      <c r="CM137" s="1"/>
      <c r="CN137" s="1"/>
      <c r="CO137" s="1"/>
      <c r="CP137" s="1"/>
      <c r="CQ137" s="1"/>
      <c r="CR137" s="1"/>
      <c r="CS137" s="1"/>
      <c r="CT137" s="1"/>
      <c r="CU137" s="1"/>
      <c r="CV137" s="1"/>
    </row>
    <row r="138" customFormat="false" ht="12.8" hidden="false" customHeight="false" outlineLevel="0" collapsed="false">
      <c r="CD138" s="1"/>
      <c r="CE138" s="1"/>
      <c r="CF138" s="1"/>
      <c r="CG138" s="1"/>
      <c r="CH138" s="1"/>
      <c r="CI138" s="1"/>
      <c r="CJ138" s="1"/>
      <c r="CK138" s="1"/>
      <c r="CL138" s="1"/>
      <c r="CM138" s="1"/>
      <c r="CN138" s="1"/>
      <c r="CO138" s="1"/>
      <c r="CP138" s="1"/>
      <c r="CQ138" s="1"/>
      <c r="CR138" s="1"/>
      <c r="CS138" s="1"/>
      <c r="CT138" s="1"/>
      <c r="CU138" s="1"/>
      <c r="CV138" s="1"/>
    </row>
    <row r="139" customFormat="false" ht="12.8" hidden="false" customHeight="false" outlineLevel="0" collapsed="false">
      <c r="CD139" s="1"/>
      <c r="CE139" s="1"/>
      <c r="CF139" s="1"/>
      <c r="CG139" s="1"/>
      <c r="CH139" s="1"/>
      <c r="CI139" s="1"/>
      <c r="CJ139" s="1"/>
      <c r="CK139" s="1"/>
      <c r="CL139" s="1"/>
      <c r="CM139" s="1"/>
      <c r="CN139" s="1"/>
      <c r="CO139" s="1"/>
      <c r="CP139" s="1"/>
      <c r="CQ139" s="1"/>
      <c r="CR139" s="1"/>
      <c r="CS139" s="1"/>
      <c r="CT139" s="1"/>
      <c r="CU139" s="1"/>
      <c r="CV139" s="1"/>
    </row>
    <row r="140" customFormat="false" ht="12.8" hidden="false" customHeight="false" outlineLevel="0" collapsed="false">
      <c r="CD140" s="1"/>
      <c r="CE140" s="1"/>
      <c r="CF140" s="1"/>
      <c r="CG140" s="1"/>
      <c r="CH140" s="1"/>
      <c r="CI140" s="1"/>
      <c r="CJ140" s="1"/>
      <c r="CK140" s="1"/>
      <c r="CL140" s="1"/>
      <c r="CM140" s="1"/>
      <c r="CN140" s="1"/>
      <c r="CO140" s="1"/>
      <c r="CP140" s="1"/>
      <c r="CQ140" s="1"/>
      <c r="CR140" s="1"/>
      <c r="CS140" s="1"/>
      <c r="CT140" s="1"/>
      <c r="CU140" s="1"/>
      <c r="CV140" s="1"/>
    </row>
    <row r="141" customFormat="false" ht="12.8" hidden="false" customHeight="false" outlineLevel="0" collapsed="false">
      <c r="CD141" s="1"/>
      <c r="CE141" s="1"/>
      <c r="CF141" s="1"/>
      <c r="CG141" s="1"/>
      <c r="CH141" s="1"/>
      <c r="CI141" s="1"/>
      <c r="CJ141" s="1"/>
      <c r="CK141" s="1"/>
      <c r="CL141" s="1"/>
      <c r="CM141" s="1"/>
      <c r="CN141" s="1"/>
      <c r="CO141" s="1"/>
      <c r="CP141" s="1"/>
      <c r="CQ141" s="1"/>
      <c r="CR141" s="1"/>
      <c r="CS141" s="1"/>
      <c r="CT141" s="1"/>
      <c r="CU141" s="1"/>
      <c r="CV141" s="1"/>
    </row>
    <row r="142" customFormat="false" ht="12.8" hidden="false" customHeight="false" outlineLevel="0" collapsed="false">
      <c r="CD142" s="1"/>
      <c r="CE142" s="1"/>
      <c r="CF142" s="1"/>
      <c r="CG142" s="1"/>
      <c r="CH142" s="1"/>
      <c r="CI142" s="1"/>
      <c r="CJ142" s="1"/>
      <c r="CK142" s="1"/>
      <c r="CL142" s="1"/>
      <c r="CM142" s="1"/>
      <c r="CN142" s="1"/>
      <c r="CO142" s="1"/>
      <c r="CP142" s="1"/>
      <c r="CQ142" s="1"/>
      <c r="CR142" s="1"/>
      <c r="CS142" s="1"/>
      <c r="CT142" s="1"/>
      <c r="CU142" s="1"/>
      <c r="CV142" s="1"/>
    </row>
    <row r="143" customFormat="false" ht="12.8" hidden="false" customHeight="false" outlineLevel="0" collapsed="false">
      <c r="CD143" s="1"/>
      <c r="CE143" s="1"/>
      <c r="CF143" s="1"/>
      <c r="CG143" s="1"/>
      <c r="CH143" s="1"/>
      <c r="CI143" s="1"/>
      <c r="CJ143" s="1"/>
      <c r="CK143" s="1"/>
      <c r="CL143" s="1"/>
      <c r="CM143" s="1"/>
      <c r="CN143" s="1"/>
      <c r="CO143" s="1"/>
      <c r="CP143" s="1"/>
      <c r="CQ143" s="1"/>
      <c r="CR143" s="1"/>
      <c r="CS143" s="1"/>
      <c r="CT143" s="1"/>
      <c r="CU143" s="1"/>
      <c r="CV143" s="1"/>
    </row>
    <row r="144" customFormat="false" ht="12.8" hidden="false" customHeight="false" outlineLevel="0" collapsed="false">
      <c r="CD144" s="1"/>
      <c r="CE144" s="1"/>
      <c r="CF144" s="1"/>
      <c r="CG144" s="1"/>
      <c r="CH144" s="1"/>
      <c r="CI144" s="1"/>
      <c r="CJ144" s="1"/>
      <c r="CK144" s="1"/>
      <c r="CL144" s="1"/>
      <c r="CM144" s="1"/>
      <c r="CN144" s="1"/>
      <c r="CO144" s="1"/>
      <c r="CP144" s="1"/>
      <c r="CQ144" s="1"/>
      <c r="CR144" s="1"/>
      <c r="CS144" s="1"/>
      <c r="CT144" s="1"/>
      <c r="CU144" s="1"/>
      <c r="CV144" s="1"/>
    </row>
    <row r="145" customFormat="false" ht="12.8" hidden="false" customHeight="false" outlineLevel="0" collapsed="false">
      <c r="CD145" s="1"/>
      <c r="CE145" s="1"/>
      <c r="CF145" s="1"/>
      <c r="CG145" s="1"/>
      <c r="CH145" s="1"/>
      <c r="CI145" s="1"/>
      <c r="CJ145" s="1"/>
      <c r="CK145" s="1"/>
      <c r="CL145" s="1"/>
      <c r="CM145" s="1"/>
      <c r="CN145" s="1"/>
      <c r="CO145" s="1"/>
      <c r="CP145" s="1"/>
      <c r="CQ145" s="1"/>
      <c r="CR145" s="1"/>
      <c r="CS145" s="1"/>
      <c r="CT145" s="1"/>
      <c r="CU145" s="1"/>
      <c r="CV145" s="1"/>
    </row>
    <row r="146" customFormat="false" ht="12.8" hidden="false" customHeight="false" outlineLevel="0" collapsed="false">
      <c r="CD146" s="1"/>
      <c r="CE146" s="1"/>
      <c r="CF146" s="1"/>
      <c r="CG146" s="1"/>
      <c r="CH146" s="1"/>
      <c r="CI146" s="1"/>
      <c r="CJ146" s="1"/>
      <c r="CK146" s="1"/>
      <c r="CL146" s="1"/>
      <c r="CM146" s="1"/>
      <c r="CN146" s="1"/>
      <c r="CO146" s="1"/>
      <c r="CP146" s="1"/>
      <c r="CQ146" s="1"/>
      <c r="CR146" s="1"/>
      <c r="CS146" s="1"/>
      <c r="CT146" s="1"/>
      <c r="CU146" s="1"/>
      <c r="CV146" s="1"/>
    </row>
    <row r="147" customFormat="false" ht="12.8" hidden="false" customHeight="false" outlineLevel="0" collapsed="false">
      <c r="CD147" s="1"/>
      <c r="CE147" s="1"/>
      <c r="CF147" s="1"/>
      <c r="CG147" s="1"/>
      <c r="CH147" s="1"/>
      <c r="CI147" s="1"/>
      <c r="CJ147" s="1"/>
      <c r="CK147" s="1"/>
      <c r="CL147" s="1"/>
      <c r="CM147" s="1"/>
      <c r="CN147" s="1"/>
      <c r="CO147" s="1"/>
      <c r="CP147" s="1"/>
      <c r="CQ147" s="1"/>
      <c r="CR147" s="1"/>
      <c r="CS147" s="1"/>
      <c r="CT147" s="1"/>
      <c r="CU147" s="1"/>
      <c r="CV147" s="1"/>
    </row>
    <row r="148" customFormat="false" ht="12.8" hidden="false" customHeight="false" outlineLevel="0" collapsed="false">
      <c r="CD148" s="1"/>
      <c r="CE148" s="1"/>
      <c r="CF148" s="1"/>
      <c r="CG148" s="1"/>
      <c r="CH148" s="1"/>
      <c r="CI148" s="1"/>
      <c r="CJ148" s="1"/>
      <c r="CK148" s="1"/>
      <c r="CL148" s="1"/>
      <c r="CM148" s="1"/>
      <c r="CN148" s="1"/>
      <c r="CO148" s="1"/>
      <c r="CP148" s="1"/>
      <c r="CQ148" s="1"/>
      <c r="CR148" s="1"/>
      <c r="CS148" s="1"/>
      <c r="CT148" s="1"/>
      <c r="CU148" s="1"/>
      <c r="CV148" s="1"/>
    </row>
    <row r="149" customFormat="false" ht="12.8" hidden="false" customHeight="false" outlineLevel="0" collapsed="false">
      <c r="CD149" s="1"/>
      <c r="CE149" s="1"/>
      <c r="CF149" s="1"/>
      <c r="CG149" s="1"/>
      <c r="CH149" s="1"/>
      <c r="CI149" s="1"/>
      <c r="CJ149" s="1"/>
      <c r="CK149" s="1"/>
      <c r="CL149" s="1"/>
      <c r="CM149" s="1"/>
      <c r="CN149" s="1"/>
      <c r="CO149" s="1"/>
      <c r="CP149" s="1"/>
      <c r="CQ149" s="1"/>
      <c r="CR149" s="1"/>
      <c r="CS149" s="1"/>
      <c r="CT149" s="1"/>
      <c r="CU149" s="1"/>
      <c r="CV149" s="1"/>
    </row>
    <row r="150" customFormat="false" ht="12.8" hidden="false" customHeight="false" outlineLevel="0" collapsed="false">
      <c r="CD150" s="1"/>
      <c r="CE150" s="1"/>
      <c r="CF150" s="1"/>
      <c r="CG150" s="1"/>
      <c r="CH150" s="1"/>
      <c r="CI150" s="1"/>
      <c r="CJ150" s="1"/>
      <c r="CK150" s="1"/>
      <c r="CL150" s="1"/>
      <c r="CM150" s="1"/>
      <c r="CN150" s="1"/>
      <c r="CO150" s="1"/>
      <c r="CP150" s="1"/>
      <c r="CQ150" s="1"/>
      <c r="CR150" s="1"/>
      <c r="CS150" s="1"/>
      <c r="CT150" s="1"/>
      <c r="CU150" s="1"/>
      <c r="CV150" s="1"/>
    </row>
    <row r="151" customFormat="false" ht="12.8" hidden="false" customHeight="false" outlineLevel="0" collapsed="false">
      <c r="CD151" s="1"/>
      <c r="CE151" s="1"/>
      <c r="CF151" s="1"/>
      <c r="CG151" s="1"/>
      <c r="CH151" s="1"/>
      <c r="CI151" s="1"/>
      <c r="CJ151" s="1"/>
      <c r="CK151" s="1"/>
      <c r="CL151" s="1"/>
      <c r="CM151" s="1"/>
      <c r="CN151" s="1"/>
      <c r="CO151" s="1"/>
      <c r="CP151" s="1"/>
      <c r="CQ151" s="1"/>
      <c r="CR151" s="1"/>
      <c r="CS151" s="1"/>
      <c r="CT151" s="1"/>
      <c r="CU151" s="1"/>
      <c r="CV151" s="1"/>
    </row>
    <row r="152" customFormat="false" ht="12.8" hidden="false" customHeight="false" outlineLevel="0" collapsed="false">
      <c r="CD152" s="1"/>
      <c r="CE152" s="1"/>
      <c r="CF152" s="1"/>
      <c r="CG152" s="1"/>
      <c r="CH152" s="1"/>
      <c r="CI152" s="1"/>
      <c r="CJ152" s="1"/>
      <c r="CK152" s="1"/>
      <c r="CL152" s="1"/>
      <c r="CM152" s="1"/>
      <c r="CN152" s="1"/>
      <c r="CO152" s="1"/>
      <c r="CP152" s="1"/>
      <c r="CQ152" s="1"/>
      <c r="CR152" s="1"/>
      <c r="CS152" s="1"/>
      <c r="CT152" s="1"/>
      <c r="CU152" s="1"/>
      <c r="CV152" s="1"/>
    </row>
    <row r="153" customFormat="false" ht="12.8" hidden="false" customHeight="false" outlineLevel="0" collapsed="false">
      <c r="CD153" s="1"/>
      <c r="CE153" s="1"/>
      <c r="CF153" s="1"/>
      <c r="CG153" s="1"/>
      <c r="CH153" s="1"/>
      <c r="CI153" s="1"/>
      <c r="CJ153" s="1"/>
      <c r="CK153" s="1"/>
      <c r="CL153" s="1"/>
      <c r="CM153" s="1"/>
      <c r="CN153" s="1"/>
      <c r="CO153" s="1"/>
      <c r="CP153" s="1"/>
      <c r="CQ153" s="1"/>
      <c r="CR153" s="1"/>
      <c r="CS153" s="1"/>
      <c r="CT153" s="1"/>
      <c r="CU153" s="1"/>
      <c r="CV153" s="1"/>
    </row>
    <row r="154" customFormat="false" ht="12.8" hidden="false" customHeight="false" outlineLevel="0" collapsed="false">
      <c r="CD154" s="1"/>
      <c r="CE154" s="1"/>
      <c r="CF154" s="1"/>
      <c r="CG154" s="1"/>
      <c r="CH154" s="1"/>
      <c r="CI154" s="1"/>
      <c r="CJ154" s="1"/>
      <c r="CK154" s="1"/>
      <c r="CL154" s="1"/>
      <c r="CM154" s="1"/>
      <c r="CN154" s="1"/>
      <c r="CO154" s="1"/>
      <c r="CP154" s="1"/>
      <c r="CQ154" s="1"/>
      <c r="CR154" s="1"/>
      <c r="CS154" s="1"/>
      <c r="CT154" s="1"/>
      <c r="CU154" s="1"/>
      <c r="CV154" s="1"/>
    </row>
    <row r="155" customFormat="false" ht="12.8" hidden="false" customHeight="false" outlineLevel="0" collapsed="false">
      <c r="CD155" s="1"/>
      <c r="CE155" s="1"/>
      <c r="CF155" s="1"/>
      <c r="CG155" s="1"/>
      <c r="CH155" s="1"/>
      <c r="CI155" s="1"/>
      <c r="CJ155" s="1"/>
      <c r="CK155" s="1"/>
      <c r="CL155" s="1"/>
      <c r="CM155" s="1"/>
      <c r="CN155" s="1"/>
      <c r="CO155" s="1"/>
      <c r="CP155" s="1"/>
      <c r="CQ155" s="1"/>
      <c r="CR155" s="1"/>
      <c r="CS155" s="1"/>
      <c r="CT155" s="1"/>
      <c r="CU155" s="1"/>
      <c r="CV155" s="1"/>
    </row>
    <row r="156" customFormat="false" ht="12.8" hidden="false" customHeight="false" outlineLevel="0" collapsed="false">
      <c r="CD156" s="1"/>
      <c r="CE156" s="1"/>
      <c r="CF156" s="1"/>
      <c r="CG156" s="1"/>
      <c r="CH156" s="1"/>
      <c r="CI156" s="1"/>
      <c r="CJ156" s="1"/>
      <c r="CK156" s="1"/>
      <c r="CL156" s="1"/>
      <c r="CM156" s="1"/>
      <c r="CN156" s="1"/>
      <c r="CO156" s="1"/>
      <c r="CP156" s="1"/>
      <c r="CQ156" s="1"/>
      <c r="CR156" s="1"/>
      <c r="CS156" s="1"/>
      <c r="CT156" s="1"/>
      <c r="CU156" s="1"/>
      <c r="CV156" s="1"/>
    </row>
    <row r="157" customFormat="false" ht="12.8" hidden="false" customHeight="false" outlineLevel="0" collapsed="false">
      <c r="CD157" s="1"/>
      <c r="CE157" s="1"/>
      <c r="CF157" s="1"/>
      <c r="CG157" s="1"/>
      <c r="CH157" s="1"/>
      <c r="CI157" s="1"/>
      <c r="CJ157" s="1"/>
      <c r="CK157" s="1"/>
      <c r="CL157" s="1"/>
      <c r="CM157" s="1"/>
      <c r="CN157" s="1"/>
      <c r="CO157" s="1"/>
      <c r="CP157" s="1"/>
      <c r="CQ157" s="1"/>
      <c r="CR157" s="1"/>
      <c r="CS157" s="1"/>
      <c r="CT157" s="1"/>
      <c r="CU157" s="1"/>
      <c r="CV157" s="1"/>
    </row>
    <row r="158" customFormat="false" ht="12.8" hidden="false" customHeight="false" outlineLevel="0" collapsed="false">
      <c r="CD158" s="1"/>
      <c r="CE158" s="1"/>
      <c r="CF158" s="1"/>
      <c r="CG158" s="1"/>
      <c r="CH158" s="1"/>
      <c r="CI158" s="1"/>
      <c r="CJ158" s="1"/>
      <c r="CK158" s="1"/>
      <c r="CL158" s="1"/>
      <c r="CM158" s="1"/>
      <c r="CN158" s="1"/>
      <c r="CO158" s="1"/>
      <c r="CP158" s="1"/>
      <c r="CQ158" s="1"/>
      <c r="CR158" s="1"/>
      <c r="CS158" s="1"/>
      <c r="CT158" s="1"/>
      <c r="CU158" s="1"/>
      <c r="CV158" s="1"/>
    </row>
    <row r="159" customFormat="false" ht="12.8" hidden="false" customHeight="false" outlineLevel="0" collapsed="false">
      <c r="CD159" s="1"/>
      <c r="CE159" s="1"/>
      <c r="CF159" s="1"/>
      <c r="CG159" s="1"/>
      <c r="CH159" s="1"/>
      <c r="CI159" s="1"/>
      <c r="CJ159" s="1"/>
      <c r="CK159" s="1"/>
      <c r="CL159" s="1"/>
      <c r="CM159" s="1"/>
      <c r="CN159" s="1"/>
      <c r="CO159" s="1"/>
      <c r="CP159" s="1"/>
      <c r="CQ159" s="1"/>
      <c r="CR159" s="1"/>
      <c r="CS159" s="1"/>
      <c r="CT159" s="1"/>
      <c r="CU159" s="1"/>
      <c r="CV159" s="1"/>
    </row>
    <row r="160" customFormat="false" ht="12.8" hidden="false" customHeight="false" outlineLevel="0" collapsed="false">
      <c r="CD160" s="1"/>
      <c r="CE160" s="1"/>
      <c r="CF160" s="1"/>
      <c r="CG160" s="1"/>
      <c r="CH160" s="1"/>
      <c r="CI160" s="1"/>
      <c r="CJ160" s="1"/>
      <c r="CK160" s="1"/>
      <c r="CL160" s="1"/>
      <c r="CM160" s="1"/>
      <c r="CN160" s="1"/>
      <c r="CO160" s="1"/>
      <c r="CP160" s="1"/>
      <c r="CQ160" s="1"/>
      <c r="CR160" s="1"/>
      <c r="CS160" s="1"/>
      <c r="CT160" s="1"/>
      <c r="CU160" s="1"/>
      <c r="CV160" s="1"/>
    </row>
    <row r="161" customFormat="false" ht="12.8" hidden="false" customHeight="false" outlineLevel="0" collapsed="false">
      <c r="CD161" s="1"/>
      <c r="CE161" s="1"/>
      <c r="CF161" s="1"/>
      <c r="CG161" s="1"/>
      <c r="CH161" s="1"/>
      <c r="CI161" s="1"/>
      <c r="CJ161" s="1"/>
      <c r="CK161" s="1"/>
      <c r="CL161" s="1"/>
      <c r="CM161" s="1"/>
      <c r="CN161" s="1"/>
      <c r="CO161" s="1"/>
      <c r="CP161" s="1"/>
      <c r="CQ161" s="1"/>
      <c r="CR161" s="1"/>
      <c r="CS161" s="1"/>
      <c r="CT161" s="1"/>
      <c r="CU161" s="1"/>
      <c r="CV161" s="1"/>
    </row>
    <row r="162" customFormat="false" ht="12.8" hidden="false" customHeight="false" outlineLevel="0" collapsed="false">
      <c r="CD162" s="1"/>
      <c r="CE162" s="1"/>
      <c r="CF162" s="1"/>
      <c r="CG162" s="1"/>
      <c r="CH162" s="1"/>
      <c r="CI162" s="1"/>
      <c r="CJ162" s="1"/>
      <c r="CK162" s="1"/>
      <c r="CL162" s="1"/>
      <c r="CM162" s="1"/>
      <c r="CN162" s="1"/>
      <c r="CO162" s="1"/>
      <c r="CP162" s="1"/>
      <c r="CQ162" s="1"/>
      <c r="CR162" s="1"/>
      <c r="CS162" s="1"/>
      <c r="CT162" s="1"/>
      <c r="CU162" s="1"/>
      <c r="CV162" s="1"/>
    </row>
    <row r="163" customFormat="false" ht="12.8" hidden="false" customHeight="false" outlineLevel="0" collapsed="false">
      <c r="CD163" s="1"/>
      <c r="CE163" s="1"/>
      <c r="CF163" s="1"/>
      <c r="CG163" s="1"/>
      <c r="CH163" s="1"/>
      <c r="CI163" s="1"/>
      <c r="CJ163" s="1"/>
      <c r="CK163" s="1"/>
      <c r="CL163" s="1"/>
      <c r="CM163" s="1"/>
      <c r="CN163" s="1"/>
      <c r="CO163" s="1"/>
      <c r="CP163" s="1"/>
      <c r="CQ163" s="1"/>
      <c r="CR163" s="1"/>
      <c r="CS163" s="1"/>
      <c r="CT163" s="1"/>
      <c r="CU163" s="1"/>
      <c r="CV163" s="1"/>
    </row>
    <row r="164" customFormat="false" ht="12.8" hidden="false" customHeight="false" outlineLevel="0" collapsed="false">
      <c r="CD164" s="1"/>
      <c r="CE164" s="1"/>
      <c r="CF164" s="1"/>
      <c r="CG164" s="1"/>
      <c r="CH164" s="1"/>
      <c r="CI164" s="1"/>
      <c r="CJ164" s="1"/>
      <c r="CK164" s="1"/>
      <c r="CL164" s="1"/>
      <c r="CM164" s="1"/>
      <c r="CN164" s="1"/>
      <c r="CO164" s="1"/>
      <c r="CP164" s="1"/>
      <c r="CQ164" s="1"/>
      <c r="CR164" s="1"/>
      <c r="CS164" s="1"/>
      <c r="CT164" s="1"/>
      <c r="CU164" s="1"/>
      <c r="CV164" s="1"/>
    </row>
    <row r="165" customFormat="false" ht="12.8" hidden="false" customHeight="false" outlineLevel="0" collapsed="false">
      <c r="CD165" s="1"/>
      <c r="CE165" s="1"/>
      <c r="CF165" s="1"/>
      <c r="CG165" s="1"/>
      <c r="CH165" s="1"/>
      <c r="CI165" s="1"/>
      <c r="CJ165" s="1"/>
      <c r="CK165" s="1"/>
      <c r="CL165" s="1"/>
      <c r="CM165" s="1"/>
      <c r="CN165" s="1"/>
      <c r="CO165" s="1"/>
      <c r="CP165" s="1"/>
      <c r="CQ165" s="1"/>
      <c r="CR165" s="1"/>
      <c r="CS165" s="1"/>
      <c r="CT165" s="1"/>
      <c r="CU165" s="1"/>
      <c r="CV165" s="1"/>
    </row>
    <row r="166" customFormat="false" ht="12.8" hidden="false" customHeight="false" outlineLevel="0" collapsed="false">
      <c r="CD166" s="1"/>
      <c r="CE166" s="1"/>
      <c r="CF166" s="1"/>
      <c r="CG166" s="1"/>
      <c r="CH166" s="1"/>
      <c r="CI166" s="1"/>
      <c r="CJ166" s="1"/>
      <c r="CK166" s="1"/>
      <c r="CL166" s="1"/>
      <c r="CM166" s="1"/>
      <c r="CN166" s="1"/>
      <c r="CO166" s="1"/>
      <c r="CP166" s="1"/>
      <c r="CQ166" s="1"/>
      <c r="CR166" s="1"/>
      <c r="CS166" s="1"/>
      <c r="CT166" s="1"/>
      <c r="CU166" s="1"/>
      <c r="CV166" s="1"/>
    </row>
    <row r="167" customFormat="false" ht="12.8" hidden="false" customHeight="false" outlineLevel="0" collapsed="false">
      <c r="CD167" s="1"/>
      <c r="CE167" s="1"/>
      <c r="CF167" s="1"/>
      <c r="CG167" s="1"/>
      <c r="CH167" s="1"/>
      <c r="CI167" s="1"/>
      <c r="CJ167" s="1"/>
      <c r="CK167" s="1"/>
      <c r="CL167" s="1"/>
      <c r="CM167" s="1"/>
      <c r="CN167" s="1"/>
      <c r="CO167" s="1"/>
      <c r="CP167" s="1"/>
      <c r="CQ167" s="1"/>
      <c r="CR167" s="1"/>
      <c r="CS167" s="1"/>
      <c r="CT167" s="1"/>
      <c r="CU167" s="1"/>
      <c r="CV167" s="1"/>
    </row>
    <row r="168" customFormat="false" ht="12.8" hidden="false" customHeight="false" outlineLevel="0" collapsed="false">
      <c r="CD168" s="1"/>
      <c r="CE168" s="1"/>
      <c r="CF168" s="1"/>
      <c r="CG168" s="1"/>
      <c r="CH168" s="1"/>
      <c r="CI168" s="1"/>
      <c r="CJ168" s="1"/>
      <c r="CK168" s="1"/>
      <c r="CL168" s="1"/>
      <c r="CM168" s="1"/>
      <c r="CN168" s="1"/>
      <c r="CO168" s="1"/>
      <c r="CP168" s="1"/>
      <c r="CQ168" s="1"/>
      <c r="CR168" s="1"/>
      <c r="CS168" s="1"/>
      <c r="CT168" s="1"/>
      <c r="CU168" s="1"/>
      <c r="CV168" s="1"/>
    </row>
    <row r="169" customFormat="false" ht="12.8" hidden="false" customHeight="false" outlineLevel="0" collapsed="false">
      <c r="CD169" s="1"/>
      <c r="CE169" s="1"/>
      <c r="CF169" s="1"/>
      <c r="CG169" s="1"/>
      <c r="CH169" s="1"/>
      <c r="CI169" s="1"/>
      <c r="CJ169" s="1"/>
      <c r="CK169" s="1"/>
      <c r="CL169" s="1"/>
      <c r="CM169" s="1"/>
      <c r="CN169" s="1"/>
      <c r="CO169" s="1"/>
      <c r="CP169" s="1"/>
      <c r="CQ169" s="1"/>
      <c r="CR169" s="1"/>
      <c r="CS169" s="1"/>
      <c r="CT169" s="1"/>
      <c r="CU169" s="1"/>
      <c r="CV169" s="1"/>
    </row>
    <row r="170" customFormat="false" ht="12.8" hidden="false" customHeight="false" outlineLevel="0" collapsed="false">
      <c r="CD170" s="1"/>
      <c r="CE170" s="1"/>
      <c r="CF170" s="1"/>
      <c r="CG170" s="1"/>
      <c r="CH170" s="1"/>
      <c r="CI170" s="1"/>
      <c r="CJ170" s="1"/>
      <c r="CK170" s="1"/>
      <c r="CL170" s="1"/>
      <c r="CM170" s="1"/>
      <c r="CN170" s="1"/>
      <c r="CO170" s="1"/>
      <c r="CP170" s="1"/>
      <c r="CQ170" s="1"/>
      <c r="CR170" s="1"/>
      <c r="CS170" s="1"/>
      <c r="CT170" s="1"/>
      <c r="CU170" s="1"/>
      <c r="CV170" s="1"/>
    </row>
    <row r="171" customFormat="false" ht="12.8" hidden="false" customHeight="false" outlineLevel="0" collapsed="false">
      <c r="CD171" s="1"/>
      <c r="CE171" s="1"/>
      <c r="CF171" s="1"/>
      <c r="CG171" s="1"/>
      <c r="CH171" s="1"/>
      <c r="CI171" s="1"/>
      <c r="CJ171" s="1"/>
      <c r="CK171" s="1"/>
      <c r="CL171" s="1"/>
      <c r="CM171" s="1"/>
      <c r="CN171" s="1"/>
      <c r="CO171" s="1"/>
      <c r="CP171" s="1"/>
      <c r="CQ171" s="1"/>
      <c r="CR171" s="1"/>
      <c r="CS171" s="1"/>
      <c r="CT171" s="1"/>
      <c r="CU171" s="1"/>
      <c r="CV171" s="1"/>
    </row>
    <row r="172" customFormat="false" ht="12.8" hidden="false" customHeight="false" outlineLevel="0" collapsed="false">
      <c r="CD172" s="1"/>
      <c r="CE172" s="1"/>
      <c r="CF172" s="1"/>
      <c r="CG172" s="1"/>
      <c r="CH172" s="1"/>
      <c r="CI172" s="1"/>
      <c r="CJ172" s="1"/>
      <c r="CK172" s="1"/>
      <c r="CL172" s="1"/>
      <c r="CM172" s="1"/>
      <c r="CN172" s="1"/>
      <c r="CO172" s="1"/>
      <c r="CP172" s="1"/>
      <c r="CQ172" s="1"/>
      <c r="CR172" s="1"/>
      <c r="CS172" s="1"/>
      <c r="CT172" s="1"/>
      <c r="CU172" s="1"/>
      <c r="CV172" s="1"/>
    </row>
    <row r="173" customFormat="false" ht="12.8" hidden="false" customHeight="false" outlineLevel="0" collapsed="false">
      <c r="CD173" s="1"/>
      <c r="CE173" s="1"/>
      <c r="CF173" s="1"/>
      <c r="CG173" s="1"/>
      <c r="CH173" s="1"/>
      <c r="CI173" s="1"/>
      <c r="CJ173" s="1"/>
      <c r="CK173" s="1"/>
      <c r="CL173" s="1"/>
      <c r="CM173" s="1"/>
      <c r="CN173" s="1"/>
      <c r="CO173" s="1"/>
      <c r="CP173" s="1"/>
      <c r="CQ173" s="1"/>
      <c r="CR173" s="1"/>
      <c r="CS173" s="1"/>
      <c r="CT173" s="1"/>
      <c r="CU173" s="1"/>
      <c r="CV173" s="1"/>
    </row>
    <row r="174" customFormat="false" ht="12.8" hidden="false" customHeight="false" outlineLevel="0" collapsed="false">
      <c r="CD174" s="1"/>
      <c r="CE174" s="1"/>
      <c r="CF174" s="1"/>
      <c r="CG174" s="1"/>
      <c r="CH174" s="1"/>
      <c r="CI174" s="1"/>
      <c r="CJ174" s="1"/>
      <c r="CK174" s="1"/>
      <c r="CL174" s="1"/>
      <c r="CM174" s="1"/>
      <c r="CN174" s="1"/>
      <c r="CO174" s="1"/>
      <c r="CP174" s="1"/>
      <c r="CQ174" s="1"/>
      <c r="CR174" s="1"/>
      <c r="CS174" s="1"/>
      <c r="CT174" s="1"/>
      <c r="CU174" s="1"/>
      <c r="CV174" s="1"/>
    </row>
    <row r="175" customFormat="false" ht="12.8" hidden="false" customHeight="false" outlineLevel="0" collapsed="false">
      <c r="CD175" s="1"/>
      <c r="CE175" s="1"/>
      <c r="CF175" s="1"/>
      <c r="CG175" s="1"/>
      <c r="CH175" s="1"/>
      <c r="CI175" s="1"/>
      <c r="CJ175" s="1"/>
      <c r="CK175" s="1"/>
      <c r="CL175" s="1"/>
      <c r="CM175" s="1"/>
      <c r="CN175" s="1"/>
      <c r="CO175" s="1"/>
      <c r="CP175" s="1"/>
      <c r="CQ175" s="1"/>
      <c r="CR175" s="1"/>
      <c r="CS175" s="1"/>
      <c r="CT175" s="1"/>
      <c r="CU175" s="1"/>
      <c r="CV175" s="1"/>
    </row>
    <row r="176" customFormat="false" ht="12.8" hidden="false" customHeight="false" outlineLevel="0" collapsed="false">
      <c r="CD176" s="1"/>
      <c r="CE176" s="1"/>
      <c r="CF176" s="1"/>
      <c r="CG176" s="1"/>
      <c r="CH176" s="1"/>
      <c r="CI176" s="1"/>
      <c r="CJ176" s="1"/>
      <c r="CK176" s="1"/>
      <c r="CL176" s="1"/>
      <c r="CM176" s="1"/>
      <c r="CN176" s="1"/>
      <c r="CO176" s="1"/>
      <c r="CP176" s="1"/>
      <c r="CQ176" s="1"/>
      <c r="CR176" s="1"/>
      <c r="CS176" s="1"/>
      <c r="CT176" s="1"/>
      <c r="CU176" s="1"/>
      <c r="CV176" s="1"/>
    </row>
    <row r="177" customFormat="false" ht="12.8" hidden="false" customHeight="false" outlineLevel="0" collapsed="false">
      <c r="CD177" s="1"/>
      <c r="CE177" s="1"/>
      <c r="CF177" s="1"/>
      <c r="CG177" s="1"/>
      <c r="CH177" s="1"/>
      <c r="CI177" s="1"/>
      <c r="CJ177" s="1"/>
      <c r="CK177" s="1"/>
      <c r="CL177" s="1"/>
      <c r="CM177" s="1"/>
      <c r="CN177" s="1"/>
      <c r="CO177" s="1"/>
      <c r="CP177" s="1"/>
      <c r="CQ177" s="1"/>
      <c r="CR177" s="1"/>
      <c r="CS177" s="1"/>
      <c r="CT177" s="1"/>
      <c r="CU177" s="1"/>
      <c r="CV177" s="1"/>
    </row>
    <row r="178" customFormat="false" ht="12.8" hidden="false" customHeight="false" outlineLevel="0" collapsed="false">
      <c r="CD178" s="1"/>
      <c r="CE178" s="1"/>
      <c r="CF178" s="1"/>
      <c r="CG178" s="1"/>
      <c r="CH178" s="1"/>
      <c r="CI178" s="1"/>
      <c r="CJ178" s="1"/>
      <c r="CK178" s="1"/>
      <c r="CL178" s="1"/>
      <c r="CM178" s="1"/>
      <c r="CN178" s="1"/>
      <c r="CO178" s="1"/>
      <c r="CP178" s="1"/>
      <c r="CQ178" s="1"/>
      <c r="CR178" s="1"/>
      <c r="CS178" s="1"/>
      <c r="CT178" s="1"/>
      <c r="CU178" s="1"/>
      <c r="CV178" s="1"/>
    </row>
    <row r="179" customFormat="false" ht="12.8" hidden="false" customHeight="false" outlineLevel="0" collapsed="false">
      <c r="CD179" s="1"/>
      <c r="CE179" s="1"/>
      <c r="CF179" s="1"/>
      <c r="CG179" s="1"/>
      <c r="CH179" s="1"/>
      <c r="CI179" s="1"/>
      <c r="CJ179" s="1"/>
      <c r="CK179" s="1"/>
      <c r="CL179" s="1"/>
      <c r="CM179" s="1"/>
      <c r="CN179" s="1"/>
      <c r="CO179" s="1"/>
      <c r="CP179" s="1"/>
      <c r="CQ179" s="1"/>
      <c r="CR179" s="1"/>
      <c r="CS179" s="1"/>
      <c r="CT179" s="1"/>
      <c r="CU179" s="1"/>
      <c r="CV179" s="1"/>
    </row>
    <row r="180" customFormat="false" ht="12.8" hidden="false" customHeight="false" outlineLevel="0" collapsed="false">
      <c r="CD180" s="1"/>
      <c r="CE180" s="1"/>
      <c r="CF180" s="1"/>
      <c r="CG180" s="1"/>
      <c r="CH180" s="1"/>
      <c r="CI180" s="1"/>
      <c r="CJ180" s="1"/>
      <c r="CK180" s="1"/>
      <c r="CL180" s="1"/>
      <c r="CM180" s="1"/>
      <c r="CN180" s="1"/>
      <c r="CO180" s="1"/>
      <c r="CP180" s="1"/>
      <c r="CQ180" s="1"/>
      <c r="CR180" s="1"/>
      <c r="CS180" s="1"/>
      <c r="CT180" s="1"/>
      <c r="CU180" s="1"/>
      <c r="CV180" s="1"/>
    </row>
    <row r="181" customFormat="false" ht="12.8" hidden="false" customHeight="false" outlineLevel="0" collapsed="false">
      <c r="CD181" s="1"/>
      <c r="CE181" s="1"/>
      <c r="CF181" s="1"/>
      <c r="CG181" s="1"/>
      <c r="CH181" s="1"/>
      <c r="CI181" s="1"/>
      <c r="CJ181" s="1"/>
      <c r="CK181" s="1"/>
      <c r="CL181" s="1"/>
      <c r="CM181" s="1"/>
      <c r="CN181" s="1"/>
      <c r="CO181" s="1"/>
      <c r="CP181" s="1"/>
      <c r="CQ181" s="1"/>
      <c r="CR181" s="1"/>
      <c r="CS181" s="1"/>
      <c r="CT181" s="1"/>
      <c r="CU181" s="1"/>
      <c r="CV181" s="1"/>
    </row>
    <row r="182" customFormat="false" ht="12.8" hidden="false" customHeight="false" outlineLevel="0" collapsed="false">
      <c r="CD182" s="1"/>
      <c r="CE182" s="1"/>
      <c r="CF182" s="1"/>
      <c r="CG182" s="1"/>
      <c r="CH182" s="1"/>
      <c r="CI182" s="1"/>
      <c r="CJ182" s="1"/>
      <c r="CK182" s="1"/>
      <c r="CL182" s="1"/>
      <c r="CM182" s="1"/>
      <c r="CN182" s="1"/>
      <c r="CO182" s="1"/>
      <c r="CP182" s="1"/>
      <c r="CQ182" s="1"/>
      <c r="CR182" s="1"/>
      <c r="CS182" s="1"/>
      <c r="CT182" s="1"/>
      <c r="CU182" s="1"/>
      <c r="CV182" s="1"/>
    </row>
    <row r="183" customFormat="false" ht="12.8" hidden="false" customHeight="false" outlineLevel="0" collapsed="false">
      <c r="CW183" s="283"/>
    </row>
    <row r="184" customFormat="false" ht="12.8" hidden="false" customHeight="false" outlineLevel="0" collapsed="false">
      <c r="CW184" s="283"/>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2.xml><?xml version="1.0" encoding="utf-8"?>
<worksheet xmlns="http://schemas.openxmlformats.org/spreadsheetml/2006/main" xmlns:r="http://schemas.openxmlformats.org/officeDocument/2006/relationships">
  <sheetPr filterMode="false">
    <tabColor rgb="FFFFC000"/>
    <pageSetUpPr fitToPage="false"/>
  </sheetPr>
  <dimension ref="A1:C1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N12" activeCellId="0" sqref="N12"/>
    </sheetView>
  </sheetViews>
  <sheetFormatPr defaultColWidth="8.6953125" defaultRowHeight="12.75" zeroHeight="false" outlineLevelRow="0" outlineLevelCol="0"/>
  <sheetData>
    <row r="1" customFormat="false" ht="12.75" hidden="false" customHeight="false" outlineLevel="0" collapsed="false">
      <c r="A1" s="284" t="s">
        <v>380</v>
      </c>
    </row>
    <row r="3" customFormat="false" ht="12.75" hidden="false" customHeight="false" outlineLevel="0" collapsed="false">
      <c r="A3" s="284" t="s">
        <v>381</v>
      </c>
    </row>
    <row r="4" customFormat="false" ht="12.75" hidden="false" customHeight="false" outlineLevel="0" collapsed="false">
      <c r="A4" s="284" t="s">
        <v>382</v>
      </c>
    </row>
    <row r="5" customFormat="false" ht="12.75" hidden="false" customHeight="false" outlineLevel="0" collapsed="false">
      <c r="A5" s="284" t="s">
        <v>383</v>
      </c>
    </row>
    <row r="6" customFormat="false" ht="12.75" hidden="false" customHeight="false" outlineLevel="0" collapsed="false">
      <c r="A6" s="284" t="s">
        <v>384</v>
      </c>
    </row>
    <row r="7" customFormat="false" ht="12.75" hidden="false" customHeight="false" outlineLevel="0" collapsed="false">
      <c r="A7" s="284" t="s">
        <v>385</v>
      </c>
    </row>
    <row r="8" customFormat="false" ht="12.75" hidden="false" customHeight="false" outlineLevel="0" collapsed="false">
      <c r="A8" s="284" t="s">
        <v>386</v>
      </c>
    </row>
    <row r="9" customFormat="false" ht="12.75" hidden="false" customHeight="false" outlineLevel="0" collapsed="false">
      <c r="A9" s="284" t="s">
        <v>387</v>
      </c>
    </row>
    <row r="10" customFormat="false" ht="12.75" hidden="false" customHeight="false" outlineLevel="0" collapsed="false">
      <c r="A10" s="284" t="s">
        <v>201</v>
      </c>
      <c r="B10" s="284" t="s">
        <v>102</v>
      </c>
      <c r="C10" s="284" t="s">
        <v>388</v>
      </c>
    </row>
    <row r="11" customFormat="false" ht="12.75" hidden="false" customHeight="false" outlineLevel="0" collapsed="false">
      <c r="A11" s="284" t="s">
        <v>389</v>
      </c>
    </row>
    <row r="13" customFormat="false" ht="12.75" hidden="false" customHeight="false" outlineLevel="0" collapsed="false">
      <c r="A13" s="284" t="s">
        <v>303</v>
      </c>
      <c r="B13" s="284" t="s">
        <v>296</v>
      </c>
      <c r="C13" s="284" t="s">
        <v>390</v>
      </c>
    </row>
    <row r="14" customFormat="false" ht="12.75" hidden="false" customHeight="false" outlineLevel="0" collapsed="false">
      <c r="A14" s="284" t="s">
        <v>331</v>
      </c>
      <c r="B14" s="284" t="s">
        <v>296</v>
      </c>
      <c r="C14" s="284" t="s">
        <v>391</v>
      </c>
    </row>
    <row r="15" customFormat="false" ht="12.75" hidden="false" customHeight="false" outlineLevel="0" collapsed="false">
      <c r="A15" s="284" t="s">
        <v>214</v>
      </c>
      <c r="B15" s="284" t="s">
        <v>102</v>
      </c>
      <c r="C15" s="284" t="s">
        <v>392</v>
      </c>
    </row>
    <row r="16" customFormat="false" ht="12.75" hidden="false" customHeight="false" outlineLevel="0" collapsed="false">
      <c r="A16" s="284" t="s">
        <v>229</v>
      </c>
      <c r="B16" s="284" t="s">
        <v>102</v>
      </c>
      <c r="C16" s="284" t="s">
        <v>393</v>
      </c>
    </row>
    <row r="17" customFormat="false" ht="12.75" hidden="false" customHeight="false" outlineLevel="0" collapsed="false">
      <c r="A17" s="284" t="s">
        <v>235</v>
      </c>
      <c r="B17" s="284" t="s">
        <v>102</v>
      </c>
      <c r="C17" s="284" t="s">
        <v>394</v>
      </c>
    </row>
    <row r="18" customFormat="false" ht="12.75" hidden="false" customHeight="false" outlineLevel="0" collapsed="false">
      <c r="A18" s="284" t="s">
        <v>112</v>
      </c>
      <c r="B18" s="284" t="s">
        <v>102</v>
      </c>
      <c r="C18" s="284" t="s">
        <v>395</v>
      </c>
    </row>
    <row r="19" customFormat="false" ht="12.75" hidden="false" customHeight="false" outlineLevel="0" collapsed="false">
      <c r="A19" s="284" t="s">
        <v>112</v>
      </c>
      <c r="B19" s="284" t="s">
        <v>296</v>
      </c>
      <c r="C19" s="284" t="s">
        <v>396</v>
      </c>
    </row>
    <row r="21" customFormat="false" ht="12.75" hidden="false" customHeight="false" outlineLevel="0" collapsed="false">
      <c r="A21" s="284" t="s">
        <v>130</v>
      </c>
      <c r="B21" s="284" t="s">
        <v>102</v>
      </c>
      <c r="C21" s="284" t="s">
        <v>397</v>
      </c>
    </row>
    <row r="22" customFormat="false" ht="12.75" hidden="false" customHeight="false" outlineLevel="0" collapsed="false">
      <c r="A22" s="284" t="s">
        <v>130</v>
      </c>
      <c r="B22" s="284" t="s">
        <v>296</v>
      </c>
      <c r="C22" s="284" t="s">
        <v>398</v>
      </c>
    </row>
    <row r="23" customFormat="false" ht="12.75" hidden="false" customHeight="false" outlineLevel="0" collapsed="false">
      <c r="A23" s="284" t="s">
        <v>134</v>
      </c>
      <c r="B23" s="284" t="s">
        <v>102</v>
      </c>
      <c r="C23" s="284" t="s">
        <v>399</v>
      </c>
    </row>
    <row r="24" customFormat="false" ht="12.75" hidden="false" customHeight="false" outlineLevel="0" collapsed="false">
      <c r="A24" s="284" t="s">
        <v>134</v>
      </c>
      <c r="B24" s="284" t="s">
        <v>296</v>
      </c>
      <c r="C24" s="284" t="s">
        <v>400</v>
      </c>
    </row>
    <row r="25" customFormat="false" ht="12.75" hidden="false" customHeight="false" outlineLevel="0" collapsed="false">
      <c r="A25" s="284" t="s">
        <v>142</v>
      </c>
      <c r="B25" s="284" t="s">
        <v>102</v>
      </c>
      <c r="C25" s="284" t="s">
        <v>401</v>
      </c>
    </row>
    <row r="26" customFormat="false" ht="12.75" hidden="false" customHeight="false" outlineLevel="0" collapsed="false">
      <c r="A26" s="284" t="s">
        <v>142</v>
      </c>
      <c r="B26" s="284" t="s">
        <v>296</v>
      </c>
      <c r="C26" s="284" t="s">
        <v>402</v>
      </c>
    </row>
    <row r="27" customFormat="false" ht="12.75" hidden="false" customHeight="false" outlineLevel="0" collapsed="false">
      <c r="A27" s="284" t="s">
        <v>403</v>
      </c>
      <c r="B27" s="284" t="s">
        <v>102</v>
      </c>
      <c r="C27" s="284" t="s">
        <v>395</v>
      </c>
    </row>
    <row r="28" customFormat="false" ht="12.75" hidden="false" customHeight="false" outlineLevel="0" collapsed="false">
      <c r="A28" s="284" t="s">
        <v>403</v>
      </c>
      <c r="B28" s="284" t="s">
        <v>296</v>
      </c>
      <c r="C28" s="284" t="s">
        <v>395</v>
      </c>
    </row>
    <row r="29" customFormat="false" ht="12.75" hidden="false" customHeight="false" outlineLevel="0" collapsed="false">
      <c r="A29" s="284" t="s">
        <v>146</v>
      </c>
      <c r="B29" s="284" t="s">
        <v>102</v>
      </c>
      <c r="C29" s="284" t="s">
        <v>404</v>
      </c>
    </row>
    <row r="30" customFormat="false" ht="12.75" hidden="false" customHeight="false" outlineLevel="0" collapsed="false">
      <c r="A30" s="284" t="s">
        <v>303</v>
      </c>
      <c r="B30" s="284" t="s">
        <v>296</v>
      </c>
      <c r="C30" s="284" t="s">
        <v>405</v>
      </c>
    </row>
    <row r="31" customFormat="false" ht="12.75" hidden="false" customHeight="false" outlineLevel="0" collapsed="false">
      <c r="A31" s="284" t="s">
        <v>150</v>
      </c>
      <c r="B31" s="284" t="s">
        <v>102</v>
      </c>
      <c r="C31" s="284" t="s">
        <v>395</v>
      </c>
    </row>
    <row r="32" customFormat="false" ht="12.75" hidden="false" customHeight="false" outlineLevel="0" collapsed="false">
      <c r="A32" s="284" t="s">
        <v>150</v>
      </c>
      <c r="B32" s="284" t="s">
        <v>296</v>
      </c>
      <c r="C32" s="284" t="s">
        <v>395</v>
      </c>
    </row>
    <row r="33" customFormat="false" ht="12.75" hidden="false" customHeight="false" outlineLevel="0" collapsed="false">
      <c r="A33" s="284" t="s">
        <v>154</v>
      </c>
      <c r="B33" s="284" t="s">
        <v>102</v>
      </c>
      <c r="C33" s="284" t="s">
        <v>395</v>
      </c>
    </row>
    <row r="34" customFormat="false" ht="12.75" hidden="false" customHeight="false" outlineLevel="0" collapsed="false">
      <c r="A34" s="284" t="s">
        <v>154</v>
      </c>
      <c r="B34" s="284" t="s">
        <v>296</v>
      </c>
      <c r="C34" s="284" t="s">
        <v>395</v>
      </c>
    </row>
    <row r="35" customFormat="false" ht="12.75" hidden="false" customHeight="false" outlineLevel="0" collapsed="false">
      <c r="A35" s="284" t="s">
        <v>159</v>
      </c>
      <c r="B35" s="284" t="s">
        <v>102</v>
      </c>
      <c r="C35" s="284" t="s">
        <v>395</v>
      </c>
    </row>
    <row r="36" customFormat="false" ht="12.75" hidden="false" customHeight="false" outlineLevel="0" collapsed="false">
      <c r="A36" s="284" t="s">
        <v>159</v>
      </c>
      <c r="B36" s="284" t="s">
        <v>296</v>
      </c>
      <c r="C36" s="284" t="s">
        <v>406</v>
      </c>
    </row>
    <row r="37" customFormat="false" ht="12.75" hidden="false" customHeight="false" outlineLevel="0" collapsed="false">
      <c r="A37" s="284" t="s">
        <v>162</v>
      </c>
      <c r="B37" s="284" t="s">
        <v>102</v>
      </c>
      <c r="C37" s="284" t="s">
        <v>395</v>
      </c>
    </row>
    <row r="38" customFormat="false" ht="12.75" hidden="false" customHeight="false" outlineLevel="0" collapsed="false">
      <c r="A38" s="284" t="s">
        <v>162</v>
      </c>
      <c r="B38" s="284" t="s">
        <v>296</v>
      </c>
      <c r="C38" s="284" t="s">
        <v>395</v>
      </c>
    </row>
    <row r="39" customFormat="false" ht="12.75" hidden="false" customHeight="false" outlineLevel="0" collapsed="false">
      <c r="A39" s="284" t="s">
        <v>164</v>
      </c>
      <c r="B39" s="284" t="s">
        <v>102</v>
      </c>
      <c r="C39" s="284" t="s">
        <v>395</v>
      </c>
    </row>
    <row r="40" customFormat="false" ht="12.75" hidden="false" customHeight="false" outlineLevel="0" collapsed="false">
      <c r="A40" s="284" t="s">
        <v>164</v>
      </c>
      <c r="B40" s="284" t="s">
        <v>296</v>
      </c>
      <c r="C40" s="284" t="s">
        <v>395</v>
      </c>
    </row>
    <row r="41" customFormat="false" ht="12.75" hidden="false" customHeight="false" outlineLevel="0" collapsed="false">
      <c r="A41" s="284" t="s">
        <v>173</v>
      </c>
      <c r="B41" s="284" t="s">
        <v>102</v>
      </c>
      <c r="C41" s="284" t="s">
        <v>407</v>
      </c>
    </row>
    <row r="42" customFormat="false" ht="12.75" hidden="false" customHeight="false" outlineLevel="0" collapsed="false">
      <c r="A42" s="284" t="s">
        <v>173</v>
      </c>
      <c r="B42" s="284" t="s">
        <v>296</v>
      </c>
      <c r="C42" s="284" t="s">
        <v>408</v>
      </c>
    </row>
    <row r="43" customFormat="false" ht="12.75" hidden="false" customHeight="false" outlineLevel="0" collapsed="false">
      <c r="A43" s="284" t="s">
        <v>317</v>
      </c>
      <c r="B43" s="284" t="s">
        <v>296</v>
      </c>
      <c r="C43" s="284" t="s">
        <v>409</v>
      </c>
    </row>
    <row r="44" customFormat="false" ht="12.75" hidden="false" customHeight="false" outlineLevel="0" collapsed="false">
      <c r="A44" s="284" t="s">
        <v>183</v>
      </c>
      <c r="B44" s="284" t="s">
        <v>102</v>
      </c>
      <c r="C44" s="284" t="s">
        <v>395</v>
      </c>
    </row>
    <row r="45" customFormat="false" ht="12.75" hidden="false" customHeight="false" outlineLevel="0" collapsed="false">
      <c r="A45" s="284" t="s">
        <v>183</v>
      </c>
      <c r="B45" s="284" t="s">
        <v>296</v>
      </c>
      <c r="C45" s="284" t="s">
        <v>410</v>
      </c>
    </row>
    <row r="46" customFormat="false" ht="12.75" hidden="false" customHeight="false" outlineLevel="0" collapsed="false">
      <c r="A46" s="284" t="s">
        <v>323</v>
      </c>
      <c r="B46" s="284" t="s">
        <v>296</v>
      </c>
      <c r="C46" s="284" t="s">
        <v>411</v>
      </c>
    </row>
    <row r="47" customFormat="false" ht="12.75" hidden="false" customHeight="false" outlineLevel="0" collapsed="false">
      <c r="A47" s="284" t="s">
        <v>326</v>
      </c>
      <c r="B47" s="284" t="s">
        <v>296</v>
      </c>
      <c r="C47" s="284" t="s">
        <v>412</v>
      </c>
    </row>
    <row r="48" customFormat="false" ht="12.75" hidden="false" customHeight="false" outlineLevel="0" collapsed="false">
      <c r="A48" s="284" t="s">
        <v>326</v>
      </c>
      <c r="B48" s="284" t="s">
        <v>102</v>
      </c>
      <c r="C48" s="284" t="s">
        <v>413</v>
      </c>
    </row>
    <row r="49" customFormat="false" ht="12.75" hidden="false" customHeight="false" outlineLevel="0" collapsed="false">
      <c r="A49" s="284" t="s">
        <v>344</v>
      </c>
      <c r="B49" s="284" t="s">
        <v>296</v>
      </c>
      <c r="C49" s="284" t="s">
        <v>414</v>
      </c>
    </row>
    <row r="50" customFormat="false" ht="12.75" hidden="false" customHeight="false" outlineLevel="0" collapsed="false">
      <c r="A50" s="284" t="s">
        <v>344</v>
      </c>
      <c r="B50" s="284" t="s">
        <v>102</v>
      </c>
      <c r="C50" s="284" t="s">
        <v>415</v>
      </c>
    </row>
    <row r="51" customFormat="false" ht="12.75" hidden="false" customHeight="false" outlineLevel="0" collapsed="false">
      <c r="A51" s="284" t="s">
        <v>201</v>
      </c>
      <c r="B51" s="284" t="s">
        <v>102</v>
      </c>
      <c r="C51" s="284" t="s">
        <v>395</v>
      </c>
    </row>
    <row r="52" customFormat="false" ht="12.75" hidden="false" customHeight="false" outlineLevel="0" collapsed="false">
      <c r="A52" s="284" t="s">
        <v>201</v>
      </c>
      <c r="B52" s="284" t="s">
        <v>296</v>
      </c>
      <c r="C52" s="284" t="s">
        <v>395</v>
      </c>
    </row>
    <row r="53" customFormat="false" ht="12.75" hidden="false" customHeight="false" outlineLevel="0" collapsed="false">
      <c r="A53" s="284" t="s">
        <v>204</v>
      </c>
      <c r="B53" s="284" t="s">
        <v>102</v>
      </c>
      <c r="C53" s="284" t="s">
        <v>395</v>
      </c>
    </row>
    <row r="54" customFormat="false" ht="12.75" hidden="false" customHeight="false" outlineLevel="0" collapsed="false">
      <c r="A54" s="284" t="s">
        <v>204</v>
      </c>
      <c r="B54" s="284" t="s">
        <v>296</v>
      </c>
      <c r="C54" s="284" t="s">
        <v>395</v>
      </c>
    </row>
    <row r="55" customFormat="false" ht="12.75" hidden="false" customHeight="false" outlineLevel="0" collapsed="false">
      <c r="A55" s="284" t="s">
        <v>208</v>
      </c>
      <c r="B55" s="284" t="s">
        <v>102</v>
      </c>
      <c r="C55" s="284" t="s">
        <v>416</v>
      </c>
    </row>
    <row r="56" customFormat="false" ht="12.75" hidden="false" customHeight="false" outlineLevel="0" collapsed="false">
      <c r="A56" s="284" t="s">
        <v>208</v>
      </c>
      <c r="B56" s="284" t="s">
        <v>296</v>
      </c>
      <c r="C56" s="284" t="s">
        <v>417</v>
      </c>
    </row>
    <row r="57" customFormat="false" ht="12.75" hidden="false" customHeight="false" outlineLevel="0" collapsed="false">
      <c r="A57" s="284" t="s">
        <v>216</v>
      </c>
      <c r="B57" s="284" t="s">
        <v>102</v>
      </c>
      <c r="C57" s="284" t="s">
        <v>418</v>
      </c>
    </row>
    <row r="58" customFormat="false" ht="12.75" hidden="false" customHeight="false" outlineLevel="0" collapsed="false">
      <c r="A58" s="284" t="s">
        <v>216</v>
      </c>
      <c r="B58" s="284" t="s">
        <v>296</v>
      </c>
      <c r="C58" s="284" t="s">
        <v>419</v>
      </c>
    </row>
    <row r="59" customFormat="false" ht="12.75" hidden="false" customHeight="false" outlineLevel="0" collapsed="false">
      <c r="A59" s="284" t="s">
        <v>227</v>
      </c>
      <c r="B59" s="284" t="s">
        <v>102</v>
      </c>
      <c r="C59" s="284" t="s">
        <v>420</v>
      </c>
    </row>
    <row r="60" customFormat="false" ht="12.75" hidden="false" customHeight="false" outlineLevel="0" collapsed="false">
      <c r="A60" s="284" t="s">
        <v>227</v>
      </c>
      <c r="B60" s="284" t="s">
        <v>296</v>
      </c>
      <c r="C60" s="284" t="s">
        <v>421</v>
      </c>
    </row>
    <row r="61" customFormat="false" ht="12.75" hidden="false" customHeight="false" outlineLevel="0" collapsed="false">
      <c r="A61" s="284" t="s">
        <v>358</v>
      </c>
      <c r="B61" s="284" t="s">
        <v>296</v>
      </c>
      <c r="C61" s="284" t="s">
        <v>395</v>
      </c>
    </row>
    <row r="62" customFormat="false" ht="12.75" hidden="false" customHeight="false" outlineLevel="0" collapsed="false">
      <c r="A62" s="284" t="s">
        <v>248</v>
      </c>
      <c r="B62" s="284" t="s">
        <v>102</v>
      </c>
      <c r="C62" s="284" t="s">
        <v>422</v>
      </c>
    </row>
    <row r="63" customFormat="false" ht="12.75" hidden="false" customHeight="false" outlineLevel="0" collapsed="false">
      <c r="A63" s="284" t="s">
        <v>248</v>
      </c>
      <c r="B63" s="284" t="s">
        <v>296</v>
      </c>
      <c r="C63" s="284" t="s">
        <v>422</v>
      </c>
    </row>
    <row r="64" customFormat="false" ht="12.75" hidden="false" customHeight="false" outlineLevel="0" collapsed="false">
      <c r="A64" s="284" t="s">
        <v>263</v>
      </c>
      <c r="B64" s="284" t="s">
        <v>102</v>
      </c>
      <c r="C64" s="284" t="s">
        <v>395</v>
      </c>
    </row>
    <row r="65" customFormat="false" ht="12.75" hidden="false" customHeight="false" outlineLevel="0" collapsed="false">
      <c r="A65" s="284" t="s">
        <v>263</v>
      </c>
      <c r="B65" s="284" t="s">
        <v>296</v>
      </c>
      <c r="C65" s="284" t="s">
        <v>395</v>
      </c>
    </row>
    <row r="66" customFormat="false" ht="12.75" hidden="false" customHeight="false" outlineLevel="0" collapsed="false">
      <c r="A66" s="284" t="s">
        <v>268</v>
      </c>
      <c r="B66" s="284" t="s">
        <v>102</v>
      </c>
      <c r="C66" s="284" t="s">
        <v>395</v>
      </c>
    </row>
    <row r="67" customFormat="false" ht="12.75" hidden="false" customHeight="false" outlineLevel="0" collapsed="false">
      <c r="A67" s="284" t="s">
        <v>268</v>
      </c>
      <c r="B67" s="284" t="s">
        <v>296</v>
      </c>
      <c r="C67" s="284" t="s">
        <v>395</v>
      </c>
    </row>
    <row r="68" customFormat="false" ht="12.75" hidden="false" customHeight="false" outlineLevel="0" collapsed="false">
      <c r="A68" s="284" t="s">
        <v>271</v>
      </c>
      <c r="B68" s="284" t="s">
        <v>102</v>
      </c>
      <c r="C68" s="284" t="s">
        <v>423</v>
      </c>
    </row>
    <row r="69" customFormat="false" ht="12.75" hidden="false" customHeight="false" outlineLevel="0" collapsed="false">
      <c r="A69" s="284" t="s">
        <v>271</v>
      </c>
      <c r="B69" s="284" t="s">
        <v>296</v>
      </c>
      <c r="C69" s="284" t="s">
        <v>423</v>
      </c>
    </row>
    <row r="70" customFormat="false" ht="12.75" hidden="false" customHeight="false" outlineLevel="0" collapsed="false">
      <c r="A70" s="284" t="s">
        <v>276</v>
      </c>
      <c r="B70" s="284" t="s">
        <v>102</v>
      </c>
      <c r="C70" s="284" t="s">
        <v>395</v>
      </c>
    </row>
    <row r="71" customFormat="false" ht="12.75" hidden="false" customHeight="false" outlineLevel="0" collapsed="false">
      <c r="A71" s="284" t="s">
        <v>276</v>
      </c>
      <c r="B71" s="284" t="s">
        <v>296</v>
      </c>
      <c r="C71" s="284" t="s">
        <v>395</v>
      </c>
    </row>
    <row r="72" customFormat="false" ht="12.75" hidden="false" customHeight="false" outlineLevel="0" collapsed="false">
      <c r="A72" s="284" t="s">
        <v>279</v>
      </c>
      <c r="B72" s="284" t="s">
        <v>102</v>
      </c>
      <c r="C72" s="284" t="s">
        <v>424</v>
      </c>
    </row>
    <row r="73" customFormat="false" ht="12.75" hidden="false" customHeight="false" outlineLevel="0" collapsed="false">
      <c r="A73" s="284" t="s">
        <v>279</v>
      </c>
      <c r="B73" s="284" t="s">
        <v>296</v>
      </c>
      <c r="C73" s="284" t="s">
        <v>395</v>
      </c>
    </row>
    <row r="74" customFormat="false" ht="12.75" hidden="false" customHeight="false" outlineLevel="0" collapsed="false">
      <c r="A74" s="284" t="s">
        <v>281</v>
      </c>
      <c r="B74" s="284" t="s">
        <v>102</v>
      </c>
      <c r="C74" s="284" t="s">
        <v>395</v>
      </c>
    </row>
    <row r="75" customFormat="false" ht="12.75" hidden="false" customHeight="false" outlineLevel="0" collapsed="false">
      <c r="A75" s="284" t="s">
        <v>281</v>
      </c>
      <c r="B75" s="284" t="s">
        <v>296</v>
      </c>
      <c r="C75" s="284" t="s">
        <v>395</v>
      </c>
    </row>
    <row r="76" customFormat="false" ht="12.75" hidden="false" customHeight="false" outlineLevel="0" collapsed="false">
      <c r="A76" s="284" t="s">
        <v>290</v>
      </c>
      <c r="B76" s="284" t="s">
        <v>102</v>
      </c>
      <c r="C76" s="284" t="s">
        <v>425</v>
      </c>
    </row>
    <row r="77" customFormat="false" ht="12.75" hidden="false" customHeight="false" outlineLevel="0" collapsed="false">
      <c r="A77" s="284" t="s">
        <v>290</v>
      </c>
      <c r="B77" s="284" t="s">
        <v>296</v>
      </c>
      <c r="C77" s="284" t="s">
        <v>425</v>
      </c>
    </row>
    <row r="84" customFormat="false" ht="12.75" hidden="false" customHeight="false" outlineLevel="0" collapsed="false">
      <c r="A84" s="284" t="s">
        <v>426</v>
      </c>
    </row>
    <row r="86" customFormat="false" ht="12.75" hidden="false" customHeight="false" outlineLevel="0" collapsed="false">
      <c r="A86" s="284" t="s">
        <v>100</v>
      </c>
      <c r="B86" s="284" t="s">
        <v>296</v>
      </c>
      <c r="C86" s="284" t="s">
        <v>427</v>
      </c>
    </row>
    <row r="87" customFormat="false" ht="12.75" hidden="false" customHeight="false" outlineLevel="0" collapsed="false">
      <c r="A87" s="284" t="s">
        <v>130</v>
      </c>
      <c r="B87" s="284" t="s">
        <v>102</v>
      </c>
      <c r="C87" s="284" t="s">
        <v>428</v>
      </c>
    </row>
    <row r="88" customFormat="false" ht="12.75" hidden="false" customHeight="false" outlineLevel="0" collapsed="false">
      <c r="A88" s="284" t="s">
        <v>134</v>
      </c>
      <c r="B88" s="284" t="s">
        <v>102</v>
      </c>
      <c r="C88" s="284" t="s">
        <v>429</v>
      </c>
    </row>
    <row r="89" customFormat="false" ht="12.75" hidden="false" customHeight="false" outlineLevel="0" collapsed="false">
      <c r="A89" s="284" t="s">
        <v>134</v>
      </c>
      <c r="B89" s="284" t="s">
        <v>296</v>
      </c>
      <c r="C89" s="284" t="s">
        <v>430</v>
      </c>
    </row>
    <row r="90" customFormat="false" ht="12.75" hidden="false" customHeight="false" outlineLevel="0" collapsed="false">
      <c r="A90" s="284" t="s">
        <v>150</v>
      </c>
      <c r="B90" s="284" t="s">
        <v>296</v>
      </c>
      <c r="C90" s="284" t="s">
        <v>431</v>
      </c>
    </row>
    <row r="91" customFormat="false" ht="12.75" hidden="false" customHeight="false" outlineLevel="0" collapsed="false">
      <c r="A91" s="284" t="s">
        <v>154</v>
      </c>
      <c r="B91" s="284" t="s">
        <v>296</v>
      </c>
      <c r="C91" s="284" t="s">
        <v>431</v>
      </c>
    </row>
    <row r="92" customFormat="false" ht="12.75" hidden="false" customHeight="false" outlineLevel="0" collapsed="false">
      <c r="A92" s="284" t="s">
        <v>159</v>
      </c>
      <c r="B92" s="284" t="s">
        <v>296</v>
      </c>
      <c r="C92" s="284" t="s">
        <v>431</v>
      </c>
    </row>
    <row r="93" customFormat="false" ht="12.75" hidden="false" customHeight="false" outlineLevel="0" collapsed="false">
      <c r="A93" s="284" t="s">
        <v>326</v>
      </c>
      <c r="B93" s="284" t="s">
        <v>296</v>
      </c>
      <c r="C93" s="284" t="s">
        <v>431</v>
      </c>
    </row>
    <row r="94" customFormat="false" ht="12.75" hidden="false" customHeight="false" outlineLevel="0" collapsed="false">
      <c r="A94" s="284" t="s">
        <v>432</v>
      </c>
      <c r="B94" s="284" t="s">
        <v>296</v>
      </c>
      <c r="C94" s="284" t="s">
        <v>433</v>
      </c>
    </row>
    <row r="95" customFormat="false" ht="12.75" hidden="false" customHeight="false" outlineLevel="0" collapsed="false">
      <c r="A95" s="284" t="s">
        <v>255</v>
      </c>
      <c r="B95" s="284" t="s">
        <v>296</v>
      </c>
      <c r="C95" s="284" t="s">
        <v>395</v>
      </c>
    </row>
    <row r="96" customFormat="false" ht="12.75" hidden="false" customHeight="false" outlineLevel="0" collapsed="false">
      <c r="A96" s="284" t="s">
        <v>263</v>
      </c>
      <c r="B96" s="284" t="s">
        <v>296</v>
      </c>
      <c r="C96" s="284" t="s">
        <v>395</v>
      </c>
    </row>
    <row r="98" customFormat="false" ht="12.75" hidden="false" customHeight="false" outlineLevel="0" collapsed="false">
      <c r="A98" s="284" t="s">
        <v>268</v>
      </c>
      <c r="B98" s="284" t="s">
        <v>296</v>
      </c>
      <c r="C98" s="284" t="s">
        <v>434</v>
      </c>
    </row>
    <row r="99" customFormat="false" ht="12.75" hidden="false" customHeight="false" outlineLevel="0" collapsed="false">
      <c r="A99" s="284" t="s">
        <v>271</v>
      </c>
      <c r="B99" s="284" t="s">
        <v>296</v>
      </c>
      <c r="C99" s="284" t="s">
        <v>435</v>
      </c>
    </row>
    <row r="100" customFormat="false" ht="12.75" hidden="false" customHeight="false" outlineLevel="0" collapsed="false">
      <c r="A100" s="284" t="s">
        <v>276</v>
      </c>
      <c r="B100" s="284" t="s">
        <v>296</v>
      </c>
      <c r="C100" s="284" t="s">
        <v>395</v>
      </c>
    </row>
    <row r="101" customFormat="false" ht="12.75" hidden="false" customHeight="false" outlineLevel="0" collapsed="false">
      <c r="A101" s="284" t="s">
        <v>279</v>
      </c>
      <c r="B101" s="284" t="s">
        <v>296</v>
      </c>
      <c r="C101" s="284" t="s">
        <v>395</v>
      </c>
    </row>
    <row r="102" customFormat="false" ht="12.75" hidden="false" customHeight="false" outlineLevel="0" collapsed="false">
      <c r="A102" s="284" t="s">
        <v>281</v>
      </c>
      <c r="B102" s="284" t="s">
        <v>296</v>
      </c>
      <c r="C102" s="284" t="s">
        <v>395</v>
      </c>
    </row>
    <row r="103" customFormat="false" ht="12.75" hidden="false" customHeight="false" outlineLevel="0" collapsed="false">
      <c r="A103" s="284" t="s">
        <v>290</v>
      </c>
      <c r="B103" s="284" t="s">
        <v>296</v>
      </c>
      <c r="C103" s="284" t="s">
        <v>395</v>
      </c>
    </row>
    <row r="106" customFormat="false" ht="12.75" hidden="false" customHeight="false" outlineLevel="0" collapsed="false">
      <c r="A106" s="284" t="s">
        <v>436</v>
      </c>
    </row>
    <row r="108" customFormat="false" ht="12.75" hidden="false" customHeight="false" outlineLevel="0" collapsed="false">
      <c r="A108" s="284" t="s">
        <v>437</v>
      </c>
    </row>
    <row r="109" customFormat="false" ht="12.75" hidden="false" customHeight="false" outlineLevel="0" collapsed="false">
      <c r="A109" s="284" t="s">
        <v>438</v>
      </c>
    </row>
    <row r="111" customFormat="false" ht="12.75" hidden="false" customHeight="false" outlineLevel="0" collapsed="false">
      <c r="A111" s="284" t="n">
        <v>1</v>
      </c>
      <c r="B111" s="284" t="s">
        <v>439</v>
      </c>
    </row>
    <row r="112" customFormat="false" ht="12.75" hidden="false" customHeight="false" outlineLevel="0" collapsed="false">
      <c r="A112" s="284" t="n">
        <v>2</v>
      </c>
      <c r="B112" s="284" t="s">
        <v>440</v>
      </c>
    </row>
    <row r="113" customFormat="false" ht="12.75" hidden="false" customHeight="false" outlineLevel="0" collapsed="false">
      <c r="A113" s="284" t="n">
        <v>3</v>
      </c>
      <c r="B113" s="284" t="s">
        <v>441</v>
      </c>
    </row>
    <row r="114" customFormat="false" ht="12.75" hidden="false" customHeight="false" outlineLevel="0" collapsed="false">
      <c r="A114" s="284" t="n">
        <v>4</v>
      </c>
      <c r="B114" s="284" t="s">
        <v>442</v>
      </c>
    </row>
    <row r="116" customFormat="false" ht="12.75" hidden="false" customHeight="false" outlineLevel="0" collapsed="false">
      <c r="A116" s="284" t="s">
        <v>443</v>
      </c>
    </row>
    <row r="118" customFormat="false" ht="12.75" hidden="false" customHeight="false" outlineLevel="0" collapsed="false">
      <c r="A118" s="284" t="n">
        <v>1</v>
      </c>
      <c r="B118" s="284" t="s">
        <v>444</v>
      </c>
    </row>
    <row r="119" customFormat="false" ht="12.75" hidden="false" customHeight="false" outlineLevel="0" collapsed="false">
      <c r="A119" s="284" t="n">
        <v>2</v>
      </c>
      <c r="B119" s="284" t="s">
        <v>445</v>
      </c>
    </row>
    <row r="120" customFormat="false" ht="12.75" hidden="false" customHeight="false" outlineLevel="0" collapsed="false">
      <c r="A120" s="284" t="n">
        <v>3</v>
      </c>
      <c r="B120" s="284" t="s">
        <v>446</v>
      </c>
    </row>
    <row r="121" customFormat="false" ht="12.75" hidden="false" customHeight="false" outlineLevel="0" collapsed="false">
      <c r="A121" s="284" t="n">
        <v>4</v>
      </c>
      <c r="B121" s="284" t="s">
        <v>447</v>
      </c>
    </row>
    <row r="122" customFormat="false" ht="12.75" hidden="false" customHeight="false" outlineLevel="0" collapsed="false">
      <c r="A122" s="284" t="n">
        <v>5</v>
      </c>
      <c r="B122" s="284" t="s">
        <v>448</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E38"/>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E6" activeCellId="0" sqref="E6"/>
    </sheetView>
  </sheetViews>
  <sheetFormatPr defaultColWidth="11.55078125" defaultRowHeight="12.8" zeroHeight="false" outlineLevelRow="0" outlineLevelCol="0"/>
  <cols>
    <col collapsed="false" customWidth="true" hidden="false" outlineLevel="0" max="4" min="4" style="284" width="31.02"/>
  </cols>
  <sheetData>
    <row r="1" customFormat="false" ht="12.8" hidden="false" customHeight="false" outlineLevel="0" collapsed="false">
      <c r="A1" s="284" t="s">
        <v>449</v>
      </c>
      <c r="B1" s="284" t="s">
        <v>450</v>
      </c>
      <c r="C1" s="284" t="s">
        <v>451</v>
      </c>
      <c r="D1" s="284" t="s">
        <v>452</v>
      </c>
      <c r="E1" s="284" t="s">
        <v>453</v>
      </c>
    </row>
    <row r="2" customFormat="false" ht="12.8" hidden="false" customHeight="false" outlineLevel="0" collapsed="false">
      <c r="A2" s="284" t="s">
        <v>454</v>
      </c>
      <c r="B2" s="284" t="s">
        <v>100</v>
      </c>
      <c r="D2" s="284" t="s">
        <v>455</v>
      </c>
      <c r="E2" s="0" t="s">
        <v>456</v>
      </c>
    </row>
    <row r="3" customFormat="false" ht="12.8" hidden="false" customHeight="false" outlineLevel="0" collapsed="false">
      <c r="A3" s="284" t="s">
        <v>457</v>
      </c>
      <c r="B3" s="284" t="s">
        <v>119</v>
      </c>
      <c r="C3" s="285" t="n">
        <v>41647</v>
      </c>
      <c r="D3" s="284" t="s">
        <v>458</v>
      </c>
      <c r="E3" s="284" t="s">
        <v>459</v>
      </c>
    </row>
    <row r="4" customFormat="false" ht="12.8" hidden="false" customHeight="false" outlineLevel="0" collapsed="false">
      <c r="A4" s="284" t="s">
        <v>460</v>
      </c>
      <c r="B4" s="284" t="s">
        <v>123</v>
      </c>
      <c r="D4" s="284" t="s">
        <v>461</v>
      </c>
      <c r="E4" s="284" t="s">
        <v>456</v>
      </c>
    </row>
    <row r="5" customFormat="false" ht="12.8" hidden="false" customHeight="false" outlineLevel="0" collapsed="false">
      <c r="A5" s="284" t="s">
        <v>462</v>
      </c>
      <c r="B5" s="0" t="s">
        <v>123</v>
      </c>
      <c r="D5" s="0" t="s">
        <v>463</v>
      </c>
      <c r="E5" s="0" t="s">
        <v>464</v>
      </c>
    </row>
    <row r="6" customFormat="false" ht="12.8" hidden="false" customHeight="false" outlineLevel="0" collapsed="false">
      <c r="A6" s="284" t="s">
        <v>465</v>
      </c>
      <c r="B6" s="284" t="s">
        <v>130</v>
      </c>
      <c r="C6" s="285" t="n">
        <v>42876</v>
      </c>
      <c r="D6" s="284" t="s">
        <v>461</v>
      </c>
      <c r="E6" s="284" t="s">
        <v>459</v>
      </c>
    </row>
    <row r="7" customFormat="false" ht="12.8" hidden="false" customHeight="false" outlineLevel="0" collapsed="false">
      <c r="A7" s="284" t="s">
        <v>466</v>
      </c>
      <c r="B7" s="284" t="s">
        <v>134</v>
      </c>
      <c r="D7" s="284" t="s">
        <v>467</v>
      </c>
      <c r="E7" s="284" t="s">
        <v>468</v>
      </c>
    </row>
    <row r="8" customFormat="false" ht="12.8" hidden="false" customHeight="false" outlineLevel="0" collapsed="false">
      <c r="A8" s="284" t="s">
        <v>469</v>
      </c>
      <c r="B8" s="284" t="s">
        <v>142</v>
      </c>
      <c r="D8" s="284" t="s">
        <v>467</v>
      </c>
      <c r="E8" s="284" t="s">
        <v>468</v>
      </c>
    </row>
    <row r="9" customFormat="false" ht="12.8" hidden="false" customHeight="false" outlineLevel="0" collapsed="false">
      <c r="A9" s="284" t="s">
        <v>470</v>
      </c>
      <c r="B9" s="284" t="s">
        <v>156</v>
      </c>
      <c r="C9" s="285" t="n">
        <v>42957</v>
      </c>
    </row>
    <row r="10" customFormat="false" ht="12.8" hidden="false" customHeight="false" outlineLevel="0" collapsed="false">
      <c r="A10" s="284" t="s">
        <v>471</v>
      </c>
      <c r="B10" s="284" t="s">
        <v>159</v>
      </c>
      <c r="C10" s="285" t="n">
        <v>42957</v>
      </c>
      <c r="D10" s="284" t="s">
        <v>472</v>
      </c>
      <c r="E10" s="284" t="s">
        <v>473</v>
      </c>
    </row>
    <row r="11" customFormat="false" ht="12.8" hidden="false" customHeight="false" outlineLevel="0" collapsed="false">
      <c r="A11" s="284" t="s">
        <v>474</v>
      </c>
      <c r="B11" s="284" t="s">
        <v>166</v>
      </c>
      <c r="D11" s="284" t="s">
        <v>472</v>
      </c>
      <c r="E11" s="0" t="s">
        <v>473</v>
      </c>
    </row>
    <row r="12" customFormat="false" ht="12.8" hidden="false" customHeight="false" outlineLevel="0" collapsed="false">
      <c r="A12" s="284" t="s">
        <v>475</v>
      </c>
      <c r="B12" s="284" t="s">
        <v>175</v>
      </c>
      <c r="D12" s="284" t="s">
        <v>476</v>
      </c>
    </row>
    <row r="13" customFormat="false" ht="12.8" hidden="false" customHeight="false" outlineLevel="0" collapsed="false">
      <c r="A13" s="284" t="s">
        <v>477</v>
      </c>
      <c r="B13" s="284" t="s">
        <v>183</v>
      </c>
      <c r="D13" s="284" t="s">
        <v>478</v>
      </c>
      <c r="E13" s="284" t="s">
        <v>479</v>
      </c>
    </row>
    <row r="14" customFormat="false" ht="12.8" hidden="false" customHeight="false" outlineLevel="0" collapsed="false">
      <c r="A14" s="284" t="s">
        <v>480</v>
      </c>
      <c r="B14" s="284" t="s">
        <v>188</v>
      </c>
      <c r="D14" s="284" t="s">
        <v>463</v>
      </c>
      <c r="E14" s="284" t="s">
        <v>464</v>
      </c>
    </row>
    <row r="15" customFormat="false" ht="12.8" hidden="false" customHeight="false" outlineLevel="0" collapsed="false">
      <c r="A15" s="284" t="s">
        <v>481</v>
      </c>
      <c r="B15" s="284" t="s">
        <v>193</v>
      </c>
      <c r="D15" s="284" t="s">
        <v>461</v>
      </c>
      <c r="E15" s="284" t="s">
        <v>456</v>
      </c>
    </row>
    <row r="16" customFormat="false" ht="12.8" hidden="false" customHeight="false" outlineLevel="0" collapsed="false">
      <c r="A16" s="284" t="s">
        <v>482</v>
      </c>
      <c r="B16" s="284" t="s">
        <v>199</v>
      </c>
      <c r="C16" s="285" t="n">
        <v>43159</v>
      </c>
    </row>
    <row r="17" customFormat="false" ht="12.8" hidden="false" customHeight="false" outlineLevel="0" collapsed="false">
      <c r="A17" s="284" t="s">
        <v>483</v>
      </c>
      <c r="B17" s="284" t="s">
        <v>201</v>
      </c>
      <c r="C17" s="285" t="n">
        <v>42895</v>
      </c>
      <c r="D17" s="284" t="s">
        <v>484</v>
      </c>
      <c r="E17" s="0" t="s">
        <v>485</v>
      </c>
    </row>
    <row r="18" customFormat="false" ht="12.8" hidden="false" customHeight="false" outlineLevel="0" collapsed="false">
      <c r="A18" s="284" t="s">
        <v>486</v>
      </c>
      <c r="B18" s="284" t="s">
        <v>204</v>
      </c>
      <c r="C18" s="285" t="n">
        <v>42895</v>
      </c>
      <c r="E18" s="284" t="s">
        <v>459</v>
      </c>
    </row>
    <row r="19" customFormat="false" ht="12.8" hidden="false" customHeight="false" outlineLevel="0" collapsed="false">
      <c r="A19" s="284" t="s">
        <v>487</v>
      </c>
      <c r="B19" s="284" t="s">
        <v>216</v>
      </c>
      <c r="D19" s="284" t="s">
        <v>463</v>
      </c>
      <c r="E19" s="284" t="s">
        <v>464</v>
      </c>
    </row>
    <row r="20" customFormat="false" ht="12.8" hidden="false" customHeight="false" outlineLevel="0" collapsed="false">
      <c r="A20" s="284" t="s">
        <v>488</v>
      </c>
      <c r="B20" s="284" t="s">
        <v>222</v>
      </c>
      <c r="C20" s="285" t="n">
        <v>43071</v>
      </c>
      <c r="E20" s="284" t="s">
        <v>459</v>
      </c>
    </row>
    <row r="21" customFormat="false" ht="12.8" hidden="false" customHeight="false" outlineLevel="0" collapsed="false">
      <c r="A21" s="284" t="s">
        <v>489</v>
      </c>
      <c r="B21" s="284" t="s">
        <v>227</v>
      </c>
      <c r="C21" s="285" t="n">
        <v>43071</v>
      </c>
    </row>
    <row r="22" customFormat="false" ht="12.8" hidden="false" customHeight="false" outlineLevel="0" collapsed="false">
      <c r="A22" s="284" t="s">
        <v>490</v>
      </c>
      <c r="B22" s="284" t="s">
        <v>238</v>
      </c>
      <c r="D22" s="284" t="s">
        <v>461</v>
      </c>
      <c r="E22" s="284" t="s">
        <v>456</v>
      </c>
    </row>
    <row r="23" customFormat="false" ht="12.8" hidden="false" customHeight="false" outlineLevel="0" collapsed="false">
      <c r="A23" s="284" t="s">
        <v>491</v>
      </c>
      <c r="B23" s="284" t="s">
        <v>245</v>
      </c>
      <c r="D23" s="284" t="s">
        <v>461</v>
      </c>
      <c r="E23" s="284" t="s">
        <v>456</v>
      </c>
    </row>
    <row r="24" customFormat="false" ht="12.8" hidden="false" customHeight="false" outlineLevel="0" collapsed="false">
      <c r="A24" s="284" t="s">
        <v>492</v>
      </c>
      <c r="B24" s="284" t="s">
        <v>248</v>
      </c>
      <c r="C24" s="285" t="n">
        <v>43223</v>
      </c>
    </row>
    <row r="25" customFormat="false" ht="12.8" hidden="false" customHeight="false" outlineLevel="0" collapsed="false">
      <c r="A25" s="284" t="s">
        <v>493</v>
      </c>
      <c r="B25" s="284" t="s">
        <v>250</v>
      </c>
      <c r="D25" s="284" t="s">
        <v>494</v>
      </c>
      <c r="E25" s="284" t="s">
        <v>495</v>
      </c>
    </row>
    <row r="26" customFormat="false" ht="12.8" hidden="false" customHeight="false" outlineLevel="0" collapsed="false">
      <c r="A26" s="284" t="s">
        <v>496</v>
      </c>
      <c r="B26" s="284" t="s">
        <v>255</v>
      </c>
      <c r="D26" s="284" t="s">
        <v>461</v>
      </c>
      <c r="E26" s="284" t="s">
        <v>456</v>
      </c>
    </row>
    <row r="27" customFormat="false" ht="12.8" hidden="false" customHeight="false" outlineLevel="0" collapsed="false">
      <c r="A27" s="284" t="s">
        <v>497</v>
      </c>
      <c r="B27" s="284" t="s">
        <v>260</v>
      </c>
      <c r="C27" s="285" t="n">
        <v>43254</v>
      </c>
    </row>
    <row r="28" customFormat="false" ht="12.8" hidden="false" customHeight="false" outlineLevel="0" collapsed="false">
      <c r="A28" s="284" t="s">
        <v>498</v>
      </c>
      <c r="B28" s="284" t="s">
        <v>271</v>
      </c>
      <c r="D28" s="284" t="s">
        <v>461</v>
      </c>
      <c r="E28" s="284" t="s">
        <v>456</v>
      </c>
    </row>
    <row r="29" customFormat="false" ht="12.8" hidden="false" customHeight="false" outlineLevel="0" collapsed="false">
      <c r="A29" s="284" t="s">
        <v>499</v>
      </c>
      <c r="B29" s="284" t="s">
        <v>284</v>
      </c>
      <c r="D29" s="284" t="s">
        <v>472</v>
      </c>
      <c r="E29" s="0" t="s">
        <v>473</v>
      </c>
    </row>
    <row r="30" customFormat="false" ht="12.8" hidden="false" customHeight="false" outlineLevel="0" collapsed="false">
      <c r="A30" s="284" t="s">
        <v>500</v>
      </c>
      <c r="B30" s="284" t="s">
        <v>290</v>
      </c>
      <c r="C30" s="285" t="n">
        <v>43434</v>
      </c>
      <c r="D30" s="284" t="s">
        <v>461</v>
      </c>
      <c r="E30" s="284" t="s">
        <v>456</v>
      </c>
    </row>
    <row r="31" customFormat="false" ht="12.8" hidden="false" customHeight="false" outlineLevel="0" collapsed="false">
      <c r="A31" s="284" t="s">
        <v>501</v>
      </c>
      <c r="B31" s="284" t="s">
        <v>303</v>
      </c>
      <c r="D31" s="284" t="s">
        <v>472</v>
      </c>
      <c r="E31" s="284" t="s">
        <v>473</v>
      </c>
    </row>
    <row r="32" customFormat="false" ht="12.8" hidden="false" customHeight="false" outlineLevel="0" collapsed="false">
      <c r="A32" s="284" t="s">
        <v>502</v>
      </c>
      <c r="B32" s="284" t="s">
        <v>326</v>
      </c>
      <c r="D32" s="284" t="s">
        <v>461</v>
      </c>
      <c r="E32" s="284" t="s">
        <v>456</v>
      </c>
    </row>
    <row r="33" customFormat="false" ht="12.8" hidden="false" customHeight="false" outlineLevel="0" collapsed="false">
      <c r="A33" s="0" t="s">
        <v>503</v>
      </c>
      <c r="B33" s="284" t="s">
        <v>335</v>
      </c>
      <c r="D33" s="284" t="s">
        <v>463</v>
      </c>
      <c r="E33" s="284" t="s">
        <v>464</v>
      </c>
    </row>
    <row r="34" customFormat="false" ht="12.8" hidden="false" customHeight="false" outlineLevel="0" collapsed="false">
      <c r="A34" s="0" t="s">
        <v>504</v>
      </c>
      <c r="B34" s="284" t="s">
        <v>335</v>
      </c>
      <c r="D34" s="0" t="s">
        <v>505</v>
      </c>
      <c r="E34" s="0" t="s">
        <v>506</v>
      </c>
    </row>
    <row r="35" customFormat="false" ht="12.8" hidden="false" customHeight="false" outlineLevel="0" collapsed="false">
      <c r="A35" s="0" t="s">
        <v>507</v>
      </c>
      <c r="B35" s="284" t="s">
        <v>335</v>
      </c>
      <c r="D35" s="284" t="s">
        <v>508</v>
      </c>
      <c r="E35" s="0" t="s">
        <v>509</v>
      </c>
    </row>
    <row r="36" customFormat="false" ht="12.8" hidden="false" customHeight="false" outlineLevel="0" collapsed="false">
      <c r="A36" s="284" t="s">
        <v>503</v>
      </c>
      <c r="B36" s="284" t="s">
        <v>335</v>
      </c>
      <c r="D36" s="284" t="s">
        <v>510</v>
      </c>
      <c r="E36" s="0" t="s">
        <v>511</v>
      </c>
    </row>
    <row r="37" customFormat="false" ht="12.8" hidden="false" customHeight="false" outlineLevel="0" collapsed="false">
      <c r="B37" s="284" t="s">
        <v>344</v>
      </c>
      <c r="D37" s="284" t="s">
        <v>484</v>
      </c>
      <c r="E37" s="284" t="s">
        <v>464</v>
      </c>
    </row>
    <row r="38" customFormat="false" ht="12.8" hidden="false" customHeight="false" outlineLevel="0" collapsed="false">
      <c r="D38" s="0"/>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B3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34" activeCellId="0" sqref="E34"/>
    </sheetView>
  </sheetViews>
  <sheetFormatPr defaultColWidth="11.53515625" defaultRowHeight="12.8" zeroHeight="false" outlineLevelRow="0" outlineLevelCol="0"/>
  <cols>
    <col collapsed="false" customWidth="true" hidden="false" outlineLevel="0" max="2" min="2" style="0" width="31.16"/>
    <col collapsed="false" customWidth="true" hidden="false" outlineLevel="0" max="3" min="3" style="0" width="13.24"/>
  </cols>
  <sheetData>
    <row r="1" customFormat="false" ht="12.8" hidden="false" customHeight="false" outlineLevel="0" collapsed="false">
      <c r="A1" s="0" t="s">
        <v>512</v>
      </c>
      <c r="B1" s="0" t="s">
        <v>513</v>
      </c>
    </row>
    <row r="2" customFormat="false" ht="12.8" hidden="false" customHeight="false" outlineLevel="0" collapsed="false">
      <c r="A2" s="284" t="s">
        <v>455</v>
      </c>
      <c r="B2" s="0" t="s">
        <v>514</v>
      </c>
    </row>
    <row r="3" customFormat="false" ht="12.8" hidden="false" customHeight="false" outlineLevel="0" collapsed="false">
      <c r="A3" s="0" t="s">
        <v>458</v>
      </c>
      <c r="B3" s="0" t="s">
        <v>515</v>
      </c>
    </row>
    <row r="4" customFormat="false" ht="12.8" hidden="false" customHeight="false" outlineLevel="0" collapsed="false">
      <c r="A4" s="0" t="s">
        <v>461</v>
      </c>
      <c r="B4" s="0" t="s">
        <v>516</v>
      </c>
    </row>
    <row r="5" customFormat="false" ht="23.85" hidden="false" customHeight="false" outlineLevel="0" collapsed="false">
      <c r="A5" s="0" t="s">
        <v>467</v>
      </c>
      <c r="B5" s="286" t="s">
        <v>517</v>
      </c>
    </row>
    <row r="6" customFormat="false" ht="12.8" hidden="false" customHeight="false" outlineLevel="0" collapsed="false">
      <c r="A6" s="0" t="s">
        <v>472</v>
      </c>
      <c r="B6" s="0" t="s">
        <v>518</v>
      </c>
    </row>
    <row r="7" customFormat="false" ht="12.8" hidden="false" customHeight="false" outlineLevel="0" collapsed="false">
      <c r="A7" s="0" t="s">
        <v>476</v>
      </c>
      <c r="B7" s="0" t="s">
        <v>519</v>
      </c>
    </row>
    <row r="8" customFormat="false" ht="12.8" hidden="false" customHeight="false" outlineLevel="0" collapsed="false">
      <c r="A8" s="0" t="s">
        <v>478</v>
      </c>
      <c r="B8" s="0" t="s">
        <v>520</v>
      </c>
    </row>
    <row r="9" customFormat="false" ht="12.8" hidden="false" customHeight="false" outlineLevel="0" collapsed="false">
      <c r="A9" s="0" t="s">
        <v>463</v>
      </c>
      <c r="B9" s="0" t="s">
        <v>521</v>
      </c>
    </row>
    <row r="10" customFormat="false" ht="12.8" hidden="false" customHeight="false" outlineLevel="0" collapsed="false">
      <c r="A10" s="0" t="s">
        <v>484</v>
      </c>
      <c r="B10" s="0" t="s">
        <v>522</v>
      </c>
    </row>
    <row r="11" customFormat="false" ht="12.8" hidden="false" customHeight="false" outlineLevel="0" collapsed="false">
      <c r="A11" s="0" t="s">
        <v>494</v>
      </c>
      <c r="B11" s="0" t="s">
        <v>523</v>
      </c>
    </row>
    <row r="12" customFormat="false" ht="12.8" hidden="false" customHeight="false" outlineLevel="0" collapsed="false">
      <c r="A12" s="0" t="s">
        <v>505</v>
      </c>
      <c r="B12" s="0" t="s">
        <v>524</v>
      </c>
    </row>
    <row r="13" customFormat="false" ht="12.8" hidden="false" customHeight="false" outlineLevel="0" collapsed="false">
      <c r="A13" s="0" t="s">
        <v>508</v>
      </c>
      <c r="B13" s="0" t="s">
        <v>525</v>
      </c>
    </row>
    <row r="14" customFormat="false" ht="12.8" hidden="false" customHeight="false" outlineLevel="0" collapsed="false">
      <c r="A14" s="0" t="s">
        <v>510</v>
      </c>
      <c r="B14" s="0" t="s">
        <v>526</v>
      </c>
    </row>
    <row r="15" customFormat="false" ht="12.8" hidden="false" customHeight="false" outlineLevel="0" collapsed="false">
      <c r="A15" s="284"/>
    </row>
    <row r="16" customFormat="false" ht="12.8" hidden="false" customHeight="false" outlineLevel="0" collapsed="false">
      <c r="A16" s="284"/>
    </row>
    <row r="17" customFormat="false" ht="12.8" hidden="false" customHeight="false" outlineLevel="0" collapsed="false">
      <c r="A17" s="284"/>
    </row>
    <row r="18" customFormat="false" ht="12.8" hidden="false" customHeight="false" outlineLevel="0" collapsed="false">
      <c r="A18" s="284"/>
    </row>
    <row r="19" customFormat="false" ht="12.8" hidden="false" customHeight="false" outlineLevel="0" collapsed="false">
      <c r="A19" s="284"/>
    </row>
    <row r="20" customFormat="false" ht="12.8" hidden="false" customHeight="false" outlineLevel="0" collapsed="false">
      <c r="A20" s="284"/>
    </row>
    <row r="21" customFormat="false" ht="12.8" hidden="false" customHeight="false" outlineLevel="0" collapsed="false">
      <c r="A21" s="284"/>
    </row>
    <row r="22" customFormat="false" ht="12.8" hidden="false" customHeight="false" outlineLevel="0" collapsed="false">
      <c r="A22" s="284"/>
    </row>
    <row r="23" customFormat="false" ht="12.8" hidden="false" customHeight="false" outlineLevel="0" collapsed="false">
      <c r="A23" s="284"/>
    </row>
    <row r="24" customFormat="false" ht="12.8" hidden="false" customHeight="false" outlineLevel="0" collapsed="false">
      <c r="A24" s="284"/>
    </row>
    <row r="25" customFormat="false" ht="12.8" hidden="false" customHeight="false" outlineLevel="0" collapsed="false">
      <c r="A25" s="284"/>
    </row>
    <row r="26" customFormat="false" ht="12.8" hidden="false" customHeight="false" outlineLevel="0" collapsed="false">
      <c r="A26" s="284"/>
    </row>
    <row r="27" customFormat="false" ht="12.8" hidden="false" customHeight="false" outlineLevel="0" collapsed="false">
      <c r="A27" s="284"/>
    </row>
    <row r="28" customFormat="false" ht="12.8" hidden="false" customHeight="false" outlineLevel="0" collapsed="false">
      <c r="A28" s="284"/>
    </row>
    <row r="29" customFormat="false" ht="12.8" hidden="false" customHeight="false" outlineLevel="0" collapsed="false">
      <c r="A29" s="284"/>
    </row>
    <row r="30" customFormat="false" ht="12.8" hidden="false" customHeight="false" outlineLevel="0" collapsed="false">
      <c r="A30" s="284"/>
    </row>
    <row r="31" customFormat="false" ht="12.8" hidden="false" customHeight="false" outlineLevel="0" collapsed="false">
      <c r="A31" s="284"/>
    </row>
    <row r="32" customFormat="false" ht="12.8" hidden="false" customHeight="false" outlineLevel="0" collapsed="false">
      <c r="A32" s="284"/>
    </row>
    <row r="33" customFormat="false" ht="12.8" hidden="false" customHeight="false" outlineLevel="0" collapsed="false">
      <c r="A33" s="284"/>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F3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37" activeCellId="0" sqref="F37"/>
    </sheetView>
  </sheetViews>
  <sheetFormatPr defaultColWidth="11.53515625" defaultRowHeight="12.8" zeroHeight="false" outlineLevelRow="0" outlineLevelCol="0"/>
  <cols>
    <col collapsed="false" customWidth="true" hidden="false" outlineLevel="0" max="1" min="1" style="0" width="13.34"/>
    <col collapsed="false" customWidth="true" hidden="false" outlineLevel="0" max="2" min="2" style="0" width="31.16"/>
  </cols>
  <sheetData>
    <row r="1" customFormat="false" ht="12.8" hidden="false" customHeight="false" outlineLevel="0" collapsed="false">
      <c r="A1" s="0" t="s">
        <v>453</v>
      </c>
      <c r="B1" s="0" t="s">
        <v>513</v>
      </c>
      <c r="C1" s="0" t="s">
        <v>527</v>
      </c>
      <c r="D1" s="0" t="s">
        <v>528</v>
      </c>
      <c r="E1" s="0" t="s">
        <v>529</v>
      </c>
      <c r="F1" s="0" t="s">
        <v>530</v>
      </c>
    </row>
    <row r="2" customFormat="false" ht="12.8" hidden="false" customHeight="false" outlineLevel="0" collapsed="false">
      <c r="A2" s="0" t="s">
        <v>531</v>
      </c>
      <c r="B2" s="0" t="s">
        <v>532</v>
      </c>
    </row>
    <row r="3" customFormat="false" ht="12.8" hidden="false" customHeight="false" outlineLevel="0" collapsed="false">
      <c r="A3" s="0" t="s">
        <v>459</v>
      </c>
      <c r="B3" s="0" t="s">
        <v>533</v>
      </c>
    </row>
    <row r="4" customFormat="false" ht="12.8" hidden="false" customHeight="false" outlineLevel="0" collapsed="false">
      <c r="A4" s="0" t="s">
        <v>534</v>
      </c>
      <c r="B4" s="0" t="s">
        <v>535</v>
      </c>
    </row>
    <row r="5" customFormat="false" ht="12.8" hidden="false" customHeight="false" outlineLevel="0" collapsed="false">
      <c r="A5" s="0" t="s">
        <v>536</v>
      </c>
      <c r="B5" s="0" t="s">
        <v>537</v>
      </c>
    </row>
    <row r="6" customFormat="false" ht="12.8" hidden="false" customHeight="false" outlineLevel="0" collapsed="false">
      <c r="A6" s="0" t="s">
        <v>538</v>
      </c>
      <c r="B6" s="0" t="s">
        <v>539</v>
      </c>
    </row>
    <row r="7" customFormat="false" ht="12.8" hidden="false" customHeight="false" outlineLevel="0" collapsed="false">
      <c r="A7" s="0" t="s">
        <v>540</v>
      </c>
      <c r="B7" s="0" t="s">
        <v>541</v>
      </c>
    </row>
    <row r="8" customFormat="false" ht="12.8" hidden="false" customHeight="false" outlineLevel="0" collapsed="false">
      <c r="A8" s="0" t="s">
        <v>542</v>
      </c>
      <c r="B8" s="0" t="s">
        <v>543</v>
      </c>
    </row>
    <row r="9" customFormat="false" ht="12.8" hidden="false" customHeight="false" outlineLevel="0" collapsed="false">
      <c r="A9" s="0" t="s">
        <v>544</v>
      </c>
      <c r="B9" s="0" t="s">
        <v>545</v>
      </c>
    </row>
    <row r="10" customFormat="false" ht="12.8" hidden="false" customHeight="false" outlineLevel="0" collapsed="false">
      <c r="A10" s="0" t="s">
        <v>546</v>
      </c>
      <c r="B10" s="0" t="s">
        <v>547</v>
      </c>
    </row>
    <row r="11" customFormat="false" ht="12.8" hidden="false" customHeight="false" outlineLevel="0" collapsed="false">
      <c r="A11" s="0" t="s">
        <v>548</v>
      </c>
      <c r="B11" s="0" t="s">
        <v>549</v>
      </c>
    </row>
    <row r="12" customFormat="false" ht="12.8" hidden="false" customHeight="false" outlineLevel="0" collapsed="false">
      <c r="A12" s="0" t="s">
        <v>550</v>
      </c>
      <c r="B12" s="0" t="s">
        <v>551</v>
      </c>
    </row>
    <row r="13" customFormat="false" ht="12.8" hidden="false" customHeight="false" outlineLevel="0" collapsed="false">
      <c r="A13" s="0" t="s">
        <v>552</v>
      </c>
      <c r="B13" s="0" t="s">
        <v>553</v>
      </c>
      <c r="C13" s="0" t="s">
        <v>554</v>
      </c>
    </row>
    <row r="14" customFormat="false" ht="12.8" hidden="false" customHeight="false" outlineLevel="0" collapsed="false">
      <c r="A14" s="0" t="s">
        <v>456</v>
      </c>
      <c r="B14" s="0" t="s">
        <v>516</v>
      </c>
      <c r="C14" s="0" t="s">
        <v>554</v>
      </c>
      <c r="D14" s="0" t="s">
        <v>555</v>
      </c>
      <c r="E14" s="0" t="s">
        <v>555</v>
      </c>
      <c r="F14" s="0" t="s">
        <v>461</v>
      </c>
    </row>
    <row r="15" customFormat="false" ht="12.8" hidden="false" customHeight="false" outlineLevel="0" collapsed="false">
      <c r="A15" s="0" t="s">
        <v>473</v>
      </c>
      <c r="B15" s="0" t="s">
        <v>518</v>
      </c>
      <c r="C15" s="0" t="s">
        <v>554</v>
      </c>
      <c r="D15" s="0" t="s">
        <v>555</v>
      </c>
      <c r="E15" s="0" t="s">
        <v>555</v>
      </c>
      <c r="F15" s="0" t="s">
        <v>472</v>
      </c>
    </row>
    <row r="16" customFormat="false" ht="12.8" hidden="false" customHeight="false" outlineLevel="0" collapsed="false">
      <c r="A16" s="0" t="s">
        <v>495</v>
      </c>
      <c r="B16" s="0" t="s">
        <v>556</v>
      </c>
      <c r="C16" s="0" t="s">
        <v>554</v>
      </c>
      <c r="D16" s="0" t="s">
        <v>554</v>
      </c>
      <c r="E16" s="0" t="s">
        <v>554</v>
      </c>
      <c r="F16" s="0" t="s">
        <v>557</v>
      </c>
    </row>
    <row r="17" customFormat="false" ht="12.8" hidden="false" customHeight="false" outlineLevel="0" collapsed="false">
      <c r="A17" s="0" t="s">
        <v>509</v>
      </c>
      <c r="B17" s="0" t="s">
        <v>558</v>
      </c>
      <c r="C17" s="0" t="s">
        <v>554</v>
      </c>
      <c r="D17" s="0" t="s">
        <v>555</v>
      </c>
      <c r="E17" s="0" t="s">
        <v>555</v>
      </c>
      <c r="F17" s="0" t="s">
        <v>559</v>
      </c>
    </row>
    <row r="18" customFormat="false" ht="12.8" hidden="false" customHeight="false" outlineLevel="0" collapsed="false">
      <c r="A18" s="0" t="s">
        <v>506</v>
      </c>
      <c r="B18" s="0" t="s">
        <v>560</v>
      </c>
      <c r="C18" s="0" t="s">
        <v>554</v>
      </c>
      <c r="D18" s="0" t="s">
        <v>555</v>
      </c>
      <c r="E18" s="0" t="s">
        <v>555</v>
      </c>
      <c r="F18" s="0" t="s">
        <v>561</v>
      </c>
    </row>
    <row r="19" customFormat="false" ht="12.8" hidden="false" customHeight="false" outlineLevel="0" collapsed="false">
      <c r="A19" s="0" t="s">
        <v>562</v>
      </c>
      <c r="B19" s="0" t="s">
        <v>563</v>
      </c>
      <c r="C19" s="0" t="s">
        <v>554</v>
      </c>
      <c r="D19" s="0" t="s">
        <v>555</v>
      </c>
      <c r="E19" s="0" t="s">
        <v>555</v>
      </c>
      <c r="F19" s="0" t="s">
        <v>564</v>
      </c>
    </row>
    <row r="20" customFormat="false" ht="12.8" hidden="false" customHeight="false" outlineLevel="0" collapsed="false">
      <c r="A20" s="0" t="s">
        <v>464</v>
      </c>
      <c r="B20" s="0" t="s">
        <v>521</v>
      </c>
      <c r="C20" s="0" t="s">
        <v>554</v>
      </c>
      <c r="D20" s="0" t="s">
        <v>555</v>
      </c>
      <c r="E20" s="0" t="s">
        <v>555</v>
      </c>
      <c r="F20" s="0" t="s">
        <v>463</v>
      </c>
    </row>
    <row r="21" customFormat="false" ht="12.8" hidden="false" customHeight="false" outlineLevel="0" collapsed="false">
      <c r="A21" s="0" t="s">
        <v>565</v>
      </c>
      <c r="B21" s="0" t="s">
        <v>566</v>
      </c>
      <c r="C21" s="0" t="s">
        <v>554</v>
      </c>
      <c r="D21" s="0" t="s">
        <v>555</v>
      </c>
      <c r="E21" s="0" t="s">
        <v>555</v>
      </c>
      <c r="F21" s="0" t="s">
        <v>567</v>
      </c>
    </row>
    <row r="22" customFormat="false" ht="12.8" hidden="false" customHeight="false" outlineLevel="0" collapsed="false">
      <c r="A22" s="0" t="s">
        <v>485</v>
      </c>
      <c r="B22" s="0" t="s">
        <v>568</v>
      </c>
      <c r="C22" s="0" t="s">
        <v>554</v>
      </c>
      <c r="D22" s="0" t="s">
        <v>555</v>
      </c>
      <c r="E22" s="0" t="s">
        <v>555</v>
      </c>
      <c r="F22" s="0" t="s">
        <v>569</v>
      </c>
    </row>
    <row r="23" customFormat="false" ht="12.8" hidden="false" customHeight="false" outlineLevel="0" collapsed="false">
      <c r="A23" s="0" t="s">
        <v>479</v>
      </c>
      <c r="B23" s="0" t="s">
        <v>520</v>
      </c>
      <c r="C23" s="0" t="s">
        <v>554</v>
      </c>
      <c r="D23" s="0" t="s">
        <v>555</v>
      </c>
      <c r="E23" s="0" t="s">
        <v>555</v>
      </c>
      <c r="F23" s="0" t="s">
        <v>478</v>
      </c>
    </row>
    <row r="24" customFormat="false" ht="12.8" hidden="false" customHeight="false" outlineLevel="0" collapsed="false">
      <c r="A24" s="0" t="s">
        <v>570</v>
      </c>
      <c r="B24" s="0" t="s">
        <v>571</v>
      </c>
      <c r="C24" s="0" t="s">
        <v>554</v>
      </c>
      <c r="D24" s="0" t="s">
        <v>554</v>
      </c>
      <c r="E24" s="0" t="s">
        <v>555</v>
      </c>
      <c r="F24" s="0" t="s">
        <v>572</v>
      </c>
    </row>
    <row r="25" customFormat="false" ht="12.8" hidden="false" customHeight="false" outlineLevel="0" collapsed="false">
      <c r="A25" s="0" t="s">
        <v>573</v>
      </c>
      <c r="B25" s="0" t="s">
        <v>574</v>
      </c>
      <c r="C25" s="0" t="s">
        <v>554</v>
      </c>
      <c r="D25" s="0" t="s">
        <v>554</v>
      </c>
      <c r="E25" s="0" t="s">
        <v>555</v>
      </c>
      <c r="F25" s="0" t="s">
        <v>575</v>
      </c>
    </row>
    <row r="26" customFormat="false" ht="12.8" hidden="false" customHeight="false" outlineLevel="0" collapsed="false">
      <c r="A26" s="0" t="s">
        <v>576</v>
      </c>
      <c r="B26" s="0" t="s">
        <v>577</v>
      </c>
      <c r="C26" s="0" t="s">
        <v>555</v>
      </c>
    </row>
    <row r="27" customFormat="false" ht="12.8" hidden="false" customHeight="false" outlineLevel="0" collapsed="false">
      <c r="A27" s="0" t="s">
        <v>578</v>
      </c>
      <c r="B27" s="0" t="s">
        <v>579</v>
      </c>
      <c r="C27" s="0" t="s">
        <v>555</v>
      </c>
      <c r="D27" s="0" t="s">
        <v>554</v>
      </c>
      <c r="F27" s="0" t="s">
        <v>580</v>
      </c>
    </row>
    <row r="28" customFormat="false" ht="12.8" hidden="false" customHeight="false" outlineLevel="0" collapsed="false">
      <c r="A28" s="0" t="s">
        <v>581</v>
      </c>
      <c r="B28" s="0" t="s">
        <v>121</v>
      </c>
      <c r="C28" s="0" t="s">
        <v>555</v>
      </c>
      <c r="D28" s="0" t="s">
        <v>554</v>
      </c>
      <c r="E28" s="0" t="s">
        <v>554</v>
      </c>
      <c r="F28" s="0" t="s">
        <v>582</v>
      </c>
    </row>
    <row r="29" customFormat="false" ht="12.8" hidden="false" customHeight="false" outlineLevel="0" collapsed="false">
      <c r="A29" s="0" t="s">
        <v>468</v>
      </c>
      <c r="B29" s="0" t="s">
        <v>583</v>
      </c>
      <c r="C29" s="0" t="s">
        <v>555</v>
      </c>
      <c r="D29" s="0" t="s">
        <v>554</v>
      </c>
      <c r="E29" s="0" t="s">
        <v>554</v>
      </c>
      <c r="F29" s="0" t="s">
        <v>467</v>
      </c>
    </row>
    <row r="30" customFormat="false" ht="12.8" hidden="false" customHeight="false" outlineLevel="0" collapsed="false">
      <c r="A30" s="0" t="s">
        <v>511</v>
      </c>
      <c r="B30" s="0" t="s">
        <v>584</v>
      </c>
      <c r="C30" s="0" t="s">
        <v>555</v>
      </c>
      <c r="D30" s="0" t="s">
        <v>554</v>
      </c>
      <c r="E30" s="0" t="s">
        <v>554</v>
      </c>
      <c r="F30" s="0" t="s">
        <v>585</v>
      </c>
    </row>
    <row r="31" customFormat="false" ht="12.8" hidden="false" customHeight="false" outlineLevel="0" collapsed="false">
      <c r="A31" s="0" t="s">
        <v>586</v>
      </c>
      <c r="B31" s="0" t="s">
        <v>587</v>
      </c>
      <c r="C31" s="0" t="s">
        <v>555</v>
      </c>
      <c r="D31" s="0" t="s">
        <v>554</v>
      </c>
      <c r="E31" s="0" t="s">
        <v>554</v>
      </c>
      <c r="F31" s="0" t="s">
        <v>588</v>
      </c>
    </row>
    <row r="32" customFormat="false" ht="12.8" hidden="false" customHeight="false" outlineLevel="0" collapsed="false">
      <c r="A32" s="0" t="s">
        <v>589</v>
      </c>
      <c r="B32" s="0" t="s">
        <v>590</v>
      </c>
      <c r="C32" s="0" t="s">
        <v>555</v>
      </c>
      <c r="D32" s="0" t="s">
        <v>554</v>
      </c>
      <c r="E32" s="0" t="s">
        <v>554</v>
      </c>
      <c r="F32" s="0" t="s">
        <v>591</v>
      </c>
    </row>
    <row r="33" customFormat="false" ht="12.8" hidden="false" customHeight="false" outlineLevel="0" collapsed="false">
      <c r="A33" s="0" t="s">
        <v>592</v>
      </c>
      <c r="B33" s="0" t="s">
        <v>593</v>
      </c>
      <c r="C33" s="0" t="s">
        <v>555</v>
      </c>
      <c r="D33" s="0" t="s">
        <v>554</v>
      </c>
      <c r="E33" s="0" t="s">
        <v>554</v>
      </c>
      <c r="F33" s="0" t="s">
        <v>594</v>
      </c>
    </row>
    <row r="34" customFormat="false" ht="12.8" hidden="false" customHeight="false" outlineLevel="0" collapsed="false">
      <c r="A34" s="0" t="s">
        <v>595</v>
      </c>
      <c r="B34" s="0" t="s">
        <v>596</v>
      </c>
      <c r="C34" s="0" t="s">
        <v>555</v>
      </c>
      <c r="D34" s="0" t="s">
        <v>554</v>
      </c>
      <c r="E34" s="0" t="s">
        <v>554</v>
      </c>
      <c r="F34" s="0" t="s">
        <v>597</v>
      </c>
    </row>
    <row r="35" customFormat="false" ht="12.8" hidden="false" customHeight="false" outlineLevel="0" collapsed="false">
      <c r="A35" s="0" t="s">
        <v>598</v>
      </c>
      <c r="B35" s="0" t="s">
        <v>599</v>
      </c>
      <c r="C35" s="0" t="s">
        <v>555</v>
      </c>
      <c r="D35" s="0" t="s">
        <v>600</v>
      </c>
      <c r="E35" s="0" t="s">
        <v>600</v>
      </c>
      <c r="F35" s="0" t="s">
        <v>601</v>
      </c>
    </row>
    <row r="36" customFormat="false" ht="12.8" hidden="false" customHeight="false" outlineLevel="0" collapsed="false">
      <c r="A36" s="0" t="s">
        <v>602</v>
      </c>
      <c r="B36" s="0" t="s">
        <v>603</v>
      </c>
      <c r="C36" s="0" t="s">
        <v>555</v>
      </c>
      <c r="D36" s="0" t="s">
        <v>554</v>
      </c>
      <c r="E36" s="0" t="s">
        <v>554</v>
      </c>
      <c r="F36" s="0" t="s">
        <v>604</v>
      </c>
    </row>
    <row r="38" customFormat="false" ht="12.8" hidden="false" customHeight="false" outlineLevel="0" collapsed="false">
      <c r="E38" s="284"/>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customXml/_rels/item1.xml.rels><?xml version="1.0" encoding="UTF-8"?>
<Relationships xmlns="http://schemas.openxmlformats.org/package/2006/relationships"><Relationship Id="rId1" Type="http://schemas.openxmlformats.org/officeDocument/2006/relationships/customXmlProps" Target="itemProps1.xml"/>
</Relationships>
</file>

<file path=customXml/_rels/item2.xml.rels><?xml version="1.0" encoding="UTF-8"?>
<Relationships xmlns="http://schemas.openxmlformats.org/package/2006/relationships"><Relationship Id="rId1" Type="http://schemas.openxmlformats.org/officeDocument/2006/relationships/customXmlProps" Target="itemProps2.xml"/>
</Relationships>
</file>

<file path=customXml/_rels/item3.xml.rels><?xml version="1.0" encoding="UTF-8"?>
<Relationships xmlns="http://schemas.openxmlformats.org/package/2006/relationships"><Relationship Id="rId1" Type="http://schemas.openxmlformats.org/officeDocument/2006/relationships/customXmlProps" Target="itemProps3.xml"/>
</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01FB1709853CD43B91324E659FEEF62" ma:contentTypeVersion="7" ma:contentTypeDescription="Create a new document." ma:contentTypeScope="" ma:versionID="082593f6b6f6206fb1e4fe80b252da9d">
  <xsd:schema xmlns:xsd="http://www.w3.org/2001/XMLSchema" xmlns:xs="http://www.w3.org/2001/XMLSchema" xmlns:p="http://schemas.microsoft.com/office/2006/metadata/properties" xmlns:ns2="788082fb-7626-49ef-aa8e-0731b956fb76" xmlns:ns3="e4d25d94-d5d1-4532-a045-2bc090e53b49" targetNamespace="http://schemas.microsoft.com/office/2006/metadata/properties" ma:root="true" ma:fieldsID="5f03b12f1dbe366df101f2a19988aa5b" ns2:_="" ns3:_="">
    <xsd:import namespace="788082fb-7626-49ef-aa8e-0731b956fb76"/>
    <xsd:import namespace="e4d25d94-d5d1-4532-a045-2bc090e53b49"/>
    <xsd:element name="properties">
      <xsd:complexType>
        <xsd:sequence>
          <xsd:element name="documentManagement">
            <xsd:complexType>
              <xsd:all>
                <xsd:element ref="ns2:MediaServiceMetadata" minOccurs="0"/>
                <xsd:element ref="ns2:MediaServiceFastMetadata" minOccurs="0"/>
                <xsd:element ref="ns2:MediaServiceAutoTags" minOccurs="0"/>
                <xsd:element ref="ns3:SharedWithUsers" minOccurs="0"/>
                <xsd:element ref="ns3:SharedWithDetails" minOccurs="0"/>
                <xsd:element ref="ns2:MediaServiceOCR"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88082fb-7626-49ef-aa8e-0731b956fb7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e4d25d94-d5d1-4532-a045-2bc090e53b49"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DBE8CFF-331E-4D89-B7FE-AEAF2AF19595}"/>
</file>

<file path=customXml/itemProps2.xml><?xml version="1.0" encoding="utf-8"?>
<ds:datastoreItem xmlns:ds="http://schemas.openxmlformats.org/officeDocument/2006/customXml" ds:itemID="{DC290C53-F7D6-428E-8085-560F9BF9A99C}"/>
</file>

<file path=customXml/itemProps3.xml><?xml version="1.0" encoding="utf-8"?>
<ds:datastoreItem xmlns:ds="http://schemas.openxmlformats.org/officeDocument/2006/customXml" ds:itemID="{69587926-A842-4C7B-9AF9-F31E2D5DBEB2}"/>
</file>

<file path=docProps/app.xml><?xml version="1.0" encoding="utf-8"?>
<Properties xmlns="http://schemas.openxmlformats.org/officeDocument/2006/extended-properties" xmlns:vt="http://schemas.openxmlformats.org/officeDocument/2006/docPropsVTypes">
  <Template/>
  <TotalTime>61</TotalTime>
  <Application>LibreOffice/6.3.3.2.0$Linux_X86_64 LibreOffice_project/3de445f0488b6b3c405222dbea27cd0e1481200f</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2018-02-20T15:20:20Z</dcterms:created>
  <dc:creator>Raya Ahmed</dc:creator>
  <dc:description/>
  <dc:language>en-GB</dc:language>
  <cp:lastModifiedBy/>
  <dcterms:modified xsi:type="dcterms:W3CDTF">2019-11-15T13:05:19Z</dcterms:modified>
  <cp:revision>8</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ntentTypeId">
    <vt:lpwstr>0x010100B01FB1709853CD43B91324E659FEEF62</vt:lpwstr>
  </property>
</Properties>
</file>