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22"/>
  <workbookPr defaultThemeVersion="166925"/>
  <mc:AlternateContent xmlns:mc="http://schemas.openxmlformats.org/markup-compatibility/2006">
    <mc:Choice Requires="x15">
      <x15ac:absPath xmlns:x15ac="http://schemas.microsoft.com/office/spreadsheetml/2010/11/ac" url="C:\Users\Raya Ahmed\Desktop\Excel tables from samples\"/>
    </mc:Choice>
  </mc:AlternateContent>
  <xr:revisionPtr revIDLastSave="0" documentId="8_{30A62162-2D30-4D54-8FC1-5DED5465D508}" xr6:coauthVersionLast="45" xr6:coauthVersionMax="45" xr10:uidLastSave="{00000000-0000-0000-0000-000000000000}"/>
  <bookViews>
    <workbookView xWindow="28680" yWindow="-120" windowWidth="25440" windowHeight="15390" firstSheet="1" activeTab="1" xr2:uid="{00000000-000D-0000-FFFF-FFFF00000000}"/>
  </bookViews>
  <sheets>
    <sheet name="Raya's Data" sheetId="1" r:id="rId1"/>
    <sheet name="Simone's notes" sheetId="2"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104" i="1" l="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Y104" i="1"/>
  <c r="AX104" i="1"/>
  <c r="AW104" i="1"/>
  <c r="AV104" i="1"/>
  <c r="AU104" i="1"/>
  <c r="AT104" i="1"/>
  <c r="AS104" i="1"/>
  <c r="AR104" i="1"/>
  <c r="AQ104" i="1"/>
  <c r="AO104" i="1"/>
  <c r="AN104" i="1"/>
  <c r="AM104" i="1"/>
  <c r="AL104" i="1"/>
  <c r="AK104" i="1"/>
  <c r="AI104" i="1"/>
  <c r="AG104" i="1"/>
  <c r="AF104" i="1"/>
  <c r="BZ103" i="1"/>
  <c r="BY103" i="1"/>
  <c r="BX103" i="1"/>
  <c r="BW103" i="1"/>
  <c r="BV103" i="1"/>
  <c r="BR103" i="1"/>
  <c r="BQ103" i="1"/>
  <c r="BP103" i="1"/>
  <c r="BO103" i="1"/>
  <c r="BN103" i="1"/>
  <c r="BJ103" i="1"/>
  <c r="BI103" i="1"/>
  <c r="BH103" i="1"/>
  <c r="BG103" i="1"/>
  <c r="BF103" i="1"/>
  <c r="BB103" i="1"/>
  <c r="BA103" i="1"/>
  <c r="AY103" i="1"/>
  <c r="AX103" i="1"/>
  <c r="AW103" i="1"/>
  <c r="AV103" i="1"/>
  <c r="AQ103" i="1"/>
  <c r="AO103" i="1"/>
  <c r="AN103" i="1"/>
  <c r="AK103" i="1"/>
  <c r="AG103" i="1"/>
  <c r="AF103" i="1"/>
  <c r="BY102" i="1"/>
  <c r="BX102" i="1"/>
  <c r="BW102" i="1"/>
  <c r="BV102" i="1"/>
  <c r="BQ102" i="1"/>
  <c r="BP102" i="1"/>
  <c r="BO102" i="1"/>
  <c r="BN102" i="1"/>
  <c r="BI102" i="1"/>
  <c r="BH102" i="1"/>
  <c r="BG102" i="1"/>
  <c r="BF102" i="1"/>
  <c r="BA102" i="1"/>
  <c r="AY102" i="1"/>
  <c r="AX102" i="1"/>
  <c r="AW102" i="1"/>
  <c r="AV102" i="1"/>
  <c r="AR102" i="1"/>
  <c r="AQ102" i="1"/>
  <c r="AO102" i="1"/>
  <c r="AN102" i="1"/>
  <c r="AM102" i="1"/>
  <c r="AL102" i="1"/>
  <c r="AK102" i="1"/>
  <c r="AI102" i="1"/>
  <c r="AG102" i="1"/>
  <c r="AF102"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Y101" i="1"/>
  <c r="AX101" i="1"/>
  <c r="AW101" i="1"/>
  <c r="AV101" i="1"/>
  <c r="AU101" i="1"/>
  <c r="AT101" i="1"/>
  <c r="AS101" i="1"/>
  <c r="AR101" i="1"/>
  <c r="AQ101" i="1"/>
  <c r="AO101" i="1"/>
  <c r="AN101" i="1"/>
  <c r="AM101" i="1"/>
  <c r="AL101" i="1"/>
  <c r="AK101" i="1"/>
  <c r="AI101" i="1"/>
  <c r="AG101" i="1"/>
  <c r="AF101"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Y100" i="1"/>
  <c r="AX100" i="1"/>
  <c r="AW100" i="1"/>
  <c r="AV100" i="1"/>
  <c r="AU100" i="1"/>
  <c r="AT100" i="1"/>
  <c r="AS100" i="1"/>
  <c r="AR100" i="1"/>
  <c r="AQ100" i="1"/>
  <c r="AO100" i="1"/>
  <c r="AN100" i="1"/>
  <c r="AM100" i="1"/>
  <c r="AL100" i="1"/>
  <c r="AK100" i="1"/>
  <c r="AI100" i="1"/>
  <c r="AG100" i="1"/>
  <c r="AF100"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Y99" i="1"/>
  <c r="AX99" i="1"/>
  <c r="AW99" i="1"/>
  <c r="AV99" i="1"/>
  <c r="AU99" i="1"/>
  <c r="AT99" i="1"/>
  <c r="AS99" i="1"/>
  <c r="AR99" i="1"/>
  <c r="AQ99" i="1"/>
  <c r="AO99" i="1"/>
  <c r="AN99" i="1"/>
  <c r="AM99" i="1"/>
  <c r="AL99" i="1"/>
  <c r="AK99" i="1"/>
  <c r="AI99" i="1"/>
  <c r="AG99" i="1"/>
  <c r="AF99"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Y98" i="1"/>
  <c r="AX98" i="1"/>
  <c r="AW98" i="1"/>
  <c r="AV98" i="1"/>
  <c r="AU98" i="1"/>
  <c r="AT98" i="1"/>
  <c r="AS98" i="1"/>
  <c r="AR98" i="1"/>
  <c r="AQ98" i="1"/>
  <c r="AO98" i="1"/>
  <c r="AN98" i="1"/>
  <c r="AM98" i="1"/>
  <c r="AL98" i="1"/>
  <c r="AK98" i="1"/>
  <c r="AI98" i="1"/>
  <c r="AG98" i="1"/>
  <c r="AF98"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Y97" i="1"/>
  <c r="AX97" i="1"/>
  <c r="AW97" i="1"/>
  <c r="AV97" i="1"/>
  <c r="AU97" i="1"/>
  <c r="AT97" i="1"/>
  <c r="AS97" i="1"/>
  <c r="AR97" i="1"/>
  <c r="AQ97" i="1"/>
  <c r="AO97" i="1"/>
  <c r="AN97" i="1"/>
  <c r="AM97" i="1"/>
  <c r="AL97" i="1"/>
  <c r="AK97" i="1"/>
  <c r="AI97" i="1"/>
  <c r="AG97" i="1"/>
  <c r="AF97" i="1"/>
  <c r="BY96" i="1"/>
  <c r="BX96" i="1"/>
  <c r="BW96" i="1"/>
  <c r="BV96" i="1"/>
  <c r="BR96" i="1"/>
  <c r="BQ96" i="1"/>
  <c r="BP96" i="1"/>
  <c r="BO96" i="1"/>
  <c r="BN96" i="1"/>
  <c r="BJ96" i="1"/>
  <c r="BI96" i="1"/>
  <c r="BH96" i="1"/>
  <c r="BG96" i="1"/>
  <c r="BF96" i="1"/>
  <c r="BA96" i="1"/>
  <c r="AY96" i="1"/>
  <c r="AX96" i="1"/>
  <c r="AW96" i="1"/>
  <c r="AV96" i="1"/>
  <c r="AQ96" i="1"/>
  <c r="AO96" i="1"/>
  <c r="AN96" i="1"/>
  <c r="AM96" i="1"/>
  <c r="AL96" i="1"/>
  <c r="AK96" i="1"/>
  <c r="AI96" i="1"/>
  <c r="AG96" i="1"/>
  <c r="AF96" i="1"/>
  <c r="BY95" i="1"/>
  <c r="BX95" i="1"/>
  <c r="BW95" i="1"/>
  <c r="BV95" i="1"/>
  <c r="BQ95" i="1"/>
  <c r="BP95" i="1"/>
  <c r="BO95" i="1"/>
  <c r="BN95" i="1"/>
  <c r="BJ95" i="1"/>
  <c r="BI95" i="1"/>
  <c r="BH95" i="1"/>
  <c r="BG95" i="1"/>
  <c r="BF95" i="1"/>
  <c r="AY95" i="1"/>
  <c r="AX95" i="1"/>
  <c r="AW95" i="1"/>
  <c r="AV95" i="1"/>
  <c r="AQ95" i="1"/>
  <c r="AO95" i="1"/>
  <c r="AN95" i="1"/>
  <c r="AK95" i="1"/>
  <c r="AI95" i="1"/>
  <c r="AG95" i="1"/>
  <c r="AF95" i="1"/>
  <c r="U95" i="1"/>
  <c r="T95" i="1"/>
  <c r="V95" i="1"/>
  <c r="Y95"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Y94" i="1"/>
  <c r="AX94" i="1"/>
  <c r="AW94" i="1"/>
  <c r="AV94" i="1"/>
  <c r="AU94" i="1"/>
  <c r="AT94" i="1"/>
  <c r="AS94" i="1"/>
  <c r="AR94" i="1"/>
  <c r="AQ94" i="1"/>
  <c r="AO94" i="1"/>
  <c r="AN94" i="1"/>
  <c r="AM94" i="1"/>
  <c r="AL94" i="1"/>
  <c r="AK94" i="1"/>
  <c r="AI94" i="1"/>
  <c r="AG94" i="1"/>
  <c r="AF94" i="1"/>
  <c r="BY93" i="1"/>
  <c r="BX93" i="1"/>
  <c r="BW93" i="1"/>
  <c r="BV93" i="1"/>
  <c r="BR93" i="1"/>
  <c r="BQ93" i="1"/>
  <c r="BP93" i="1"/>
  <c r="BO93" i="1"/>
  <c r="BN93" i="1"/>
  <c r="BI93" i="1"/>
  <c r="BH93" i="1"/>
  <c r="BG93" i="1"/>
  <c r="BF93" i="1"/>
  <c r="BA93" i="1"/>
  <c r="AY93" i="1"/>
  <c r="AX93" i="1"/>
  <c r="AW93" i="1"/>
  <c r="AV93" i="1"/>
  <c r="AQ93" i="1"/>
  <c r="AO93" i="1"/>
  <c r="AN93" i="1"/>
  <c r="AM93" i="1"/>
  <c r="AL93" i="1"/>
  <c r="AK93" i="1"/>
  <c r="AI93" i="1"/>
  <c r="AG93" i="1"/>
  <c r="AF93" i="1"/>
  <c r="BY92" i="1"/>
  <c r="BX92" i="1"/>
  <c r="BW92" i="1"/>
  <c r="BV92" i="1"/>
  <c r="BR92" i="1"/>
  <c r="BQ92" i="1"/>
  <c r="BP92" i="1"/>
  <c r="BO92" i="1"/>
  <c r="BN92" i="1"/>
  <c r="BJ92" i="1"/>
  <c r="BI92" i="1"/>
  <c r="BH92" i="1"/>
  <c r="BG92" i="1"/>
  <c r="BF92" i="1"/>
  <c r="BB92" i="1"/>
  <c r="BA92" i="1"/>
  <c r="AY92" i="1"/>
  <c r="AX92" i="1"/>
  <c r="AW92" i="1"/>
  <c r="AV92" i="1"/>
  <c r="AR92" i="1"/>
  <c r="AQ92" i="1"/>
  <c r="AO92" i="1"/>
  <c r="AN92" i="1"/>
  <c r="AM92" i="1"/>
  <c r="AL92" i="1"/>
  <c r="AK92" i="1"/>
  <c r="AI92" i="1"/>
  <c r="AG92" i="1"/>
  <c r="AF92" i="1"/>
  <c r="BY91" i="1"/>
  <c r="BX91" i="1"/>
  <c r="BW91" i="1"/>
  <c r="BV91" i="1"/>
  <c r="BR91" i="1"/>
  <c r="BQ91" i="1"/>
  <c r="BP91" i="1"/>
  <c r="BO91" i="1"/>
  <c r="BN91" i="1"/>
  <c r="BJ91" i="1"/>
  <c r="BI91" i="1"/>
  <c r="BH91" i="1"/>
  <c r="BG91" i="1"/>
  <c r="BF91" i="1"/>
  <c r="BA91" i="1"/>
  <c r="AY91" i="1"/>
  <c r="AX91" i="1"/>
  <c r="AW91" i="1"/>
  <c r="AV91" i="1"/>
  <c r="AQ91" i="1"/>
  <c r="AO91" i="1"/>
  <c r="AN91" i="1"/>
  <c r="AM91" i="1"/>
  <c r="AL91" i="1"/>
  <c r="AK91" i="1"/>
  <c r="AI91" i="1"/>
  <c r="AG91" i="1"/>
  <c r="AF91" i="1"/>
  <c r="BY90" i="1"/>
  <c r="BX90" i="1"/>
  <c r="BW90" i="1"/>
  <c r="BV90" i="1"/>
  <c r="BQ90" i="1"/>
  <c r="BP90" i="1"/>
  <c r="BO90" i="1"/>
  <c r="BN90" i="1"/>
  <c r="BJ90" i="1"/>
  <c r="BI90" i="1"/>
  <c r="BH90" i="1"/>
  <c r="BG90" i="1"/>
  <c r="BF90" i="1"/>
  <c r="BB90" i="1"/>
  <c r="BA90" i="1"/>
  <c r="AY90" i="1"/>
  <c r="AX90" i="1"/>
  <c r="AW90" i="1"/>
  <c r="AV90" i="1"/>
  <c r="AR90" i="1"/>
  <c r="AQ90" i="1"/>
  <c r="AO90" i="1"/>
  <c r="AN90" i="1"/>
  <c r="AM90" i="1"/>
  <c r="AL90" i="1"/>
  <c r="AK90" i="1"/>
  <c r="AJ90" i="1"/>
  <c r="AI90" i="1"/>
  <c r="AG90" i="1"/>
  <c r="AF90"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Y89" i="1"/>
  <c r="AX89" i="1"/>
  <c r="AW89" i="1"/>
  <c r="AV89" i="1"/>
  <c r="AU89" i="1"/>
  <c r="AT89" i="1"/>
  <c r="AS89" i="1"/>
  <c r="AR89" i="1"/>
  <c r="AQ89" i="1"/>
  <c r="AO89" i="1"/>
  <c r="AN89" i="1"/>
  <c r="AM89" i="1"/>
  <c r="AL89" i="1"/>
  <c r="AK89" i="1"/>
  <c r="AI89" i="1"/>
  <c r="AG89" i="1"/>
  <c r="AF89"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Y88" i="1"/>
  <c r="AX88" i="1"/>
  <c r="AW88" i="1"/>
  <c r="AV88" i="1"/>
  <c r="AU88" i="1"/>
  <c r="AT88" i="1"/>
  <c r="AS88" i="1"/>
  <c r="AR88" i="1"/>
  <c r="AQ88" i="1"/>
  <c r="AO88" i="1"/>
  <c r="AN88" i="1"/>
  <c r="AK88" i="1"/>
  <c r="AG88" i="1"/>
  <c r="AF88" i="1"/>
  <c r="BY87" i="1"/>
  <c r="BX87" i="1"/>
  <c r="BW87" i="1"/>
  <c r="BV87" i="1"/>
  <c r="BU87" i="1"/>
  <c r="BT87" i="1"/>
  <c r="BS87" i="1"/>
  <c r="BR87" i="1"/>
  <c r="BQ87" i="1"/>
  <c r="BP87" i="1"/>
  <c r="BO87" i="1"/>
  <c r="BN87" i="1"/>
  <c r="BM87" i="1"/>
  <c r="BL87" i="1"/>
  <c r="BK87" i="1"/>
  <c r="BJ87" i="1"/>
  <c r="BI87" i="1"/>
  <c r="BH87" i="1"/>
  <c r="BG87" i="1"/>
  <c r="BF87" i="1"/>
  <c r="BA87" i="1"/>
  <c r="AY87" i="1"/>
  <c r="AX87" i="1"/>
  <c r="AW87" i="1"/>
  <c r="AV87" i="1"/>
  <c r="AQ87" i="1"/>
  <c r="AO87" i="1"/>
  <c r="AN87" i="1"/>
  <c r="AM87" i="1"/>
  <c r="AL87" i="1"/>
  <c r="AK87" i="1"/>
  <c r="AI87" i="1"/>
  <c r="AG87" i="1"/>
  <c r="AF87" i="1"/>
  <c r="BY85" i="1"/>
  <c r="BX85" i="1"/>
  <c r="BW85" i="1"/>
  <c r="BV85" i="1"/>
  <c r="BR85" i="1"/>
  <c r="BQ85" i="1"/>
  <c r="BP85" i="1"/>
  <c r="BO85" i="1"/>
  <c r="BN85" i="1"/>
  <c r="BI85" i="1"/>
  <c r="BH85" i="1"/>
  <c r="BG85" i="1"/>
  <c r="BF85" i="1"/>
  <c r="BA85" i="1"/>
  <c r="AY85" i="1"/>
  <c r="AX85" i="1"/>
  <c r="AW85" i="1"/>
  <c r="AV85" i="1"/>
  <c r="AQ85" i="1"/>
  <c r="AO85" i="1"/>
  <c r="AN85" i="1"/>
  <c r="AM85" i="1"/>
  <c r="AL85" i="1"/>
  <c r="AK85" i="1"/>
  <c r="AI85" i="1"/>
  <c r="AG85" i="1"/>
  <c r="AF85"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Y84" i="1"/>
  <c r="AX84" i="1"/>
  <c r="AW84" i="1"/>
  <c r="AV84" i="1"/>
  <c r="AU84" i="1"/>
  <c r="AT84" i="1"/>
  <c r="AS84" i="1"/>
  <c r="AR84" i="1"/>
  <c r="AQ84" i="1"/>
  <c r="AO84" i="1"/>
  <c r="AN84" i="1"/>
  <c r="AM84" i="1"/>
  <c r="AL84" i="1"/>
  <c r="AK84" i="1"/>
  <c r="AI84" i="1"/>
  <c r="AG84" i="1"/>
  <c r="AF84"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Y83" i="1"/>
  <c r="AX83" i="1"/>
  <c r="AW83" i="1"/>
  <c r="AV83" i="1"/>
  <c r="AU83" i="1"/>
  <c r="AT83" i="1"/>
  <c r="AS83" i="1"/>
  <c r="AR83" i="1"/>
  <c r="AQ83" i="1"/>
  <c r="AO83" i="1"/>
  <c r="AN83" i="1"/>
  <c r="AM83" i="1"/>
  <c r="AL83" i="1"/>
  <c r="AK83" i="1"/>
  <c r="AI83" i="1"/>
  <c r="AG83" i="1"/>
  <c r="AF83" i="1"/>
  <c r="BY82" i="1"/>
  <c r="BX82" i="1"/>
  <c r="BU82" i="1"/>
  <c r="BT82" i="1"/>
  <c r="BS82" i="1"/>
  <c r="BR82" i="1"/>
  <c r="BQ82" i="1"/>
  <c r="BP82" i="1"/>
  <c r="BO82" i="1"/>
  <c r="BN82" i="1"/>
  <c r="BM82" i="1"/>
  <c r="BL82" i="1"/>
  <c r="BK82" i="1"/>
  <c r="BJ82" i="1"/>
  <c r="BI82" i="1"/>
  <c r="BH82" i="1"/>
  <c r="BG82" i="1"/>
  <c r="BF82" i="1"/>
  <c r="BE82" i="1"/>
  <c r="BD82" i="1"/>
  <c r="BC82" i="1"/>
  <c r="BB82" i="1"/>
  <c r="BA82" i="1"/>
  <c r="AY82" i="1"/>
  <c r="AX82" i="1"/>
  <c r="AW82" i="1"/>
  <c r="AV82" i="1"/>
  <c r="AU82" i="1"/>
  <c r="AT82" i="1"/>
  <c r="AS82" i="1"/>
  <c r="AR82" i="1"/>
  <c r="AQ82" i="1"/>
  <c r="AO82" i="1"/>
  <c r="AN82" i="1"/>
  <c r="AM82" i="1"/>
  <c r="AL82" i="1"/>
  <c r="AK82" i="1"/>
  <c r="AI82" i="1"/>
  <c r="AF82" i="1"/>
  <c r="BZ81" i="1"/>
  <c r="BY81" i="1"/>
  <c r="BX81" i="1"/>
  <c r="BW81" i="1"/>
  <c r="BV81" i="1"/>
  <c r="BR81" i="1"/>
  <c r="BQ81" i="1"/>
  <c r="BP81" i="1"/>
  <c r="BO81" i="1"/>
  <c r="BN81" i="1"/>
  <c r="BI81" i="1"/>
  <c r="BH81" i="1"/>
  <c r="BG81" i="1"/>
  <c r="BF81" i="1"/>
  <c r="BA81" i="1"/>
  <c r="AY81" i="1"/>
  <c r="AX81" i="1"/>
  <c r="AW81" i="1"/>
  <c r="AV81" i="1"/>
  <c r="AR81" i="1"/>
  <c r="AQ81" i="1"/>
  <c r="AO81" i="1"/>
  <c r="AN81" i="1"/>
  <c r="AM81" i="1"/>
  <c r="AL81" i="1"/>
  <c r="AK81" i="1"/>
  <c r="AI81" i="1"/>
  <c r="AG81" i="1"/>
  <c r="AF81" i="1"/>
  <c r="BZ79" i="1"/>
  <c r="BY79" i="1"/>
  <c r="BX79" i="1"/>
  <c r="BQ79" i="1"/>
  <c r="BO79" i="1"/>
  <c r="BN79" i="1"/>
  <c r="BJ79" i="1"/>
  <c r="BI79" i="1"/>
  <c r="BH79" i="1"/>
  <c r="BG79" i="1"/>
  <c r="BF79" i="1"/>
  <c r="AY79" i="1"/>
  <c r="AX79" i="1"/>
  <c r="AW79" i="1"/>
  <c r="AV79" i="1"/>
  <c r="AQ79" i="1"/>
  <c r="AO79" i="1"/>
  <c r="AN79" i="1"/>
  <c r="AK79" i="1"/>
  <c r="AF79" i="1"/>
  <c r="BV79" i="1"/>
  <c r="BY78" i="1"/>
  <c r="BX78" i="1"/>
  <c r="BU78" i="1"/>
  <c r="BT78" i="1"/>
  <c r="BS78" i="1"/>
  <c r="BR78" i="1"/>
  <c r="BQ78" i="1"/>
  <c r="BO78" i="1"/>
  <c r="BN78" i="1"/>
  <c r="BM78" i="1"/>
  <c r="BK78" i="1"/>
  <c r="BJ78" i="1"/>
  <c r="BI78" i="1"/>
  <c r="BH78" i="1"/>
  <c r="BG78" i="1"/>
  <c r="BF78" i="1"/>
  <c r="BE78" i="1"/>
  <c r="BD78" i="1"/>
  <c r="BC78" i="1"/>
  <c r="BB78" i="1"/>
  <c r="AY78" i="1"/>
  <c r="AX78" i="1"/>
  <c r="AW78" i="1"/>
  <c r="AU78" i="1"/>
  <c r="AT78" i="1"/>
  <c r="AS78" i="1"/>
  <c r="AR78" i="1"/>
  <c r="AO78" i="1"/>
  <c r="AN78" i="1"/>
  <c r="AK78" i="1"/>
  <c r="AF78"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Y77" i="1"/>
  <c r="AX77" i="1"/>
  <c r="AW77" i="1"/>
  <c r="AV77" i="1"/>
  <c r="AU77" i="1"/>
  <c r="AT77" i="1"/>
  <c r="AS77" i="1"/>
  <c r="AR77" i="1"/>
  <c r="AQ77" i="1"/>
  <c r="AO77" i="1"/>
  <c r="AN77" i="1"/>
  <c r="AM77" i="1"/>
  <c r="AL77" i="1"/>
  <c r="AK77" i="1"/>
  <c r="AI77" i="1"/>
  <c r="AG77" i="1"/>
  <c r="AF77" i="1"/>
  <c r="BY76" i="1"/>
  <c r="BX76" i="1"/>
  <c r="BW76" i="1"/>
  <c r="BV76" i="1"/>
  <c r="BR76" i="1"/>
  <c r="BQ76" i="1"/>
  <c r="BP76" i="1"/>
  <c r="BO76" i="1"/>
  <c r="BN76" i="1"/>
  <c r="BJ76" i="1"/>
  <c r="BI76" i="1"/>
  <c r="BH76" i="1"/>
  <c r="BG76" i="1"/>
  <c r="BF76" i="1"/>
  <c r="BB76" i="1"/>
  <c r="BA76" i="1"/>
  <c r="AY76" i="1"/>
  <c r="AX76" i="1"/>
  <c r="AW76" i="1"/>
  <c r="AV76" i="1"/>
  <c r="AR76" i="1"/>
  <c r="AQ76" i="1"/>
  <c r="AO76" i="1"/>
  <c r="AN76" i="1"/>
  <c r="AM76" i="1"/>
  <c r="AL76" i="1"/>
  <c r="AK76" i="1"/>
  <c r="AI76" i="1"/>
  <c r="AG76" i="1"/>
  <c r="AF76" i="1"/>
  <c r="BY75" i="1"/>
  <c r="BX75" i="1"/>
  <c r="BW75" i="1"/>
  <c r="BV75" i="1"/>
  <c r="BU75" i="1"/>
  <c r="BT75" i="1"/>
  <c r="BS75" i="1"/>
  <c r="BR75" i="1"/>
  <c r="BQ75" i="1"/>
  <c r="BP75" i="1"/>
  <c r="BO75" i="1"/>
  <c r="BN75" i="1"/>
  <c r="BM75" i="1"/>
  <c r="BL75" i="1"/>
  <c r="BK75" i="1"/>
  <c r="BJ75" i="1"/>
  <c r="BI75" i="1"/>
  <c r="BH75" i="1"/>
  <c r="BG75" i="1"/>
  <c r="BF75" i="1"/>
  <c r="BA75" i="1"/>
  <c r="AY75" i="1"/>
  <c r="AX75" i="1"/>
  <c r="AW75" i="1"/>
  <c r="AV75" i="1"/>
  <c r="AT75" i="1"/>
  <c r="AS75" i="1"/>
  <c r="AR75" i="1"/>
  <c r="AQ75" i="1"/>
  <c r="AO75" i="1"/>
  <c r="AN75" i="1"/>
  <c r="AK75" i="1"/>
  <c r="AI75" i="1"/>
  <c r="AG75" i="1"/>
  <c r="AF75" i="1"/>
  <c r="BY74" i="1"/>
  <c r="BX74" i="1"/>
  <c r="BW74" i="1"/>
  <c r="BV74" i="1"/>
  <c r="BR74" i="1"/>
  <c r="BQ74" i="1"/>
  <c r="BP74" i="1"/>
  <c r="BO74" i="1"/>
  <c r="BN74" i="1"/>
  <c r="BJ74" i="1"/>
  <c r="BI74" i="1"/>
  <c r="BH74" i="1"/>
  <c r="BG74" i="1"/>
  <c r="BF74" i="1"/>
  <c r="BB74" i="1"/>
  <c r="BA74" i="1"/>
  <c r="AY74" i="1"/>
  <c r="AX74" i="1"/>
  <c r="AW74" i="1"/>
  <c r="AV74" i="1"/>
  <c r="AR74" i="1"/>
  <c r="AQ74" i="1"/>
  <c r="AO74" i="1"/>
  <c r="AN74" i="1"/>
  <c r="AM74" i="1"/>
  <c r="AL74" i="1"/>
  <c r="AK74" i="1"/>
  <c r="AI74" i="1"/>
  <c r="AG74" i="1"/>
  <c r="AF74"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Y73" i="1"/>
  <c r="AX73" i="1"/>
  <c r="AW73" i="1"/>
  <c r="AV73" i="1"/>
  <c r="AU73" i="1"/>
  <c r="AT73" i="1"/>
  <c r="AS73" i="1"/>
  <c r="AR73" i="1"/>
  <c r="AQ73" i="1"/>
  <c r="AP73" i="1"/>
  <c r="AO73" i="1"/>
  <c r="AN73" i="1"/>
  <c r="AM73" i="1"/>
  <c r="AL73" i="1"/>
  <c r="AK73" i="1"/>
  <c r="AI73" i="1"/>
  <c r="AG73" i="1"/>
  <c r="AF73"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Y72" i="1"/>
  <c r="AX72" i="1"/>
  <c r="AW72" i="1"/>
  <c r="AV72" i="1"/>
  <c r="AU72" i="1"/>
  <c r="AT72" i="1"/>
  <c r="AS72" i="1"/>
  <c r="AR72" i="1"/>
  <c r="AQ72" i="1"/>
  <c r="AO72" i="1"/>
  <c r="AN72" i="1"/>
  <c r="AM72" i="1"/>
  <c r="AL72" i="1"/>
  <c r="AK72" i="1"/>
  <c r="AI72" i="1"/>
  <c r="AG72" i="1"/>
  <c r="AF72"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Y71" i="1"/>
  <c r="AX71" i="1"/>
  <c r="AW71" i="1"/>
  <c r="AV71" i="1"/>
  <c r="AU71" i="1"/>
  <c r="AT71" i="1"/>
  <c r="AS71" i="1"/>
  <c r="AR71" i="1"/>
  <c r="AQ71" i="1"/>
  <c r="AN71" i="1"/>
  <c r="AK71" i="1"/>
  <c r="AF71"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Y70" i="1"/>
  <c r="AX70" i="1"/>
  <c r="AW70" i="1"/>
  <c r="AV70" i="1"/>
  <c r="AU70" i="1"/>
  <c r="AT70" i="1"/>
  <c r="AS70" i="1"/>
  <c r="AR70" i="1"/>
  <c r="AQ70" i="1"/>
  <c r="AO70" i="1"/>
  <c r="AN70" i="1"/>
  <c r="AM70" i="1"/>
  <c r="AL70" i="1"/>
  <c r="AK70" i="1"/>
  <c r="AI70" i="1"/>
  <c r="AG70" i="1"/>
  <c r="AF70" i="1"/>
  <c r="BZ69" i="1"/>
  <c r="BY69" i="1"/>
  <c r="BX69" i="1"/>
  <c r="BW69" i="1"/>
  <c r="BV69" i="1"/>
  <c r="BQ69" i="1"/>
  <c r="BP69" i="1"/>
  <c r="BO69" i="1"/>
  <c r="BN69" i="1"/>
  <c r="BJ69" i="1"/>
  <c r="BI69" i="1"/>
  <c r="BH69" i="1"/>
  <c r="BG69" i="1"/>
  <c r="BF69" i="1"/>
  <c r="BA69" i="1"/>
  <c r="AY69" i="1"/>
  <c r="AX69" i="1"/>
  <c r="AW69" i="1"/>
  <c r="AV69" i="1"/>
  <c r="AQ69" i="1"/>
  <c r="AO69" i="1"/>
  <c r="AN69" i="1"/>
  <c r="AM69" i="1"/>
  <c r="AL69" i="1"/>
  <c r="AK69" i="1"/>
  <c r="AI69" i="1"/>
  <c r="AG69" i="1"/>
  <c r="AF69" i="1"/>
  <c r="BY68" i="1"/>
  <c r="BX68" i="1"/>
  <c r="BW68" i="1"/>
  <c r="BV68" i="1"/>
  <c r="BQ68" i="1"/>
  <c r="BP68" i="1"/>
  <c r="BO68" i="1"/>
  <c r="BN68" i="1"/>
  <c r="BI68" i="1"/>
  <c r="BH68" i="1"/>
  <c r="BG68" i="1"/>
  <c r="BF68" i="1"/>
  <c r="BA68" i="1"/>
  <c r="AY68" i="1"/>
  <c r="AX68" i="1"/>
  <c r="AW68" i="1"/>
  <c r="AV68" i="1"/>
  <c r="AQ68" i="1"/>
  <c r="AO68" i="1"/>
  <c r="AN68" i="1"/>
  <c r="AM68" i="1"/>
  <c r="AL68" i="1"/>
  <c r="AK68" i="1"/>
  <c r="AI68" i="1"/>
  <c r="AG68" i="1"/>
  <c r="AF68" i="1"/>
  <c r="BY66" i="1"/>
  <c r="BU66" i="1"/>
  <c r="BQ66" i="1"/>
  <c r="BM66" i="1"/>
  <c r="BJ66" i="1"/>
  <c r="BI66" i="1"/>
  <c r="BE66" i="1"/>
  <c r="AK66" i="1"/>
  <c r="AR65" i="1"/>
  <c r="AQ65" i="1"/>
  <c r="AO65" i="1"/>
  <c r="AN65" i="1"/>
  <c r="AM65" i="1"/>
  <c r="AL65" i="1"/>
  <c r="AK65" i="1"/>
  <c r="AI65" i="1"/>
  <c r="AG65" i="1"/>
  <c r="AF65" i="1"/>
  <c r="AF66"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Y65" i="1"/>
  <c r="AX65" i="1"/>
  <c r="AW65" i="1"/>
  <c r="AV65" i="1"/>
  <c r="AU65" i="1"/>
  <c r="AT65" i="1"/>
  <c r="AS65"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Y64" i="1"/>
  <c r="AX64" i="1"/>
  <c r="AW64" i="1"/>
  <c r="AV64" i="1"/>
  <c r="AU64" i="1"/>
  <c r="AT64" i="1"/>
  <c r="AS64" i="1"/>
  <c r="AR64" i="1"/>
  <c r="AQ64" i="1"/>
  <c r="AO64" i="1"/>
  <c r="AN64" i="1"/>
  <c r="AM64" i="1"/>
  <c r="AL64" i="1"/>
  <c r="AK64" i="1"/>
  <c r="AI64" i="1"/>
  <c r="AG64" i="1"/>
  <c r="AF64" i="1"/>
  <c r="BY63" i="1"/>
  <c r="BX63" i="1"/>
  <c r="BV63" i="1"/>
  <c r="BU63" i="1"/>
  <c r="BT63" i="1"/>
  <c r="BS63" i="1"/>
  <c r="BR63" i="1"/>
  <c r="BQ63" i="1"/>
  <c r="BP63" i="1"/>
  <c r="BO63" i="1"/>
  <c r="BN63" i="1"/>
  <c r="BM63" i="1"/>
  <c r="BL63" i="1"/>
  <c r="BK63" i="1"/>
  <c r="BJ63" i="1"/>
  <c r="BI63" i="1"/>
  <c r="BH63" i="1"/>
  <c r="BG63" i="1"/>
  <c r="BF63" i="1"/>
  <c r="BE63" i="1"/>
  <c r="BD63" i="1"/>
  <c r="BC63" i="1"/>
  <c r="BB63" i="1"/>
  <c r="BA63" i="1"/>
  <c r="AY63" i="1"/>
  <c r="AX63" i="1"/>
  <c r="AW63" i="1"/>
  <c r="AV63" i="1"/>
  <c r="AU63" i="1"/>
  <c r="AT63" i="1"/>
  <c r="AS63" i="1"/>
  <c r="AR63" i="1"/>
  <c r="AQ63" i="1"/>
  <c r="AO63" i="1"/>
  <c r="AN63" i="1"/>
  <c r="AM63" i="1"/>
  <c r="AL63" i="1"/>
  <c r="AK63" i="1"/>
  <c r="AI63" i="1"/>
  <c r="AG63" i="1"/>
  <c r="AF63" i="1"/>
  <c r="BY62" i="1"/>
  <c r="BX62" i="1"/>
  <c r="BW62" i="1"/>
  <c r="BV62" i="1"/>
  <c r="BU62" i="1"/>
  <c r="BT62" i="1"/>
  <c r="BS62" i="1"/>
  <c r="BR62" i="1"/>
  <c r="BQ62" i="1"/>
  <c r="BN62" i="1"/>
  <c r="BM62" i="1"/>
  <c r="BJ62" i="1"/>
  <c r="BI62" i="1"/>
  <c r="BH62" i="1"/>
  <c r="BG62" i="1"/>
  <c r="BF62" i="1"/>
  <c r="BE62" i="1"/>
  <c r="BC62" i="1"/>
  <c r="BB62" i="1"/>
  <c r="BA62" i="1"/>
  <c r="AY62" i="1"/>
  <c r="AX62" i="1"/>
  <c r="AW62" i="1"/>
  <c r="AV62" i="1"/>
  <c r="AU62" i="1"/>
  <c r="AT62" i="1"/>
  <c r="AS62" i="1"/>
  <c r="AR62" i="1"/>
  <c r="AQ62" i="1"/>
  <c r="AO62" i="1"/>
  <c r="AN62" i="1"/>
  <c r="AM62" i="1"/>
  <c r="AL62" i="1"/>
  <c r="AK62" i="1"/>
  <c r="AI62" i="1"/>
  <c r="AF62"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Y61" i="1"/>
  <c r="AX61" i="1"/>
  <c r="AW61" i="1"/>
  <c r="AV61" i="1"/>
  <c r="AU61" i="1"/>
  <c r="AT61" i="1"/>
  <c r="AS61" i="1"/>
  <c r="AR61" i="1"/>
  <c r="AQ61" i="1"/>
  <c r="AO61" i="1"/>
  <c r="AN61" i="1"/>
  <c r="AM61" i="1"/>
  <c r="AL61" i="1"/>
  <c r="AK61" i="1"/>
  <c r="AI61" i="1"/>
  <c r="AF61" i="1"/>
  <c r="AG61"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Y60" i="1"/>
  <c r="AX60" i="1"/>
  <c r="AW60" i="1"/>
  <c r="AV60" i="1"/>
  <c r="AU60" i="1"/>
  <c r="AT60" i="1"/>
  <c r="AS60" i="1"/>
  <c r="AR60" i="1"/>
  <c r="AQ60" i="1"/>
  <c r="AO60" i="1"/>
  <c r="AN60" i="1"/>
  <c r="AM60" i="1"/>
  <c r="AL60" i="1"/>
  <c r="AK60" i="1"/>
  <c r="AI60" i="1"/>
  <c r="AG60" i="1"/>
  <c r="AF60" i="1"/>
  <c r="BF54" i="1"/>
  <c r="U39" i="1"/>
  <c r="T39" i="1"/>
  <c r="V39" i="1"/>
  <c r="Y39" i="1"/>
  <c r="BZ37" i="1"/>
  <c r="BY37" i="1"/>
  <c r="BX37" i="1"/>
  <c r="BW37" i="1"/>
  <c r="BV37" i="1"/>
  <c r="BQ37" i="1"/>
  <c r="BP37" i="1"/>
  <c r="BO37" i="1"/>
  <c r="BN37" i="1"/>
  <c r="BI37" i="1"/>
  <c r="BH37" i="1"/>
  <c r="BG37" i="1"/>
  <c r="BF37" i="1"/>
  <c r="AY37" i="1"/>
  <c r="AX37" i="1"/>
  <c r="AW37" i="1"/>
  <c r="AV37" i="1"/>
  <c r="AO37" i="1"/>
  <c r="AN37" i="1"/>
  <c r="AM37" i="1"/>
  <c r="AK37" i="1"/>
  <c r="AI37" i="1"/>
  <c r="BZ36" i="1"/>
  <c r="BY36" i="1"/>
  <c r="BX36" i="1"/>
  <c r="BW36" i="1"/>
  <c r="BV36" i="1"/>
  <c r="BQ36" i="1"/>
  <c r="BP36" i="1"/>
  <c r="BO36" i="1"/>
  <c r="BN36" i="1"/>
  <c r="BI36" i="1"/>
  <c r="BH36" i="1"/>
  <c r="BG36" i="1"/>
  <c r="BF36" i="1"/>
  <c r="AY36" i="1"/>
  <c r="AX36" i="1"/>
  <c r="AW36" i="1"/>
  <c r="AV36" i="1"/>
  <c r="AO36" i="1"/>
  <c r="AN36" i="1"/>
  <c r="AM36" i="1"/>
  <c r="AK36" i="1"/>
  <c r="AI36" i="1"/>
  <c r="BY35" i="1"/>
  <c r="BX35" i="1"/>
  <c r="BV35" i="1"/>
  <c r="BQ35" i="1"/>
  <c r="BP35" i="1"/>
  <c r="BN35" i="1"/>
  <c r="AY35" i="1"/>
  <c r="AX35" i="1"/>
  <c r="AW35" i="1"/>
  <c r="AV35" i="1"/>
  <c r="AO35" i="1"/>
  <c r="AN35" i="1"/>
  <c r="AM35" i="1"/>
  <c r="AK35" i="1"/>
  <c r="AI35" i="1"/>
  <c r="AK34" i="1"/>
  <c r="AM34" i="1"/>
  <c r="AN34" i="1"/>
  <c r="AV34" i="1"/>
  <c r="AW34" i="1"/>
  <c r="AX34" i="1"/>
  <c r="AY34" i="1"/>
  <c r="BF35" i="1"/>
  <c r="BG35" i="1"/>
  <c r="BH35" i="1"/>
  <c r="BI35" i="1"/>
  <c r="BI34" i="1"/>
  <c r="BH34" i="1"/>
  <c r="BG34" i="1"/>
  <c r="BF34"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Y59" i="1"/>
  <c r="AX59" i="1"/>
  <c r="AW59" i="1"/>
  <c r="AV59" i="1"/>
  <c r="AU59" i="1"/>
  <c r="AT59" i="1"/>
  <c r="AS59" i="1"/>
  <c r="AR59" i="1"/>
  <c r="AQ59" i="1"/>
  <c r="AO59" i="1"/>
  <c r="AN59" i="1"/>
  <c r="AM59" i="1"/>
  <c r="AL59" i="1"/>
  <c r="AK59" i="1"/>
  <c r="AI59" i="1"/>
  <c r="AG59" i="1"/>
  <c r="AF59"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Y58" i="1"/>
  <c r="AX58" i="1"/>
  <c r="AW58" i="1"/>
  <c r="AV58" i="1"/>
  <c r="AU58" i="1"/>
  <c r="AT58" i="1"/>
  <c r="AS58" i="1"/>
  <c r="AR58" i="1"/>
  <c r="AQ58" i="1"/>
  <c r="AO58" i="1"/>
  <c r="AN58" i="1"/>
  <c r="AM58" i="1"/>
  <c r="AL58" i="1"/>
  <c r="AK58" i="1"/>
  <c r="AJ58" i="1"/>
  <c r="AI58" i="1"/>
  <c r="AG58" i="1"/>
  <c r="AF58"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Y57" i="1"/>
  <c r="AX57" i="1"/>
  <c r="AW57" i="1"/>
  <c r="AV57" i="1"/>
  <c r="AU57" i="1"/>
  <c r="AT57" i="1"/>
  <c r="AS57" i="1"/>
  <c r="AR57" i="1"/>
  <c r="AQ57" i="1"/>
  <c r="AO57" i="1"/>
  <c r="AN57" i="1"/>
  <c r="AM57" i="1"/>
  <c r="AL57" i="1"/>
  <c r="AK57" i="1"/>
  <c r="AI57" i="1"/>
  <c r="AF57" i="1"/>
  <c r="CJ55" i="1"/>
  <c r="BZ56" i="1"/>
  <c r="BY56" i="1"/>
  <c r="BX56" i="1"/>
  <c r="BV56" i="1"/>
  <c r="BU56" i="1"/>
  <c r="BT56" i="1"/>
  <c r="BS56" i="1"/>
  <c r="BR56" i="1"/>
  <c r="BQ56" i="1"/>
  <c r="BP56" i="1"/>
  <c r="BO56" i="1"/>
  <c r="BN56" i="1"/>
  <c r="BM56" i="1"/>
  <c r="BL56" i="1"/>
  <c r="BK56" i="1"/>
  <c r="BJ56" i="1"/>
  <c r="BI56" i="1"/>
  <c r="BH56" i="1"/>
  <c r="BG56" i="1"/>
  <c r="BF56" i="1"/>
  <c r="BE56" i="1"/>
  <c r="BD56" i="1"/>
  <c r="BC56" i="1"/>
  <c r="BB56" i="1"/>
  <c r="BA56" i="1"/>
  <c r="AY56" i="1"/>
  <c r="AX56" i="1"/>
  <c r="AW56" i="1"/>
  <c r="AV56" i="1"/>
  <c r="AU56" i="1"/>
  <c r="AT56" i="1"/>
  <c r="AS56" i="1"/>
  <c r="AR56" i="1"/>
  <c r="AQ56" i="1"/>
  <c r="AO56" i="1"/>
  <c r="AN56" i="1"/>
  <c r="AM56" i="1"/>
  <c r="AL56" i="1"/>
  <c r="AK56" i="1"/>
  <c r="AI56" i="1"/>
  <c r="AG56" i="1"/>
  <c r="AF56" i="1"/>
  <c r="BY55" i="1"/>
  <c r="BW55" i="1"/>
  <c r="BV55" i="1"/>
  <c r="BU55" i="1"/>
  <c r="BS55" i="1"/>
  <c r="BR55" i="1"/>
  <c r="BQ55" i="1"/>
  <c r="BP55" i="1"/>
  <c r="BO55" i="1"/>
  <c r="BN55" i="1"/>
  <c r="BM55" i="1"/>
  <c r="BL55" i="1"/>
  <c r="BK55" i="1"/>
  <c r="BJ55" i="1"/>
  <c r="BI55" i="1"/>
  <c r="BH55" i="1"/>
  <c r="BG55" i="1"/>
  <c r="BF55" i="1"/>
  <c r="BE55" i="1"/>
  <c r="BD55" i="1"/>
  <c r="BC55" i="1"/>
  <c r="BB55" i="1"/>
  <c r="BA55" i="1"/>
  <c r="AY55" i="1"/>
  <c r="AX55" i="1"/>
  <c r="AW55" i="1"/>
  <c r="AV55" i="1"/>
  <c r="AU55" i="1"/>
  <c r="AT55" i="1"/>
  <c r="AS55" i="1"/>
  <c r="AR55" i="1"/>
  <c r="AQ55" i="1"/>
  <c r="AO55" i="1"/>
  <c r="AN55" i="1"/>
  <c r="AM55" i="1"/>
  <c r="AL55" i="1"/>
  <c r="AK55" i="1"/>
  <c r="AG55" i="1"/>
  <c r="AF55" i="1"/>
  <c r="BI54" i="1"/>
  <c r="BH54" i="1"/>
  <c r="BE54" i="1"/>
  <c r="BC54" i="1"/>
  <c r="BB54" i="1"/>
  <c r="BA54" i="1"/>
  <c r="AY54" i="1"/>
  <c r="AX54" i="1"/>
  <c r="AW54" i="1"/>
  <c r="AV54" i="1"/>
  <c r="AU54" i="1"/>
  <c r="AT54" i="1"/>
  <c r="AS54" i="1"/>
  <c r="AR54" i="1"/>
  <c r="AQ54" i="1"/>
  <c r="AK54" i="1"/>
  <c r="AI54" i="1"/>
  <c r="AF54" i="1"/>
  <c r="BW53" i="1"/>
  <c r="BV53" i="1"/>
  <c r="BU53" i="1"/>
  <c r="BT53" i="1"/>
  <c r="BQ53" i="1"/>
  <c r="BP53" i="1"/>
  <c r="BO53" i="1"/>
  <c r="BN53" i="1"/>
  <c r="BM53" i="1"/>
  <c r="BL53" i="1"/>
  <c r="BK53" i="1"/>
  <c r="BI53" i="1"/>
  <c r="BG53" i="1"/>
  <c r="BF53" i="1"/>
  <c r="BE53" i="1"/>
  <c r="BD53" i="1"/>
  <c r="BC53" i="1"/>
  <c r="BB53" i="1"/>
  <c r="BA53" i="1"/>
  <c r="AY53" i="1"/>
  <c r="AX53" i="1"/>
  <c r="AW53" i="1"/>
  <c r="AV53" i="1"/>
  <c r="AU53" i="1"/>
  <c r="AT53" i="1"/>
  <c r="AS53" i="1"/>
  <c r="AR53" i="1"/>
  <c r="AQ53" i="1"/>
  <c r="AO53" i="1"/>
  <c r="AN53" i="1"/>
  <c r="AM53" i="1"/>
  <c r="AL53" i="1"/>
  <c r="AK53" i="1"/>
  <c r="AI53" i="1"/>
  <c r="AG53" i="1"/>
  <c r="AF53"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Y51" i="1"/>
  <c r="AX51" i="1"/>
  <c r="AW51" i="1"/>
  <c r="AV51" i="1"/>
  <c r="AU51" i="1"/>
  <c r="AT51" i="1"/>
  <c r="AS51" i="1"/>
  <c r="AR51" i="1"/>
  <c r="AQ51" i="1"/>
  <c r="AO51" i="1"/>
  <c r="AN51" i="1"/>
  <c r="AM51" i="1"/>
  <c r="AL51" i="1"/>
  <c r="AK51" i="1"/>
  <c r="AI51" i="1"/>
  <c r="AG51" i="1"/>
  <c r="AF51"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Y105" i="1"/>
  <c r="AX105" i="1"/>
  <c r="AW105" i="1"/>
  <c r="AV105" i="1"/>
  <c r="AU105" i="1"/>
  <c r="AT105" i="1"/>
  <c r="AS105" i="1"/>
  <c r="AR105" i="1"/>
  <c r="AQ105" i="1"/>
  <c r="AO105" i="1"/>
  <c r="AN105" i="1"/>
  <c r="AM105" i="1"/>
  <c r="AL105" i="1"/>
  <c r="AK105" i="1"/>
  <c r="AI105" i="1"/>
  <c r="AG105" i="1"/>
  <c r="AF105"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O49" i="1"/>
  <c r="AN49" i="1"/>
  <c r="AM49" i="1"/>
  <c r="AL49" i="1"/>
  <c r="AK49" i="1"/>
  <c r="AI49" i="1"/>
  <c r="AG49" i="1"/>
  <c r="AF49"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Y48" i="1"/>
  <c r="AX48" i="1"/>
  <c r="AW48" i="1"/>
  <c r="AV48" i="1"/>
  <c r="AU48" i="1"/>
  <c r="AT48" i="1"/>
  <c r="AS48" i="1"/>
  <c r="AR48" i="1"/>
  <c r="AQ48" i="1"/>
  <c r="AO48" i="1"/>
  <c r="AN48" i="1"/>
  <c r="AM48" i="1"/>
  <c r="AL48" i="1"/>
  <c r="AK48" i="1"/>
  <c r="AI48" i="1"/>
  <c r="AG48" i="1"/>
  <c r="AF48" i="1"/>
  <c r="BY47" i="1"/>
  <c r="BX47" i="1"/>
  <c r="BW47" i="1"/>
  <c r="BV47" i="1"/>
  <c r="BQ47" i="1"/>
  <c r="BP47" i="1"/>
  <c r="BO47" i="1"/>
  <c r="BN47" i="1"/>
  <c r="BJ47" i="1"/>
  <c r="BI47" i="1"/>
  <c r="BH47" i="1"/>
  <c r="BG47" i="1"/>
  <c r="BF47" i="1"/>
  <c r="AY47" i="1"/>
  <c r="AX47" i="1"/>
  <c r="AW47" i="1"/>
  <c r="AV47" i="1"/>
  <c r="AO47" i="1"/>
  <c r="AN47" i="1"/>
  <c r="AK47" i="1"/>
  <c r="AI47" i="1"/>
  <c r="BY46" i="1"/>
  <c r="BX46" i="1"/>
  <c r="BW46" i="1"/>
  <c r="BV46" i="1"/>
  <c r="BQ46" i="1"/>
  <c r="BP46" i="1"/>
  <c r="BO46" i="1"/>
  <c r="BN46" i="1"/>
  <c r="BJ46" i="1"/>
  <c r="BI46" i="1"/>
  <c r="BH46" i="1"/>
  <c r="BG46" i="1"/>
  <c r="BF46" i="1"/>
  <c r="AY46" i="1"/>
  <c r="AX46" i="1"/>
  <c r="AW46" i="1"/>
  <c r="AV46" i="1"/>
  <c r="AO46" i="1"/>
  <c r="AN46" i="1"/>
  <c r="AM46" i="1"/>
  <c r="AL46" i="1"/>
  <c r="AK46" i="1"/>
  <c r="AI46"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Y45" i="1"/>
  <c r="AX45" i="1"/>
  <c r="AW45" i="1"/>
  <c r="AV45" i="1"/>
  <c r="AU45" i="1"/>
  <c r="AT45" i="1"/>
  <c r="AS45" i="1"/>
  <c r="AR45" i="1"/>
  <c r="AQ45" i="1"/>
  <c r="AO45" i="1"/>
  <c r="AN45" i="1"/>
  <c r="AM45" i="1"/>
  <c r="AL45" i="1"/>
  <c r="AK45" i="1"/>
  <c r="AI45" i="1"/>
  <c r="AG45" i="1"/>
  <c r="AF45"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Y44" i="1"/>
  <c r="AX44" i="1"/>
  <c r="AW44" i="1"/>
  <c r="AV44" i="1"/>
  <c r="AU44" i="1"/>
  <c r="AT44" i="1"/>
  <c r="AS44" i="1"/>
  <c r="AR44" i="1"/>
  <c r="AQ44" i="1"/>
  <c r="AO44" i="1"/>
  <c r="AN44" i="1"/>
  <c r="AM44" i="1"/>
  <c r="AL44" i="1"/>
  <c r="AK44" i="1"/>
  <c r="AI44" i="1"/>
  <c r="AG44" i="1"/>
  <c r="AF44"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Y43" i="1"/>
  <c r="AX43" i="1"/>
  <c r="AW43" i="1"/>
  <c r="AV43" i="1"/>
  <c r="AU43" i="1"/>
  <c r="AT43" i="1"/>
  <c r="AS43" i="1"/>
  <c r="AR43" i="1"/>
  <c r="AQ43" i="1"/>
  <c r="AO43" i="1"/>
  <c r="AN43" i="1"/>
  <c r="AM43" i="1"/>
  <c r="AL43" i="1"/>
  <c r="AK43" i="1"/>
  <c r="AI43" i="1"/>
  <c r="AG43" i="1"/>
  <c r="AF43"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Y42" i="1"/>
  <c r="AX42" i="1"/>
  <c r="AW42" i="1"/>
  <c r="AV42" i="1"/>
  <c r="AU42" i="1"/>
  <c r="AT42" i="1"/>
  <c r="AS42" i="1"/>
  <c r="AR42" i="1"/>
  <c r="AQ42" i="1"/>
  <c r="AO42" i="1"/>
  <c r="AN42" i="1"/>
  <c r="AM42" i="1"/>
  <c r="AL42" i="1"/>
  <c r="AK42" i="1"/>
  <c r="AI42" i="1"/>
  <c r="AG42" i="1"/>
  <c r="AF42"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Y41" i="1"/>
  <c r="AX41" i="1"/>
  <c r="AW41" i="1"/>
  <c r="AV41" i="1"/>
  <c r="AU41" i="1"/>
  <c r="AT41" i="1"/>
  <c r="AS41" i="1"/>
  <c r="AR41" i="1"/>
  <c r="AQ41" i="1"/>
  <c r="AO41" i="1"/>
  <c r="AN41" i="1"/>
  <c r="AM41" i="1"/>
  <c r="AL41" i="1"/>
  <c r="AK41" i="1"/>
  <c r="AI41" i="1"/>
  <c r="AG41" i="1"/>
  <c r="AF41" i="1"/>
  <c r="BY40" i="1"/>
  <c r="BX40" i="1"/>
  <c r="BW40" i="1"/>
  <c r="BV40" i="1"/>
  <c r="BR40" i="1"/>
  <c r="BQ40" i="1"/>
  <c r="BP40" i="1"/>
  <c r="BO40" i="1"/>
  <c r="BN40" i="1"/>
  <c r="BJ40" i="1"/>
  <c r="BI40" i="1"/>
  <c r="BH40" i="1"/>
  <c r="BG40" i="1"/>
  <c r="BF40" i="1"/>
  <c r="BA40" i="1"/>
  <c r="AY40" i="1"/>
  <c r="AX40" i="1"/>
  <c r="AW40" i="1"/>
  <c r="AV40" i="1"/>
  <c r="AO40" i="1"/>
  <c r="AN40" i="1"/>
  <c r="AM40" i="1"/>
  <c r="AK40" i="1"/>
  <c r="AI40" i="1"/>
  <c r="BY39" i="1"/>
  <c r="BX39" i="1"/>
  <c r="BW39" i="1"/>
  <c r="BV39" i="1"/>
  <c r="BR39" i="1"/>
  <c r="BQ39" i="1"/>
  <c r="BP39" i="1"/>
  <c r="BO39" i="1"/>
  <c r="BN39" i="1"/>
  <c r="BJ39" i="1"/>
  <c r="BI39" i="1"/>
  <c r="BH39" i="1"/>
  <c r="BG39" i="1"/>
  <c r="BF39" i="1"/>
  <c r="AY39" i="1"/>
  <c r="AX39" i="1"/>
  <c r="AW39" i="1"/>
  <c r="AV39" i="1"/>
  <c r="AQ39" i="1"/>
  <c r="AO39" i="1"/>
  <c r="AN39" i="1"/>
  <c r="AM39" i="1"/>
  <c r="AL39" i="1"/>
  <c r="AK39" i="1"/>
  <c r="AI39"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Y38" i="1"/>
  <c r="AX38" i="1"/>
  <c r="AW38" i="1"/>
  <c r="AV38" i="1"/>
  <c r="AU38" i="1"/>
  <c r="AT38" i="1"/>
  <c r="AS38" i="1"/>
  <c r="AR38" i="1"/>
  <c r="AQ38" i="1"/>
  <c r="AO38" i="1"/>
  <c r="AN38" i="1"/>
  <c r="AM38" i="1"/>
  <c r="AL38" i="1"/>
  <c r="AK38" i="1"/>
  <c r="AI38" i="1"/>
  <c r="AG38" i="1"/>
  <c r="AF38" i="1"/>
  <c r="AI30" i="1"/>
  <c r="AK30"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Y33" i="1"/>
  <c r="AX33" i="1"/>
  <c r="AW33" i="1"/>
  <c r="AV33" i="1"/>
  <c r="AU33" i="1"/>
  <c r="AT33" i="1"/>
  <c r="AS33" i="1"/>
  <c r="AR33" i="1"/>
  <c r="AQ33" i="1"/>
  <c r="AO33" i="1"/>
  <c r="AN33" i="1"/>
  <c r="AK33" i="1"/>
  <c r="AI33" i="1"/>
  <c r="AG33" i="1"/>
  <c r="AF33" i="1"/>
  <c r="BZ32" i="1"/>
  <c r="BY32" i="1"/>
  <c r="BX32" i="1"/>
  <c r="BW32" i="1"/>
  <c r="BV32" i="1"/>
  <c r="BU32" i="1"/>
  <c r="BT32" i="1"/>
  <c r="BS32" i="1"/>
  <c r="BR32" i="1"/>
  <c r="BQ32" i="1"/>
  <c r="BP32" i="1"/>
  <c r="BO32" i="1"/>
  <c r="BN32" i="1"/>
  <c r="BI32" i="1"/>
  <c r="BH32" i="1"/>
  <c r="BG32" i="1"/>
  <c r="BF32" i="1"/>
  <c r="BD32" i="1"/>
  <c r="BC32" i="1"/>
  <c r="AY32" i="1"/>
  <c r="AX32" i="1"/>
  <c r="AW32" i="1"/>
  <c r="AV32" i="1"/>
  <c r="AU32" i="1"/>
  <c r="AT32" i="1"/>
  <c r="AO32" i="1"/>
  <c r="AN32" i="1"/>
  <c r="AM32" i="1"/>
  <c r="AL32" i="1"/>
  <c r="AK32" i="1"/>
  <c r="AI32" i="1"/>
  <c r="BY31" i="1"/>
  <c r="BX31" i="1"/>
  <c r="BW31" i="1"/>
  <c r="BV31" i="1"/>
  <c r="BU31" i="1"/>
  <c r="BT31" i="1"/>
  <c r="BS31" i="1"/>
  <c r="BR31" i="1"/>
  <c r="BQ31" i="1"/>
  <c r="BP31" i="1"/>
  <c r="BO31" i="1"/>
  <c r="BN31" i="1"/>
  <c r="BI31" i="1"/>
  <c r="BH31" i="1"/>
  <c r="BG31" i="1"/>
  <c r="BF31" i="1"/>
  <c r="AY31" i="1"/>
  <c r="AX31" i="1"/>
  <c r="AW31" i="1"/>
  <c r="AV31" i="1"/>
  <c r="AO31" i="1"/>
  <c r="AN31" i="1"/>
  <c r="AM31" i="1"/>
  <c r="AL31" i="1"/>
  <c r="AK31" i="1"/>
  <c r="AI31" i="1"/>
  <c r="BQ30" i="1"/>
  <c r="BP30" i="1"/>
  <c r="BN30" i="1"/>
  <c r="BI30" i="1"/>
  <c r="BH30" i="1"/>
  <c r="BG30" i="1"/>
  <c r="BF30" i="1"/>
  <c r="AY30" i="1"/>
  <c r="AX30" i="1"/>
  <c r="AW30" i="1"/>
  <c r="AV30"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Y29" i="1"/>
  <c r="AX29" i="1"/>
  <c r="AW29" i="1"/>
  <c r="AV29" i="1"/>
  <c r="AU29" i="1"/>
  <c r="AT29" i="1"/>
  <c r="AS29" i="1"/>
  <c r="AR29" i="1"/>
  <c r="AQ29" i="1"/>
  <c r="AO29" i="1"/>
  <c r="AN29" i="1"/>
  <c r="AM29" i="1"/>
  <c r="AL29" i="1"/>
  <c r="AK29" i="1"/>
  <c r="AI29" i="1"/>
  <c r="AG29" i="1"/>
  <c r="AF29" i="1"/>
  <c r="BY28" i="1"/>
  <c r="BX28" i="1"/>
  <c r="BU28" i="1"/>
  <c r="BT28" i="1"/>
  <c r="BS28" i="1"/>
  <c r="BR28" i="1"/>
  <c r="BQ28" i="1"/>
  <c r="BP28" i="1"/>
  <c r="BO28" i="1"/>
  <c r="BN28" i="1"/>
  <c r="BM28" i="1"/>
  <c r="BL28" i="1"/>
  <c r="BK28" i="1"/>
  <c r="BJ28" i="1"/>
  <c r="BI28" i="1"/>
  <c r="BH28" i="1"/>
  <c r="BG28" i="1"/>
  <c r="BF28" i="1"/>
  <c r="BE28" i="1"/>
  <c r="BD28" i="1"/>
  <c r="BC28" i="1"/>
  <c r="BB28" i="1"/>
  <c r="BA28" i="1"/>
  <c r="AY28" i="1"/>
  <c r="AX28" i="1"/>
  <c r="AW28" i="1"/>
  <c r="AV28" i="1"/>
  <c r="AU28" i="1"/>
  <c r="AT28" i="1"/>
  <c r="AS28" i="1"/>
  <c r="AR28" i="1"/>
  <c r="AQ28" i="1"/>
  <c r="AO28" i="1"/>
  <c r="AN28" i="1"/>
  <c r="AM28" i="1"/>
  <c r="AL28" i="1"/>
  <c r="AK28" i="1"/>
  <c r="AG28" i="1"/>
  <c r="AF28" i="1"/>
  <c r="AF27" i="1"/>
  <c r="BY80" i="1"/>
  <c r="BX80" i="1"/>
  <c r="BW80" i="1"/>
  <c r="BV80" i="1"/>
  <c r="BU80" i="1"/>
  <c r="BT80" i="1"/>
  <c r="BS80" i="1"/>
  <c r="BR80" i="1"/>
  <c r="BQ80" i="1"/>
  <c r="BP80" i="1"/>
  <c r="BO80" i="1"/>
  <c r="BN80" i="1"/>
  <c r="BM80" i="1"/>
  <c r="BK80" i="1"/>
  <c r="BJ80" i="1"/>
  <c r="BI80" i="1"/>
  <c r="BH80" i="1"/>
  <c r="BG80" i="1"/>
  <c r="BF80" i="1"/>
  <c r="BE80" i="1"/>
  <c r="BD80" i="1"/>
  <c r="BC80" i="1"/>
  <c r="BB80" i="1"/>
  <c r="BA80" i="1"/>
  <c r="AY80" i="1"/>
  <c r="AX80" i="1"/>
  <c r="AW80" i="1"/>
  <c r="AV80" i="1"/>
  <c r="AU80" i="1"/>
  <c r="AT80" i="1"/>
  <c r="AS80" i="1"/>
  <c r="AR80" i="1"/>
  <c r="AQ80" i="1"/>
  <c r="AO80" i="1"/>
  <c r="AN80" i="1"/>
  <c r="AL80" i="1"/>
  <c r="AK80" i="1"/>
  <c r="AI80" i="1"/>
  <c r="AF80" i="1"/>
  <c r="BY26" i="1"/>
  <c r="BX26" i="1"/>
  <c r="BW26" i="1"/>
  <c r="BV26" i="1"/>
  <c r="BU26" i="1"/>
  <c r="BT26" i="1"/>
  <c r="BS26" i="1"/>
  <c r="BR26" i="1"/>
  <c r="BQ26" i="1"/>
  <c r="BP26" i="1"/>
  <c r="BO26" i="1"/>
  <c r="BN26" i="1"/>
  <c r="BM26" i="1"/>
  <c r="BL26" i="1"/>
  <c r="BK26" i="1"/>
  <c r="BJ26" i="1"/>
  <c r="BI26" i="1"/>
  <c r="BH26" i="1"/>
  <c r="BG26" i="1"/>
  <c r="BF26" i="1"/>
  <c r="BE26" i="1"/>
  <c r="BD26" i="1"/>
  <c r="BC26" i="1"/>
  <c r="BB26" i="1"/>
  <c r="BA26" i="1"/>
  <c r="AY26" i="1"/>
  <c r="AX26" i="1"/>
  <c r="AW26" i="1"/>
  <c r="AV26" i="1"/>
  <c r="AU26" i="1"/>
  <c r="AT26" i="1"/>
  <c r="AS26" i="1"/>
  <c r="AR26" i="1"/>
  <c r="AQ26" i="1"/>
  <c r="AO26" i="1"/>
  <c r="AN26" i="1"/>
  <c r="AM26" i="1"/>
  <c r="AL26" i="1"/>
  <c r="AK26" i="1"/>
  <c r="AI26" i="1"/>
  <c r="AG26" i="1"/>
  <c r="AF26" i="1"/>
  <c r="BY25" i="1"/>
  <c r="BW25" i="1"/>
  <c r="BQ25" i="1"/>
  <c r="BP25" i="1"/>
  <c r="BO25" i="1"/>
  <c r="BN25" i="1"/>
  <c r="BI25" i="1"/>
  <c r="BH25" i="1"/>
  <c r="BG25" i="1"/>
  <c r="BF25" i="1"/>
  <c r="BA25" i="1"/>
  <c r="AY25" i="1"/>
  <c r="AX25" i="1"/>
  <c r="AW25" i="1"/>
  <c r="AV25" i="1"/>
  <c r="AO25" i="1"/>
  <c r="AN25" i="1"/>
  <c r="AM25" i="1"/>
  <c r="AK25" i="1"/>
  <c r="AI25" i="1"/>
  <c r="BY24" i="1"/>
  <c r="BR24" i="1"/>
  <c r="BQ24" i="1"/>
  <c r="BP24" i="1"/>
  <c r="BO24" i="1"/>
  <c r="BN24" i="1"/>
  <c r="BI24" i="1"/>
  <c r="BH24" i="1"/>
  <c r="BG24" i="1"/>
  <c r="BF24" i="1"/>
  <c r="AY24" i="1"/>
  <c r="AX24" i="1"/>
  <c r="AW24" i="1"/>
  <c r="AV24" i="1"/>
  <c r="AQ24" i="1"/>
  <c r="AO24" i="1"/>
  <c r="AN24" i="1"/>
  <c r="AM24" i="1"/>
  <c r="AK24" i="1"/>
  <c r="AI24" i="1"/>
  <c r="BY23" i="1"/>
  <c r="BX23" i="1"/>
  <c r="BW23" i="1"/>
  <c r="BV23" i="1"/>
  <c r="BU23" i="1"/>
  <c r="BT23" i="1"/>
  <c r="BS23" i="1"/>
  <c r="BR23" i="1"/>
  <c r="BQ23" i="1"/>
  <c r="BP23" i="1"/>
  <c r="BO23" i="1"/>
  <c r="BN23" i="1"/>
  <c r="BM23" i="1"/>
  <c r="BL23" i="1"/>
  <c r="BK23" i="1"/>
  <c r="BJ23" i="1"/>
  <c r="BI23" i="1"/>
  <c r="BH23" i="1"/>
  <c r="BG23" i="1"/>
  <c r="BF23" i="1"/>
  <c r="BE23" i="1"/>
  <c r="BD23" i="1"/>
  <c r="BC23" i="1"/>
  <c r="BB23" i="1"/>
  <c r="BA23" i="1"/>
  <c r="AY23" i="1"/>
  <c r="AX23" i="1"/>
  <c r="AW23" i="1"/>
  <c r="AV23" i="1"/>
  <c r="AU23" i="1"/>
  <c r="AT23" i="1"/>
  <c r="AS23" i="1"/>
  <c r="AR23" i="1"/>
  <c r="AQ23" i="1"/>
  <c r="AN23" i="1"/>
  <c r="AM23" i="1"/>
  <c r="AL23" i="1"/>
  <c r="AK23" i="1"/>
  <c r="AI23" i="1"/>
  <c r="AG23" i="1"/>
  <c r="AF23"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Y22" i="1"/>
  <c r="AX22" i="1"/>
  <c r="AW22" i="1"/>
  <c r="AV22" i="1"/>
  <c r="AU22" i="1"/>
  <c r="AT22" i="1"/>
  <c r="AS22" i="1"/>
  <c r="AR22" i="1"/>
  <c r="AQ22" i="1"/>
  <c r="AO22" i="1"/>
  <c r="AN22" i="1"/>
  <c r="AK22" i="1"/>
  <c r="AI22" i="1"/>
  <c r="AG22" i="1"/>
  <c r="AF22"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Y21" i="1"/>
  <c r="AX21" i="1"/>
  <c r="AW21" i="1"/>
  <c r="AV21" i="1"/>
  <c r="AU21" i="1"/>
  <c r="AT21" i="1"/>
  <c r="AS21" i="1"/>
  <c r="AR21" i="1"/>
  <c r="AQ21" i="1"/>
  <c r="AO21" i="1"/>
  <c r="AN21" i="1"/>
  <c r="AM21" i="1"/>
  <c r="AL21" i="1"/>
  <c r="AK21" i="1"/>
  <c r="AI21" i="1"/>
  <c r="AG21" i="1"/>
  <c r="AF21"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Y20" i="1"/>
  <c r="AX20" i="1"/>
  <c r="AW20" i="1"/>
  <c r="AV20" i="1"/>
  <c r="AU20" i="1"/>
  <c r="AT20" i="1"/>
  <c r="AS20" i="1"/>
  <c r="AR20" i="1"/>
  <c r="AQ20" i="1"/>
  <c r="AO20" i="1"/>
  <c r="AN20" i="1"/>
  <c r="AM20" i="1"/>
  <c r="AL20" i="1"/>
  <c r="AK20" i="1"/>
  <c r="AI20" i="1"/>
  <c r="AG20" i="1"/>
  <c r="AF20"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Y19" i="1"/>
  <c r="AX19" i="1"/>
  <c r="AW19" i="1"/>
  <c r="AV19" i="1"/>
  <c r="AU19" i="1"/>
  <c r="AT19" i="1"/>
  <c r="AS19" i="1"/>
  <c r="AR19" i="1"/>
  <c r="AQ19" i="1"/>
  <c r="AO19" i="1"/>
  <c r="AN19" i="1"/>
  <c r="AM19" i="1"/>
  <c r="AL19" i="1"/>
  <c r="AK19" i="1"/>
  <c r="AI19" i="1"/>
  <c r="AG19" i="1"/>
  <c r="AF19"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Y17" i="1"/>
  <c r="AX17" i="1"/>
  <c r="AW17" i="1"/>
  <c r="AV17" i="1"/>
  <c r="AU17" i="1"/>
  <c r="AT17" i="1"/>
  <c r="AS17" i="1"/>
  <c r="AR17" i="1"/>
  <c r="AQ17" i="1"/>
  <c r="AO17" i="1"/>
  <c r="AN17" i="1"/>
  <c r="AM17" i="1"/>
  <c r="AL17" i="1"/>
  <c r="AK17" i="1"/>
  <c r="AI17" i="1"/>
  <c r="AG17" i="1"/>
  <c r="AF17"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Y16" i="1"/>
  <c r="AX16" i="1"/>
  <c r="AW16" i="1"/>
  <c r="AV16" i="1"/>
  <c r="AU16" i="1"/>
  <c r="AT16" i="1"/>
  <c r="AS16" i="1"/>
  <c r="AR16" i="1"/>
  <c r="AQ16" i="1"/>
  <c r="AO16" i="1"/>
  <c r="AN16" i="1"/>
  <c r="AM16" i="1"/>
  <c r="AL16" i="1"/>
  <c r="AK16" i="1"/>
  <c r="AI16" i="1"/>
  <c r="AG16" i="1"/>
  <c r="AF16"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Y15" i="1"/>
  <c r="AX15" i="1"/>
  <c r="AW15" i="1"/>
  <c r="AV15" i="1"/>
  <c r="AU15" i="1"/>
  <c r="AT15" i="1"/>
  <c r="AS15" i="1"/>
  <c r="AR15" i="1"/>
  <c r="AQ15" i="1"/>
  <c r="AP15" i="1"/>
  <c r="AO15" i="1"/>
  <c r="AN15" i="1"/>
  <c r="AM15" i="1"/>
  <c r="AL15" i="1"/>
  <c r="AK15" i="1"/>
  <c r="AI15" i="1"/>
  <c r="AG15" i="1"/>
  <c r="AF15"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Y14" i="1"/>
  <c r="AX14" i="1"/>
  <c r="AW14" i="1"/>
  <c r="AV14" i="1"/>
  <c r="AU14" i="1"/>
  <c r="AT14" i="1"/>
  <c r="AS14" i="1"/>
  <c r="AR14" i="1"/>
  <c r="AQ14" i="1"/>
  <c r="AO14" i="1"/>
  <c r="AN14" i="1"/>
  <c r="AM14" i="1"/>
  <c r="AL14" i="1"/>
  <c r="AK14" i="1"/>
  <c r="AI14" i="1"/>
  <c r="AG14" i="1"/>
  <c r="AF14"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Y13" i="1"/>
  <c r="AX13" i="1"/>
  <c r="AW13" i="1"/>
  <c r="AV13" i="1"/>
  <c r="AU13" i="1"/>
  <c r="AT13" i="1"/>
  <c r="AS13" i="1"/>
  <c r="AR13" i="1"/>
  <c r="AQ13" i="1"/>
  <c r="AO13" i="1"/>
  <c r="AN13" i="1"/>
  <c r="AM13" i="1"/>
  <c r="AL13" i="1"/>
  <c r="AK13" i="1"/>
  <c r="AI13" i="1"/>
  <c r="AG13" i="1"/>
  <c r="AF13"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Y12" i="1"/>
  <c r="AX12" i="1"/>
  <c r="AW12" i="1"/>
  <c r="AV12" i="1"/>
  <c r="AU12" i="1"/>
  <c r="AT12" i="1"/>
  <c r="AS12" i="1"/>
  <c r="AR12" i="1"/>
  <c r="AQ12" i="1"/>
  <c r="AO12" i="1"/>
  <c r="AN12" i="1"/>
  <c r="AM12" i="1"/>
  <c r="AL12" i="1"/>
  <c r="AK12" i="1"/>
  <c r="AI12" i="1"/>
  <c r="AG12" i="1"/>
  <c r="AF12"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Y11" i="1"/>
  <c r="AX11" i="1"/>
  <c r="AW11" i="1"/>
  <c r="AV11" i="1"/>
  <c r="AU11" i="1"/>
  <c r="AT11" i="1"/>
  <c r="AS11" i="1"/>
  <c r="AR11" i="1"/>
  <c r="AQ11" i="1"/>
  <c r="AO11" i="1"/>
  <c r="AN11" i="1"/>
  <c r="AM11" i="1"/>
  <c r="AL11" i="1"/>
  <c r="AK11" i="1"/>
  <c r="AI11" i="1"/>
  <c r="AG11" i="1"/>
  <c r="AF11" i="1"/>
  <c r="AN10" i="1"/>
  <c r="AM10" i="1"/>
  <c r="AL10" i="1"/>
  <c r="AK10" i="1"/>
  <c r="AI10" i="1"/>
  <c r="AG10" i="1"/>
  <c r="AF10" i="1"/>
  <c r="BY9" i="1"/>
  <c r="BX9" i="1"/>
  <c r="BV9" i="1"/>
  <c r="BU9" i="1"/>
  <c r="BT9" i="1"/>
  <c r="BS9" i="1"/>
  <c r="BR9" i="1"/>
  <c r="BQ9" i="1"/>
  <c r="BO9" i="1"/>
  <c r="BN9" i="1"/>
  <c r="BM9" i="1"/>
  <c r="BL9" i="1"/>
  <c r="BK9" i="1"/>
  <c r="BJ9" i="1"/>
  <c r="BI9" i="1"/>
  <c r="BH9" i="1"/>
  <c r="BG9" i="1"/>
  <c r="BF9" i="1"/>
  <c r="BE9" i="1"/>
  <c r="BD9" i="1"/>
  <c r="BC9" i="1"/>
  <c r="BB9" i="1"/>
  <c r="BA9" i="1"/>
  <c r="AY9" i="1"/>
  <c r="AX9" i="1"/>
  <c r="AW9" i="1"/>
  <c r="AV9" i="1"/>
  <c r="AU9" i="1"/>
  <c r="AT9" i="1"/>
  <c r="AS9" i="1"/>
  <c r="AR9" i="1"/>
  <c r="AQ9" i="1"/>
  <c r="AO9" i="1"/>
  <c r="AN9" i="1"/>
  <c r="AM9" i="1"/>
  <c r="AL9" i="1"/>
  <c r="AK9" i="1"/>
  <c r="AI9" i="1"/>
  <c r="AF9" i="1"/>
  <c r="BZ8" i="1"/>
  <c r="BY8" i="1"/>
  <c r="BX8" i="1"/>
  <c r="BW8" i="1"/>
  <c r="BV8" i="1"/>
  <c r="BU8" i="1"/>
  <c r="BT8" i="1"/>
  <c r="BS8" i="1"/>
  <c r="BR8" i="1"/>
  <c r="BQ8" i="1"/>
  <c r="BP8" i="1"/>
  <c r="BO8" i="1"/>
  <c r="BN8" i="1"/>
  <c r="BM8" i="1"/>
  <c r="BL8" i="1"/>
  <c r="BK8" i="1"/>
  <c r="BJ8" i="1"/>
  <c r="BI8" i="1"/>
  <c r="BH8" i="1"/>
  <c r="BG8" i="1"/>
  <c r="BF8" i="1"/>
  <c r="BE8" i="1"/>
  <c r="BD8" i="1"/>
  <c r="BC8" i="1"/>
  <c r="BB8" i="1"/>
  <c r="BA8" i="1"/>
  <c r="AY8" i="1"/>
  <c r="AX8" i="1"/>
  <c r="AW8" i="1"/>
  <c r="AV8" i="1"/>
  <c r="AU8" i="1"/>
  <c r="AT8" i="1"/>
  <c r="AS8" i="1"/>
  <c r="AR8" i="1"/>
  <c r="AQ8" i="1"/>
  <c r="AO8" i="1"/>
  <c r="AN8" i="1"/>
  <c r="AM8" i="1"/>
  <c r="AL8" i="1"/>
  <c r="AK8" i="1"/>
  <c r="AI8" i="1"/>
  <c r="AG9" i="1"/>
  <c r="AF8" i="1"/>
  <c r="BY7" i="1"/>
  <c r="BX7" i="1"/>
  <c r="BW7" i="1"/>
  <c r="BV7" i="1"/>
  <c r="BU7" i="1"/>
  <c r="BS7" i="1"/>
  <c r="BR7" i="1"/>
  <c r="BQ7" i="1"/>
  <c r="BP7" i="1"/>
  <c r="BO7" i="1"/>
  <c r="BN7" i="1"/>
  <c r="BM7" i="1"/>
  <c r="BL7" i="1"/>
  <c r="BK7" i="1"/>
  <c r="BJ7" i="1"/>
  <c r="BI7" i="1"/>
  <c r="BH7" i="1"/>
  <c r="BG7" i="1"/>
  <c r="BF7" i="1"/>
  <c r="BE7" i="1"/>
  <c r="BD7" i="1"/>
  <c r="BC7" i="1"/>
  <c r="BB7" i="1"/>
  <c r="BA7" i="1"/>
  <c r="AY7" i="1"/>
  <c r="AX7" i="1"/>
  <c r="AW7" i="1"/>
  <c r="AV7" i="1"/>
  <c r="AU7" i="1"/>
  <c r="AT7" i="1"/>
  <c r="AS7" i="1"/>
  <c r="AR7" i="1"/>
  <c r="AQ7" i="1"/>
  <c r="AO7" i="1"/>
  <c r="AN7" i="1"/>
  <c r="AM7" i="1"/>
  <c r="AL7" i="1"/>
  <c r="AK7" i="1"/>
  <c r="AJ7" i="1"/>
  <c r="AI7" i="1"/>
  <c r="AG7" i="1"/>
  <c r="AF7" i="1"/>
  <c r="BZ6" i="1"/>
  <c r="BY6" i="1"/>
  <c r="BW6" i="1"/>
  <c r="BV6" i="1"/>
  <c r="BU6" i="1"/>
  <c r="BT6" i="1"/>
  <c r="BS6" i="1"/>
  <c r="BR6" i="1"/>
  <c r="BQ6" i="1"/>
  <c r="BP6" i="1"/>
  <c r="BO6" i="1"/>
  <c r="BN6" i="1"/>
  <c r="BM6" i="1"/>
  <c r="BL6" i="1"/>
  <c r="BK6" i="1"/>
  <c r="BI6" i="1"/>
  <c r="BH6" i="1"/>
  <c r="BG6" i="1"/>
  <c r="BF6" i="1"/>
  <c r="BE6" i="1"/>
  <c r="BD6" i="1"/>
  <c r="BC6" i="1"/>
  <c r="BB6" i="1"/>
  <c r="BA6" i="1"/>
  <c r="AY6" i="1"/>
  <c r="AX6" i="1"/>
  <c r="AW6" i="1"/>
  <c r="AV6" i="1"/>
  <c r="AU6" i="1"/>
  <c r="AT6" i="1"/>
  <c r="AS6" i="1"/>
  <c r="AR6" i="1"/>
  <c r="AQ6" i="1"/>
  <c r="AO6" i="1"/>
  <c r="AN6" i="1"/>
  <c r="AM6" i="1"/>
  <c r="AL6" i="1"/>
  <c r="AK6" i="1"/>
  <c r="AI6" i="1"/>
  <c r="AG6" i="1"/>
  <c r="AF6" i="1"/>
  <c r="BZ4" i="1"/>
  <c r="BY4" i="1"/>
  <c r="BX4" i="1"/>
  <c r="BW4" i="1"/>
  <c r="BV4" i="1"/>
  <c r="BU4" i="1"/>
  <c r="BT4" i="1"/>
  <c r="BS4" i="1"/>
  <c r="BR4" i="1"/>
  <c r="BQ4" i="1"/>
  <c r="BP4" i="1"/>
  <c r="BO4" i="1"/>
  <c r="BN4" i="1"/>
  <c r="BM4" i="1"/>
  <c r="BL4" i="1"/>
  <c r="BK4" i="1"/>
  <c r="BJ4" i="1"/>
  <c r="BI4" i="1"/>
  <c r="BH4" i="1"/>
  <c r="BG4" i="1"/>
  <c r="BE4" i="1"/>
  <c r="BD4" i="1"/>
  <c r="BC4" i="1"/>
  <c r="BB4" i="1"/>
  <c r="BA4" i="1"/>
  <c r="AY4" i="1"/>
  <c r="AX4" i="1"/>
  <c r="AW4" i="1"/>
  <c r="AV4" i="1"/>
  <c r="AU4" i="1"/>
  <c r="AT4" i="1"/>
  <c r="AS4" i="1"/>
  <c r="AR4" i="1"/>
  <c r="AQ4" i="1"/>
  <c r="AO4" i="1"/>
  <c r="AN4" i="1"/>
  <c r="AM4" i="1"/>
  <c r="AL4" i="1"/>
  <c r="AK4" i="1"/>
  <c r="AI4" i="1"/>
  <c r="AF4" i="1"/>
  <c r="BY3" i="1"/>
  <c r="BX3" i="1"/>
  <c r="BW3" i="1"/>
  <c r="BV3" i="1"/>
  <c r="BU3" i="1"/>
  <c r="BT3" i="1"/>
  <c r="BS3" i="1"/>
  <c r="BR3" i="1"/>
  <c r="BQ3" i="1"/>
  <c r="BP3" i="1"/>
  <c r="BO3" i="1"/>
  <c r="BN3" i="1"/>
  <c r="BM3" i="1"/>
  <c r="BL3" i="1"/>
  <c r="BK3" i="1"/>
  <c r="BJ3" i="1"/>
  <c r="BI3" i="1"/>
  <c r="BH3" i="1"/>
  <c r="BG3" i="1"/>
  <c r="BF3" i="1"/>
  <c r="BE3" i="1"/>
  <c r="BD3" i="1"/>
  <c r="BC3" i="1"/>
  <c r="BB3" i="1"/>
  <c r="BA3" i="1"/>
  <c r="AY3" i="1"/>
  <c r="AX3" i="1"/>
  <c r="AW3" i="1"/>
  <c r="AV3" i="1"/>
  <c r="AU3" i="1"/>
  <c r="AT3" i="1"/>
  <c r="AS3" i="1"/>
  <c r="AR3" i="1"/>
  <c r="AQ3" i="1"/>
  <c r="AO3" i="1"/>
  <c r="AN3" i="1"/>
  <c r="AM3" i="1"/>
  <c r="AL3" i="1"/>
  <c r="AK3" i="1"/>
  <c r="AI3" i="1"/>
  <c r="AG3" i="1"/>
  <c r="AF3" i="1"/>
  <c r="BI2" i="1"/>
  <c r="BH2" i="1"/>
  <c r="BG2" i="1"/>
  <c r="BF2" i="1"/>
  <c r="BE2" i="1"/>
  <c r="BD2" i="1"/>
  <c r="BC2" i="1"/>
  <c r="BB2" i="1"/>
  <c r="AY2" i="1"/>
  <c r="AX2" i="1"/>
  <c r="AW2" i="1"/>
  <c r="AV2" i="1"/>
  <c r="AU2" i="1"/>
  <c r="AT2" i="1"/>
  <c r="AS2" i="1"/>
  <c r="AQ2" i="1"/>
  <c r="AR2" i="1"/>
  <c r="K39" i="1"/>
  <c r="J39" i="1"/>
  <c r="I39" i="1"/>
  <c r="K95" i="1"/>
  <c r="J95" i="1"/>
  <c r="I95" i="1"/>
  <c r="BE47" i="1"/>
  <c r="BE46" i="1"/>
  <c r="BD47" i="1"/>
  <c r="BD46" i="1"/>
  <c r="BC47" i="1"/>
  <c r="BC46" i="1"/>
  <c r="BB47" i="1"/>
  <c r="BB46" i="1"/>
  <c r="BE40" i="1"/>
  <c r="BE39" i="1"/>
  <c r="BD40" i="1"/>
  <c r="BD39" i="1"/>
  <c r="BC40" i="1"/>
  <c r="BC39" i="1"/>
  <c r="BB40" i="1"/>
  <c r="BB39" i="1"/>
  <c r="BC37" i="1"/>
  <c r="BC36" i="1"/>
  <c r="BC35" i="1"/>
  <c r="BC34" i="1"/>
  <c r="BD37" i="1"/>
  <c r="BD36" i="1"/>
  <c r="BD35" i="1"/>
  <c r="BD34" i="1"/>
  <c r="BB37" i="1"/>
  <c r="BB36" i="1"/>
  <c r="BB35" i="1"/>
  <c r="BB34" i="1"/>
  <c r="BE32" i="1"/>
  <c r="BE37" i="1"/>
  <c r="BE36" i="1"/>
  <c r="BE35" i="1"/>
  <c r="BE34" i="1"/>
  <c r="BE31" i="1"/>
  <c r="BE30" i="1"/>
  <c r="BD31" i="1"/>
  <c r="BD30" i="1"/>
  <c r="BC31" i="1"/>
  <c r="BC30" i="1"/>
  <c r="BB32" i="1"/>
  <c r="BB31" i="1"/>
  <c r="BB30" i="1"/>
  <c r="BE25" i="1"/>
  <c r="BE24" i="1"/>
  <c r="BC25" i="1"/>
  <c r="BC24" i="1"/>
  <c r="BB25" i="1"/>
  <c r="BB24" i="1"/>
  <c r="BD25" i="1"/>
  <c r="BD24" i="1"/>
  <c r="AU47" i="1"/>
  <c r="AU46" i="1"/>
  <c r="AT47" i="1"/>
  <c r="AT46" i="1"/>
  <c r="AS47" i="1"/>
  <c r="AS46" i="1"/>
  <c r="AR47" i="1"/>
  <c r="AR46" i="1"/>
  <c r="AU40" i="1"/>
  <c r="AU39" i="1"/>
  <c r="AT40" i="1"/>
  <c r="AT39" i="1"/>
  <c r="AS40" i="1"/>
  <c r="AS39" i="1"/>
  <c r="AR40" i="1"/>
  <c r="AR39" i="1"/>
  <c r="AU37" i="1"/>
  <c r="AU36" i="1"/>
  <c r="AU35" i="1"/>
  <c r="AU34" i="1"/>
  <c r="AT37" i="1"/>
  <c r="AT36" i="1"/>
  <c r="AT35" i="1"/>
  <c r="AT34" i="1"/>
  <c r="AR37" i="1"/>
  <c r="AR36" i="1"/>
  <c r="AR35" i="1"/>
  <c r="AR34" i="1"/>
  <c r="AU31" i="1"/>
  <c r="AU30" i="1"/>
  <c r="AT31" i="1"/>
  <c r="AT30" i="1"/>
  <c r="AR32" i="1"/>
  <c r="AR31" i="1"/>
  <c r="AR30" i="1"/>
  <c r="AU25" i="1"/>
  <c r="AU24" i="1"/>
  <c r="AT25" i="1"/>
  <c r="AT24" i="1"/>
  <c r="AR25" i="1"/>
  <c r="AR24" i="1"/>
  <c r="BU47" i="1"/>
  <c r="BU46" i="1"/>
  <c r="BT47" i="1"/>
  <c r="BT46" i="1"/>
  <c r="BS47" i="1"/>
  <c r="BS46" i="1"/>
  <c r="BR47" i="1"/>
  <c r="BR46" i="1"/>
  <c r="BU40" i="1"/>
  <c r="BU39" i="1"/>
  <c r="BT40" i="1"/>
  <c r="BT39" i="1"/>
  <c r="BS40" i="1"/>
  <c r="BS39" i="1"/>
  <c r="BU37" i="1"/>
  <c r="BU36" i="1"/>
  <c r="BU35" i="1"/>
  <c r="BU34" i="1"/>
  <c r="BT37" i="1"/>
  <c r="BT36" i="1"/>
  <c r="BT35" i="1"/>
  <c r="BT34" i="1"/>
  <c r="BS37" i="1"/>
  <c r="BS36" i="1"/>
  <c r="BS35" i="1"/>
  <c r="BS34" i="1"/>
  <c r="BR37" i="1"/>
  <c r="BR36" i="1"/>
  <c r="BR35" i="1"/>
  <c r="BR34" i="1"/>
  <c r="BT25" i="1"/>
  <c r="BT24" i="1"/>
  <c r="BS25" i="1"/>
  <c r="BS24" i="1"/>
  <c r="BR25" i="1"/>
  <c r="BX25" i="1"/>
  <c r="BX24" i="1"/>
  <c r="BV25" i="1"/>
  <c r="BV24" i="1"/>
  <c r="BU25" i="1"/>
  <c r="BU24" i="1"/>
  <c r="BM47" i="1"/>
  <c r="BM46" i="1"/>
  <c r="BL47" i="1"/>
  <c r="BL46" i="1"/>
  <c r="BK47" i="1"/>
  <c r="BK46" i="1"/>
  <c r="BM40" i="1"/>
  <c r="BM39" i="1"/>
  <c r="BL40" i="1"/>
  <c r="BL39" i="1"/>
  <c r="BK40" i="1"/>
  <c r="BK39" i="1"/>
  <c r="BM34" i="1"/>
  <c r="BM37" i="1"/>
  <c r="BM36" i="1"/>
  <c r="BM35" i="1"/>
  <c r="BL37" i="1"/>
  <c r="BL36" i="1"/>
  <c r="BL35" i="1"/>
  <c r="BL34" i="1"/>
  <c r="BO30" i="1"/>
  <c r="BK37" i="1"/>
  <c r="BK36" i="1"/>
  <c r="BK35" i="1"/>
  <c r="BK34" i="1"/>
  <c r="BJ37" i="1"/>
  <c r="BJ36" i="1"/>
  <c r="BJ35" i="1"/>
  <c r="BJ34" i="1"/>
  <c r="BM32" i="1"/>
  <c r="BM31" i="1"/>
  <c r="BM30" i="1"/>
  <c r="BL32" i="1"/>
  <c r="BL31" i="1"/>
  <c r="BL30" i="1"/>
  <c r="BK32" i="1"/>
  <c r="BK31" i="1"/>
  <c r="BK30" i="1"/>
  <c r="BJ32" i="1"/>
  <c r="BJ31" i="1"/>
  <c r="BJ30" i="1"/>
  <c r="BM25" i="1"/>
  <c r="BM24" i="1"/>
  <c r="BL25" i="1"/>
  <c r="BL24" i="1"/>
  <c r="BK25" i="1"/>
  <c r="BK24" i="1"/>
  <c r="BJ25" i="1"/>
  <c r="BJ24" i="1"/>
  <c r="BA47" i="1"/>
  <c r="BA46" i="1"/>
  <c r="BA39" i="1"/>
  <c r="BA37" i="1"/>
  <c r="BA36" i="1"/>
  <c r="BA35" i="1"/>
  <c r="BA34" i="1"/>
  <c r="BA32" i="1"/>
  <c r="BA31" i="1"/>
  <c r="BA30" i="1"/>
  <c r="BA24" i="1"/>
  <c r="AQ47" i="1"/>
  <c r="AQ46" i="1"/>
  <c r="AQ40" i="1"/>
  <c r="AQ37" i="1"/>
  <c r="AQ36" i="1"/>
  <c r="AQ35" i="1"/>
  <c r="AQ34" i="1"/>
  <c r="AQ32" i="1"/>
  <c r="AQ31" i="1"/>
  <c r="AQ30" i="1"/>
  <c r="AQ25" i="1"/>
  <c r="AS37" i="1"/>
  <c r="AS36" i="1"/>
  <c r="AS35" i="1"/>
  <c r="AS34" i="1"/>
  <c r="AS32" i="1"/>
  <c r="AS31" i="1"/>
  <c r="AS30" i="1"/>
  <c r="AS25" i="1"/>
  <c r="AS24" i="1"/>
  <c r="AL40" i="1"/>
  <c r="AL37" i="1"/>
  <c r="AL36" i="1"/>
  <c r="AL35" i="1"/>
  <c r="AL34" i="1"/>
  <c r="AL25" i="1"/>
  <c r="AL24" i="1"/>
  <c r="AG47" i="1"/>
  <c r="AG46" i="1"/>
  <c r="AG40" i="1"/>
  <c r="AG39" i="1"/>
  <c r="AG37" i="1"/>
  <c r="AG36" i="1"/>
  <c r="AG35" i="1"/>
  <c r="AG34" i="1"/>
  <c r="AG32" i="1"/>
  <c r="AG31" i="1"/>
  <c r="AG30" i="1"/>
  <c r="AG25" i="1"/>
  <c r="AG24" i="1"/>
  <c r="AF47" i="1"/>
  <c r="AF46" i="1"/>
  <c r="AF40" i="1"/>
  <c r="AF39" i="1"/>
  <c r="AF37" i="1"/>
  <c r="AF36" i="1"/>
  <c r="AF35" i="1"/>
  <c r="AF34" i="1"/>
  <c r="AF32" i="1"/>
  <c r="AF31" i="1"/>
  <c r="AF30" i="1"/>
  <c r="AF25" i="1"/>
  <c r="AF24" i="1"/>
  <c r="BE103" i="1"/>
  <c r="BE102" i="1"/>
  <c r="BD103" i="1"/>
  <c r="BD102" i="1"/>
  <c r="BC103" i="1"/>
  <c r="BC102" i="1"/>
  <c r="BB102" i="1"/>
  <c r="BE96" i="1"/>
  <c r="BE95" i="1"/>
  <c r="BD96" i="1"/>
  <c r="BD95" i="1"/>
  <c r="BC96" i="1"/>
  <c r="BC95" i="1"/>
  <c r="BB96" i="1"/>
  <c r="BB95" i="1"/>
  <c r="BE93" i="1"/>
  <c r="BE92" i="1"/>
  <c r="BE91" i="1"/>
  <c r="BE90" i="1"/>
  <c r="BD93" i="1"/>
  <c r="BD92" i="1"/>
  <c r="BD91" i="1"/>
  <c r="BD90" i="1"/>
  <c r="BC93" i="1"/>
  <c r="BC92" i="1"/>
  <c r="BC91" i="1"/>
  <c r="BC90" i="1"/>
  <c r="BB93" i="1"/>
  <c r="BB91" i="1"/>
  <c r="BE87" i="1"/>
  <c r="BE86" i="1"/>
  <c r="BE85" i="1"/>
  <c r="BD87" i="1"/>
  <c r="BD86" i="1"/>
  <c r="BD85" i="1"/>
  <c r="BC87" i="1"/>
  <c r="BC86" i="1"/>
  <c r="BC85" i="1"/>
  <c r="BE81" i="1"/>
  <c r="BE79" i="1"/>
  <c r="BD81" i="1"/>
  <c r="BD79" i="1"/>
  <c r="BC81" i="1"/>
  <c r="BC79" i="1"/>
  <c r="BB81" i="1"/>
  <c r="BB79" i="1"/>
  <c r="BB87" i="1"/>
  <c r="BB86" i="1"/>
  <c r="BB85" i="1"/>
  <c r="BE76" i="1"/>
  <c r="BE75" i="1"/>
  <c r="BE74" i="1"/>
  <c r="BD76" i="1"/>
  <c r="BD75" i="1"/>
  <c r="BD74" i="1"/>
  <c r="BC76" i="1"/>
  <c r="BC75" i="1"/>
  <c r="BC74" i="1"/>
  <c r="BB75" i="1"/>
  <c r="BE69" i="1"/>
  <c r="BE68" i="1"/>
  <c r="BD69" i="1"/>
  <c r="BD68" i="1"/>
  <c r="BC69" i="1"/>
  <c r="BC68" i="1"/>
  <c r="BB69" i="1"/>
  <c r="BB68" i="1"/>
  <c r="AU103" i="1"/>
  <c r="AU102" i="1"/>
  <c r="AT103" i="1"/>
  <c r="AT102" i="1"/>
  <c r="AS103" i="1"/>
  <c r="AS102" i="1"/>
  <c r="AR103" i="1"/>
  <c r="AU96" i="1"/>
  <c r="AU95" i="1"/>
  <c r="AT96" i="1"/>
  <c r="AT95" i="1"/>
  <c r="AS96" i="1"/>
  <c r="AS95" i="1"/>
  <c r="AR96" i="1"/>
  <c r="AR95" i="1"/>
  <c r="AU93" i="1"/>
  <c r="AU92" i="1"/>
  <c r="AU91" i="1"/>
  <c r="AU90" i="1"/>
  <c r="AT93" i="1"/>
  <c r="AT92" i="1"/>
  <c r="AT91" i="1"/>
  <c r="AT90" i="1"/>
  <c r="AS93" i="1"/>
  <c r="AS92" i="1"/>
  <c r="AS91" i="1"/>
  <c r="AS90" i="1"/>
  <c r="AR93" i="1"/>
  <c r="AR91" i="1"/>
  <c r="AU87" i="1"/>
  <c r="AU86" i="1"/>
  <c r="AU85" i="1"/>
  <c r="AT87" i="1"/>
  <c r="AT86" i="1"/>
  <c r="AT85" i="1"/>
  <c r="AS87" i="1"/>
  <c r="AS86" i="1"/>
  <c r="AS85" i="1"/>
  <c r="AR87" i="1"/>
  <c r="AR86" i="1"/>
  <c r="AR85" i="1"/>
  <c r="AU81" i="1"/>
  <c r="AU79" i="1"/>
  <c r="AT81" i="1"/>
  <c r="AT79" i="1"/>
  <c r="AS81" i="1"/>
  <c r="AS79" i="1"/>
  <c r="AR79" i="1"/>
  <c r="AU76" i="1"/>
  <c r="AU75" i="1"/>
  <c r="AU74" i="1"/>
  <c r="AT76" i="1"/>
  <c r="AT74" i="1"/>
  <c r="AS76" i="1"/>
  <c r="AS74" i="1"/>
  <c r="AU69" i="1"/>
  <c r="AU68" i="1"/>
  <c r="AT69" i="1"/>
  <c r="AT68" i="1"/>
  <c r="AS69" i="1"/>
  <c r="AS68" i="1"/>
  <c r="AR69" i="1"/>
  <c r="AR68" i="1"/>
  <c r="BS103" i="1"/>
  <c r="BU103" i="1"/>
  <c r="BU102" i="1"/>
  <c r="BT103" i="1"/>
  <c r="BT102" i="1"/>
  <c r="BS102" i="1"/>
  <c r="BR102" i="1"/>
  <c r="BU96" i="1"/>
  <c r="BU95" i="1"/>
  <c r="BT96" i="1"/>
  <c r="BT95" i="1"/>
  <c r="BS96" i="1"/>
  <c r="BS95" i="1"/>
  <c r="BR95" i="1"/>
  <c r="BU93" i="1"/>
  <c r="BU92" i="1"/>
  <c r="BU91" i="1"/>
  <c r="BU90" i="1"/>
  <c r="BT93" i="1"/>
  <c r="BT92" i="1"/>
  <c r="BT91" i="1"/>
  <c r="BT90" i="1"/>
  <c r="BS93" i="1"/>
  <c r="BS92" i="1"/>
  <c r="BS91" i="1"/>
  <c r="BS90" i="1"/>
  <c r="BR90" i="1"/>
  <c r="BU86" i="1"/>
  <c r="BU85" i="1"/>
  <c r="BT86" i="1"/>
  <c r="BT85" i="1"/>
  <c r="BS86" i="1"/>
  <c r="BS85" i="1"/>
  <c r="BR86" i="1"/>
  <c r="BU81" i="1"/>
  <c r="BU79" i="1"/>
  <c r="BT81" i="1"/>
  <c r="BT79" i="1"/>
  <c r="BS81" i="1"/>
  <c r="BS79" i="1"/>
  <c r="BR79" i="1"/>
  <c r="BU76" i="1"/>
  <c r="BU74" i="1"/>
  <c r="BT76" i="1"/>
  <c r="BT74" i="1"/>
  <c r="BS76" i="1"/>
  <c r="BS74" i="1"/>
  <c r="BU69" i="1"/>
  <c r="BU68" i="1"/>
  <c r="BT69" i="1"/>
  <c r="BT68" i="1"/>
  <c r="BS69" i="1"/>
  <c r="BS68" i="1"/>
  <c r="BR69" i="1"/>
  <c r="BR68" i="1"/>
  <c r="BM103" i="1"/>
  <c r="BM102" i="1"/>
  <c r="BL103" i="1"/>
  <c r="BL102" i="1"/>
  <c r="BK103" i="1"/>
  <c r="BK102" i="1"/>
  <c r="BJ102" i="1"/>
  <c r="BM96" i="1"/>
  <c r="BM95" i="1"/>
  <c r="BL96" i="1"/>
  <c r="BL95" i="1"/>
  <c r="BK96" i="1"/>
  <c r="BK95" i="1"/>
  <c r="BM93" i="1"/>
  <c r="BM92" i="1"/>
  <c r="BM91" i="1"/>
  <c r="BM90" i="1"/>
  <c r="BL92" i="1"/>
  <c r="BL93" i="1"/>
  <c r="BL91" i="1"/>
  <c r="BL90" i="1"/>
  <c r="BK93" i="1"/>
  <c r="BK92" i="1"/>
  <c r="BK91" i="1"/>
  <c r="BK90" i="1"/>
  <c r="BJ93" i="1"/>
  <c r="BM86" i="1"/>
  <c r="BM85" i="1"/>
  <c r="BL86" i="1"/>
  <c r="BL85" i="1"/>
  <c r="BK86" i="1"/>
  <c r="BK85" i="1"/>
  <c r="BJ86" i="1"/>
  <c r="BJ85" i="1"/>
  <c r="BM81" i="1"/>
  <c r="BL81" i="1"/>
  <c r="BL79" i="1"/>
  <c r="BK81" i="1"/>
  <c r="BK79" i="1"/>
  <c r="BJ81" i="1"/>
  <c r="BM76" i="1"/>
  <c r="BM74" i="1"/>
  <c r="BL76" i="1"/>
  <c r="BL74" i="1"/>
  <c r="BK76" i="1"/>
  <c r="BK74" i="1"/>
  <c r="BM69" i="1"/>
  <c r="BL69" i="1"/>
  <c r="BK69" i="1"/>
  <c r="CA63" i="1"/>
  <c r="CA61" i="1"/>
  <c r="CA56" i="1"/>
  <c r="CA51" i="1"/>
  <c r="CA103" i="1"/>
  <c r="CA99" i="1"/>
  <c r="CA97" i="1"/>
  <c r="CA69" i="1"/>
  <c r="V4" i="1"/>
  <c r="V3" i="1"/>
  <c r="V49" i="1"/>
  <c r="V105" i="1"/>
  <c r="V72" i="1"/>
  <c r="Y72" i="1"/>
  <c r="V61" i="1"/>
  <c r="V62" i="1"/>
  <c r="V63" i="1"/>
  <c r="V92" i="1"/>
  <c r="Y92" i="1"/>
  <c r="K92" i="1"/>
  <c r="J92" i="1"/>
  <c r="I92" i="1"/>
  <c r="V97" i="1"/>
  <c r="Y97" i="1"/>
  <c r="K97" i="1"/>
  <c r="J97" i="1"/>
  <c r="I97" i="1"/>
  <c r="V100" i="1"/>
  <c r="K100" i="1"/>
  <c r="J100" i="1"/>
  <c r="I100" i="1"/>
  <c r="V13" i="1"/>
  <c r="V14" i="1"/>
  <c r="V15" i="1"/>
  <c r="V44" i="1"/>
  <c r="I44" i="1"/>
  <c r="K44" i="1"/>
  <c r="J44" i="1"/>
  <c r="V36" i="1"/>
  <c r="Y36" i="1"/>
  <c r="K36" i="1"/>
  <c r="J36" i="1"/>
  <c r="I36" i="1"/>
  <c r="I3" i="1"/>
  <c r="J3" i="1"/>
  <c r="K3" i="1"/>
  <c r="V42" i="1"/>
  <c r="V37" i="1"/>
  <c r="V40" i="1"/>
  <c r="V32" i="1"/>
  <c r="V25" i="1"/>
  <c r="V21" i="1"/>
  <c r="V17" i="1"/>
  <c r="V11" i="1"/>
  <c r="V10" i="1"/>
  <c r="V20" i="1"/>
  <c r="Y20" i="1"/>
  <c r="K20" i="1"/>
  <c r="J20" i="1"/>
  <c r="I20" i="1"/>
  <c r="I60" i="1"/>
  <c r="J60" i="1"/>
  <c r="K60" i="1"/>
  <c r="V60" i="1"/>
  <c r="BZ94" i="1"/>
  <c r="BZ92" i="1"/>
  <c r="BZ91" i="1"/>
  <c r="BZ90" i="1"/>
  <c r="BZ89" i="1"/>
  <c r="BZ88" i="1"/>
  <c r="BZ86" i="1"/>
  <c r="BZ85" i="1"/>
  <c r="BZ84" i="1"/>
  <c r="BZ83" i="1"/>
  <c r="BZ82" i="1"/>
  <c r="BZ78" i="1"/>
  <c r="BZ77" i="1"/>
  <c r="BZ75" i="1"/>
  <c r="BZ74" i="1"/>
  <c r="BZ73" i="1"/>
  <c r="BZ72" i="1"/>
  <c r="BZ70" i="1"/>
  <c r="BZ68" i="1"/>
  <c r="BZ67" i="1"/>
  <c r="BZ66" i="1"/>
  <c r="BZ64" i="1"/>
  <c r="BZ62" i="1"/>
  <c r="BZ60" i="1"/>
  <c r="BZ55" i="1"/>
  <c r="BZ54" i="1"/>
  <c r="BZ53" i="1"/>
  <c r="BZ52" i="1"/>
  <c r="BZ38" i="1"/>
  <c r="BZ35" i="1"/>
  <c r="BZ34" i="1"/>
  <c r="BZ33" i="1"/>
  <c r="BZ31" i="1"/>
  <c r="BZ30" i="1"/>
  <c r="BZ29" i="1"/>
  <c r="BZ28" i="1"/>
  <c r="BZ27" i="1"/>
  <c r="BZ24" i="1"/>
  <c r="BZ26" i="1"/>
  <c r="BZ23" i="1"/>
  <c r="BZ22" i="1"/>
  <c r="BZ19" i="1"/>
  <c r="BZ18" i="1"/>
  <c r="BZ16" i="1"/>
  <c r="BZ14" i="1"/>
  <c r="BZ12" i="1"/>
  <c r="BZ10" i="1"/>
  <c r="BZ9" i="1"/>
  <c r="BZ7" i="1"/>
  <c r="BZ5" i="1"/>
  <c r="BZ3" i="1"/>
  <c r="BZ2" i="1"/>
  <c r="K72" i="1"/>
  <c r="J72" i="1"/>
  <c r="I72" i="1"/>
  <c r="K23" i="1"/>
  <c r="J23" i="1"/>
  <c r="I23" i="1"/>
  <c r="I35" i="1"/>
  <c r="J35" i="1"/>
  <c r="K35" i="1"/>
  <c r="V35" i="1"/>
  <c r="Y35" i="1"/>
  <c r="Z35" i="1"/>
  <c r="Z91" i="1"/>
  <c r="V91" i="1"/>
  <c r="Y91" i="1"/>
  <c r="K91" i="1"/>
  <c r="J91" i="1"/>
  <c r="I91" i="1"/>
  <c r="V34" i="1"/>
  <c r="V90" i="1"/>
  <c r="V89" i="1"/>
  <c r="K90" i="1"/>
  <c r="J90" i="1"/>
  <c r="I90" i="1"/>
  <c r="K34" i="1"/>
  <c r="J34" i="1"/>
  <c r="I34" i="1"/>
  <c r="K89" i="1"/>
  <c r="J89" i="1"/>
  <c r="I89" i="1"/>
  <c r="V31" i="1"/>
  <c r="V86" i="1"/>
  <c r="O31" i="1"/>
  <c r="K31" i="1"/>
  <c r="J31" i="1"/>
  <c r="I31" i="1"/>
  <c r="O86" i="1"/>
  <c r="K86" i="1"/>
  <c r="J86" i="1"/>
  <c r="I86" i="1"/>
  <c r="V83" i="1"/>
  <c r="V29" i="1"/>
  <c r="V81" i="1"/>
  <c r="V27" i="1"/>
  <c r="V73" i="1"/>
  <c r="K83" i="1"/>
  <c r="J83" i="1"/>
  <c r="I83" i="1"/>
  <c r="K29" i="1"/>
  <c r="J29" i="1"/>
  <c r="I29" i="1"/>
  <c r="O81" i="1"/>
  <c r="K81" i="1"/>
  <c r="J81" i="1"/>
  <c r="I81" i="1"/>
  <c r="O27" i="1"/>
  <c r="K27" i="1"/>
  <c r="J27" i="1"/>
  <c r="I27" i="1"/>
  <c r="K73" i="1"/>
  <c r="J73" i="1"/>
  <c r="I73" i="1"/>
  <c r="V68" i="1"/>
  <c r="V70" i="1"/>
  <c r="K70" i="1"/>
  <c r="J70" i="1"/>
  <c r="I70" i="1"/>
  <c r="K68" i="1"/>
  <c r="J68" i="1"/>
  <c r="I68" i="1"/>
  <c r="V67" i="1"/>
  <c r="V19" i="1"/>
  <c r="K67" i="1"/>
  <c r="J67" i="1"/>
  <c r="I67" i="1"/>
  <c r="K19" i="1"/>
  <c r="J19" i="1"/>
  <c r="I19" i="1"/>
  <c r="V16" i="1"/>
  <c r="K16" i="1"/>
  <c r="J16" i="1"/>
  <c r="I16" i="1"/>
  <c r="V12" i="1"/>
  <c r="K12" i="1"/>
  <c r="J12" i="1"/>
  <c r="I12" i="1"/>
  <c r="V56" i="1"/>
  <c r="V9" i="1"/>
  <c r="V53" i="1"/>
  <c r="V6" i="1"/>
  <c r="I56" i="1"/>
  <c r="J56" i="1"/>
  <c r="K56" i="1"/>
  <c r="AB56" i="1"/>
  <c r="AB9" i="1"/>
  <c r="K9" i="1"/>
  <c r="J9" i="1"/>
  <c r="I9" i="1"/>
  <c r="O53" i="1"/>
  <c r="K53" i="1"/>
  <c r="J53" i="1"/>
  <c r="I53" i="1"/>
  <c r="O6" i="1"/>
  <c r="K6" i="1"/>
  <c r="J6" i="1"/>
  <c r="I6" i="1"/>
  <c r="Z38" i="1"/>
  <c r="T38" i="1"/>
  <c r="V38" i="1"/>
  <c r="Y38" i="1"/>
  <c r="K38" i="1"/>
  <c r="J38" i="1"/>
  <c r="I38" i="1"/>
  <c r="Z94" i="1"/>
  <c r="T94" i="1"/>
  <c r="V94" i="1"/>
  <c r="Y94" i="1"/>
  <c r="K94" i="1"/>
  <c r="J94" i="1"/>
  <c r="I94" i="1"/>
  <c r="Z88" i="1"/>
  <c r="X88" i="1"/>
  <c r="V88" i="1"/>
  <c r="K88" i="1"/>
  <c r="J88" i="1"/>
  <c r="I88" i="1"/>
  <c r="Z33" i="1"/>
  <c r="X33" i="1"/>
  <c r="V33" i="1"/>
  <c r="K33" i="1"/>
  <c r="J33" i="1"/>
  <c r="I33" i="1"/>
  <c r="V85" i="1"/>
  <c r="Y85" i="1"/>
  <c r="K85" i="1"/>
  <c r="J85" i="1"/>
  <c r="I85" i="1"/>
  <c r="V30" i="1"/>
  <c r="Y30" i="1"/>
  <c r="K30" i="1"/>
  <c r="J30" i="1"/>
  <c r="I30" i="1"/>
  <c r="V84" i="1"/>
  <c r="Y84" i="1"/>
  <c r="K84" i="1"/>
  <c r="J84" i="1"/>
  <c r="I84" i="1"/>
  <c r="V82" i="1"/>
  <c r="Y82" i="1"/>
  <c r="K82" i="1"/>
  <c r="J82" i="1"/>
  <c r="I82" i="1"/>
  <c r="V28" i="1"/>
  <c r="Y28" i="1"/>
  <c r="K28" i="1"/>
  <c r="J28" i="1"/>
  <c r="I28" i="1"/>
  <c r="V26" i="1"/>
  <c r="V79" i="1"/>
  <c r="Y79" i="1"/>
  <c r="K79" i="1"/>
  <c r="J79" i="1"/>
  <c r="I79" i="1"/>
  <c r="V78" i="1"/>
  <c r="Y78" i="1"/>
  <c r="K78" i="1"/>
  <c r="J78" i="1"/>
  <c r="I78" i="1"/>
  <c r="V77" i="1"/>
  <c r="Y77" i="1"/>
  <c r="K77" i="1"/>
  <c r="J77" i="1"/>
  <c r="I77" i="1"/>
  <c r="V24" i="1"/>
  <c r="Y24" i="1"/>
  <c r="K24" i="1"/>
  <c r="J24" i="1"/>
  <c r="I24" i="1"/>
  <c r="V75" i="1"/>
  <c r="Y75" i="1"/>
  <c r="K75" i="1"/>
  <c r="J75" i="1"/>
  <c r="I75" i="1"/>
  <c r="V74" i="1"/>
  <c r="Y74" i="1"/>
  <c r="K74" i="1"/>
  <c r="J74" i="1"/>
  <c r="I74" i="1"/>
  <c r="V71" i="1"/>
  <c r="Y71" i="1"/>
  <c r="K71" i="1"/>
  <c r="J71" i="1"/>
  <c r="I71" i="1"/>
  <c r="V22" i="1"/>
  <c r="Y22" i="1"/>
  <c r="K22" i="1"/>
  <c r="J22" i="1"/>
  <c r="I22" i="1"/>
  <c r="V66" i="1"/>
  <c r="Y66" i="1"/>
  <c r="K66" i="1"/>
  <c r="J66" i="1"/>
  <c r="I66" i="1"/>
  <c r="V18" i="1"/>
  <c r="Y18" i="1"/>
  <c r="K18" i="1"/>
  <c r="J18" i="1"/>
  <c r="I18" i="1"/>
  <c r="V57" i="1"/>
  <c r="Y57" i="1"/>
  <c r="K57" i="1"/>
  <c r="J57" i="1"/>
  <c r="I57" i="1"/>
  <c r="V55" i="1"/>
  <c r="Y55" i="1"/>
  <c r="K55" i="1"/>
  <c r="J55" i="1"/>
  <c r="I55" i="1"/>
  <c r="V8" i="1"/>
  <c r="Y8" i="1"/>
  <c r="K8" i="1"/>
  <c r="J8" i="1"/>
  <c r="I8" i="1"/>
  <c r="V54" i="1"/>
  <c r="Y54" i="1"/>
  <c r="K54" i="1"/>
  <c r="J54" i="1"/>
  <c r="I54" i="1"/>
  <c r="V7" i="1"/>
  <c r="Y7" i="1"/>
  <c r="K7" i="1"/>
  <c r="J7" i="1"/>
  <c r="I7" i="1"/>
  <c r="V52" i="1"/>
  <c r="Y52" i="1"/>
  <c r="K52" i="1"/>
  <c r="J52" i="1"/>
  <c r="I52" i="1"/>
  <c r="V5" i="1"/>
  <c r="Y5" i="1"/>
  <c r="K5" i="1"/>
  <c r="J5" i="1"/>
  <c r="I5" i="1"/>
  <c r="V50" i="1"/>
  <c r="Y50" i="1"/>
  <c r="K50" i="1"/>
  <c r="J50" i="1"/>
  <c r="I50" i="1"/>
  <c r="V2" i="1"/>
  <c r="Y2" i="1"/>
  <c r="K2" i="1"/>
  <c r="J2" i="1"/>
  <c r="I2" i="1"/>
  <c r="Y33" i="1"/>
  <c r="Y8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Simone Twohig</author>
    <author>Raya Ahmed</author>
  </authors>
  <commentList>
    <comment ref="AE1" authorId="0" shapeId="0" xr:uid="{00000000-0006-0000-0000-000001000000}">
      <text>
        <r>
          <rPr>
            <b/>
            <sz val="9"/>
            <color indexed="81"/>
            <rFont val="Tahoma"/>
            <family val="2"/>
          </rPr>
          <t>Simone Twohig:</t>
        </r>
        <r>
          <rPr>
            <sz val="9"/>
            <color indexed="81"/>
            <rFont val="Tahoma"/>
            <family val="2"/>
          </rPr>
          <t xml:space="preserve">
Maybe should set a lower threshold for this below which we do not look at subsets of CXCR3+, CD27/CD45 etc.</t>
        </r>
      </text>
    </comment>
    <comment ref="A7" authorId="1" shapeId="0" xr:uid="{C8C3EB13-27FB-4E1B-B2A7-283296A23675}">
      <text>
        <r>
          <rPr>
            <b/>
            <sz val="9"/>
            <color indexed="81"/>
            <rFont val="Tahoma"/>
            <family val="2"/>
          </rPr>
          <t>Raya Ahmed:</t>
        </r>
        <r>
          <rPr>
            <sz val="9"/>
            <color indexed="81"/>
            <rFont val="Tahoma"/>
            <family val="2"/>
          </rPr>
          <t xml:space="preserve">
data was unreliable on fortessa that day. DO NOT USE
</t>
        </r>
      </text>
    </comment>
    <comment ref="A10" authorId="1" shapeId="0" xr:uid="{C2FF76ED-1BA1-40B5-8310-7308873E2C88}">
      <text>
        <r>
          <rPr>
            <b/>
            <sz val="9"/>
            <color indexed="81"/>
            <rFont val="Tahoma"/>
            <family val="2"/>
          </rPr>
          <t>Raya Ahmed:</t>
        </r>
        <r>
          <rPr>
            <sz val="9"/>
            <color indexed="81"/>
            <rFont val="Tahoma"/>
            <family val="2"/>
          </rPr>
          <t xml:space="preserve">
fcs dasta was not good, do not use
</t>
        </r>
      </text>
    </comment>
    <comment ref="N15" authorId="1" shapeId="0" xr:uid="{94BC989D-07FE-49CE-BFEC-0A3323798123}">
      <text>
        <r>
          <rPr>
            <b/>
            <sz val="9"/>
            <color indexed="81"/>
            <rFont val="Tahoma"/>
            <family val="2"/>
          </rPr>
          <t>Raya Ahmed:</t>
        </r>
        <r>
          <rPr>
            <sz val="9"/>
            <color indexed="81"/>
            <rFont val="Tahoma"/>
            <family val="2"/>
          </rPr>
          <t xml:space="preserve">
- missed bag</t>
        </r>
      </text>
    </comment>
    <comment ref="A18" authorId="1" shapeId="0" xr:uid="{35AF6037-0EFC-4117-B0BC-07A74B202E16}">
      <text>
        <r>
          <rPr>
            <b/>
            <sz val="9"/>
            <color indexed="81"/>
            <rFont val="Tahoma"/>
            <charset val="1"/>
          </rPr>
          <t>Raya Ahmed:</t>
        </r>
        <r>
          <rPr>
            <sz val="9"/>
            <color indexed="81"/>
            <rFont val="Tahoma"/>
            <charset val="1"/>
          </rPr>
          <t xml:space="preserve">
Not enough sample for memory markers</t>
        </r>
      </text>
    </comment>
    <comment ref="AB18" authorId="1" shapeId="0" xr:uid="{D8BCC426-A2E0-4323-A8D3-D6D01D71644A}">
      <text>
        <r>
          <rPr>
            <b/>
            <sz val="9"/>
            <color indexed="81"/>
            <rFont val="Tahoma"/>
            <charset val="1"/>
          </rPr>
          <t>Raya Ahmed:</t>
        </r>
        <r>
          <rPr>
            <sz val="9"/>
            <color indexed="81"/>
            <rFont val="Tahoma"/>
            <charset val="1"/>
          </rPr>
          <t xml:space="preserve">
Ficoll didn't work that well either. </t>
        </r>
      </text>
    </comment>
    <comment ref="A50" authorId="1" shapeId="0" xr:uid="{A7AF1258-6548-4651-8845-167BED6D764F}">
      <text>
        <r>
          <rPr>
            <b/>
            <sz val="9"/>
            <color indexed="81"/>
            <rFont val="Tahoma"/>
            <charset val="1"/>
          </rPr>
          <t>Raya Ahmed:</t>
        </r>
        <r>
          <rPr>
            <sz val="9"/>
            <color indexed="81"/>
            <rFont val="Tahoma"/>
            <charset val="1"/>
          </rPr>
          <t xml:space="preserve">
Did not stain enough cells for T-cell panel</t>
        </r>
      </text>
    </comment>
    <comment ref="A51" authorId="1" shapeId="0" xr:uid="{26F115B4-2622-4820-8B74-F00E6CCD86F1}">
      <text>
        <r>
          <rPr>
            <b/>
            <sz val="9"/>
            <color indexed="81"/>
            <rFont val="Tahoma"/>
            <charset val="1"/>
          </rPr>
          <t>Raya Ahmed:</t>
        </r>
        <r>
          <rPr>
            <sz val="9"/>
            <color indexed="81"/>
            <rFont val="Tahoma"/>
            <charset val="1"/>
          </rPr>
          <t xml:space="preserve">
Neutrophil data is not available
</t>
        </r>
      </text>
    </comment>
    <comment ref="A52" authorId="1" shapeId="0" xr:uid="{AA97D4D8-F944-4618-B33C-6159F33DF71B}">
      <text>
        <r>
          <rPr>
            <b/>
            <sz val="9"/>
            <color indexed="81"/>
            <rFont val="Tahoma"/>
            <charset val="1"/>
          </rPr>
          <t>Raya Ahmed:</t>
        </r>
        <r>
          <rPr>
            <sz val="9"/>
            <color indexed="81"/>
            <rFont val="Tahoma"/>
            <charset val="1"/>
          </rPr>
          <t xml:space="preserve">
Fortessa went wrong that day, no reliable data available</t>
        </r>
      </text>
    </comment>
    <comment ref="A53" authorId="1" shapeId="0" xr:uid="{2535D1E1-918C-4DCE-A5E3-C86E62199DC7}">
      <text>
        <r>
          <rPr>
            <b/>
            <sz val="9"/>
            <color indexed="81"/>
            <rFont val="Tahoma"/>
            <charset val="1"/>
          </rPr>
          <t>Raya Ahmed:</t>
        </r>
        <r>
          <rPr>
            <sz val="9"/>
            <color indexed="81"/>
            <rFont val="Tahoma"/>
            <charset val="1"/>
          </rPr>
          <t xml:space="preserve">
Acquired Neutrophil panel cells  at FSC=350. NO cells available
</t>
        </r>
      </text>
    </comment>
    <comment ref="A54" authorId="1" shapeId="0" xr:uid="{F24CA25E-7761-4271-9D0C-8A7398F49F4E}">
      <text>
        <r>
          <rPr>
            <b/>
            <sz val="9"/>
            <color indexed="81"/>
            <rFont val="Tahoma"/>
            <charset val="1"/>
          </rPr>
          <t>Raya Ahmed:</t>
        </r>
        <r>
          <rPr>
            <sz val="9"/>
            <color indexed="81"/>
            <rFont val="Tahoma"/>
            <charset val="1"/>
          </rPr>
          <t xml:space="preserve">
Not enough to stain for Neutrophl panel</t>
        </r>
      </text>
    </comment>
    <comment ref="N63" authorId="1" shapeId="0" xr:uid="{0358255B-154D-4FE2-AA97-23E96C2156E5}">
      <text>
        <r>
          <rPr>
            <b/>
            <sz val="9"/>
            <color indexed="81"/>
            <rFont val="Tahoma"/>
            <family val="2"/>
          </rPr>
          <t>Raya Ahmed:</t>
        </r>
        <r>
          <rPr>
            <sz val="9"/>
            <color indexed="81"/>
            <rFont val="Tahoma"/>
            <family val="2"/>
          </rPr>
          <t xml:space="preserve">
- missed bag</t>
        </r>
      </text>
    </comment>
    <comment ref="AB66" authorId="1" shapeId="0" xr:uid="{FFE13F61-93FA-44CD-9001-DCC7D0FE60A0}">
      <text>
        <r>
          <rPr>
            <b/>
            <sz val="9"/>
            <color indexed="81"/>
            <rFont val="Tahoma"/>
            <charset val="1"/>
          </rPr>
          <t>Raya Ahmed:</t>
        </r>
        <r>
          <rPr>
            <sz val="9"/>
            <color indexed="81"/>
            <rFont val="Tahoma"/>
            <charset val="1"/>
          </rPr>
          <t xml:space="preserve">
Ficoll didn't work that well either. </t>
        </r>
      </text>
    </comment>
    <comment ref="Z97" authorId="1" shapeId="0" xr:uid="{96A32B90-EFD6-471A-9B40-1054408079A9}">
      <text>
        <r>
          <rPr>
            <b/>
            <sz val="9"/>
            <color indexed="81"/>
            <rFont val="Tahoma"/>
            <family val="2"/>
          </rPr>
          <t>Raya Ahmed:</t>
        </r>
        <r>
          <rPr>
            <sz val="9"/>
            <color indexed="81"/>
            <rFont val="Tahoma"/>
            <family val="2"/>
          </rPr>
          <t xml:space="preserve">
Ficoll failed</t>
        </r>
      </text>
    </comment>
  </commentList>
</comments>
</file>

<file path=xl/sharedStrings.xml><?xml version="1.0" encoding="utf-8"?>
<sst xmlns="http://schemas.openxmlformats.org/spreadsheetml/2006/main" count="1632" uniqueCount="444">
  <si>
    <t>Patient no.</t>
  </si>
  <si>
    <t>Cell origin</t>
  </si>
  <si>
    <t>DOB</t>
  </si>
  <si>
    <t>Commenced PD</t>
  </si>
  <si>
    <t>Date processed Bag</t>
  </si>
  <si>
    <t>Gender</t>
  </si>
  <si>
    <t>Age (yrs)</t>
  </si>
  <si>
    <t>Age (days)</t>
  </si>
  <si>
    <t>Time on PD</t>
  </si>
  <si>
    <t>Hypertension</t>
  </si>
  <si>
    <t>Diabetes</t>
  </si>
  <si>
    <t>Infection, or date of last infection for stables.</t>
  </si>
  <si>
    <t>Overnight Bag</t>
  </si>
  <si>
    <t xml:space="preserve">Bag - Recorded the system drained into the patient when the cloudy fluid was drained out.  If possible the system of the cloudy fluid drained out also recorded.  </t>
  </si>
  <si>
    <t xml:space="preserve">Dwell </t>
  </si>
  <si>
    <t>Wt full</t>
  </si>
  <si>
    <t>Wt Empty</t>
  </si>
  <si>
    <t xml:space="preserve">Wt </t>
  </si>
  <si>
    <t xml:space="preserve">Ann's Cell Count </t>
  </si>
  <si>
    <t xml:space="preserve"> Cell Count Neat</t>
  </si>
  <si>
    <t>Total Bag Cell Number</t>
  </si>
  <si>
    <t>Ficolled Bag total cell number</t>
  </si>
  <si>
    <t xml:space="preserve">Notes  Unless stated presume is 1st bag.  </t>
  </si>
  <si>
    <t>PBMC count</t>
  </si>
  <si>
    <t/>
  </si>
  <si>
    <t>count CD3+</t>
  </si>
  <si>
    <t>count Vd2+ Pan gd</t>
  </si>
  <si>
    <t>Vd2+ Pan gd % of CD3</t>
  </si>
  <si>
    <t>CXCR3+ Vd2+ % of Vd2</t>
  </si>
  <si>
    <t xml:space="preserve">count Vd2- Pan gd+ </t>
  </si>
  <si>
    <t>Vd2- Pan gd+ % of CD3</t>
  </si>
  <si>
    <t>count MAITs</t>
  </si>
  <si>
    <t>MAITs % CD3</t>
  </si>
  <si>
    <t>CXCR3+ CD8+ MAITs % of MAITs</t>
  </si>
  <si>
    <t>CXCR3+ CD8- MAITs % of MAITs</t>
  </si>
  <si>
    <t>CD8+ MAITs % of MAITs</t>
  </si>
  <si>
    <t>CD4+ MAITs % of MAITs</t>
  </si>
  <si>
    <t>count CD8+</t>
  </si>
  <si>
    <t>CD8+ CXCR3+ % of CD8</t>
  </si>
  <si>
    <t>CD8+ CD45RA- CD27+ % of CD8</t>
  </si>
  <si>
    <t>CD8+ CD45RA+ CD27+ % of CD8</t>
  </si>
  <si>
    <t>CD8+ CD45RA+ CD27- % of CD8</t>
  </si>
  <si>
    <t>CD8+ CD45RA- CD27- % of CD8</t>
  </si>
  <si>
    <t>CD8+ CD45RA- CCR7+ % of CD8</t>
  </si>
  <si>
    <t>CD8+ CD45RA+CCR7+ % of CD8</t>
  </si>
  <si>
    <t>CD8+ CD45RA+ CCR7- % of CD8</t>
  </si>
  <si>
    <t>CD8+ CD45RA- CCR7- % of CD8</t>
  </si>
  <si>
    <t>count CD4+</t>
  </si>
  <si>
    <t>CD4+CXCR3+ % of CD4+</t>
  </si>
  <si>
    <t>CD4+CD45RA- CD27+ % of CD4+</t>
  </si>
  <si>
    <t>CD4+CD45RA+ CD27+ % of CD4+</t>
  </si>
  <si>
    <t>CD4+CD45RA+ CD27- % of CD4+</t>
  </si>
  <si>
    <t>CD4+CD45RA- CD27- % of CD4+</t>
  </si>
  <si>
    <t>CD4+CD45RA- CCR7+ % of CD4+</t>
  </si>
  <si>
    <t>CD4+CD45RA+ CCR7+ % of CD4+</t>
  </si>
  <si>
    <t>CD4+CD45RA+ CCR7- % of CD4+</t>
  </si>
  <si>
    <t>CD4+CD45RA- CCR7- % of CD4+</t>
  </si>
  <si>
    <t>Vd2+ Pan gd+ CD45RA- CD27+ % of Vd2+ Pan gd+</t>
  </si>
  <si>
    <t>Vd2+ Pan gd+ CD45RA+ CD27+ % of Vd2+ Pan gd+</t>
  </si>
  <si>
    <t>Vd2+ Pan gd+ CD45RA+ CD27- % of Vd2+ Pan gd+</t>
  </si>
  <si>
    <t>Vd2+ Pan gd+ CD45RA- CD27- % of Vd2+ Pan gd+</t>
  </si>
  <si>
    <t>Vd2+ Pan gd+ CD45RA- CCR7+ % of Vd2+ Pan gd+</t>
  </si>
  <si>
    <t>Vd2+ Pan gd+ CD45RA+ CCR7+ % of Vd2+ Pan gd+</t>
  </si>
  <si>
    <t>Vd2+ Pan gd+ CD45RA+ CCR7- % of Vd2+ Pan gd+</t>
  </si>
  <si>
    <t>Vd2+ Pan gd+ CD45RA- CCR7- % of Vd2+ Pan gd+</t>
  </si>
  <si>
    <t>MAITs  CD45RA- CD27+ % of MAITs</t>
  </si>
  <si>
    <t>MAITs  CD45RA+ CD27+ % of MAITs</t>
  </si>
  <si>
    <t>MAITs  CD45RA+ CD27- % of MAITs</t>
  </si>
  <si>
    <t>MAITs  CD45RA- CD27- % of MAITs</t>
  </si>
  <si>
    <t>MAITs  CD45RA- CCR7+ % of MAITs</t>
  </si>
  <si>
    <t>MAITs  CD45RA+ CCR7+ % of MAITs</t>
  </si>
  <si>
    <t>MAITs  CD45RA+ CCR7- % of MAITs</t>
  </si>
  <si>
    <t>MAITs  CD45RA- CCR7- % of MAITs</t>
  </si>
  <si>
    <t>CD3+ % of total</t>
  </si>
  <si>
    <t>Cell count for FACS T cell panel</t>
  </si>
  <si>
    <t>Cell count for FACS N cell panel</t>
  </si>
  <si>
    <t>count CD45+ cells</t>
  </si>
  <si>
    <t>count T cells</t>
  </si>
  <si>
    <t>count B cells</t>
  </si>
  <si>
    <t>count eosinophils</t>
  </si>
  <si>
    <t>count neutrophils</t>
  </si>
  <si>
    <t>count monocytes</t>
  </si>
  <si>
    <t>count DCs</t>
  </si>
  <si>
    <t>CD45+ % of total cells</t>
  </si>
  <si>
    <t>T cells % of total cells</t>
  </si>
  <si>
    <t>B cells % of total cells</t>
  </si>
  <si>
    <t>epsinophils % of total cells</t>
  </si>
  <si>
    <t>neutrophils % of total cells</t>
  </si>
  <si>
    <t>monocytes % of total cells</t>
  </si>
  <si>
    <t>DCs % of total cells</t>
  </si>
  <si>
    <t>T cells % of CD45+</t>
  </si>
  <si>
    <t>B cells % of CD45+</t>
  </si>
  <si>
    <t>eosinophils % of CD45+</t>
  </si>
  <si>
    <t>neutrophils % of CD45+</t>
  </si>
  <si>
    <t>monocytes % of CD45+</t>
  </si>
  <si>
    <t>DCs % of CD45+</t>
  </si>
  <si>
    <t>142-09</t>
  </si>
  <si>
    <t>Peritonitis</t>
  </si>
  <si>
    <t>PBMC</t>
  </si>
  <si>
    <t>M</t>
  </si>
  <si>
    <t>N</t>
  </si>
  <si>
    <t>Sample not sent to microbiology, no idea what's the infection, previously had Staph epi</t>
  </si>
  <si>
    <t xml:space="preserve">Drained in Dianeal PD4, 1.36% Glucose, 0.448% Lactate 2000 mL </t>
  </si>
  <si>
    <t>7</t>
  </si>
  <si>
    <t xml:space="preserve">Raya Haemo </t>
  </si>
  <si>
    <t xml:space="preserve">Collected bag &amp; blood from Joy on transplant ward @ 4pm.  </t>
  </si>
  <si>
    <t>PD 142-09R T-PANEL_T1 142-09R PBMC_014.fcs</t>
  </si>
  <si>
    <t>165-09</t>
  </si>
  <si>
    <t>Stable</t>
  </si>
  <si>
    <t>Y</t>
  </si>
  <si>
    <t>AA : never infected</t>
  </si>
  <si>
    <t>Yes</t>
  </si>
  <si>
    <t xml:space="preserve">Baxter Dianeal PD4, 1.36% Glucose, 2000 mL </t>
  </si>
  <si>
    <t>T-cell Panel_PD165-09_Stable_PBMC T1_015.fcs</t>
  </si>
  <si>
    <t>175-09</t>
  </si>
  <si>
    <t>AB: one previous infection (8/1/2014)</t>
  </si>
  <si>
    <t>Enterobacter</t>
  </si>
  <si>
    <t>T Cell Panel_175-09 Stable PBMC T1_015.fcs</t>
  </si>
  <si>
    <t>209-03</t>
  </si>
  <si>
    <t>BG: Coagulase negative Staphylococcus (x2) &amp; Alpha haemolytic Streptococcus</t>
  </si>
  <si>
    <t>Ann Haemo</t>
  </si>
  <si>
    <t>No count</t>
  </si>
  <si>
    <t>Collected bag from nurse on the ward, said patient thinks had been having cloudy bag for a while, but the daughter only contacted ward after becoming sick violently</t>
  </si>
  <si>
    <t>No count is provided/ though we have blood sample, no info how many mls</t>
  </si>
  <si>
    <t>No T cell panel</t>
  </si>
  <si>
    <t>209-05</t>
  </si>
  <si>
    <t>AB: one previous infection (21/05/2017)</t>
  </si>
  <si>
    <t>BA: Coagulase negative Staphylococcus</t>
  </si>
  <si>
    <t>PD210-12-P PDMC 2 T Cells_T1 209-05stable Tpanel PBMC_020.fcs</t>
  </si>
  <si>
    <t>210-12</t>
  </si>
  <si>
    <t>CC: Escherichia coli</t>
  </si>
  <si>
    <t>Fresenius 1.5% Glucose</t>
  </si>
  <si>
    <t>Drained in Fresenius Stay Safe CAPD17 1.5% 83.2 mM Glucose 35mM Lactate pH 5.5, 1500 mL</t>
  </si>
  <si>
    <t>12</t>
  </si>
  <si>
    <t xml:space="preserve">Collected bag &amp; blood from Laura on suite 19 in afternoon approx 3pm.  </t>
  </si>
  <si>
    <t>PD210-12-P PBMC 2 T Cells_T1_015.fcs</t>
  </si>
  <si>
    <t>210-14</t>
  </si>
  <si>
    <t>No info</t>
  </si>
  <si>
    <t>no info</t>
  </si>
  <si>
    <t>T Cell Panel_210-14 PBMC T1_039.fcs</t>
  </si>
  <si>
    <t>229-02</t>
  </si>
  <si>
    <t>PD229-02 PBMC T Cell_PBMC ficoll SSC 250_004.fcs</t>
  </si>
  <si>
    <t>239-02</t>
  </si>
  <si>
    <t xml:space="preserve">Baxter Dianeal PD4, 1.36% Glucose, 1500 mL </t>
  </si>
  <si>
    <t>239-04</t>
  </si>
  <si>
    <t>T Cell Panel_239-04 Stable PBMC T1_015.fcs</t>
  </si>
  <si>
    <t>251-07</t>
  </si>
  <si>
    <t>T Cell Panel_251-07 Stable PDMC T1_020.fcs</t>
  </si>
  <si>
    <t>251-08</t>
  </si>
  <si>
    <t>T Cell Panel_251-08 PBMC T1_019.fcs</t>
  </si>
  <si>
    <t>254-04</t>
  </si>
  <si>
    <t>F</t>
  </si>
  <si>
    <t>T Cell Panel_254-04 Stable PBMC T1_015.fcs</t>
  </si>
  <si>
    <t>254-05</t>
  </si>
  <si>
    <t xml:space="preserve">Stable </t>
  </si>
  <si>
    <t>BB:Staph aureus</t>
  </si>
  <si>
    <t>254-05Stable T Cell Panel_254-05 PBMC T1_014.fcs</t>
  </si>
  <si>
    <t>255-04</t>
  </si>
  <si>
    <t>T Cell Panel_PD255-04 Stable PBMC T1_026.fcs</t>
  </si>
  <si>
    <t>255-05</t>
  </si>
  <si>
    <t>T Cell Panel_255-05 Stable PBMC T1_015.fcs</t>
  </si>
  <si>
    <t>262-01</t>
  </si>
  <si>
    <t>BB: Staphylococcus aureus</t>
  </si>
  <si>
    <t>Billy the nurse said patient phoned on Tuesday 12th and said feeling unwell. Patient noticed the bag was cloudy, and 93mls was all they could drain</t>
  </si>
  <si>
    <t>No PD since Saturday 16-Sep</t>
  </si>
  <si>
    <t>Collected 93mls in bag and 8mls of blood</t>
  </si>
  <si>
    <t>Original T-cell panel RA_262-01 PBMC_015.fcs</t>
  </si>
  <si>
    <t>264-02</t>
  </si>
  <si>
    <t>T-panel_264-02 PBMC T1_031.fcs</t>
  </si>
  <si>
    <t>267-02</t>
  </si>
  <si>
    <t>DA:Yeast</t>
  </si>
  <si>
    <t>RA received phone call from ward, overnight bag</t>
  </si>
  <si>
    <t>Overnight bag</t>
  </si>
  <si>
    <t>Over night bag, 1st bag, overnight dwell</t>
  </si>
  <si>
    <t>T Cell Panel_267-02 Peri PBMC T1_026.fcs</t>
  </si>
  <si>
    <t>272-01</t>
  </si>
  <si>
    <t>T Cell Panel_272-01 PBMC T1_014.fcs</t>
  </si>
  <si>
    <t>273-01</t>
  </si>
  <si>
    <t>BJ: Streptococcus agalactiae group B</t>
  </si>
  <si>
    <t>RA collected bag from nurse Laura @suit 19, patient checked bag on Tuesday it's OK, Wednesday evening felt sudden pain, Thursday morning in hospital and drained then</t>
  </si>
  <si>
    <t>Collected bag from nurse Laura at Suit19 at 11am</t>
  </si>
  <si>
    <t>T-panel_273-01 PBMC T1_019.fcs</t>
  </si>
  <si>
    <t>276-01</t>
  </si>
  <si>
    <t>BG: Alpha haemolytic Streptococcus</t>
  </si>
  <si>
    <t>Unknown</t>
  </si>
  <si>
    <t xml:space="preserve">AKM Haemo </t>
  </si>
  <si>
    <t>No information</t>
  </si>
  <si>
    <t>T Cell Panel_276-01 PBMC T1_029.fcs</t>
  </si>
  <si>
    <t>286-03</t>
  </si>
  <si>
    <t>BA: Coagulase negative Staphylococcus aureus</t>
  </si>
  <si>
    <t>Delyth called RA to pick up the bag at7pm</t>
  </si>
  <si>
    <t xml:space="preserve">4 </t>
  </si>
  <si>
    <t xml:space="preserve">The Morning bag was clear, so this was first cloudy bag </t>
  </si>
  <si>
    <t>T Cell Panel_286-03 Peri PBMC T1_019.fcs</t>
  </si>
  <si>
    <t>286-04</t>
  </si>
  <si>
    <t>T Cell Panel_286-04 Stable PBMC T1_015.fcs</t>
  </si>
  <si>
    <t>294-02</t>
  </si>
  <si>
    <t xml:space="preserve">BG: Alpha haemolytic Streptococcus→ Streptococcus mitis </t>
  </si>
  <si>
    <t>PD 294-02 T-PANEL_T1 294-02 PBMC_015.fcs</t>
  </si>
  <si>
    <t>294-03</t>
  </si>
  <si>
    <t>AB: one previous infection (9/06/2017)</t>
  </si>
  <si>
    <t>BG: Streptococcus mitis → an alpha haemolytic Streptococcus</t>
  </si>
  <si>
    <t>T-panel_294-03 PBMC T1_037.fcs</t>
  </si>
  <si>
    <t>295-01</t>
  </si>
  <si>
    <t>AZ: No growth</t>
  </si>
  <si>
    <t>Extraneal</t>
  </si>
  <si>
    <t>11</t>
  </si>
  <si>
    <t xml:space="preserve">Collected bag from Laura on suite 19 in morning.  Sent blood to Pathology by mistake.  Got blood back from Pathology in afternoon @ 3pm. </t>
  </si>
  <si>
    <t>PD295-01-P PBMC 2 T Cells_T1_015.fcs</t>
  </si>
  <si>
    <t>298-01</t>
  </si>
  <si>
    <t>T Cell Panel_PD298-01 Stable PBMC T1_036.fcs</t>
  </si>
  <si>
    <t>305-01</t>
  </si>
  <si>
    <t>AKM collected bag from ward nursen not PD nurse, @10pm</t>
  </si>
  <si>
    <t>Dwell came in the evening, so probably day bag</t>
  </si>
  <si>
    <t>T Cell Panel_305-01 PBMC T1_019.fcs</t>
  </si>
  <si>
    <t>No Data</t>
  </si>
  <si>
    <t>No data</t>
  </si>
  <si>
    <t>305-02</t>
  </si>
  <si>
    <t>HepC</t>
  </si>
  <si>
    <t>AB: one previous infection (2/12/2017)</t>
  </si>
  <si>
    <t>Patient threw it away</t>
  </si>
  <si>
    <t>T Cell Panel_305-02 Stable PBMC T1_035.fcs</t>
  </si>
  <si>
    <t>305-03</t>
  </si>
  <si>
    <t>T Cell Panel_305-03 Stable PBMC T1_017.fcs</t>
  </si>
  <si>
    <t>306-01</t>
  </si>
  <si>
    <t>AZ: No Growth</t>
  </si>
  <si>
    <t xml:space="preserve">AKM collected bag @4pm </t>
  </si>
  <si>
    <t>Think it's overnight bag</t>
  </si>
  <si>
    <t>AKM HCC</t>
  </si>
  <si>
    <t>T Cell Panel_PD306-01-P PBMC T1_020.fcs</t>
  </si>
  <si>
    <t>308-01</t>
  </si>
  <si>
    <t xml:space="preserve">BA: Coagulase negative Staphylococcus </t>
  </si>
  <si>
    <t>T Cell Panel_PD308-01 Stable PBMC T1_020.fcs</t>
  </si>
  <si>
    <t>308-02R</t>
  </si>
  <si>
    <t>Relapse</t>
  </si>
  <si>
    <t>BA: Coagulase negative Staph aureus</t>
  </si>
  <si>
    <t>Delyth called RA to pick the bag 12pm, processed same day</t>
  </si>
  <si>
    <t>had an episode (missed that bag)of coag-ve staph aureus on 0/03/2018, therefore this is relapse</t>
  </si>
  <si>
    <t>T Cell Panel_308-02R Peri PBMC T1_019.fcs</t>
  </si>
  <si>
    <t>100*0.0116</t>
  </si>
  <si>
    <t>308-03R</t>
  </si>
  <si>
    <t>Nurse Mandy called, 1st cloudy bag, overnight bag</t>
  </si>
  <si>
    <t>T Cell Panel_308-03R Peri PBMC T1_038.fcs</t>
  </si>
  <si>
    <t>308-04</t>
  </si>
  <si>
    <t>T Cell Panel_308-04 Stable PBMC T1_015.fcs</t>
  </si>
  <si>
    <t>310-01</t>
  </si>
  <si>
    <t>BC: Corynebacterium amycolatum</t>
  </si>
  <si>
    <t>Got phone call from PD nurse Lyanne, bag1, picked bag at 4pm, processed it @11pm</t>
  </si>
  <si>
    <t>T Cell Panel_PD310-01 Peri PBMC T1_019.fcs</t>
  </si>
  <si>
    <t>315-01</t>
  </si>
  <si>
    <t>RA got phonecall from B5 on Sunday, First cloudy bag, one before was clear, 4 hour bag</t>
  </si>
  <si>
    <t xml:space="preserve">Drained in CAPD/ DPCA17 1.5%  glucose 1500ml </t>
  </si>
  <si>
    <t>4</t>
  </si>
  <si>
    <t>T Cell Panel_315-01 Peri PBMC T1_014.fcs</t>
  </si>
  <si>
    <t>315-02</t>
  </si>
  <si>
    <t>Fresenius CAPD/DPCA 17</t>
  </si>
  <si>
    <t>T Cell Panel_315-02 Stable PBMC T1_025.fcs</t>
  </si>
  <si>
    <t>316-01</t>
  </si>
  <si>
    <t>Patient on APD, didn't dialysis since Friday because of fistula formation, weekend time off from dialysis, Tuesday complained of abdolinal pain, first cloudy bag, in @1230pm, out@5:30pm</t>
  </si>
  <si>
    <t>APD Baxter Extraneal solution for peritoneal dialysis 2000ml</t>
  </si>
  <si>
    <t>5 hour bag, day1</t>
  </si>
  <si>
    <t>T Cell Panel_316-01 Peri  PBMC T1_020.fcs</t>
  </si>
  <si>
    <t>318-01</t>
  </si>
  <si>
    <t>T Cell Panel_318-01 Stable PBMC T1_015.fcs</t>
  </si>
  <si>
    <t>`</t>
  </si>
  <si>
    <t>320-01</t>
  </si>
  <si>
    <t>BA: CNS</t>
  </si>
  <si>
    <t>Billy went to see patient for adequacy test in the morning, asked patient to keep the overnight bag, but the bag turned out to be cloudy!</t>
  </si>
  <si>
    <t xml:space="preserve">Drained in Dianeal PD4, 2.27% Glucose, 1500 mL </t>
  </si>
  <si>
    <t>254-05Stable T Cell Panel_320-01 Peri PBMC T1_014.fcs</t>
  </si>
  <si>
    <t>321-01</t>
  </si>
  <si>
    <t xml:space="preserve">Baxter Dianeal PD4, 2.27% Glucose, 2000 mL </t>
  </si>
  <si>
    <t>254-05Stable T Cell Panel_321-01 Stable PBMC T1_021.fcs</t>
  </si>
  <si>
    <t>322-01</t>
  </si>
  <si>
    <t>1 T Panel_322-01 Stable PBMC T1_014.fcs</t>
  </si>
  <si>
    <t>323-01</t>
  </si>
  <si>
    <t>No infection reported</t>
  </si>
  <si>
    <t>1 T Panel_323-01 Stable PBMC T1_014.fcs</t>
  </si>
  <si>
    <t>323-02</t>
  </si>
  <si>
    <t xml:space="preserve">Sharon called at 6pm, patient was in on Sunday but was sent home, he came back on Monday with cloudy bag in hand and then was treated </t>
  </si>
  <si>
    <t>Patient didn't bring the bag</t>
  </si>
  <si>
    <t>SB haemo</t>
  </si>
  <si>
    <t xml:space="preserve">Sarah processed bag at 6pm, Day 2 bag untrested, </t>
  </si>
  <si>
    <t>T Cell Panel_323-01 PBMC T1_019.fcs</t>
  </si>
  <si>
    <t>324-01</t>
  </si>
  <si>
    <t>Physioneal 40 2.27% glucose 2000ml</t>
  </si>
  <si>
    <t>Patient drained over 3 litres, so scale couldn't compute, so I  used seven pots to calculate the volume</t>
  </si>
  <si>
    <t>1 T Panel_324-01 Stable PBMC T1_014.fcs</t>
  </si>
  <si>
    <t>326-01</t>
  </si>
  <si>
    <t>1 T Panel_326-01 Stable PBMC T1_014.fcs</t>
  </si>
  <si>
    <t>PDMC</t>
  </si>
  <si>
    <t>T Cell Panel_175-09 Stable PDMC T1_014.fcs</t>
  </si>
  <si>
    <t>PD210-12-P PDMC 2 T Cells_T1 209-05stable Tpanel PDMC_019.fcs</t>
  </si>
  <si>
    <t>PD210-12-P PDMC 2 T Cells_T1_015.fcs</t>
  </si>
  <si>
    <t>T Cell Panel_210-14 PDMC T2_035.fcs</t>
  </si>
  <si>
    <t>PD229-02 PBMC T Cell_Effluent SSC 250_005.fcs</t>
  </si>
  <si>
    <t>237-06</t>
  </si>
  <si>
    <t>Y</t>
    <phoneticPr fontId="1" type="noConversion"/>
  </si>
  <si>
    <t>N</t>
    <phoneticPr fontId="1" type="noConversion"/>
  </si>
  <si>
    <t>RA collected bag from ward</t>
  </si>
  <si>
    <t>RA collected bag from ward @</t>
  </si>
  <si>
    <t>No blood was provided by nurses</t>
  </si>
  <si>
    <t>T-panel_237-06-P PDMC T1_001.fcs</t>
  </si>
  <si>
    <t>T Cell Panel_239-02 Stable PDMC T1_020.fcs</t>
  </si>
  <si>
    <t>T Cell Panel_239-04 Stable PDMC T1_014.fcs</t>
  </si>
  <si>
    <t>T Cell Panel_251-08 PDMC T1_014.fcs</t>
  </si>
  <si>
    <t>T Cell Panel_254-04 Stable PDMC T1_014.fcs</t>
  </si>
  <si>
    <t>254-05Stable T Cell Panel_254-05 PDMC T1_019.fcs</t>
  </si>
  <si>
    <t>T Cell Panel_PD255-04 Stable PDMC T1_025.fcs</t>
  </si>
  <si>
    <t>T Cell Panel_255-05 Stable PDMC T1_014.fcs</t>
  </si>
  <si>
    <t>Original T-cell panel RA_262-01 PDMC_016.fcs</t>
  </si>
  <si>
    <t>T-panel_264-02 PDMC T1_026.fcs</t>
  </si>
  <si>
    <t>267-01</t>
  </si>
  <si>
    <t>No blood</t>
  </si>
  <si>
    <t>T-panel_267-01 PDMC T1_025.fcs</t>
  </si>
  <si>
    <t>T Cell Panel_267-02 Peri PDMC T1_027.fcs</t>
  </si>
  <si>
    <t>T-panel_273-01 PDMC T1_014.fcs</t>
  </si>
  <si>
    <t>T Cell Panel_276-01 PDMC T1_024.fcs</t>
  </si>
  <si>
    <t>279-03</t>
  </si>
  <si>
    <t>AA: No infection reported</t>
  </si>
  <si>
    <t>T Cell Panel_PD279-03 Stable PDMC T1_018.fcs</t>
  </si>
  <si>
    <t>286-02</t>
  </si>
  <si>
    <t>Picked up bag and blood from Billy at 2pm</t>
  </si>
  <si>
    <t>T Cell Panel_286-02 Peri PDMC T1_014.fcs</t>
  </si>
  <si>
    <t>T Cell Panel_286-03 Peri PDMC T1_014.fcs</t>
  </si>
  <si>
    <t>T Cell Panel_286-04 Stable PDMC T1_014.fcs</t>
  </si>
  <si>
    <t>288-02</t>
  </si>
  <si>
    <t>Measured 288-02 Bag 2.  Bag left overnight measured next day 12/01/2018. Antibiotic in bag, treated in Newport</t>
  </si>
  <si>
    <t xml:space="preserve">Drained in Dianeal PD4, 1.36% Glucose, 0.448% Lactate 1500 mL </t>
  </si>
  <si>
    <t>T-panel_288-02-P-Bag2 PDMC T1_006.fcs</t>
  </si>
  <si>
    <t>289-01</t>
  </si>
  <si>
    <t xml:space="preserve">EC: &gt;1  +ve &amp; -ve  Gram stains:- Alpha haemolytic Streptococcus, Streptococcus lutetiensis, Enterococcus faecalis, Klebsiella pneumoniae.  </t>
  </si>
  <si>
    <t>Drained in Physioneal 40, 1.36% Glucose, 0.168 % Lactate, 0.21 % Na bicarb, 2 Chamber bag</t>
  </si>
  <si>
    <t>Day bag</t>
  </si>
  <si>
    <t>Countess</t>
  </si>
  <si>
    <t>Cells did not Pellet</t>
  </si>
  <si>
    <t xml:space="preserve">Collected bag &amp; 2 small bloods from fridge on ward at approx 6pm.  Ficolled but didn't work so just used neat cells.  Think maybe perforated bowel. </t>
  </si>
  <si>
    <t>Though two blood tubes provided, cells were terrible in ficoll, nothing is frozen</t>
  </si>
  <si>
    <t>PD289-01-P PDMC 2 T Cells 4th Comp_T1_001.fcs</t>
  </si>
  <si>
    <t>294-01</t>
  </si>
  <si>
    <t xml:space="preserve">Collected bag from nurse on the ward, patient came in last night with a cloudy bag. No blood provided </t>
  </si>
  <si>
    <t>PD294-01-P PDMC 2 T Cells_T1_014.fcs</t>
  </si>
  <si>
    <t>PD 294-02 T-PANEL_T1 294-02 PDMC_014.fcs</t>
  </si>
  <si>
    <t>T-panel_294-03 PDMC T1_036.fcs</t>
  </si>
  <si>
    <t>PD295-01-P PDMC 2 T Cells_T1_015.fcs</t>
  </si>
  <si>
    <t>T Cell Panel_PD298-01 Stable PDMC T1_031.fcs</t>
  </si>
  <si>
    <t>302-01</t>
  </si>
  <si>
    <t xml:space="preserve">AKM collected bag from Lynda on Suit19 </t>
  </si>
  <si>
    <t>T Cell Panel_PD302-01-P PDMC T1_044.fcs</t>
  </si>
  <si>
    <t>T Cell Panel_305-01 PDMC T1_014.fcs</t>
  </si>
  <si>
    <t>T Cell Panel_305-02 Stable PDMC T1_030.fcs</t>
  </si>
  <si>
    <t>T Cell Panel_305-03 Stable PDMC T1_016.fcs</t>
  </si>
  <si>
    <t>T Cell Panel_PD306-01-P PDMC T1_014.fcs</t>
  </si>
  <si>
    <t>307-01</t>
  </si>
  <si>
    <t>T-panel_307-01 PDMC T1_024.fcs</t>
  </si>
  <si>
    <t>T Cell Panel_PD308-01 Stable PDMC T1_019.fcs</t>
  </si>
  <si>
    <t>BA: Coagulase negative Staph</t>
  </si>
  <si>
    <t>T Cell Panel_308-02R Peri PDMC T1_014.fcs</t>
  </si>
  <si>
    <t>T Cell Panel_308-03R Peri PDMC T1_032.fcs</t>
  </si>
  <si>
    <t>]['214</t>
  </si>
  <si>
    <t>T Cell Panel_308-04 Stable PDMC T1_014.fcs</t>
  </si>
  <si>
    <t>BC:  Corynebacterium amycolatum</t>
  </si>
  <si>
    <t>T Cell Panel_PD310-01 Peri PDMC T1_014.fcs</t>
  </si>
  <si>
    <t>Day 1 bag</t>
  </si>
  <si>
    <t>T Cell Panel_315-01 Peri PDMC T1_015.fcs</t>
  </si>
  <si>
    <t>T Cell Panel_315-02 Stable PDMC T1_020.fcs</t>
  </si>
  <si>
    <t>T Cell Panel_316-01 Peri  PDMC T1_021.fcs</t>
  </si>
  <si>
    <t>T Cell Panel_318-01 Stable PDMC T1_014.fcs</t>
  </si>
  <si>
    <t>254-05Stable T Cell Panel_320-01 Peri PDMC T1_015.fcs</t>
  </si>
  <si>
    <t>254-05Stable T Cell Panel_321-01 Stable PDMC T1_020.fcs</t>
  </si>
  <si>
    <t>1 T Panel_322-01 Stable PDMC T1_019.fcs</t>
  </si>
  <si>
    <t>1 T Panel_323-01 Stable PDMC T1_019.fcs</t>
  </si>
  <si>
    <t>T Cell Panel_323-01 PDMC T1_014.fcs</t>
  </si>
  <si>
    <t>1 T Panel_324-01 Stable PDMC T1_015.fcs</t>
  </si>
  <si>
    <t>1 T Panel_326-01 Stable PDMC T1_015.fcs</t>
  </si>
  <si>
    <t>Lab Notes for the collation of data for cell analysis.</t>
  </si>
  <si>
    <t>Raya has been collating the data according to templates that she and I put together for a T cell panel and the neutrophil (=general innate cell) panel.    In order to do the analysis we have designed a template which we are using for all analyses.  We are then exporting the data as excel files which I incorporate into one large excel file.  To get the large excel file I am taking the data and looking at the initial .fcs files to check whether the numbers look real or are just anomalous.  For most of the analyses there are fmo’s as well as the whole analysis. I collate data from the whole analysis and the fmo’s in which that particular aspect is untouched, eg for counting CD45RA+CD27+CD4+ I will include data from the fmo lacking the CXCR3 antibody.</t>
  </si>
  <si>
    <t xml:space="preserve">To use the data from the excel sheets, the format needs to be changed slightly.  For some reason the program has saved the numbers as text.  The easiest and fastest way to change the text into number is to type a 0 on an empty cell.  Then highlight and copy your block of data.  Highlight the “0” cell and right click to enable “Paste special”.  In paste special, press “Add”.  It will then paste/add your text-numbers as actual numbers.  You can then paste them back in the right spot. </t>
  </si>
  <si>
    <t>As a general note, the CD45RA/CD27 and CD45RA/CCR7 stains which are so useful for αβ T cells are not helpful on γδ cells or MAITs.  There are no clear populations, just blobs particularly in γδ cells.  Some MAIT cell populations show a bit more definition, but by no means in all.  Hence I would disregard those stainings unless there is a compelling reason to keep them.</t>
  </si>
  <si>
    <t>Neutrophil gating needs to be changed on almost everything.  Raya is going to hate me.</t>
  </si>
  <si>
    <t>Also, I need to check CCR7 vs CD27 because they were switched for some samples and I need to make sure that I have switched them for all the right samples.</t>
  </si>
  <si>
    <t>Comments on individual samples</t>
  </si>
  <si>
    <t>T cell panel</t>
  </si>
  <si>
    <t>TALK TO RAYA.  NEED TO MOVE THE CCR7 TO ABOVE FMO BACKGROUND.</t>
  </si>
  <si>
    <t>All done.  The main sheet currently has the old data in it.  The new data is in the folder of data yet to be collated.</t>
  </si>
  <si>
    <t>Looks like we need to shift the threshold for the CCR7 background. Done but not yet in sheet.</t>
  </si>
  <si>
    <t>Looks like we need to shift the threshold for the CCR7 background Done but not yet in sheet.</t>
  </si>
  <si>
    <t>CD45RA threshold lower on CD8s than CD4s.  Looks right on the FMO, but looks wrong on the actual stained cells.  Need to move it to the same level as on CD4s.  Funnily enough, looks fine on the PDMCs but moving it up on both PBMCs and PDMCs would not adversely affect the PDMC data. Done but not yet in sheet.</t>
  </si>
  <si>
    <t>Looks like we need to shift the threshold for the CCR7 background. Done but not finished  in analysis.</t>
  </si>
  <si>
    <t>CD45RA too tight to the left.  Done but not yet added to analysis.</t>
  </si>
  <si>
    <t>OK</t>
  </si>
  <si>
    <t>Not enough cells to analyse.  Not included in the final analysis sheet.</t>
  </si>
  <si>
    <t>FMOs do not appear to be FMOs.  Seem to have all mAbs.</t>
  </si>
  <si>
    <t>Very low numbers of cells, so percentages likely to be out of whack.</t>
  </si>
  <si>
    <t>The CCR7 and CD27 staining look strange and untrustworthy.  CD27 and CCR7 switched.  Fixed and put into the collated sheet.</t>
  </si>
  <si>
    <t>Numbers are very low but staining looks good. CD27 and CCR7 switched.  Fixed and put into the collated sheet.</t>
  </si>
  <si>
    <t>CD27 staining looks strange on the CD8s.  Otherwise, all good. CD27 and CCR7 switched.  Fixed and put into the collated sheet.</t>
  </si>
  <si>
    <t>Colours for CD27 and CCR7 have been swapped and added to the collated analysis. Not yet done. Full stain and CD27 FMO have insufficient cells for analysis, so have been excluded.</t>
  </si>
  <si>
    <t>225-04</t>
  </si>
  <si>
    <t>This one is from early on and Raya was still working out the protocols. The “ficoll” sample is the one to use.  No medians used from this sample, just the one number. CD27 and CCR7 switched.  Fixed and put into the collated sheet.</t>
  </si>
  <si>
    <t>Low numbers of cells but OK. *Check original FACS printouts to make sure*</t>
  </si>
  <si>
    <t>V. low numbers</t>
  </si>
  <si>
    <t>All good.</t>
  </si>
  <si>
    <t>All good.  Use as a prototype for standard analysis with one full set of mAbs and 4 FMOs.</t>
  </si>
  <si>
    <t>CD27-CD45RA and CCR7-CD45RA very messy and unreliable for MAITs and gd T cells.</t>
  </si>
  <si>
    <t>Small number of cells counted in the full mAb staining so not enough Vδ2 cells or MAIT cells to count (only 4 and 3 respectively!) so all data for Vδ2 cells comes from the other four FMO stains.  All data for other cell types is aggregated from the full stain and the relevant FMOs.</t>
  </si>
  <si>
    <t>To me, the CXCR3 cut off looks too low, which might give erroneously high CXCR3+ T cell numbers. Also, CD8+ T cells quite smeary with the CCR7 and CD27 staining so these numbers may not be reliable.</t>
  </si>
  <si>
    <t>CD45RA gating looks off.</t>
  </si>
  <si>
    <t>Not enough cells so not included in final collated data.</t>
  </si>
  <si>
    <t>CD4+CD45RA+ CCR7+ population doesn’t look real, it looks more like a smear.  I would ignore this population for this sample, for the main staining panel and also for the FMOs.  Just looks strange and unreliable for CD4, all other cell types have expected staining patterns. Colours were switched for this sample between CD27 and CCR7; this has been put right in the analysis and in the table saved to the “Data in collated sheet” folder.</t>
  </si>
  <si>
    <t>Panel looks good.  Colour switch between CD27 and CCR7 has again been fixed.</t>
  </si>
  <si>
    <t>CD27 and CCR7 colours switched.  Put right in the analysis.</t>
  </si>
  <si>
    <t>Not enough cells in the CCR7 FMO so it was disregarded from the analysis. CD27 FMO also appears to lack CCR7, so can be used as an alternative CCR7 FMO.  CCR7 and CD27 numbers were switched around so have been put in the right order.  Not enough MAITs for analysis in the CD45RA FMO.</t>
  </si>
  <si>
    <t>Not enough cells for the full stain or the CXCR3 FMO.  Numbers have been put together from the other stains.  Not enough MAITs available to do analysis of MAIT subpopulations, so no data entered for that part of the analysis. CD27 and CCR7 switched around.  Fixed in collated data.</t>
  </si>
  <si>
    <t>Not enough cells for the CD27 FMO, so discard that.  CD27 and CCR7 switched around.  Fixed in collated data.</t>
  </si>
  <si>
    <t>CD45RA looks too far to the left for MAITs.  May be erroneously too many CD45RAhi MAIT cells.</t>
  </si>
  <si>
    <t>CD45RA looks too far to the left for MAITs. May be erroneously too many CD45RAhi MAIT cells.</t>
  </si>
  <si>
    <t>Have not seen the fcs files.</t>
  </si>
  <si>
    <t>CCR7 and CD45RA sketchy for gd and MAITs</t>
  </si>
  <si>
    <t>CD27 weird on gamma deltas.</t>
  </si>
  <si>
    <t>CD8+ CXCR3 stain looks like the CXCR3+ group may be overgenerous.</t>
  </si>
  <si>
    <t>Neutrophil panel</t>
  </si>
  <si>
    <t>See comments on main sheet.</t>
  </si>
  <si>
    <t>Not reliable so not used.</t>
  </si>
  <si>
    <t>CD15-Siglec8- missing a large number of cells in total counts.  Actually , looking at the CD3CD19, we would struggle to get any usable info out of the stain.  Not counted.</t>
  </si>
  <si>
    <t>Also had stain that didn’t work perfectly, BUT might be able to get something out of it.  Need to move neutrophil SSC vs FSC and the siglec8+CD15dim gate then can probably give it a go.  Not used.</t>
  </si>
  <si>
    <t>OK.</t>
  </si>
  <si>
    <t>308-05</t>
  </si>
  <si>
    <t>Found with 308-04 T cell panels so have classified it as 308-04 in the main spreadsheet.  Have not seen the fcs files.</t>
  </si>
  <si>
    <t>CD116+CD15- gate misses the population but appears not to change the results.</t>
  </si>
  <si>
    <t>OK.  Neutrophil gate could be a bit bigger.</t>
  </si>
  <si>
    <t>An important note on the methods used.  There is a systematic bias in the way cells are collected from the stable bags compared to the infected bags.  For stable bags there are generally very, very few cells, so there is no ficoll step.  Cells are collected straight from the bags and centrifuged, then counted and stained.  For infected bags, cells are collected together and then they are put over a ficoll gradient.  This means that we are very likely to be under-estimating the number of some innate cell types in infected bags.  Need to look up which cell types are most likely to be biased by ficoll vs no ficoll.</t>
  </si>
  <si>
    <t>From Raya…</t>
  </si>
  <si>
    <t>Peritonitis bags:</t>
  </si>
  <si>
    <t>We count cells from bag neat since there is a huge infection going on.</t>
  </si>
  <si>
    <t xml:space="preserve">We spin the whole bag and concentrate the cells. </t>
  </si>
  <si>
    <t>Because we have shed loads of neutrophils due to the infection, we do a ficoll step to try and get rid of as many neutrophils as possible</t>
  </si>
  <si>
    <t xml:space="preserve">Wash the ficolled cells, then count as total </t>
  </si>
  <si>
    <t>Stable bags:</t>
  </si>
  <si>
    <t xml:space="preserve">  We don't count cells straight from the bag because the stable bag will have little cells in the absence of infection</t>
  </si>
  <si>
    <t>We spin the whole bag and concentrate the cells.</t>
  </si>
  <si>
    <t>NO ficoll step is involved since there is no need to get rid of the neutrophils</t>
  </si>
  <si>
    <t>Wash the concentrated cells</t>
  </si>
  <si>
    <t xml:space="preserve">Count cells as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</si>
</sst>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000"/>
    <numFmt numFmtId="166" formatCode="#,##0.0"/>
    <numFmt numFmtId="167" formatCode="0.000E+00"/>
    <numFmt numFmtId="168" formatCode="_-* #,##0_-;\-* #,##0_-;_-* &quot;-&quot;??_-;_-@_-"/>
    <numFmt numFmtId="169" formatCode="_-* #,##0.000_-;\-* #,##0.000_-;_-* &quot;-&quot;??_-;_-@_-"/>
    <numFmt numFmtId="170" formatCode="0.0"/>
  </numFmts>
  <fonts count="29">
    <font>
      <sz val="10"/>
      <name val="Arial"/>
    </font>
    <font>
      <sz val="9"/>
      <color indexed="81"/>
      <name val="Tahoma"/>
      <family val="2"/>
    </font>
    <font>
      <b/>
      <sz val="9"/>
      <color indexed="81"/>
      <name val="Tahoma"/>
      <family val="2"/>
    </font>
    <font>
      <b/>
      <sz val="9"/>
      <color indexed="8"/>
      <name val="Calibri"/>
      <family val="2"/>
      <scheme val="minor"/>
    </font>
    <font>
      <sz val="9"/>
      <name val="Calibri"/>
      <family val="2"/>
      <scheme val="minor"/>
    </font>
    <font>
      <b/>
      <sz val="9"/>
      <color indexed="81"/>
      <name val="Tahoma"/>
      <charset val="1"/>
    </font>
    <font>
      <sz val="9"/>
      <color indexed="81"/>
      <name val="Tahoma"/>
      <charset val="1"/>
    </font>
    <font>
      <b/>
      <sz val="9"/>
      <name val="Calibri"/>
      <family val="2"/>
      <scheme val="minor"/>
    </font>
    <font>
      <sz val="10"/>
      <name val="Arial"/>
    </font>
    <font>
      <sz val="9"/>
      <color indexed="8"/>
      <name val="Calibri"/>
      <family val="2"/>
    </font>
    <font>
      <sz val="10"/>
      <name val="Arial"/>
      <family val="2"/>
    </font>
    <font>
      <sz val="9"/>
      <color rgb="FFC00000"/>
      <name val="Calibri"/>
      <family val="2"/>
      <scheme val="minor"/>
    </font>
    <font>
      <b/>
      <sz val="9"/>
      <color rgb="FFC00000"/>
      <name val="Calibri"/>
      <family val="2"/>
      <scheme val="minor"/>
    </font>
    <font>
      <sz val="9"/>
      <color rgb="FFC00000"/>
      <name val="Calibri"/>
      <family val="2"/>
    </font>
    <font>
      <b/>
      <sz val="9"/>
      <color rgb="FF7030A0"/>
      <name val="Calibri"/>
      <family val="2"/>
      <scheme val="minor"/>
    </font>
    <font>
      <sz val="9"/>
      <color rgb="FF7030A0"/>
      <name val="Calibri"/>
      <family val="2"/>
      <scheme val="minor"/>
    </font>
    <font>
      <b/>
      <sz val="9"/>
      <color rgb="FF00B050"/>
      <name val="Calibri"/>
      <family val="2"/>
      <scheme val="minor"/>
    </font>
    <font>
      <sz val="9"/>
      <color rgb="FF00B050"/>
      <name val="Calibri"/>
      <family val="2"/>
      <scheme val="minor"/>
    </font>
    <font>
      <sz val="10"/>
      <name val="Verdana"/>
      <family val="2"/>
    </font>
    <font>
      <b/>
      <sz val="9"/>
      <color rgb="FFC00000"/>
      <name val="Calibri"/>
      <family val="2"/>
    </font>
    <font>
      <sz val="9"/>
      <name val="Calibri"/>
      <family val="2"/>
    </font>
    <font>
      <b/>
      <i/>
      <sz val="9"/>
      <name val="Calibri"/>
      <family val="2"/>
      <scheme val="minor"/>
    </font>
    <font>
      <b/>
      <sz val="9"/>
      <name val="Calibri"/>
      <family val="2"/>
    </font>
    <font>
      <b/>
      <sz val="10"/>
      <name val="Arial"/>
      <family val="2"/>
    </font>
    <font>
      <sz val="9"/>
      <color theme="2" tint="-0.249977111117893"/>
      <name val="Calibri"/>
      <family val="2"/>
      <scheme val="minor"/>
    </font>
    <font>
      <b/>
      <sz val="9"/>
      <color theme="2" tint="-0.249977111117893"/>
      <name val="Calibri"/>
      <family val="2"/>
      <scheme val="minor"/>
    </font>
    <font>
      <b/>
      <sz val="9"/>
      <color theme="2" tint="-0.249977111117893"/>
      <name val="Calibri"/>
      <family val="2"/>
    </font>
    <font>
      <sz val="9"/>
      <color theme="2" tint="-0.249977111117893"/>
      <name val="Calibri"/>
      <family val="2"/>
    </font>
    <font>
      <b/>
      <sz val="9"/>
      <color indexed="8"/>
      <name val="Calibri"/>
      <family val="2"/>
    </font>
  </fonts>
  <fills count="10">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theme="9" tint="0.79998168889431442"/>
      </patternFill>
    </fill>
    <fill>
      <patternFill patternType="solid">
        <fgColor indexed="2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C000"/>
        <bgColor theme="9" tint="0.79998168889431442"/>
      </patternFill>
    </fill>
  </fills>
  <borders count="5">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s>
  <cellStyleXfs count="8">
    <xf numFmtId="0" fontId="0" fillId="0" borderId="0"/>
    <xf numFmtId="164" fontId="8" fillId="0" borderId="0" applyFont="0" applyFill="0" applyBorder="0" applyAlignment="0" applyProtection="0"/>
    <xf numFmtId="0" fontId="10" fillId="0" borderId="0"/>
    <xf numFmtId="0" fontId="10" fillId="0" borderId="0" applyNumberFormat="0" applyFill="0" applyBorder="0" applyAlignment="0" applyProtection="0"/>
    <xf numFmtId="0" fontId="10" fillId="0" borderId="0"/>
    <xf numFmtId="0" fontId="18" fillId="0" borderId="0"/>
    <xf numFmtId="0" fontId="18" fillId="0" borderId="0"/>
    <xf numFmtId="0" fontId="10" fillId="0" borderId="0"/>
  </cellStyleXfs>
  <cellXfs count="323">
    <xf numFmtId="0" fontId="0" fillId="0" borderId="0" xfId="0"/>
    <xf numFmtId="0" fontId="7" fillId="0" borderId="1" xfId="0" applyFont="1" applyBorder="1" applyAlignment="1">
      <alignment vertical="center"/>
    </xf>
    <xf numFmtId="14" fontId="3" fillId="5" borderId="1" xfId="0" applyNumberFormat="1"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165" fontId="3" fillId="5" borderId="1" xfId="0" applyNumberFormat="1" applyFont="1" applyFill="1" applyBorder="1" applyAlignment="1">
      <alignment horizontal="left" vertical="center" wrapText="1"/>
    </xf>
    <xf numFmtId="0" fontId="4" fillId="3" borderId="1" xfId="0" applyFont="1" applyFill="1" applyBorder="1" applyAlignment="1">
      <alignment vertical="center"/>
    </xf>
    <xf numFmtId="2" fontId="4" fillId="3" borderId="1" xfId="0" applyNumberFormat="1" applyFont="1" applyFill="1" applyBorder="1" applyAlignment="1">
      <alignment vertical="center"/>
    </xf>
    <xf numFmtId="2" fontId="4" fillId="4" borderId="1" xfId="0" applyNumberFormat="1" applyFont="1" applyFill="1" applyBorder="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2" fontId="4" fillId="0" borderId="1" xfId="0" applyNumberFormat="1" applyFont="1" applyBorder="1" applyAlignment="1">
      <alignment vertical="center"/>
    </xf>
    <xf numFmtId="0" fontId="4" fillId="0" borderId="3" xfId="0" applyFont="1" applyBorder="1" applyAlignment="1">
      <alignment vertical="center"/>
    </xf>
    <xf numFmtId="2" fontId="4" fillId="0" borderId="3" xfId="0" applyNumberFormat="1" applyFont="1" applyBorder="1" applyAlignment="1">
      <alignment vertical="center"/>
    </xf>
    <xf numFmtId="0" fontId="4" fillId="0" borderId="2" xfId="0" applyFont="1" applyBorder="1" applyAlignment="1">
      <alignment vertical="center"/>
    </xf>
    <xf numFmtId="168" fontId="4" fillId="0" borderId="4" xfId="1" applyNumberFormat="1" applyFont="1" applyBorder="1" applyAlignment="1">
      <alignment vertical="center"/>
    </xf>
    <xf numFmtId="169" fontId="4" fillId="0" borderId="4" xfId="1" applyNumberFormat="1" applyFont="1" applyBorder="1" applyAlignment="1">
      <alignment vertical="center"/>
    </xf>
    <xf numFmtId="167" fontId="4" fillId="3" borderId="1" xfId="0" applyNumberFormat="1" applyFont="1" applyFill="1" applyBorder="1" applyAlignment="1">
      <alignment horizontal="center" vertical="center"/>
    </xf>
    <xf numFmtId="0" fontId="4" fillId="3" borderId="1" xfId="0" applyFont="1" applyFill="1" applyBorder="1"/>
    <xf numFmtId="168" fontId="4" fillId="0" borderId="3" xfId="1" applyNumberFormat="1" applyFont="1" applyBorder="1" applyAlignment="1">
      <alignment vertical="center"/>
    </xf>
    <xf numFmtId="0" fontId="11" fillId="3" borderId="1" xfId="0" applyFont="1" applyFill="1" applyBorder="1" applyAlignment="1">
      <alignment vertical="center"/>
    </xf>
    <xf numFmtId="3" fontId="11"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xf>
    <xf numFmtId="14" fontId="11" fillId="3" borderId="1" xfId="0" applyNumberFormat="1" applyFont="1" applyFill="1" applyBorder="1" applyAlignment="1">
      <alignment horizontal="left" vertical="center" wrapText="1"/>
    </xf>
    <xf numFmtId="14" fontId="12" fillId="3" borderId="1" xfId="0" applyNumberFormat="1" applyFont="1" applyFill="1" applyBorder="1" applyAlignment="1">
      <alignment horizontal="left" vertical="center" wrapText="1"/>
    </xf>
    <xf numFmtId="1" fontId="11" fillId="3" borderId="1" xfId="0" applyNumberFormat="1" applyFont="1" applyFill="1" applyBorder="1" applyAlignment="1">
      <alignment horizontal="left" vertical="center"/>
    </xf>
    <xf numFmtId="2" fontId="11" fillId="3" borderId="1" xfId="0" applyNumberFormat="1" applyFont="1" applyFill="1" applyBorder="1" applyAlignment="1">
      <alignment horizontal="center" vertical="center"/>
    </xf>
    <xf numFmtId="2" fontId="11" fillId="3" borderId="1" xfId="0" applyNumberFormat="1" applyFont="1" applyFill="1" applyBorder="1" applyAlignment="1">
      <alignment horizontal="center" vertical="center" wrapText="1"/>
    </xf>
    <xf numFmtId="167" fontId="11" fillId="3" borderId="1" xfId="0" applyNumberFormat="1" applyFont="1" applyFill="1" applyBorder="1" applyAlignment="1">
      <alignment horizontal="center" vertical="center"/>
    </xf>
    <xf numFmtId="166" fontId="11" fillId="3"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2" borderId="1" xfId="0" applyFont="1" applyFill="1" applyBorder="1" applyAlignment="1">
      <alignment vertical="center"/>
    </xf>
    <xf numFmtId="3" fontId="11" fillId="2" borderId="1" xfId="0" applyNumberFormat="1" applyFont="1" applyFill="1" applyBorder="1" applyAlignment="1">
      <alignment horizontal="center" vertical="center" wrapText="1"/>
    </xf>
    <xf numFmtId="1" fontId="11" fillId="2" borderId="1" xfId="0" applyNumberFormat="1" applyFont="1" applyFill="1" applyBorder="1" applyAlignment="1">
      <alignment horizontal="center" vertical="center"/>
    </xf>
    <xf numFmtId="14" fontId="11" fillId="2" borderId="1" xfId="0" applyNumberFormat="1" applyFont="1" applyFill="1" applyBorder="1" applyAlignment="1">
      <alignment horizontal="left" vertical="center" wrapText="1"/>
    </xf>
    <xf numFmtId="1" fontId="11" fillId="2" borderId="1" xfId="0" applyNumberFormat="1" applyFont="1" applyFill="1" applyBorder="1" applyAlignment="1">
      <alignment horizontal="left" vertical="center"/>
    </xf>
    <xf numFmtId="2" fontId="11" fillId="2" borderId="1" xfId="0" applyNumberFormat="1" applyFont="1" applyFill="1" applyBorder="1" applyAlignment="1">
      <alignment horizontal="center" vertical="center" wrapText="1"/>
    </xf>
    <xf numFmtId="167" fontId="11" fillId="2" borderId="1" xfId="0" applyNumberFormat="1" applyFont="1" applyFill="1" applyBorder="1" applyAlignment="1">
      <alignment horizontal="center" vertical="center"/>
    </xf>
    <xf numFmtId="14" fontId="12" fillId="2" borderId="1" xfId="0" applyNumberFormat="1" applyFont="1" applyFill="1" applyBorder="1" applyAlignment="1">
      <alignment horizontal="left" vertical="center" wrapText="1"/>
    </xf>
    <xf numFmtId="3" fontId="13" fillId="2" borderId="1" xfId="0" applyNumberFormat="1" applyFont="1" applyFill="1" applyBorder="1" applyAlignment="1">
      <alignment horizontal="center" vertical="center" wrapText="1"/>
    </xf>
    <xf numFmtId="1" fontId="13" fillId="2" borderId="1" xfId="0" applyNumberFormat="1" applyFont="1" applyFill="1" applyBorder="1" applyAlignment="1">
      <alignment horizontal="center" vertical="center"/>
    </xf>
    <xf numFmtId="14" fontId="13" fillId="2" borderId="1" xfId="0" applyNumberFormat="1" applyFont="1" applyFill="1" applyBorder="1" applyAlignment="1">
      <alignment horizontal="left" vertical="top" wrapText="1"/>
    </xf>
    <xf numFmtId="2" fontId="11" fillId="2" borderId="1" xfId="0" applyNumberFormat="1" applyFont="1" applyFill="1" applyBorder="1" applyAlignment="1">
      <alignment vertical="center"/>
    </xf>
    <xf numFmtId="166"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4" fillId="0" borderId="1" xfId="0" applyFont="1" applyBorder="1" applyAlignment="1">
      <alignment vertical="center"/>
    </xf>
    <xf numFmtId="0" fontId="15" fillId="0" borderId="1" xfId="0" applyFont="1" applyBorder="1" applyAlignment="1">
      <alignment vertical="center"/>
    </xf>
    <xf numFmtId="0" fontId="16" fillId="0" borderId="1" xfId="0" applyFont="1" applyBorder="1" applyAlignment="1">
      <alignment vertical="center"/>
    </xf>
    <xf numFmtId="0" fontId="17" fillId="0" borderId="1" xfId="0" applyFont="1" applyBorder="1" applyAlignment="1">
      <alignment vertical="center"/>
    </xf>
    <xf numFmtId="0" fontId="1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168" fontId="4" fillId="3" borderId="1" xfId="1" applyNumberFormat="1" applyFont="1" applyFill="1" applyBorder="1" applyAlignment="1">
      <alignment vertical="center"/>
    </xf>
    <xf numFmtId="0" fontId="4" fillId="6" borderId="1" xfId="0" applyFont="1" applyFill="1" applyBorder="1" applyAlignment="1">
      <alignment vertical="center"/>
    </xf>
    <xf numFmtId="0" fontId="4" fillId="6" borderId="1" xfId="0" applyFont="1" applyFill="1" applyBorder="1"/>
    <xf numFmtId="2" fontId="4" fillId="6" borderId="1" xfId="0" applyNumberFormat="1" applyFont="1" applyFill="1" applyBorder="1" applyAlignment="1">
      <alignment vertical="center"/>
    </xf>
    <xf numFmtId="2" fontId="11" fillId="3" borderId="1" xfId="0" applyNumberFormat="1" applyFont="1" applyFill="1" applyBorder="1" applyAlignment="1">
      <alignment vertical="center"/>
    </xf>
    <xf numFmtId="169" fontId="4" fillId="3" borderId="1" xfId="1" applyNumberFormat="1" applyFont="1" applyFill="1" applyBorder="1" applyAlignment="1">
      <alignment vertical="center"/>
    </xf>
    <xf numFmtId="14" fontId="12"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3" borderId="1" xfId="0" applyFont="1" applyFill="1" applyBorder="1" applyAlignment="1">
      <alignment horizontal="left" vertical="center"/>
    </xf>
    <xf numFmtId="1" fontId="12" fillId="3" borderId="1" xfId="0" applyNumberFormat="1" applyFont="1" applyFill="1" applyBorder="1" applyAlignment="1">
      <alignment horizontal="center" vertical="center" wrapText="1"/>
    </xf>
    <xf numFmtId="2" fontId="12" fillId="3" borderId="1" xfId="0" applyNumberFormat="1" applyFont="1" applyFill="1" applyBorder="1" applyAlignment="1">
      <alignment horizontal="center" vertical="center" wrapText="1"/>
    </xf>
    <xf numFmtId="11" fontId="12" fillId="3" borderId="1" xfId="0" applyNumberFormat="1" applyFont="1" applyFill="1" applyBorder="1" applyAlignment="1">
      <alignment horizontal="center" vertical="center" wrapText="1"/>
    </xf>
    <xf numFmtId="0" fontId="11" fillId="3" borderId="1" xfId="0" applyFont="1" applyFill="1" applyBorder="1"/>
    <xf numFmtId="169" fontId="11" fillId="3" borderId="1" xfId="1" applyNumberFormat="1" applyFont="1" applyFill="1" applyBorder="1" applyAlignment="1">
      <alignment vertical="center"/>
    </xf>
    <xf numFmtId="168" fontId="11" fillId="3" borderId="1" xfId="1" applyNumberFormat="1" applyFont="1" applyFill="1" applyBorder="1" applyAlignment="1">
      <alignment vertical="center"/>
    </xf>
    <xf numFmtId="166" fontId="4" fillId="6"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14" fontId="4" fillId="6" borderId="1" xfId="0" applyNumberFormat="1" applyFont="1" applyFill="1" applyBorder="1" applyAlignment="1">
      <alignment horizontal="left" vertical="center" wrapText="1"/>
    </xf>
    <xf numFmtId="14" fontId="7" fillId="6" borderId="1" xfId="0" applyNumberFormat="1" applyFont="1" applyFill="1" applyBorder="1" applyAlignment="1">
      <alignment horizontal="left" vertical="center" wrapText="1"/>
    </xf>
    <xf numFmtId="2" fontId="4" fillId="6" borderId="1" xfId="0" applyNumberFormat="1" applyFont="1" applyFill="1" applyBorder="1" applyAlignment="1">
      <alignment horizontal="center" vertical="center" wrapText="1"/>
    </xf>
    <xf numFmtId="167" fontId="4" fillId="6" borderId="1" xfId="0" applyNumberFormat="1" applyFont="1" applyFill="1" applyBorder="1" applyAlignment="1">
      <alignment horizontal="center" vertical="center"/>
    </xf>
    <xf numFmtId="3" fontId="4" fillId="6"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xf>
    <xf numFmtId="1" fontId="4" fillId="6" borderId="1" xfId="0" applyNumberFormat="1" applyFont="1" applyFill="1" applyBorder="1" applyAlignment="1">
      <alignment horizontal="center" vertical="center"/>
    </xf>
    <xf numFmtId="1" fontId="4" fillId="6" borderId="1" xfId="0" applyNumberFormat="1" applyFont="1" applyFill="1" applyBorder="1" applyAlignment="1">
      <alignment horizontal="left" vertical="center"/>
    </xf>
    <xf numFmtId="3" fontId="20" fillId="6" borderId="1" xfId="0" applyNumberFormat="1" applyFont="1" applyFill="1" applyBorder="1" applyAlignment="1">
      <alignment horizontal="center" vertical="center" wrapText="1"/>
    </xf>
    <xf numFmtId="1" fontId="20" fillId="6" borderId="1" xfId="0" applyNumberFormat="1" applyFont="1" applyFill="1" applyBorder="1" applyAlignment="1">
      <alignment horizontal="center" vertical="center"/>
    </xf>
    <xf numFmtId="14" fontId="20" fillId="6" borderId="1" xfId="0" applyNumberFormat="1" applyFont="1" applyFill="1" applyBorder="1" applyAlignment="1">
      <alignment horizontal="left" vertical="top" wrapText="1"/>
    </xf>
    <xf numFmtId="168" fontId="4" fillId="6" borderId="1" xfId="1" applyNumberFormat="1" applyFont="1" applyFill="1" applyBorder="1" applyAlignment="1">
      <alignment vertical="center"/>
    </xf>
    <xf numFmtId="14" fontId="7" fillId="3" borderId="1" xfId="0" applyNumberFormat="1" applyFont="1" applyFill="1" applyBorder="1" applyAlignment="1">
      <alignment horizontal="center" vertical="top" wrapText="1"/>
    </xf>
    <xf numFmtId="166" fontId="4" fillId="3" borderId="1" xfId="0" applyNumberFormat="1" applyFont="1" applyFill="1" applyBorder="1" applyAlignment="1">
      <alignment horizontal="center" vertical="center" wrapText="1"/>
    </xf>
    <xf numFmtId="1" fontId="7" fillId="3" borderId="1" xfId="0" applyNumberFormat="1" applyFont="1" applyFill="1" applyBorder="1" applyAlignment="1">
      <alignment horizontal="center" vertical="center" wrapText="1"/>
    </xf>
    <xf numFmtId="1" fontId="7" fillId="3" borderId="1" xfId="0" applyNumberFormat="1" applyFont="1" applyFill="1" applyBorder="1" applyAlignment="1">
      <alignment horizontal="center" vertical="top" wrapText="1"/>
    </xf>
    <xf numFmtId="0" fontId="7" fillId="3" borderId="1" xfId="0" applyFont="1" applyFill="1" applyBorder="1" applyAlignment="1">
      <alignment horizontal="center" vertical="top" wrapText="1"/>
    </xf>
    <xf numFmtId="2" fontId="7" fillId="3" borderId="1" xfId="0" applyNumberFormat="1" applyFont="1" applyFill="1" applyBorder="1" applyAlignment="1">
      <alignment horizontal="center" vertical="top" wrapText="1"/>
    </xf>
    <xf numFmtId="11" fontId="7" fillId="3" borderId="1" xfId="0" applyNumberFormat="1" applyFont="1" applyFill="1" applyBorder="1" applyAlignment="1">
      <alignment horizontal="center" vertical="top" wrapText="1"/>
    </xf>
    <xf numFmtId="0" fontId="7" fillId="3" borderId="1" xfId="0" applyFont="1" applyFill="1" applyBorder="1" applyAlignment="1">
      <alignment horizontal="center" vertical="center" wrapText="1"/>
    </xf>
    <xf numFmtId="11"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14" fontId="4" fillId="3" borderId="1" xfId="0" applyNumberFormat="1" applyFont="1" applyFill="1" applyBorder="1" applyAlignment="1">
      <alignment horizontal="left" vertical="center" wrapText="1"/>
    </xf>
    <xf numFmtId="2" fontId="7" fillId="3" borderId="1" xfId="0" applyNumberFormat="1" applyFont="1" applyFill="1" applyBorder="1" applyAlignment="1">
      <alignment horizontal="center" vertical="center" wrapText="1"/>
    </xf>
    <xf numFmtId="14" fontId="12" fillId="2" borderId="1" xfId="0" applyNumberFormat="1" applyFont="1" applyFill="1" applyBorder="1" applyAlignment="1">
      <alignment horizontal="center" vertical="center"/>
    </xf>
    <xf numFmtId="14" fontId="19" fillId="2" borderId="1" xfId="0" applyNumberFormat="1" applyFont="1" applyFill="1" applyBorder="1" applyAlignment="1">
      <alignment horizontal="center" vertical="center"/>
    </xf>
    <xf numFmtId="14" fontId="12" fillId="3" borderId="1" xfId="0" applyNumberFormat="1" applyFont="1" applyFill="1" applyBorder="1" applyAlignment="1">
      <alignment horizontal="center" vertical="center"/>
    </xf>
    <xf numFmtId="14" fontId="7" fillId="6" borderId="1" xfId="0" applyNumberFormat="1" applyFont="1" applyFill="1" applyBorder="1" applyAlignment="1">
      <alignment horizontal="center" vertical="center"/>
    </xf>
    <xf numFmtId="14" fontId="22" fillId="6"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9" fontId="7" fillId="0" borderId="1" xfId="1" applyNumberFormat="1" applyFont="1" applyBorder="1" applyAlignment="1">
      <alignment vertical="center"/>
    </xf>
    <xf numFmtId="168" fontId="7" fillId="0" borderId="1" xfId="1" applyNumberFormat="1" applyFont="1" applyBorder="1" applyAlignment="1">
      <alignment vertical="center"/>
    </xf>
    <xf numFmtId="169" fontId="11" fillId="2" borderId="1" xfId="1" applyNumberFormat="1" applyFont="1" applyFill="1" applyBorder="1" applyAlignment="1">
      <alignment vertical="center"/>
    </xf>
    <xf numFmtId="168" fontId="11" fillId="2" borderId="1" xfId="1" applyNumberFormat="1" applyFont="1" applyFill="1" applyBorder="1" applyAlignment="1">
      <alignment vertical="center"/>
    </xf>
    <xf numFmtId="0" fontId="11" fillId="2" borderId="1" xfId="1" applyNumberFormat="1" applyFont="1" applyFill="1" applyBorder="1" applyAlignment="1">
      <alignment vertical="center"/>
    </xf>
    <xf numFmtId="0" fontId="11" fillId="2" borderId="1" xfId="0" applyFont="1" applyFill="1" applyBorder="1"/>
    <xf numFmtId="14" fontId="12" fillId="3" borderId="1" xfId="2" applyNumberFormat="1" applyFont="1" applyFill="1" applyBorder="1" applyAlignment="1">
      <alignment horizontal="center" vertical="top" wrapText="1"/>
    </xf>
    <xf numFmtId="166" fontId="11" fillId="3" borderId="1" xfId="2" applyNumberFormat="1" applyFont="1" applyFill="1" applyBorder="1" applyAlignment="1">
      <alignment horizontal="center" vertical="center" wrapText="1"/>
    </xf>
    <xf numFmtId="11" fontId="12" fillId="3" borderId="1" xfId="2" applyNumberFormat="1" applyFont="1" applyFill="1" applyBorder="1" applyAlignment="1">
      <alignment horizontal="center" vertical="top" wrapText="1"/>
    </xf>
    <xf numFmtId="14" fontId="19" fillId="3" borderId="1" xfId="0" applyNumberFormat="1" applyFont="1" applyFill="1" applyBorder="1" applyAlignment="1">
      <alignment horizontal="center" vertical="top" wrapText="1"/>
    </xf>
    <xf numFmtId="0" fontId="13" fillId="3" borderId="1" xfId="0" applyFont="1" applyFill="1" applyBorder="1" applyAlignment="1">
      <alignment horizontal="left" vertical="center"/>
    </xf>
    <xf numFmtId="11" fontId="19" fillId="3" borderId="1" xfId="0" applyNumberFormat="1" applyFont="1" applyFill="1" applyBorder="1" applyAlignment="1">
      <alignment horizontal="center" vertical="top" wrapText="1"/>
    </xf>
    <xf numFmtId="14" fontId="19" fillId="3" borderId="1" xfId="0" applyNumberFormat="1" applyFont="1" applyFill="1" applyBorder="1" applyAlignment="1">
      <alignment horizontal="left" vertical="top" wrapText="1"/>
    </xf>
    <xf numFmtId="0" fontId="19" fillId="3" borderId="1" xfId="0" applyFont="1" applyFill="1" applyBorder="1" applyAlignment="1">
      <alignment horizontal="center" vertical="top" wrapText="1"/>
    </xf>
    <xf numFmtId="2" fontId="19" fillId="3" borderId="1" xfId="0" applyNumberFormat="1" applyFont="1" applyFill="1" applyBorder="1" applyAlignment="1">
      <alignment horizontal="center" vertical="top" wrapText="1"/>
    </xf>
    <xf numFmtId="0" fontId="11" fillId="3" borderId="1" xfId="1" applyNumberFormat="1" applyFont="1" applyFill="1" applyBorder="1" applyAlignment="1">
      <alignment vertical="center"/>
    </xf>
    <xf numFmtId="164" fontId="11" fillId="3" borderId="1" xfId="1" applyFont="1" applyFill="1" applyBorder="1" applyAlignment="1">
      <alignment vertical="center"/>
    </xf>
    <xf numFmtId="14" fontId="11" fillId="3" borderId="1" xfId="0" applyNumberFormat="1" applyFont="1" applyFill="1" applyBorder="1" applyAlignment="1">
      <alignment horizontal="left" vertical="center"/>
    </xf>
    <xf numFmtId="1" fontId="19" fillId="3" borderId="1" xfId="0" applyNumberFormat="1" applyFont="1" applyFill="1" applyBorder="1" applyAlignment="1">
      <alignment horizontal="center" vertical="top" wrapText="1"/>
    </xf>
    <xf numFmtId="166" fontId="13" fillId="3"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wrapText="1"/>
    </xf>
    <xf numFmtId="169" fontId="4" fillId="6" borderId="1" xfId="1" applyNumberFormat="1" applyFont="1" applyFill="1" applyBorder="1" applyAlignment="1">
      <alignment vertical="center"/>
    </xf>
    <xf numFmtId="2" fontId="20" fillId="6" borderId="1" xfId="0" applyNumberFormat="1" applyFont="1" applyFill="1" applyBorder="1" applyAlignment="1">
      <alignment horizontal="center" vertical="center"/>
    </xf>
    <xf numFmtId="2" fontId="20" fillId="6" borderId="1" xfId="0" applyNumberFormat="1" applyFont="1" applyFill="1" applyBorder="1" applyAlignment="1">
      <alignment horizontal="center" vertical="center" wrapText="1"/>
    </xf>
    <xf numFmtId="167" fontId="20" fillId="6" borderId="1" xfId="0" applyNumberFormat="1" applyFont="1" applyFill="1" applyBorder="1" applyAlignment="1">
      <alignment horizontal="center" vertical="center"/>
    </xf>
    <xf numFmtId="0" fontId="4" fillId="6" borderId="1" xfId="1" applyNumberFormat="1" applyFont="1" applyFill="1" applyBorder="1" applyAlignment="1">
      <alignment vertical="center"/>
    </xf>
    <xf numFmtId="0" fontId="10" fillId="6" borderId="1" xfId="0" applyFont="1" applyFill="1" applyBorder="1"/>
    <xf numFmtId="1" fontId="20" fillId="6" borderId="1" xfId="0" applyNumberFormat="1" applyFont="1" applyFill="1" applyBorder="1" applyAlignment="1">
      <alignment horizontal="left" vertical="center"/>
    </xf>
    <xf numFmtId="1" fontId="4" fillId="6" borderId="1" xfId="0" applyNumberFormat="1" applyFont="1" applyFill="1" applyBorder="1"/>
    <xf numFmtId="0" fontId="7" fillId="6" borderId="1" xfId="0" applyFont="1" applyFill="1" applyBorder="1" applyAlignment="1">
      <alignment horizontal="center"/>
    </xf>
    <xf numFmtId="1" fontId="4" fillId="3" borderId="1" xfId="0" applyNumberFormat="1" applyFont="1" applyFill="1" applyBorder="1"/>
    <xf numFmtId="0" fontId="4" fillId="3" borderId="1" xfId="1" applyNumberFormat="1" applyFont="1" applyFill="1" applyBorder="1" applyAlignment="1">
      <alignment vertical="center"/>
    </xf>
    <xf numFmtId="11" fontId="22" fillId="3" borderId="1" xfId="0" applyNumberFormat="1" applyFont="1" applyFill="1" applyBorder="1" applyAlignment="1">
      <alignment horizontal="center" vertical="top" wrapText="1"/>
    </xf>
    <xf numFmtId="14" fontId="22" fillId="3" borderId="1" xfId="0" applyNumberFormat="1" applyFont="1" applyFill="1" applyBorder="1" applyAlignment="1">
      <alignment horizontal="left" vertical="top" wrapText="1"/>
    </xf>
    <xf numFmtId="166" fontId="20" fillId="3"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14" fontId="20" fillId="3" borderId="1" xfId="0" applyNumberFormat="1" applyFont="1" applyFill="1" applyBorder="1" applyAlignment="1">
      <alignment horizontal="left" vertical="top" wrapText="1"/>
    </xf>
    <xf numFmtId="0" fontId="22" fillId="3" borderId="1" xfId="0" applyFont="1" applyFill="1" applyBorder="1" applyAlignment="1">
      <alignment horizontal="center" vertical="top" wrapText="1"/>
    </xf>
    <xf numFmtId="2" fontId="22" fillId="3" borderId="1" xfId="0" applyNumberFormat="1" applyFont="1" applyFill="1" applyBorder="1" applyAlignment="1">
      <alignment horizontal="center" vertical="top" wrapText="1"/>
    </xf>
    <xf numFmtId="14" fontId="7" fillId="3" borderId="1" xfId="0" applyNumberFormat="1" applyFont="1" applyFill="1" applyBorder="1" applyAlignment="1">
      <alignment horizontal="center" vertical="center"/>
    </xf>
    <xf numFmtId="2" fontId="4" fillId="3" borderId="1" xfId="0" applyNumberFormat="1" applyFont="1" applyFill="1" applyBorder="1" applyAlignment="1">
      <alignment horizontal="center" vertical="center"/>
    </xf>
    <xf numFmtId="0" fontId="20" fillId="3" borderId="1" xfId="0" applyFont="1" applyFill="1" applyBorder="1" applyAlignment="1">
      <alignment horizontal="left" vertical="center"/>
    </xf>
    <xf numFmtId="14" fontId="22" fillId="3"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170" fontId="4" fillId="6" borderId="1" xfId="0" applyNumberFormat="1" applyFont="1" applyFill="1" applyBorder="1" applyAlignment="1">
      <alignment horizontal="center"/>
    </xf>
    <xf numFmtId="0" fontId="4" fillId="6" borderId="1" xfId="0" applyFont="1" applyFill="1" applyBorder="1" applyAlignment="1">
      <alignment horizontal="center"/>
    </xf>
    <xf numFmtId="170" fontId="4" fillId="3" borderId="1" xfId="0" applyNumberFormat="1" applyFont="1" applyFill="1" applyBorder="1" applyAlignment="1">
      <alignment horizontal="center" vertical="center"/>
    </xf>
    <xf numFmtId="14" fontId="13" fillId="3" borderId="1" xfId="0" applyNumberFormat="1" applyFont="1" applyFill="1" applyBorder="1" applyAlignment="1">
      <alignment horizontal="left" vertical="top" wrapText="1"/>
    </xf>
    <xf numFmtId="14" fontId="4" fillId="3" borderId="1" xfId="0" applyNumberFormat="1" applyFont="1" applyFill="1" applyBorder="1" applyAlignment="1">
      <alignment horizontal="left" vertical="top" wrapText="1"/>
    </xf>
    <xf numFmtId="0" fontId="7" fillId="0" borderId="1" xfId="0" applyFont="1" applyBorder="1" applyAlignment="1">
      <alignment horizontal="center" vertical="center"/>
    </xf>
    <xf numFmtId="14" fontId="7" fillId="6" borderId="1" xfId="0" applyNumberFormat="1" applyFont="1" applyFill="1" applyBorder="1" applyAlignment="1">
      <alignment horizontal="center"/>
    </xf>
    <xf numFmtId="1"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1" fontId="12"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 fontId="7" fillId="6" borderId="1" xfId="0" applyNumberFormat="1" applyFont="1" applyFill="1" applyBorder="1" applyAlignment="1">
      <alignment horizontal="center" vertical="center"/>
    </xf>
    <xf numFmtId="1" fontId="22" fillId="6"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165" fontId="7" fillId="5"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xf>
    <xf numFmtId="2" fontId="7" fillId="6" borderId="1" xfId="0" applyNumberFormat="1" applyFont="1" applyFill="1" applyBorder="1" applyAlignment="1">
      <alignment horizontal="center" vertical="center"/>
    </xf>
    <xf numFmtId="2" fontId="22" fillId="6" borderId="1" xfId="0" applyNumberFormat="1" applyFont="1" applyFill="1" applyBorder="1" applyAlignment="1">
      <alignment horizontal="center" vertical="center"/>
    </xf>
    <xf numFmtId="0" fontId="7" fillId="6" borderId="1" xfId="0" applyFont="1" applyFill="1" applyBorder="1"/>
    <xf numFmtId="0" fontId="22" fillId="6" borderId="1" xfId="0" applyFont="1" applyFill="1" applyBorder="1" applyAlignment="1">
      <alignment horizontal="center" vertical="center"/>
    </xf>
    <xf numFmtId="0" fontId="7" fillId="3" borderId="1" xfId="0" applyFont="1" applyFill="1" applyBorder="1" applyAlignment="1">
      <alignment vertical="center"/>
    </xf>
    <xf numFmtId="0" fontId="7" fillId="3" borderId="1" xfId="0" applyFont="1" applyFill="1" applyBorder="1" applyAlignment="1">
      <alignment horizontal="center"/>
    </xf>
    <xf numFmtId="0" fontId="23" fillId="3" borderId="1" xfId="0" applyFont="1" applyFill="1" applyBorder="1" applyAlignment="1">
      <alignment horizontal="center"/>
    </xf>
    <xf numFmtId="49" fontId="12" fillId="2" borderId="1" xfId="0" applyNumberFormat="1" applyFont="1" applyFill="1" applyBorder="1" applyAlignment="1">
      <alignment horizontal="center" vertical="center"/>
    </xf>
    <xf numFmtId="2" fontId="12" fillId="2"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2" fontId="12" fillId="3" borderId="1" xfId="0" applyNumberFormat="1" applyFont="1" applyFill="1" applyBorder="1" applyAlignment="1">
      <alignment horizontal="center" vertical="center"/>
    </xf>
    <xf numFmtId="0" fontId="12" fillId="3" borderId="1" xfId="0" applyFont="1" applyFill="1" applyBorder="1" applyAlignment="1">
      <alignment horizontal="center"/>
    </xf>
    <xf numFmtId="1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1" xfId="0" applyFont="1" applyFill="1" applyBorder="1" applyAlignment="1">
      <alignment vertical="center"/>
    </xf>
    <xf numFmtId="167" fontId="12" fillId="3" borderId="1" xfId="0" applyNumberFormat="1" applyFont="1" applyFill="1" applyBorder="1" applyAlignment="1">
      <alignment horizontal="center" vertical="center"/>
    </xf>
    <xf numFmtId="11" fontId="7" fillId="6" borderId="1" xfId="0" applyNumberFormat="1" applyFont="1" applyFill="1" applyBorder="1" applyAlignment="1">
      <alignment horizontal="center" vertical="center"/>
    </xf>
    <xf numFmtId="167" fontId="7" fillId="6" borderId="1" xfId="0" applyNumberFormat="1" applyFont="1" applyFill="1" applyBorder="1" applyAlignment="1">
      <alignment horizontal="center" vertical="center"/>
    </xf>
    <xf numFmtId="167" fontId="22" fillId="6" borderId="1" xfId="0" applyNumberFormat="1" applyFont="1" applyFill="1" applyBorder="1" applyAlignment="1">
      <alignment horizontal="center" vertical="center"/>
    </xf>
    <xf numFmtId="167" fontId="7" fillId="3" borderId="1" xfId="0" applyNumberFormat="1" applyFont="1" applyFill="1" applyBorder="1" applyAlignment="1">
      <alignment horizontal="center" vertical="center"/>
    </xf>
    <xf numFmtId="0" fontId="11" fillId="2" borderId="1" xfId="0" applyFont="1" applyFill="1" applyBorder="1" applyAlignment="1">
      <alignment horizontal="left" vertical="center"/>
    </xf>
    <xf numFmtId="11" fontId="19" fillId="3" borderId="1" xfId="0" applyNumberFormat="1" applyFont="1" applyFill="1" applyBorder="1" applyAlignment="1">
      <alignment horizontal="left" vertical="top" wrapText="1"/>
    </xf>
    <xf numFmtId="0" fontId="4" fillId="6" borderId="1" xfId="0" applyFont="1" applyFill="1" applyBorder="1" applyAlignment="1">
      <alignment horizontal="left" vertical="center"/>
    </xf>
    <xf numFmtId="0" fontId="4" fillId="6" borderId="1" xfId="0" applyFont="1" applyFill="1" applyBorder="1" applyAlignment="1">
      <alignment horizontal="left"/>
    </xf>
    <xf numFmtId="11" fontId="22" fillId="3" borderId="1" xfId="0" applyNumberFormat="1" applyFont="1" applyFill="1" applyBorder="1" applyAlignment="1">
      <alignment horizontal="left" vertical="top" wrapText="1"/>
    </xf>
    <xf numFmtId="167" fontId="11" fillId="2" borderId="1" xfId="0" applyNumberFormat="1" applyFont="1" applyFill="1" applyBorder="1" applyAlignment="1">
      <alignment horizontal="left" vertical="center"/>
    </xf>
    <xf numFmtId="167" fontId="11" fillId="3" borderId="1" xfId="0" applyNumberFormat="1" applyFont="1" applyFill="1" applyBorder="1" applyAlignment="1">
      <alignment horizontal="left" vertical="center"/>
    </xf>
    <xf numFmtId="167" fontId="4" fillId="6" borderId="1" xfId="0" applyNumberFormat="1" applyFont="1" applyFill="1" applyBorder="1" applyAlignment="1">
      <alignment horizontal="left" vertical="center"/>
    </xf>
    <xf numFmtId="167" fontId="20" fillId="6" borderId="1" xfId="0" applyNumberFormat="1" applyFont="1" applyFill="1" applyBorder="1" applyAlignment="1">
      <alignment horizontal="left" vertical="center"/>
    </xf>
    <xf numFmtId="0" fontId="11" fillId="7" borderId="1" xfId="0" applyFont="1" applyFill="1" applyBorder="1" applyAlignment="1">
      <alignment vertical="center"/>
    </xf>
    <xf numFmtId="14" fontId="12" fillId="7" borderId="1" xfId="0" applyNumberFormat="1" applyFont="1" applyFill="1" applyBorder="1" applyAlignment="1">
      <alignment horizontal="center" vertical="center"/>
    </xf>
    <xf numFmtId="0" fontId="12" fillId="7" borderId="1" xfId="0" applyFont="1" applyFill="1" applyBorder="1" applyAlignment="1">
      <alignment horizontal="center" vertical="center"/>
    </xf>
    <xf numFmtId="166" fontId="11" fillId="7" borderId="1" xfId="0"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14" fontId="11" fillId="7" borderId="1" xfId="0" applyNumberFormat="1" applyFont="1" applyFill="1" applyBorder="1" applyAlignment="1">
      <alignment horizontal="left" vertical="center" wrapText="1"/>
    </xf>
    <xf numFmtId="14" fontId="12" fillId="7" borderId="1" xfId="0" applyNumberFormat="1" applyFont="1" applyFill="1" applyBorder="1" applyAlignment="1">
      <alignment horizontal="left" vertical="center" wrapText="1"/>
    </xf>
    <xf numFmtId="0" fontId="11" fillId="7" borderId="1" xfId="0" applyFont="1" applyFill="1" applyBorder="1" applyAlignment="1">
      <alignment horizontal="left" vertical="center"/>
    </xf>
    <xf numFmtId="2" fontId="12" fillId="7" borderId="1" xfId="0" applyNumberFormat="1" applyFont="1" applyFill="1" applyBorder="1" applyAlignment="1">
      <alignment horizontal="center" vertical="center"/>
    </xf>
    <xf numFmtId="2" fontId="11" fillId="7" borderId="1" xfId="0" applyNumberFormat="1" applyFont="1" applyFill="1" applyBorder="1" applyAlignment="1">
      <alignment horizontal="center" vertical="center" wrapText="1"/>
    </xf>
    <xf numFmtId="167" fontId="11" fillId="7" borderId="1" xfId="0" applyNumberFormat="1" applyFont="1" applyFill="1" applyBorder="1" applyAlignment="1">
      <alignment horizontal="center" vertical="center"/>
    </xf>
    <xf numFmtId="167" fontId="12" fillId="7" borderId="1" xfId="0" applyNumberFormat="1" applyFont="1" applyFill="1" applyBorder="1" applyAlignment="1">
      <alignment horizontal="center" vertical="center"/>
    </xf>
    <xf numFmtId="0" fontId="11" fillId="7" borderId="1" xfId="1" applyNumberFormat="1" applyFont="1" applyFill="1" applyBorder="1" applyAlignment="1">
      <alignment vertical="center"/>
    </xf>
    <xf numFmtId="168" fontId="11" fillId="7" borderId="1" xfId="1" applyNumberFormat="1" applyFont="1" applyFill="1" applyBorder="1" applyAlignment="1">
      <alignment vertical="center"/>
    </xf>
    <xf numFmtId="2" fontId="11" fillId="7" borderId="1" xfId="0" applyNumberFormat="1" applyFont="1" applyFill="1" applyBorder="1" applyAlignment="1">
      <alignment vertical="center"/>
    </xf>
    <xf numFmtId="14" fontId="12" fillId="7" borderId="1" xfId="0" applyNumberFormat="1" applyFont="1" applyFill="1" applyBorder="1" applyAlignment="1">
      <alignment horizontal="center" vertical="center" wrapText="1"/>
    </xf>
    <xf numFmtId="0" fontId="12" fillId="7" borderId="1" xfId="0" applyFont="1" applyFill="1" applyBorder="1" applyAlignment="1">
      <alignment horizontal="center" vertical="center" wrapText="1"/>
    </xf>
    <xf numFmtId="1" fontId="12" fillId="7" borderId="1" xfId="0" applyNumberFormat="1" applyFont="1" applyFill="1" applyBorder="1" applyAlignment="1">
      <alignment horizontal="center" vertical="center" wrapText="1"/>
    </xf>
    <xf numFmtId="2" fontId="12" fillId="7" borderId="1" xfId="0" applyNumberFormat="1" applyFont="1" applyFill="1" applyBorder="1" applyAlignment="1">
      <alignment horizontal="center" vertical="center" wrapText="1"/>
    </xf>
    <xf numFmtId="2" fontId="11" fillId="7" borderId="1" xfId="0" applyNumberFormat="1" applyFont="1" applyFill="1" applyBorder="1" applyAlignment="1">
      <alignment horizontal="center" vertical="center"/>
    </xf>
    <xf numFmtId="167" fontId="11" fillId="7" borderId="1" xfId="0" applyNumberFormat="1" applyFont="1" applyFill="1" applyBorder="1" applyAlignment="1">
      <alignment horizontal="left" vertical="center"/>
    </xf>
    <xf numFmtId="0" fontId="11" fillId="7" borderId="1" xfId="0" applyFont="1" applyFill="1" applyBorder="1" applyAlignment="1">
      <alignment horizontal="center" vertical="center"/>
    </xf>
    <xf numFmtId="11" fontId="12" fillId="7" borderId="1" xfId="0" applyNumberFormat="1" applyFont="1" applyFill="1" applyBorder="1" applyAlignment="1">
      <alignment horizontal="center" vertical="center" wrapText="1"/>
    </xf>
    <xf numFmtId="169" fontId="11" fillId="7" borderId="1" xfId="1" applyNumberFormat="1" applyFont="1" applyFill="1" applyBorder="1" applyAlignment="1">
      <alignment vertical="center"/>
    </xf>
    <xf numFmtId="3" fontId="11" fillId="7" borderId="1" xfId="0" applyNumberFormat="1" applyFont="1" applyFill="1" applyBorder="1" applyAlignment="1">
      <alignment horizontal="center" vertical="center" wrapText="1"/>
    </xf>
    <xf numFmtId="1" fontId="11" fillId="7" borderId="1" xfId="0" applyNumberFormat="1" applyFont="1" applyFill="1" applyBorder="1" applyAlignment="1">
      <alignment horizontal="center" vertical="center"/>
    </xf>
    <xf numFmtId="1" fontId="12" fillId="7" borderId="1" xfId="0" applyNumberFormat="1" applyFont="1" applyFill="1" applyBorder="1" applyAlignment="1">
      <alignment horizontal="center" vertical="center"/>
    </xf>
    <xf numFmtId="1" fontId="11" fillId="7" borderId="1" xfId="0" applyNumberFormat="1" applyFont="1" applyFill="1" applyBorder="1" applyAlignment="1">
      <alignment horizontal="left" vertical="center"/>
    </xf>
    <xf numFmtId="49" fontId="12" fillId="7" borderId="1" xfId="0" applyNumberFormat="1" applyFont="1" applyFill="1" applyBorder="1" applyAlignment="1">
      <alignment horizontal="center" vertical="center"/>
    </xf>
    <xf numFmtId="0" fontId="11" fillId="7" borderId="1" xfId="0" applyFont="1" applyFill="1" applyBorder="1"/>
    <xf numFmtId="11" fontId="12" fillId="7" borderId="1" xfId="0" applyNumberFormat="1" applyFont="1" applyFill="1" applyBorder="1" applyAlignment="1">
      <alignment horizontal="center" vertical="center"/>
    </xf>
    <xf numFmtId="1" fontId="19" fillId="7" borderId="1" xfId="0" applyNumberFormat="1" applyFont="1" applyFill="1" applyBorder="1" applyAlignment="1">
      <alignment horizontal="center" vertical="top" wrapText="1"/>
    </xf>
    <xf numFmtId="0" fontId="19" fillId="7" borderId="1" xfId="0" applyFont="1" applyFill="1" applyBorder="1" applyAlignment="1">
      <alignment horizontal="center" vertical="top" wrapText="1"/>
    </xf>
    <xf numFmtId="2" fontId="19" fillId="7" borderId="1" xfId="0" applyNumberFormat="1" applyFont="1" applyFill="1" applyBorder="1" applyAlignment="1">
      <alignment horizontal="center" vertical="top" wrapText="1"/>
    </xf>
    <xf numFmtId="11" fontId="19" fillId="7" borderId="1" xfId="0" applyNumberFormat="1" applyFont="1" applyFill="1" applyBorder="1" applyAlignment="1">
      <alignment horizontal="center" vertical="top" wrapText="1"/>
    </xf>
    <xf numFmtId="14" fontId="19" fillId="7" borderId="1" xfId="0" applyNumberFormat="1" applyFont="1" applyFill="1" applyBorder="1" applyAlignment="1">
      <alignment horizontal="center" vertical="top" wrapText="1"/>
    </xf>
    <xf numFmtId="0" fontId="12" fillId="7" borderId="1" xfId="0" applyFont="1" applyFill="1" applyBorder="1" applyAlignment="1">
      <alignment horizontal="left" vertical="center" wrapText="1"/>
    </xf>
    <xf numFmtId="0" fontId="13" fillId="7" borderId="1" xfId="0" applyFont="1" applyFill="1" applyBorder="1" applyAlignment="1">
      <alignment horizontal="left" vertical="center"/>
    </xf>
    <xf numFmtId="11" fontId="19" fillId="7" borderId="1" xfId="0" applyNumberFormat="1" applyFont="1" applyFill="1" applyBorder="1" applyAlignment="1">
      <alignment horizontal="left" vertical="top" wrapText="1"/>
    </xf>
    <xf numFmtId="0" fontId="4" fillId="8" borderId="1" xfId="0" applyFont="1" applyFill="1" applyBorder="1" applyAlignment="1">
      <alignment vertical="center"/>
    </xf>
    <xf numFmtId="14" fontId="7" fillId="8" borderId="1" xfId="0" applyNumberFormat="1" applyFont="1" applyFill="1" applyBorder="1" applyAlignment="1">
      <alignment horizontal="center" vertical="center"/>
    </xf>
    <xf numFmtId="0" fontId="7" fillId="8" borderId="1" xfId="0" applyFont="1" applyFill="1" applyBorder="1" applyAlignment="1">
      <alignment horizontal="center" vertical="center"/>
    </xf>
    <xf numFmtId="166"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14" fontId="4" fillId="8" borderId="1" xfId="0" applyNumberFormat="1" applyFont="1" applyFill="1" applyBorder="1" applyAlignment="1">
      <alignment horizontal="left" vertical="center" wrapText="1"/>
    </xf>
    <xf numFmtId="14" fontId="7" fillId="8" borderId="1" xfId="0" applyNumberFormat="1" applyFont="1" applyFill="1" applyBorder="1" applyAlignment="1">
      <alignment horizontal="left" vertical="center" wrapText="1"/>
    </xf>
    <xf numFmtId="0" fontId="4" fillId="8" borderId="1" xfId="0" applyFont="1" applyFill="1" applyBorder="1" applyAlignment="1">
      <alignment horizontal="left" vertical="center"/>
    </xf>
    <xf numFmtId="2" fontId="7" fillId="8" borderId="1" xfId="0" applyNumberFormat="1" applyFont="1" applyFill="1" applyBorder="1" applyAlignment="1">
      <alignment horizontal="center" vertical="center"/>
    </xf>
    <xf numFmtId="2" fontId="4" fillId="8" borderId="1" xfId="0" applyNumberFormat="1" applyFont="1" applyFill="1" applyBorder="1" applyAlignment="1">
      <alignment horizontal="center" vertical="center" wrapText="1"/>
    </xf>
    <xf numFmtId="167" fontId="4" fillId="8" borderId="1" xfId="0" applyNumberFormat="1" applyFont="1" applyFill="1" applyBorder="1" applyAlignment="1">
      <alignment horizontal="center" vertical="center"/>
    </xf>
    <xf numFmtId="167" fontId="7" fillId="8" borderId="1" xfId="0" applyNumberFormat="1" applyFont="1" applyFill="1" applyBorder="1" applyAlignment="1">
      <alignment horizontal="center" vertical="center"/>
    </xf>
    <xf numFmtId="169" fontId="4" fillId="8" borderId="1" xfId="1" applyNumberFormat="1" applyFont="1" applyFill="1" applyBorder="1" applyAlignment="1">
      <alignment vertical="center"/>
    </xf>
    <xf numFmtId="168" fontId="4" fillId="8" borderId="1" xfId="1" applyNumberFormat="1" applyFont="1" applyFill="1" applyBorder="1" applyAlignment="1">
      <alignment vertical="center"/>
    </xf>
    <xf numFmtId="2" fontId="4" fillId="9" borderId="1" xfId="0" applyNumberFormat="1" applyFont="1" applyFill="1" applyBorder="1" applyAlignment="1">
      <alignment vertical="center"/>
    </xf>
    <xf numFmtId="14" fontId="7" fillId="8"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1" fontId="7" fillId="8" borderId="1" xfId="0" applyNumberFormat="1" applyFont="1" applyFill="1" applyBorder="1" applyAlignment="1">
      <alignment horizontal="center" vertical="center" wrapText="1"/>
    </xf>
    <xf numFmtId="2" fontId="7" fillId="8" borderId="1" xfId="0" applyNumberFormat="1" applyFont="1" applyFill="1" applyBorder="1" applyAlignment="1">
      <alignment horizontal="center" vertical="center" wrapText="1"/>
    </xf>
    <xf numFmtId="2" fontId="4" fillId="8" borderId="1" xfId="0" applyNumberFormat="1" applyFont="1" applyFill="1" applyBorder="1" applyAlignment="1">
      <alignment horizontal="center" vertical="center"/>
    </xf>
    <xf numFmtId="0" fontId="4" fillId="8" borderId="1" xfId="0" applyFont="1" applyFill="1" applyBorder="1" applyAlignment="1">
      <alignment horizontal="center" vertical="center"/>
    </xf>
    <xf numFmtId="11" fontId="7" fillId="8" borderId="1" xfId="0" applyNumberFormat="1" applyFont="1" applyFill="1" applyBorder="1" applyAlignment="1">
      <alignment horizontal="center" vertical="center" wrapText="1"/>
    </xf>
    <xf numFmtId="2" fontId="4" fillId="8" borderId="1" xfId="0" applyNumberFormat="1" applyFont="1" applyFill="1" applyBorder="1" applyAlignment="1">
      <alignment vertical="center"/>
    </xf>
    <xf numFmtId="3" fontId="4" fillId="8" borderId="1" xfId="0" applyNumberFormat="1" applyFont="1" applyFill="1" applyBorder="1" applyAlignment="1">
      <alignment horizontal="center" vertical="center" wrapText="1"/>
    </xf>
    <xf numFmtId="1" fontId="7" fillId="8" borderId="1" xfId="0" applyNumberFormat="1" applyFont="1" applyFill="1" applyBorder="1" applyAlignment="1">
      <alignment horizontal="center" vertical="center"/>
    </xf>
    <xf numFmtId="1" fontId="4" fillId="8" borderId="1" xfId="0" applyNumberFormat="1" applyFont="1" applyFill="1" applyBorder="1" applyAlignment="1">
      <alignment horizontal="left" vertical="center"/>
    </xf>
    <xf numFmtId="49" fontId="7" fillId="8" borderId="1" xfId="0" applyNumberFormat="1" applyFont="1" applyFill="1" applyBorder="1" applyAlignment="1">
      <alignment horizontal="center" vertical="center"/>
    </xf>
    <xf numFmtId="167" fontId="4" fillId="8" borderId="1" xfId="0" applyNumberFormat="1" applyFont="1" applyFill="1" applyBorder="1" applyAlignment="1">
      <alignment horizontal="left" vertical="center"/>
    </xf>
    <xf numFmtId="11" fontId="7" fillId="8" borderId="1" xfId="0" applyNumberFormat="1" applyFont="1" applyFill="1" applyBorder="1" applyAlignment="1">
      <alignment horizontal="center" vertical="center"/>
    </xf>
    <xf numFmtId="0" fontId="4" fillId="8" borderId="1" xfId="0" applyFont="1" applyFill="1" applyBorder="1"/>
    <xf numFmtId="1" fontId="4" fillId="8" borderId="1" xfId="0" applyNumberFormat="1" applyFont="1" applyFill="1" applyBorder="1" applyAlignment="1">
      <alignment horizontal="center" vertical="center"/>
    </xf>
    <xf numFmtId="11" fontId="22" fillId="8" borderId="1" xfId="0" applyNumberFormat="1" applyFont="1" applyFill="1" applyBorder="1" applyAlignment="1">
      <alignment horizontal="center" vertical="top" wrapText="1"/>
    </xf>
    <xf numFmtId="0" fontId="21" fillId="8" borderId="1" xfId="0" applyFont="1" applyFill="1" applyBorder="1" applyAlignment="1">
      <alignment horizontal="center" vertical="center"/>
    </xf>
    <xf numFmtId="14" fontId="22" fillId="8" borderId="1" xfId="0" applyNumberFormat="1" applyFont="1" applyFill="1" applyBorder="1" applyAlignment="1">
      <alignment horizontal="center" vertical="center"/>
    </xf>
    <xf numFmtId="3" fontId="20" fillId="8" borderId="1" xfId="0" applyNumberFormat="1" applyFont="1" applyFill="1" applyBorder="1" applyAlignment="1">
      <alignment horizontal="center" vertical="center" wrapText="1"/>
    </xf>
    <xf numFmtId="1" fontId="20" fillId="8" borderId="1" xfId="0" applyNumberFormat="1" applyFont="1" applyFill="1" applyBorder="1" applyAlignment="1">
      <alignment horizontal="center" vertical="center"/>
    </xf>
    <xf numFmtId="1" fontId="22" fillId="8" borderId="1" xfId="0" applyNumberFormat="1" applyFont="1" applyFill="1" applyBorder="1" applyAlignment="1">
      <alignment horizontal="center" vertical="center"/>
    </xf>
    <xf numFmtId="1" fontId="20" fillId="8" borderId="1" xfId="0" applyNumberFormat="1" applyFont="1" applyFill="1" applyBorder="1" applyAlignment="1">
      <alignment horizontal="left" vertical="center"/>
    </xf>
    <xf numFmtId="2" fontId="22" fillId="8" borderId="1" xfId="0" applyNumberFormat="1" applyFont="1" applyFill="1" applyBorder="1" applyAlignment="1">
      <alignment horizontal="center" vertical="center"/>
    </xf>
    <xf numFmtId="2" fontId="20" fillId="8" borderId="1" xfId="0" applyNumberFormat="1" applyFont="1" applyFill="1" applyBorder="1" applyAlignment="1">
      <alignment horizontal="center" vertical="center" wrapText="1"/>
    </xf>
    <xf numFmtId="167" fontId="20" fillId="8" borderId="1" xfId="0" applyNumberFormat="1" applyFont="1" applyFill="1" applyBorder="1" applyAlignment="1">
      <alignment horizontal="left" vertical="center"/>
    </xf>
    <xf numFmtId="167" fontId="20" fillId="8" borderId="1" xfId="0" applyNumberFormat="1" applyFont="1" applyFill="1" applyBorder="1" applyAlignment="1">
      <alignment horizontal="center" vertical="center"/>
    </xf>
    <xf numFmtId="167" fontId="22" fillId="8" borderId="1" xfId="0" applyNumberFormat="1" applyFont="1" applyFill="1" applyBorder="1" applyAlignment="1">
      <alignment horizontal="center" vertical="center"/>
    </xf>
    <xf numFmtId="14" fontId="22" fillId="8" borderId="1" xfId="0" applyNumberFormat="1" applyFont="1" applyFill="1" applyBorder="1" applyAlignment="1">
      <alignment horizontal="center" vertical="top" wrapText="1"/>
    </xf>
    <xf numFmtId="0" fontId="20" fillId="8" borderId="1" xfId="0" applyFont="1" applyFill="1" applyBorder="1" applyAlignment="1">
      <alignment horizontal="left" vertical="center"/>
    </xf>
    <xf numFmtId="11" fontId="22" fillId="8" borderId="1" xfId="0" applyNumberFormat="1" applyFont="1" applyFill="1" applyBorder="1" applyAlignment="1">
      <alignment horizontal="left" vertical="top" wrapText="1"/>
    </xf>
    <xf numFmtId="1" fontId="4" fillId="8" borderId="1" xfId="0" applyNumberFormat="1" applyFont="1" applyFill="1" applyBorder="1"/>
    <xf numFmtId="0" fontId="24" fillId="2" borderId="1" xfId="0" applyFont="1" applyFill="1" applyBorder="1" applyAlignment="1">
      <alignment vertical="center"/>
    </xf>
    <xf numFmtId="14" fontId="25" fillId="2" borderId="1" xfId="0" applyNumberFormat="1" applyFont="1" applyFill="1" applyBorder="1" applyAlignment="1">
      <alignment horizontal="center" vertical="center"/>
    </xf>
    <xf numFmtId="166" fontId="24" fillId="2" borderId="1" xfId="0" applyNumberFormat="1" applyFont="1" applyFill="1" applyBorder="1" applyAlignment="1">
      <alignment horizontal="center" vertical="center" wrapText="1"/>
    </xf>
    <xf numFmtId="3" fontId="24" fillId="2" borderId="1" xfId="0" applyNumberFormat="1" applyFont="1" applyFill="1" applyBorder="1" applyAlignment="1">
      <alignment horizontal="center" vertical="center" wrapText="1"/>
    </xf>
    <xf numFmtId="0" fontId="24" fillId="2" borderId="1" xfId="0" applyFont="1" applyFill="1" applyBorder="1" applyAlignment="1">
      <alignment horizontal="center" vertical="center"/>
    </xf>
    <xf numFmtId="1" fontId="24" fillId="2" borderId="1" xfId="0" applyNumberFormat="1" applyFont="1" applyFill="1" applyBorder="1" applyAlignment="1">
      <alignment horizontal="center" vertical="center"/>
    </xf>
    <xf numFmtId="1" fontId="24" fillId="2" borderId="1" xfId="0" applyNumberFormat="1" applyFont="1" applyFill="1" applyBorder="1" applyAlignment="1">
      <alignment horizontal="left" vertical="center"/>
    </xf>
    <xf numFmtId="1" fontId="25" fillId="2" borderId="1" xfId="0" applyNumberFormat="1" applyFont="1" applyFill="1" applyBorder="1" applyAlignment="1">
      <alignment horizontal="center" vertical="center"/>
    </xf>
    <xf numFmtId="49"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2" fontId="24" fillId="2" borderId="1" xfId="0" applyNumberFormat="1" applyFont="1" applyFill="1" applyBorder="1" applyAlignment="1">
      <alignment horizontal="center" vertical="center" wrapText="1"/>
    </xf>
    <xf numFmtId="167" fontId="24" fillId="2" borderId="1" xfId="0" applyNumberFormat="1" applyFont="1" applyFill="1" applyBorder="1" applyAlignment="1">
      <alignment horizontal="left" vertical="center"/>
    </xf>
    <xf numFmtId="167" fontId="24" fillId="2" borderId="1" xfId="0" applyNumberFormat="1" applyFont="1" applyFill="1" applyBorder="1" applyAlignment="1">
      <alignment horizontal="center" vertical="center"/>
    </xf>
    <xf numFmtId="167" fontId="25" fillId="2" borderId="1" xfId="0" applyNumberFormat="1" applyFont="1" applyFill="1" applyBorder="1" applyAlignment="1">
      <alignment horizontal="center" vertical="center"/>
    </xf>
    <xf numFmtId="11" fontId="25" fillId="2" borderId="1" xfId="0" applyNumberFormat="1" applyFont="1" applyFill="1" applyBorder="1" applyAlignment="1">
      <alignment horizontal="center" vertical="center"/>
    </xf>
    <xf numFmtId="169" fontId="24" fillId="2" borderId="1" xfId="1" applyNumberFormat="1" applyFont="1" applyFill="1" applyBorder="1" applyAlignment="1">
      <alignment vertical="center"/>
    </xf>
    <xf numFmtId="168" fontId="24" fillId="2" borderId="1" xfId="1" applyNumberFormat="1" applyFont="1" applyFill="1" applyBorder="1" applyAlignment="1">
      <alignment vertical="center"/>
    </xf>
    <xf numFmtId="2" fontId="24" fillId="2" borderId="1" xfId="0" applyNumberFormat="1" applyFont="1" applyFill="1" applyBorder="1" applyAlignment="1">
      <alignment vertical="center"/>
    </xf>
    <xf numFmtId="0" fontId="24" fillId="3" borderId="1" xfId="0" applyFont="1" applyFill="1" applyBorder="1" applyAlignment="1">
      <alignment vertical="center"/>
    </xf>
    <xf numFmtId="14" fontId="25" fillId="3" borderId="1" xfId="0" applyNumberFormat="1" applyFont="1" applyFill="1" applyBorder="1" applyAlignment="1">
      <alignment horizontal="center" vertical="center"/>
    </xf>
    <xf numFmtId="3" fontId="24" fillId="3" borderId="1" xfId="0" applyNumberFormat="1" applyFont="1" applyFill="1" applyBorder="1" applyAlignment="1">
      <alignment horizontal="center" vertical="center" wrapText="1"/>
    </xf>
    <xf numFmtId="1" fontId="24" fillId="3" borderId="1" xfId="0" applyNumberFormat="1" applyFont="1" applyFill="1" applyBorder="1" applyAlignment="1">
      <alignment horizontal="center" vertical="center"/>
    </xf>
    <xf numFmtId="14" fontId="24" fillId="3" borderId="1" xfId="0" applyNumberFormat="1" applyFont="1" applyFill="1" applyBorder="1" applyAlignment="1">
      <alignment horizontal="left" vertical="center" wrapText="1"/>
    </xf>
    <xf numFmtId="14" fontId="25" fillId="3" borderId="1" xfId="0" applyNumberFormat="1" applyFont="1" applyFill="1" applyBorder="1" applyAlignment="1">
      <alignment horizontal="left" vertical="center" wrapText="1"/>
    </xf>
    <xf numFmtId="14" fontId="26" fillId="3" borderId="1" xfId="0" applyNumberFormat="1" applyFont="1" applyFill="1" applyBorder="1" applyAlignment="1">
      <alignment horizontal="center" vertical="top" wrapText="1"/>
    </xf>
    <xf numFmtId="0" fontId="27" fillId="3" borderId="1" xfId="0" applyFont="1" applyFill="1" applyBorder="1" applyAlignment="1">
      <alignment horizontal="left" vertical="center"/>
    </xf>
    <xf numFmtId="49" fontId="25" fillId="3" borderId="1" xfId="0" applyNumberFormat="1" applyFont="1" applyFill="1" applyBorder="1" applyAlignment="1">
      <alignment horizontal="center" vertical="center"/>
    </xf>
    <xf numFmtId="2" fontId="25" fillId="3" borderId="1" xfId="0" applyNumberFormat="1" applyFont="1" applyFill="1" applyBorder="1" applyAlignment="1">
      <alignment horizontal="center" vertical="center"/>
    </xf>
    <xf numFmtId="2" fontId="24" fillId="3" borderId="1" xfId="0" applyNumberFormat="1" applyFont="1" applyFill="1" applyBorder="1" applyAlignment="1">
      <alignment horizontal="center" vertical="center"/>
    </xf>
    <xf numFmtId="167" fontId="24" fillId="3" borderId="1" xfId="0" applyNumberFormat="1" applyFont="1" applyFill="1" applyBorder="1" applyAlignment="1">
      <alignment horizontal="left" vertical="center"/>
    </xf>
    <xf numFmtId="167" fontId="24" fillId="3" borderId="1" xfId="0" applyNumberFormat="1" applyFont="1" applyFill="1" applyBorder="1" applyAlignment="1">
      <alignment horizontal="center" vertical="center"/>
    </xf>
    <xf numFmtId="1" fontId="25" fillId="3" borderId="1" xfId="0" applyNumberFormat="1" applyFont="1" applyFill="1" applyBorder="1" applyAlignment="1">
      <alignment horizontal="center" vertical="center" wrapText="1"/>
    </xf>
    <xf numFmtId="1" fontId="24" fillId="3" borderId="1" xfId="0" applyNumberFormat="1" applyFont="1" applyFill="1" applyBorder="1" applyAlignment="1">
      <alignment horizontal="left" vertical="center"/>
    </xf>
    <xf numFmtId="11" fontId="25" fillId="3" borderId="1" xfId="0" applyNumberFormat="1" applyFont="1" applyFill="1" applyBorder="1" applyAlignment="1">
      <alignment horizontal="center" vertical="center"/>
    </xf>
    <xf numFmtId="169" fontId="24" fillId="3" borderId="1" xfId="1" applyNumberFormat="1" applyFont="1" applyFill="1" applyBorder="1" applyAlignment="1">
      <alignment vertical="center"/>
    </xf>
    <xf numFmtId="168" fontId="24" fillId="3" borderId="1" xfId="1" applyNumberFormat="1" applyFont="1" applyFill="1" applyBorder="1" applyAlignment="1">
      <alignment vertical="center"/>
    </xf>
    <xf numFmtId="2" fontId="24" fillId="3" borderId="1" xfId="0" applyNumberFormat="1" applyFont="1" applyFill="1" applyBorder="1" applyAlignment="1">
      <alignment vertical="center"/>
    </xf>
    <xf numFmtId="0" fontId="4" fillId="7" borderId="1" xfId="0" applyFont="1" applyFill="1" applyBorder="1" applyAlignment="1">
      <alignment vertical="center"/>
    </xf>
    <xf numFmtId="1" fontId="9" fillId="0" borderId="0" xfId="0" applyNumberFormat="1" applyFont="1" applyAlignment="1">
      <alignment horizontal="center" vertical="center"/>
    </xf>
    <xf numFmtId="1" fontId="9" fillId="0" borderId="0" xfId="0" applyNumberFormat="1" applyFont="1" applyAlignment="1">
      <alignment horizontal="left" vertical="center"/>
    </xf>
    <xf numFmtId="14" fontId="4" fillId="8" borderId="1" xfId="0" applyNumberFormat="1" applyFont="1" applyFill="1" applyBorder="1" applyAlignment="1">
      <alignment horizontal="left" vertical="center"/>
    </xf>
    <xf numFmtId="0" fontId="4" fillId="8" borderId="1" xfId="1" applyNumberFormat="1" applyFont="1" applyFill="1" applyBorder="1" applyAlignment="1">
      <alignment vertical="center"/>
    </xf>
    <xf numFmtId="0" fontId="11" fillId="8" borderId="1" xfId="0" applyFont="1" applyFill="1" applyBorder="1" applyAlignment="1">
      <alignment vertical="center"/>
    </xf>
    <xf numFmtId="0" fontId="9" fillId="8" borderId="0" xfId="0" applyFont="1" applyFill="1" applyAlignment="1">
      <alignment horizontal="center" vertical="center"/>
    </xf>
    <xf numFmtId="2" fontId="9" fillId="8" borderId="0" xfId="0" applyNumberFormat="1" applyFont="1" applyFill="1" applyAlignment="1">
      <alignment horizontal="center" vertical="center" wrapText="1"/>
    </xf>
    <xf numFmtId="167" fontId="9" fillId="8" borderId="0" xfId="0" applyNumberFormat="1" applyFont="1" applyFill="1" applyAlignment="1">
      <alignment horizontal="center" vertical="center"/>
    </xf>
    <xf numFmtId="2" fontId="28" fillId="8" borderId="0" xfId="0" applyNumberFormat="1" applyFont="1" applyFill="1" applyAlignment="1">
      <alignment horizontal="center" vertical="center"/>
    </xf>
    <xf numFmtId="167" fontId="28" fillId="8" borderId="0" xfId="0" applyNumberFormat="1" applyFont="1" applyFill="1" applyAlignment="1">
      <alignment horizontal="center" vertical="center"/>
    </xf>
  </cellXfs>
  <cellStyles count="8">
    <cellStyle name="Comma" xfId="1" builtinId="3"/>
    <cellStyle name="Normal" xfId="0" builtinId="0"/>
    <cellStyle name="Normal 2" xfId="2" xr:uid="{00000000-0005-0000-0000-00002F000000}"/>
    <cellStyle name="Normal 2 2" xfId="4" xr:uid="{83E121E5-2F41-4B81-840D-60AECBE9B40E}"/>
    <cellStyle name="Normal 2 3" xfId="3" xr:uid="{043F6858-51DB-4781-B7E1-2696CCAEB1B2}"/>
    <cellStyle name="Normal 3" xfId="5" xr:uid="{7A33823C-5BD5-4F28-BDCC-579134DE1189}"/>
    <cellStyle name="Normal 4" xfId="6" xr:uid="{DA56146F-A706-40F7-A152-68222ED537D9}"/>
    <cellStyle name="Normal 5" xfId="7" xr:uid="{F1AE68C6-AA4F-4490-8116-938CF62118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D7D31"/>
  </sheetPr>
  <dimension ref="A1:CW184"/>
  <sheetViews>
    <sheetView workbookViewId="0">
      <pane xSplit="4" ySplit="1" topLeftCell="E2" activePane="bottomRight" state="frozen"/>
      <selection pane="bottomRight"/>
      <selection pane="bottomLeft" activeCell="A2" sqref="A2"/>
      <selection pane="topRight" activeCell="E1" sqref="E1"/>
    </sheetView>
  </sheetViews>
  <sheetFormatPr defaultColWidth="8.85546875" defaultRowHeight="12"/>
  <cols>
    <col min="1" max="1" width="8.28515625" style="10" bestFit="1" customWidth="1"/>
    <col min="2" max="2" width="8" style="10" bestFit="1" customWidth="1"/>
    <col min="3" max="3" width="6.28515625" style="10" bestFit="1" customWidth="1"/>
    <col min="4" max="4" width="7.7109375" style="10" bestFit="1" customWidth="1"/>
    <col min="5" max="7" width="9.140625" style="149" customWidth="1"/>
    <col min="8" max="8" width="9.140625" style="1" customWidth="1"/>
    <col min="9" max="11" width="9.140625" style="10" customWidth="1"/>
    <col min="12" max="12" width="10.85546875" style="10" customWidth="1"/>
    <col min="13" max="13" width="9.140625" style="10" customWidth="1"/>
    <col min="14" max="14" width="40.5703125" style="12" customWidth="1"/>
    <col min="15" max="16" width="40.5703125" style="10" customWidth="1"/>
    <col min="17" max="17" width="9.140625" style="149" customWidth="1"/>
    <col min="18" max="18" width="9.140625" style="10" customWidth="1"/>
    <col min="19" max="19" width="14.7109375" style="149" customWidth="1"/>
    <col min="20" max="21" width="9.140625" style="149" customWidth="1"/>
    <col min="22" max="25" width="9.140625" style="11" customWidth="1"/>
    <col min="26" max="26" width="15.85546875" style="11" customWidth="1"/>
    <col min="27" max="27" width="54" style="10" customWidth="1"/>
    <col min="28" max="28" width="8.7109375" style="1" customWidth="1"/>
    <col min="29" max="29" width="46.28515625" style="10" customWidth="1"/>
    <col min="30" max="30" width="8.42578125" style="10" bestFit="1" customWidth="1"/>
    <col min="31" max="31" width="13.42578125" style="10" bestFit="1" customWidth="1"/>
    <col min="32" max="32" width="15.5703125" style="48" bestFit="1" customWidth="1"/>
    <col min="33" max="33" width="16.140625" style="10" bestFit="1" customWidth="1"/>
    <col min="34" max="34" width="14.28515625" style="10" bestFit="1" customWidth="1"/>
    <col min="35" max="35" width="16.140625" style="10" bestFit="1" customWidth="1"/>
    <col min="36" max="36" width="9.28515625" style="10" bestFit="1" customWidth="1"/>
    <col min="37" max="37" width="9.7109375" style="50" bestFit="1" customWidth="1"/>
    <col min="38" max="38" width="22.7109375" style="10" bestFit="1" customWidth="1"/>
    <col min="39" max="39" width="22.42578125" style="10" bestFit="1" customWidth="1"/>
    <col min="40" max="41" width="17.140625" style="10" bestFit="1" customWidth="1"/>
    <col min="42" max="42" width="8.42578125" style="10" bestFit="1" customWidth="1"/>
    <col min="43" max="43" width="16.140625" style="10" bestFit="1" customWidth="1"/>
    <col min="44" max="44" width="21.7109375" style="10" bestFit="1" customWidth="1"/>
    <col min="45" max="45" width="21.85546875" style="10" bestFit="1" customWidth="1"/>
    <col min="46" max="46" width="21.7109375" style="10" bestFit="1" customWidth="1"/>
    <col min="47" max="47" width="21.42578125" style="10" bestFit="1" customWidth="1"/>
    <col min="48" max="48" width="21.7109375" style="10" bestFit="1" customWidth="1"/>
    <col min="49" max="49" width="21.5703125" style="10" bestFit="1" customWidth="1"/>
    <col min="50" max="50" width="21.7109375" style="10" bestFit="1" customWidth="1"/>
    <col min="51" max="51" width="21.42578125" style="10" bestFit="1" customWidth="1"/>
    <col min="52" max="52" width="8.42578125" style="10" bestFit="1" customWidth="1"/>
    <col min="53" max="53" width="16.5703125" style="10" bestFit="1" customWidth="1"/>
    <col min="54" max="54" width="22.140625" style="10" bestFit="1" customWidth="1"/>
    <col min="55" max="55" width="22.28515625" style="10" bestFit="1" customWidth="1"/>
    <col min="56" max="56" width="22.140625" style="10" bestFit="1" customWidth="1"/>
    <col min="57" max="57" width="21.85546875" style="10" bestFit="1" customWidth="1"/>
    <col min="58" max="58" width="22.140625" style="10" bestFit="1" customWidth="1"/>
    <col min="59" max="59" width="22.28515625" style="10" bestFit="1" customWidth="1"/>
    <col min="60" max="60" width="22.140625" style="10" bestFit="1" customWidth="1"/>
    <col min="61" max="61" width="21.85546875" style="10" bestFit="1" customWidth="1"/>
    <col min="62" max="62" width="34.140625" style="10" bestFit="1" customWidth="1"/>
    <col min="63" max="63" width="34.28515625" style="10" bestFit="1" customWidth="1"/>
    <col min="64" max="64" width="34.140625" style="10" bestFit="1" customWidth="1"/>
    <col min="65" max="65" width="33.85546875" style="10" bestFit="1" customWidth="1"/>
    <col min="66" max="66" width="34.140625" style="10" bestFit="1" customWidth="1"/>
    <col min="67" max="67" width="34.28515625" style="10" bestFit="1" customWidth="1"/>
    <col min="68" max="68" width="34.140625" style="10" bestFit="1" customWidth="1"/>
    <col min="69" max="69" width="33.85546875" style="10" bestFit="1" customWidth="1"/>
    <col min="70" max="70" width="24.5703125" style="10" bestFit="1" customWidth="1"/>
    <col min="71" max="71" width="24.7109375" style="10" bestFit="1" customWidth="1"/>
    <col min="72" max="72" width="24.5703125" style="10" bestFit="1" customWidth="1"/>
    <col min="73" max="73" width="24.28515625" style="10" bestFit="1" customWidth="1"/>
    <col min="74" max="74" width="24.5703125" style="10" bestFit="1" customWidth="1"/>
    <col min="75" max="75" width="24.7109375" style="10" bestFit="1" customWidth="1"/>
    <col min="76" max="76" width="24.5703125" style="10" bestFit="1" customWidth="1"/>
    <col min="77" max="77" width="24.28515625" style="10" bestFit="1" customWidth="1"/>
    <col min="78" max="78" width="22.85546875" style="18" customWidth="1"/>
    <col min="79" max="79" width="22.85546875" style="17" customWidth="1"/>
    <col min="80" max="80" width="22.85546875" style="21" customWidth="1"/>
    <col min="81" max="81" width="12.7109375" style="13" bestFit="1" customWidth="1"/>
    <col min="82" max="83" width="9.28515625" style="13" bestFit="1" customWidth="1"/>
    <col min="84" max="85" width="13.140625" style="13" bestFit="1" customWidth="1"/>
    <col min="86" max="86" width="12.5703125" style="13" bestFit="1" customWidth="1"/>
    <col min="87" max="87" width="7.5703125" style="13" bestFit="1" customWidth="1"/>
    <col min="88" max="89" width="15.42578125" style="13" bestFit="1" customWidth="1"/>
    <col min="90" max="90" width="15.5703125" style="13" bestFit="1" customWidth="1"/>
    <col min="91" max="92" width="19.28515625" style="13" bestFit="1" customWidth="1"/>
    <col min="93" max="93" width="18.85546875" style="13" bestFit="1" customWidth="1"/>
    <col min="94" max="94" width="13.7109375" style="13" bestFit="1" customWidth="1"/>
    <col min="95" max="95" width="13" style="13" bestFit="1" customWidth="1"/>
    <col min="96" max="96" width="13.140625" style="13" bestFit="1" customWidth="1"/>
    <col min="97" max="98" width="16.7109375" style="13" bestFit="1" customWidth="1"/>
    <col min="99" max="99" width="16.28515625" style="13" bestFit="1" customWidth="1"/>
    <col min="100" max="100" width="11.28515625" style="14" bestFit="1" customWidth="1"/>
    <col min="101" max="101" width="8.85546875" style="16"/>
    <col min="102" max="16384" width="8.85546875" style="10"/>
  </cols>
  <sheetData>
    <row r="1" spans="1:101" s="1" customFormat="1" ht="38.450000000000003" customHeight="1">
      <c r="A1" s="1" t="s">
        <v>0</v>
      </c>
      <c r="D1" s="1" t="s">
        <v>1</v>
      </c>
      <c r="E1" s="2" t="s">
        <v>2</v>
      </c>
      <c r="F1" s="2" t="s">
        <v>3</v>
      </c>
      <c r="G1" s="3" t="s">
        <v>4</v>
      </c>
      <c r="H1" s="3" t="s">
        <v>5</v>
      </c>
      <c r="I1" s="3" t="s">
        <v>6</v>
      </c>
      <c r="J1" s="3" t="s">
        <v>7</v>
      </c>
      <c r="K1" s="3" t="s">
        <v>8</v>
      </c>
      <c r="L1" s="3" t="s">
        <v>9</v>
      </c>
      <c r="M1" s="3" t="s">
        <v>10</v>
      </c>
      <c r="N1" s="4" t="s">
        <v>11</v>
      </c>
      <c r="O1" s="3"/>
      <c r="P1" s="3"/>
      <c r="Q1" s="3" t="s">
        <v>12</v>
      </c>
      <c r="R1" s="3" t="s">
        <v>13</v>
      </c>
      <c r="S1" s="158" t="s">
        <v>14</v>
      </c>
      <c r="T1" s="158" t="s">
        <v>15</v>
      </c>
      <c r="U1" s="158" t="s">
        <v>16</v>
      </c>
      <c r="V1" s="3" t="s">
        <v>17</v>
      </c>
      <c r="W1" s="3" t="s">
        <v>18</v>
      </c>
      <c r="X1" s="3" t="s">
        <v>19</v>
      </c>
      <c r="Y1" s="3" t="s">
        <v>20</v>
      </c>
      <c r="Z1" s="3" t="s">
        <v>21</v>
      </c>
      <c r="AA1" s="3" t="s">
        <v>22</v>
      </c>
      <c r="AB1" s="3" t="s">
        <v>23</v>
      </c>
      <c r="AC1" s="1" t="s">
        <v>24</v>
      </c>
      <c r="AD1" s="1" t="s">
        <v>25</v>
      </c>
      <c r="AE1" s="1" t="s">
        <v>26</v>
      </c>
      <c r="AF1" s="47" t="s">
        <v>27</v>
      </c>
      <c r="AG1" s="1" t="s">
        <v>28</v>
      </c>
      <c r="AH1" s="1" t="s">
        <v>29</v>
      </c>
      <c r="AI1" s="1" t="s">
        <v>30</v>
      </c>
      <c r="AJ1" s="1" t="s">
        <v>31</v>
      </c>
      <c r="AK1" s="49"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00" t="s">
        <v>73</v>
      </c>
      <c r="CA1" s="101" t="s">
        <v>74</v>
      </c>
      <c r="CB1" s="10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row>
    <row r="2" spans="1:101" s="33" customFormat="1" ht="12.75" customHeight="1">
      <c r="A2" s="33" t="s">
        <v>96</v>
      </c>
      <c r="B2" s="33" t="s">
        <v>97</v>
      </c>
      <c r="D2" s="33" t="s">
        <v>98</v>
      </c>
      <c r="E2" s="94">
        <v>18328</v>
      </c>
      <c r="F2" s="94">
        <v>42184</v>
      </c>
      <c r="G2" s="94">
        <v>43004</v>
      </c>
      <c r="H2" s="94" t="s">
        <v>99</v>
      </c>
      <c r="I2" s="45">
        <f>(G2-E2)/365.25</f>
        <v>67.559206023271727</v>
      </c>
      <c r="J2" s="34">
        <f>G2-E2</f>
        <v>24676</v>
      </c>
      <c r="K2" s="34">
        <f>G2-F2</f>
        <v>820</v>
      </c>
      <c r="L2" s="35" t="s">
        <v>100</v>
      </c>
      <c r="M2" s="35" t="s">
        <v>100</v>
      </c>
      <c r="N2" s="36" t="s">
        <v>101</v>
      </c>
      <c r="O2" s="40"/>
      <c r="P2" s="40"/>
      <c r="Q2" s="151"/>
      <c r="R2" s="37" t="s">
        <v>102</v>
      </c>
      <c r="S2" s="167" t="s">
        <v>103</v>
      </c>
      <c r="T2" s="168">
        <v>1583.16</v>
      </c>
      <c r="U2" s="168">
        <v>79.03</v>
      </c>
      <c r="V2" s="38">
        <f t="shared" ref="V2:V22" si="0">T2-U2</f>
        <v>1504.13</v>
      </c>
      <c r="W2" s="185" t="s">
        <v>104</v>
      </c>
      <c r="X2" s="39">
        <v>66000</v>
      </c>
      <c r="Y2" s="173">
        <f>X2*V2</f>
        <v>99272580</v>
      </c>
      <c r="Z2" s="39">
        <v>146000000</v>
      </c>
      <c r="AA2" s="37" t="s">
        <v>105</v>
      </c>
      <c r="AB2" s="172">
        <v>5000000</v>
      </c>
      <c r="AC2" s="33" t="s">
        <v>106</v>
      </c>
      <c r="AD2" s="33">
        <v>8152</v>
      </c>
      <c r="AE2" s="33">
        <v>1</v>
      </c>
      <c r="AP2" s="33">
        <v>2550</v>
      </c>
      <c r="AQ2" s="33">
        <f>100*0.00078</f>
        <v>7.8E-2</v>
      </c>
      <c r="AR2" s="33">
        <f>100*0.0498</f>
        <v>4.9799999999999995</v>
      </c>
      <c r="AS2" s="33">
        <f>100*0.0384</f>
        <v>3.84</v>
      </c>
      <c r="AT2" s="33">
        <f>100*0.672</f>
        <v>67.2</v>
      </c>
      <c r="AU2" s="33">
        <f>100*0.24</f>
        <v>24</v>
      </c>
      <c r="AV2" s="33">
        <f>100*0.0063</f>
        <v>0.63</v>
      </c>
      <c r="AW2" s="33">
        <f>100*0.0153</f>
        <v>1.53</v>
      </c>
      <c r="AX2" s="33">
        <f>100*0.696</f>
        <v>69.599999999999994</v>
      </c>
      <c r="AY2" s="33">
        <f>100*0.282</f>
        <v>28.199999999999996</v>
      </c>
      <c r="AZ2" s="33">
        <v>3199</v>
      </c>
      <c r="BA2" s="33">
        <v>0</v>
      </c>
      <c r="BB2" s="33">
        <f>100*0.289</f>
        <v>28.9</v>
      </c>
      <c r="BC2" s="33">
        <f>100*0.425</f>
        <v>42.5</v>
      </c>
      <c r="BD2" s="33">
        <f>100*0.103</f>
        <v>10.299999999999999</v>
      </c>
      <c r="BE2" s="33">
        <f>100*0.182</f>
        <v>18.2</v>
      </c>
      <c r="BF2" s="33">
        <f>100*0.123</f>
        <v>12.3</v>
      </c>
      <c r="BG2" s="33">
        <f>100*0.412</f>
        <v>41.199999999999996</v>
      </c>
      <c r="BH2" s="33">
        <f>100*0.119</f>
        <v>11.899999999999999</v>
      </c>
      <c r="BI2" s="33">
        <f>100*0.345</f>
        <v>34.5</v>
      </c>
      <c r="BJ2" s="33">
        <v>0</v>
      </c>
      <c r="BK2" s="33">
        <v>0</v>
      </c>
      <c r="BL2" s="33">
        <v>0</v>
      </c>
      <c r="BM2" s="33">
        <v>1</v>
      </c>
      <c r="BN2" s="33">
        <v>0</v>
      </c>
      <c r="BO2" s="33">
        <v>0</v>
      </c>
      <c r="BP2" s="33">
        <v>0</v>
      </c>
      <c r="BQ2" s="33">
        <v>1</v>
      </c>
      <c r="BR2" s="33">
        <v>0</v>
      </c>
      <c r="BS2" s="33">
        <v>0</v>
      </c>
      <c r="BT2" s="33">
        <v>0</v>
      </c>
      <c r="BU2" s="33">
        <v>0</v>
      </c>
      <c r="BV2" s="33">
        <v>0</v>
      </c>
      <c r="BW2" s="33">
        <v>0</v>
      </c>
      <c r="BX2" s="33">
        <v>0</v>
      </c>
      <c r="BY2" s="33">
        <v>0</v>
      </c>
      <c r="BZ2" s="102">
        <f>AD2/CA2</f>
        <v>5.4387856403249396E-3</v>
      </c>
      <c r="CA2" s="103">
        <v>1498864</v>
      </c>
      <c r="CB2" s="103"/>
      <c r="CC2" s="44"/>
      <c r="CD2" s="44"/>
      <c r="CE2" s="44"/>
      <c r="CF2" s="44"/>
      <c r="CG2" s="44"/>
      <c r="CH2" s="44"/>
      <c r="CI2" s="44"/>
      <c r="CJ2" s="44"/>
      <c r="CK2" s="44"/>
      <c r="CL2" s="44"/>
      <c r="CM2" s="44"/>
      <c r="CN2" s="44"/>
      <c r="CO2" s="44"/>
      <c r="CP2" s="44"/>
      <c r="CQ2" s="44"/>
      <c r="CR2" s="44"/>
      <c r="CS2" s="44"/>
      <c r="CT2" s="44"/>
      <c r="CU2" s="44"/>
    </row>
    <row r="3" spans="1:101" s="33" customFormat="1" ht="12.75" customHeight="1">
      <c r="A3" s="22" t="s">
        <v>107</v>
      </c>
      <c r="B3" s="22" t="s">
        <v>108</v>
      </c>
      <c r="C3" s="22"/>
      <c r="D3" s="22" t="s">
        <v>98</v>
      </c>
      <c r="E3" s="59">
        <v>15052</v>
      </c>
      <c r="F3" s="59">
        <v>41372</v>
      </c>
      <c r="G3" s="59">
        <v>43082</v>
      </c>
      <c r="H3" s="59" t="s">
        <v>99</v>
      </c>
      <c r="I3" s="31">
        <f>(G3-E3)/365.25</f>
        <v>76.741957563312795</v>
      </c>
      <c r="J3" s="32">
        <f>G3-E3</f>
        <v>28030</v>
      </c>
      <c r="K3" s="32">
        <f>G3-F3</f>
        <v>1710</v>
      </c>
      <c r="L3" s="32" t="s">
        <v>109</v>
      </c>
      <c r="M3" s="32" t="s">
        <v>100</v>
      </c>
      <c r="N3" s="25" t="s">
        <v>110</v>
      </c>
      <c r="O3" s="62">
        <v>0</v>
      </c>
      <c r="P3" s="62">
        <v>0</v>
      </c>
      <c r="Q3" s="59" t="s">
        <v>111</v>
      </c>
      <c r="R3" s="61" t="s">
        <v>112</v>
      </c>
      <c r="S3" s="62">
        <v>10</v>
      </c>
      <c r="T3" s="60">
        <v>1910.68</v>
      </c>
      <c r="U3" s="63">
        <v>91.83</v>
      </c>
      <c r="V3" s="28">
        <f t="shared" si="0"/>
        <v>1818.8500000000001</v>
      </c>
      <c r="W3" s="61"/>
      <c r="X3" s="143"/>
      <c r="Y3" s="64">
        <v>300000</v>
      </c>
      <c r="Z3" s="143"/>
      <c r="AA3" s="61"/>
      <c r="AB3" s="64">
        <v>1700000</v>
      </c>
      <c r="AC3" s="22" t="s">
        <v>113</v>
      </c>
      <c r="AD3" s="22">
        <v>130517.5</v>
      </c>
      <c r="AE3" s="22">
        <v>534</v>
      </c>
      <c r="AF3" s="22">
        <f>100*0.004</f>
        <v>0.4</v>
      </c>
      <c r="AG3" s="22">
        <f>100*0.132</f>
        <v>13.200000000000001</v>
      </c>
      <c r="AH3" s="22">
        <v>1510</v>
      </c>
      <c r="AI3" s="22">
        <f>100*0.0117</f>
        <v>1.17</v>
      </c>
      <c r="AJ3" s="22">
        <v>4321</v>
      </c>
      <c r="AK3" s="22">
        <f>100*0.0331</f>
        <v>3.3099999999999996</v>
      </c>
      <c r="AL3" s="22">
        <f>100*0.05615</f>
        <v>5.6150000000000002</v>
      </c>
      <c r="AM3" s="22">
        <f>100*0.0046</f>
        <v>0.45999999999999996</v>
      </c>
      <c r="AN3" s="22">
        <f>100*0.906</f>
        <v>90.600000000000009</v>
      </c>
      <c r="AO3" s="22">
        <f>100*0.0203</f>
        <v>2.0299999999999998</v>
      </c>
      <c r="AP3" s="22">
        <v>21344</v>
      </c>
      <c r="AQ3" s="22">
        <f>100*0.186</f>
        <v>18.600000000000001</v>
      </c>
      <c r="AR3" s="22">
        <f>100*0.1309472</f>
        <v>13.094720000000001</v>
      </c>
      <c r="AS3" s="22">
        <f>100*0.4378086</f>
        <v>43.780859999999997</v>
      </c>
      <c r="AT3" s="22">
        <f>100*0.3299526</f>
        <v>32.995260000000002</v>
      </c>
      <c r="AU3" s="22">
        <f>100*0.0727</f>
        <v>7.2700000000000005</v>
      </c>
      <c r="AV3" s="22">
        <f>100*0.0711</f>
        <v>7.1099999999999994</v>
      </c>
      <c r="AW3" s="22">
        <f>100*0.39625265</f>
        <v>39.625264999999999</v>
      </c>
      <c r="AX3" s="22">
        <f>100*0.36472</f>
        <v>36.472000000000001</v>
      </c>
      <c r="AY3" s="22">
        <f>100*0.132</f>
        <v>13.200000000000001</v>
      </c>
      <c r="AZ3" s="22"/>
      <c r="BA3" s="22">
        <f>100*0.14337</f>
        <v>14.337</v>
      </c>
      <c r="BB3" s="22">
        <f>100*0.2569516</f>
        <v>25.695160000000001</v>
      </c>
      <c r="BC3" s="22">
        <f>100*0.46990516</f>
        <v>46.990516</v>
      </c>
      <c r="BD3" s="22">
        <f>100*0.1219315</f>
        <v>12.193149999999999</v>
      </c>
      <c r="BE3" s="22">
        <f>100*0.144</f>
        <v>14.399999999999999</v>
      </c>
      <c r="BF3" s="22">
        <f>100*0.20986</f>
        <v>20.986000000000001</v>
      </c>
      <c r="BG3" s="22">
        <f>100*0.458865</f>
        <v>45.886500000000005</v>
      </c>
      <c r="BH3" s="22">
        <f>100*0.11677</f>
        <v>11.677</v>
      </c>
      <c r="BI3" s="22">
        <f>100*0.201</f>
        <v>20.100000000000001</v>
      </c>
      <c r="BJ3" s="22">
        <f>100*0.129</f>
        <v>12.9</v>
      </c>
      <c r="BK3" s="22">
        <f>100*0.2393</f>
        <v>23.93</v>
      </c>
      <c r="BL3" s="22">
        <f>100*0.0236</f>
        <v>2.36</v>
      </c>
      <c r="BM3" s="22">
        <f>100*0.0273</f>
        <v>2.73</v>
      </c>
      <c r="BN3" s="22">
        <f>100*0.0874</f>
        <v>8.74</v>
      </c>
      <c r="BO3" s="22">
        <f>100*0.0733</f>
        <v>7.33</v>
      </c>
      <c r="BP3" s="22">
        <f>100*0.4322</f>
        <v>43.22</v>
      </c>
      <c r="BQ3" s="22">
        <f>100*0.405</f>
        <v>40.5</v>
      </c>
      <c r="BR3" s="22">
        <f>100*0.523</f>
        <v>52.300000000000004</v>
      </c>
      <c r="BS3" s="22">
        <f>100*0.085</f>
        <v>8.5</v>
      </c>
      <c r="BT3" s="22">
        <f>100*0.0792</f>
        <v>7.9200000000000008</v>
      </c>
      <c r="BU3" s="22">
        <f>100*0.309</f>
        <v>30.9</v>
      </c>
      <c r="BV3" s="22">
        <f>100*0.061</f>
        <v>6.1</v>
      </c>
      <c r="BW3" s="22">
        <f>100*0.08305</f>
        <v>8.3049999999999997</v>
      </c>
      <c r="BX3" s="22">
        <f>100*0.457</f>
        <v>45.7</v>
      </c>
      <c r="BY3" s="22">
        <f>100*0.397</f>
        <v>39.700000000000003</v>
      </c>
      <c r="BZ3" s="66">
        <f>AD3/CA3</f>
        <v>0.29745137720893555</v>
      </c>
      <c r="CA3" s="67">
        <v>438786</v>
      </c>
      <c r="CB3" s="67"/>
      <c r="CC3" s="57"/>
      <c r="CD3" s="57"/>
      <c r="CE3" s="57"/>
      <c r="CF3" s="57"/>
      <c r="CG3" s="57"/>
      <c r="CH3" s="57"/>
      <c r="CI3" s="57"/>
      <c r="CJ3" s="57"/>
      <c r="CK3" s="57"/>
      <c r="CL3" s="57"/>
      <c r="CM3" s="57"/>
      <c r="CN3" s="57"/>
      <c r="CO3" s="57"/>
      <c r="CP3" s="57"/>
      <c r="CQ3" s="57"/>
      <c r="CR3" s="57"/>
      <c r="CS3" s="57"/>
      <c r="CT3" s="57"/>
      <c r="CU3" s="57"/>
      <c r="CV3" s="22"/>
      <c r="CW3" s="22"/>
    </row>
    <row r="4" spans="1:101" s="33" customFormat="1" ht="12.75" customHeight="1">
      <c r="A4" s="22" t="s">
        <v>114</v>
      </c>
      <c r="B4" s="22" t="s">
        <v>108</v>
      </c>
      <c r="C4" s="22"/>
      <c r="D4" s="22" t="s">
        <v>98</v>
      </c>
      <c r="E4" s="106">
        <v>12528</v>
      </c>
      <c r="F4" s="106">
        <v>41303</v>
      </c>
      <c r="G4" s="106">
        <v>43271</v>
      </c>
      <c r="H4" s="106" t="s">
        <v>99</v>
      </c>
      <c r="I4" s="107">
        <v>84.26557152635182</v>
      </c>
      <c r="J4" s="143">
        <v>30778</v>
      </c>
      <c r="K4" s="32">
        <v>2003</v>
      </c>
      <c r="L4" s="32" t="s">
        <v>100</v>
      </c>
      <c r="M4" s="32" t="s">
        <v>109</v>
      </c>
      <c r="N4" s="25" t="s">
        <v>115</v>
      </c>
      <c r="O4" s="62">
        <v>1</v>
      </c>
      <c r="P4" s="62" t="s">
        <v>116</v>
      </c>
      <c r="Q4" s="59" t="s">
        <v>111</v>
      </c>
      <c r="R4" s="61" t="s">
        <v>112</v>
      </c>
      <c r="S4" s="62">
        <v>10</v>
      </c>
      <c r="T4" s="60">
        <v>2723.71</v>
      </c>
      <c r="U4" s="63">
        <v>77.64</v>
      </c>
      <c r="V4" s="28">
        <f t="shared" si="0"/>
        <v>2646.07</v>
      </c>
      <c r="W4" s="61"/>
      <c r="X4" s="143"/>
      <c r="Y4" s="154">
        <v>4130000</v>
      </c>
      <c r="Z4" s="143"/>
      <c r="AA4" s="61"/>
      <c r="AB4" s="108">
        <v>31200000</v>
      </c>
      <c r="AC4" s="65" t="s">
        <v>117</v>
      </c>
      <c r="AD4" s="65">
        <v>369410</v>
      </c>
      <c r="AE4" s="65">
        <v>1315</v>
      </c>
      <c r="AF4" s="65">
        <f>100*0.0036</f>
        <v>0.36</v>
      </c>
      <c r="AG4" s="65">
        <v>16.21</v>
      </c>
      <c r="AH4" s="65">
        <v>25</v>
      </c>
      <c r="AI4" s="65">
        <f>100*0.007765</f>
        <v>0.77649999999999997</v>
      </c>
      <c r="AJ4" s="65">
        <v>186</v>
      </c>
      <c r="AK4" s="65">
        <f>100*0.059</f>
        <v>5.8999999999999995</v>
      </c>
      <c r="AL4" s="65">
        <f>100*0.001325</f>
        <v>0.13250000000000001</v>
      </c>
      <c r="AM4" s="65">
        <f>100*0.0012</f>
        <v>0.12</v>
      </c>
      <c r="AN4" s="65">
        <f>100*0.821</f>
        <v>82.1</v>
      </c>
      <c r="AO4" s="65">
        <f>100*0.108</f>
        <v>10.8</v>
      </c>
      <c r="AP4" s="65">
        <v>75865</v>
      </c>
      <c r="AQ4" s="65">
        <f>100*0.2139</f>
        <v>21.39</v>
      </c>
      <c r="AR4" s="65">
        <f>100*0.1509736</f>
        <v>15.097360000000002</v>
      </c>
      <c r="AS4" s="65">
        <f>100*0.1759798</f>
        <v>17.59798</v>
      </c>
      <c r="AT4" s="65">
        <f>100*0.63685</f>
        <v>63.685000000000002</v>
      </c>
      <c r="AU4" s="65">
        <f>100*0.0432</f>
        <v>4.32</v>
      </c>
      <c r="AV4" s="65">
        <f>100*0.0866</f>
        <v>8.66</v>
      </c>
      <c r="AW4" s="65">
        <f>100*0.123</f>
        <v>12.3</v>
      </c>
      <c r="AX4" s="65">
        <f>100*0.69578</f>
        <v>69.577999999999989</v>
      </c>
      <c r="AY4" s="65">
        <f>100*0.0913</f>
        <v>9.1300000000000008</v>
      </c>
      <c r="AZ4" s="65">
        <v>236391</v>
      </c>
      <c r="BA4" s="65">
        <f>100*0.133451</f>
        <v>13.345099999999999</v>
      </c>
      <c r="BB4" s="65">
        <f>100*0.43883</f>
        <v>43.883000000000003</v>
      </c>
      <c r="BC4" s="65">
        <f>100*0.37895245</f>
        <v>37.895245000000003</v>
      </c>
      <c r="BD4" s="65">
        <f>100*0.0621</f>
        <v>6.21</v>
      </c>
      <c r="BE4" s="65">
        <f>100*0.12</f>
        <v>12</v>
      </c>
      <c r="BF4" s="65">
        <v>39.296480000000003</v>
      </c>
      <c r="BG4" s="65">
        <f>100*0.389975685</f>
        <v>38.9975685</v>
      </c>
      <c r="BH4" s="65">
        <f>100*0.0639774</f>
        <v>6.3977400000000006</v>
      </c>
      <c r="BI4" s="65">
        <f>100*0.152</f>
        <v>15.2</v>
      </c>
      <c r="BJ4" s="65">
        <f>100*0.5639</f>
        <v>56.389999999999993</v>
      </c>
      <c r="BK4" s="65">
        <f>100*0.1741</f>
        <v>17.41</v>
      </c>
      <c r="BL4" s="65">
        <f>100*0.0265</f>
        <v>2.65</v>
      </c>
      <c r="BM4" s="65">
        <f>100*0.15</f>
        <v>15</v>
      </c>
      <c r="BN4" s="65">
        <f>100*0.41</f>
        <v>41</v>
      </c>
      <c r="BO4" s="65">
        <f>100*0.122565</f>
        <v>12.256499999999999</v>
      </c>
      <c r="BP4" s="65">
        <f>100*0.0928</f>
        <v>9.2799999999999994</v>
      </c>
      <c r="BQ4" s="65">
        <f>100*0.374</f>
        <v>37.4</v>
      </c>
      <c r="BR4" s="65">
        <f>100*0.263</f>
        <v>26.3</v>
      </c>
      <c r="BS4" s="65">
        <f>100*0.27</f>
        <v>27</v>
      </c>
      <c r="BT4" s="65">
        <f>100*0.0933</f>
        <v>9.33</v>
      </c>
      <c r="BU4" s="65">
        <f>100*0.364</f>
        <v>36.4</v>
      </c>
      <c r="BV4" s="65">
        <f>100*0.1</f>
        <v>10</v>
      </c>
      <c r="BW4" s="65">
        <f>100*0.02</f>
        <v>2</v>
      </c>
      <c r="BX4" s="65">
        <f>100*0.347</f>
        <v>34.699999999999996</v>
      </c>
      <c r="BY4" s="65">
        <f>100*0.533</f>
        <v>53.300000000000004</v>
      </c>
      <c r="BZ4" s="65">
        <f>100*0.0634</f>
        <v>6.34</v>
      </c>
      <c r="CA4" s="67"/>
      <c r="CB4" s="67"/>
      <c r="CC4" s="57"/>
      <c r="CD4" s="57"/>
      <c r="CE4" s="57"/>
      <c r="CF4" s="57"/>
      <c r="CG4" s="57"/>
      <c r="CH4" s="57"/>
      <c r="CI4" s="57"/>
      <c r="CJ4" s="57"/>
      <c r="CK4" s="57"/>
      <c r="CL4" s="57"/>
      <c r="CM4" s="57"/>
      <c r="CN4" s="57"/>
      <c r="CO4" s="57"/>
      <c r="CP4" s="57"/>
      <c r="CQ4" s="57"/>
      <c r="CR4" s="57"/>
      <c r="CS4" s="57"/>
      <c r="CT4" s="57"/>
      <c r="CU4" s="57"/>
      <c r="CV4" s="22"/>
      <c r="CW4" s="22"/>
    </row>
    <row r="5" spans="1:101" s="189" customFormat="1" ht="24">
      <c r="A5" s="189" t="s">
        <v>118</v>
      </c>
      <c r="B5" s="189" t="s">
        <v>97</v>
      </c>
      <c r="D5" s="189" t="s">
        <v>98</v>
      </c>
      <c r="E5" s="190">
        <v>17578</v>
      </c>
      <c r="F5" s="190">
        <v>41778</v>
      </c>
      <c r="G5" s="190">
        <v>42841</v>
      </c>
      <c r="H5" s="191" t="s">
        <v>99</v>
      </c>
      <c r="I5" s="192">
        <f>(G5-E5)/365.25</f>
        <v>69.166324435318273</v>
      </c>
      <c r="J5" s="193">
        <f>G5-E5</f>
        <v>25263</v>
      </c>
      <c r="K5" s="193">
        <f>G5-F5</f>
        <v>1063</v>
      </c>
      <c r="L5" s="193" t="s">
        <v>109</v>
      </c>
      <c r="M5" s="193" t="s">
        <v>100</v>
      </c>
      <c r="N5" s="194" t="s">
        <v>119</v>
      </c>
      <c r="O5" s="195"/>
      <c r="P5" s="195"/>
      <c r="Q5" s="191"/>
      <c r="R5" s="196" t="s">
        <v>102</v>
      </c>
      <c r="S5" s="191">
        <v>6</v>
      </c>
      <c r="T5" s="197">
        <v>2034.55</v>
      </c>
      <c r="U5" s="191">
        <v>79.59</v>
      </c>
      <c r="V5" s="198">
        <f t="shared" si="0"/>
        <v>1954.96</v>
      </c>
      <c r="W5" s="196" t="s">
        <v>120</v>
      </c>
      <c r="X5" s="199">
        <v>3140000</v>
      </c>
      <c r="Y5" s="200">
        <f>X5*V5</f>
        <v>6138574400</v>
      </c>
      <c r="Z5" s="199" t="s">
        <v>121</v>
      </c>
      <c r="AA5" s="196" t="s">
        <v>122</v>
      </c>
      <c r="AB5" s="200" t="s">
        <v>123</v>
      </c>
      <c r="AC5" s="189" t="s">
        <v>124</v>
      </c>
      <c r="BZ5" s="201" t="e">
        <f t="shared" ref="BZ5:BZ10" si="1">AD5/CA5</f>
        <v>#DIV/0!</v>
      </c>
      <c r="CA5" s="202"/>
      <c r="CB5" s="202"/>
      <c r="CC5" s="203">
        <v>1040000</v>
      </c>
      <c r="CD5" s="203">
        <v>17015</v>
      </c>
      <c r="CE5" s="203">
        <v>3331</v>
      </c>
      <c r="CF5" s="203">
        <v>2528</v>
      </c>
      <c r="CG5" s="203">
        <v>937000</v>
      </c>
      <c r="CH5" s="203">
        <v>34494</v>
      </c>
      <c r="CI5" s="203">
        <v>384</v>
      </c>
      <c r="CJ5" s="203">
        <v>0.94499999999999995</v>
      </c>
      <c r="CK5" s="203">
        <v>1.55E-2</v>
      </c>
      <c r="CL5" s="203">
        <v>3.0000000000000001E-3</v>
      </c>
      <c r="CM5" s="203">
        <v>2.3E-3</v>
      </c>
      <c r="CN5" s="203">
        <v>0.85199999999999998</v>
      </c>
      <c r="CO5" s="203">
        <v>3.1400000000000004E-2</v>
      </c>
      <c r="CP5" s="203">
        <v>3.5000000000000005E-4</v>
      </c>
      <c r="CQ5" s="203">
        <v>1.6399999999999998E-2</v>
      </c>
      <c r="CR5" s="203">
        <v>3.2000000000000002E-3</v>
      </c>
      <c r="CS5" s="203">
        <v>2.3999999999999998E-3</v>
      </c>
      <c r="CT5" s="203">
        <v>0.90099999999999991</v>
      </c>
      <c r="CU5" s="203">
        <v>3.32E-2</v>
      </c>
      <c r="CV5" s="189">
        <v>3.6923076923076921E-4</v>
      </c>
    </row>
    <row r="6" spans="1:101" s="189" customFormat="1">
      <c r="A6" s="189" t="s">
        <v>125</v>
      </c>
      <c r="B6" s="189" t="s">
        <v>108</v>
      </c>
      <c r="D6" s="189" t="s">
        <v>98</v>
      </c>
      <c r="E6" s="204">
        <v>17578</v>
      </c>
      <c r="F6" s="204">
        <v>41778</v>
      </c>
      <c r="G6" s="204">
        <v>43047</v>
      </c>
      <c r="H6" s="204" t="s">
        <v>99</v>
      </c>
      <c r="I6" s="192">
        <f>(G6-E6)/365.25</f>
        <v>69.730321697467488</v>
      </c>
      <c r="J6" s="193">
        <f>G6-E6</f>
        <v>25469</v>
      </c>
      <c r="K6" s="193">
        <f>G6-F6</f>
        <v>1269</v>
      </c>
      <c r="L6" s="193" t="s">
        <v>109</v>
      </c>
      <c r="M6" s="193" t="s">
        <v>109</v>
      </c>
      <c r="N6" s="194" t="s">
        <v>126</v>
      </c>
      <c r="O6" s="205" t="e">
        <f>N6-G6</f>
        <v>#VALUE!</v>
      </c>
      <c r="P6" s="195" t="s">
        <v>127</v>
      </c>
      <c r="Q6" s="204" t="s">
        <v>111</v>
      </c>
      <c r="R6" s="196" t="s">
        <v>112</v>
      </c>
      <c r="S6" s="206">
        <v>10</v>
      </c>
      <c r="T6" s="205">
        <v>2810.43</v>
      </c>
      <c r="U6" s="207">
        <v>83.43</v>
      </c>
      <c r="V6" s="208">
        <f t="shared" si="0"/>
        <v>2727</v>
      </c>
      <c r="W6" s="209" t="s">
        <v>104</v>
      </c>
      <c r="X6" s="210"/>
      <c r="Y6" s="211">
        <v>2100000</v>
      </c>
      <c r="Z6" s="210"/>
      <c r="AA6" s="196"/>
      <c r="AB6" s="211">
        <v>22400000</v>
      </c>
      <c r="AC6" s="189" t="s">
        <v>128</v>
      </c>
      <c r="AD6" s="189">
        <v>8509</v>
      </c>
      <c r="AE6" s="189">
        <v>134</v>
      </c>
      <c r="AF6" s="189">
        <f>100*0.015</f>
        <v>1.5</v>
      </c>
      <c r="AG6" s="189">
        <f>100*0.635</f>
        <v>63.5</v>
      </c>
      <c r="AH6" s="189">
        <v>8</v>
      </c>
      <c r="AI6" s="189">
        <f>100*0.00076</f>
        <v>7.5999999999999998E-2</v>
      </c>
      <c r="AJ6" s="189">
        <v>167</v>
      </c>
      <c r="AK6" s="189">
        <f>100*0.0151</f>
        <v>1.51</v>
      </c>
      <c r="AL6" s="189">
        <f>100*0.241</f>
        <v>24.099999999999998</v>
      </c>
      <c r="AM6" s="189">
        <f>100*0.53</f>
        <v>53</v>
      </c>
      <c r="AN6" s="189">
        <f>100*0.241</f>
        <v>24.099999999999998</v>
      </c>
      <c r="AO6" s="189">
        <f>100*0.627</f>
        <v>62.7</v>
      </c>
      <c r="AP6" s="189">
        <v>394</v>
      </c>
      <c r="AQ6" s="189">
        <f>100*0.341</f>
        <v>34.1</v>
      </c>
      <c r="AR6" s="189">
        <f>100*0.119</f>
        <v>11.899999999999999</v>
      </c>
      <c r="AS6" s="189">
        <f>100*0.265</f>
        <v>26.5</v>
      </c>
      <c r="AT6" s="189">
        <f>100*0.332</f>
        <v>33.200000000000003</v>
      </c>
      <c r="AU6" s="189">
        <f>100*0.272</f>
        <v>27.200000000000003</v>
      </c>
      <c r="AV6" s="189">
        <f>100*0.277</f>
        <v>27.700000000000003</v>
      </c>
      <c r="AW6" s="189">
        <f>100*0.64</f>
        <v>64</v>
      </c>
      <c r="AX6" s="189">
        <f>100*0.0457</f>
        <v>4.5699999999999994</v>
      </c>
      <c r="AY6" s="189">
        <f>100*0.0384</f>
        <v>3.84</v>
      </c>
      <c r="AZ6" s="189">
        <v>9274</v>
      </c>
      <c r="BA6" s="189">
        <f>100*0.483</f>
        <v>48.3</v>
      </c>
      <c r="BB6" s="189">
        <f>100*0.0121</f>
        <v>1.21</v>
      </c>
      <c r="BC6" s="189">
        <f>100*0.0132</f>
        <v>1.32</v>
      </c>
      <c r="BD6" s="189">
        <f>100*0.227</f>
        <v>22.7</v>
      </c>
      <c r="BE6" s="189">
        <f>100*0.743</f>
        <v>74.3</v>
      </c>
      <c r="BF6" s="189">
        <f>100*0.702</f>
        <v>70.199999999999989</v>
      </c>
      <c r="BG6" s="189">
        <f>100*0.248</f>
        <v>24.8</v>
      </c>
      <c r="BH6" s="189">
        <f>100*0.0013</f>
        <v>0.13</v>
      </c>
      <c r="BI6" s="189">
        <f>100*0.0477</f>
        <v>4.7699999999999996</v>
      </c>
      <c r="BJ6" s="189">
        <v>0</v>
      </c>
      <c r="BK6" s="189">
        <f>100*0.0096</f>
        <v>0.96</v>
      </c>
      <c r="BL6" s="189">
        <f>100*0.276</f>
        <v>27.6</v>
      </c>
      <c r="BM6" s="189">
        <f>100*0.714</f>
        <v>71.399999999999991</v>
      </c>
      <c r="BN6" s="189">
        <f>100*0.597</f>
        <v>59.699999999999996</v>
      </c>
      <c r="BO6" s="189">
        <f>100*0.235</f>
        <v>23.5</v>
      </c>
      <c r="BP6" s="189">
        <f>100*0.0574</f>
        <v>5.74</v>
      </c>
      <c r="BQ6" s="189">
        <f>100*0.127</f>
        <v>12.7</v>
      </c>
      <c r="BR6" s="189">
        <f>100*0.012</f>
        <v>1.2</v>
      </c>
      <c r="BS6" s="189">
        <f>100*0.024</f>
        <v>2.4</v>
      </c>
      <c r="BT6" s="189">
        <f>100*0.335</f>
        <v>33.5</v>
      </c>
      <c r="BU6" s="189">
        <f>100*0.629</f>
        <v>62.9</v>
      </c>
      <c r="BV6" s="189">
        <f>100*0.575</f>
        <v>57.499999999999993</v>
      </c>
      <c r="BW6" s="189">
        <f>100*0.365</f>
        <v>36.5</v>
      </c>
      <c r="BX6" s="189">
        <v>0</v>
      </c>
      <c r="BY6" s="189">
        <f>100*0.0599</f>
        <v>5.99</v>
      </c>
      <c r="BZ6" s="212">
        <f>AD6/CA6</f>
        <v>2.6751257944186732E-3</v>
      </c>
      <c r="CA6" s="202">
        <v>3180785</v>
      </c>
      <c r="CB6" s="202"/>
    </row>
    <row r="7" spans="1:101" s="275" customFormat="1">
      <c r="A7" s="275" t="s">
        <v>129</v>
      </c>
      <c r="B7" s="275" t="s">
        <v>97</v>
      </c>
      <c r="D7" s="275" t="s">
        <v>98</v>
      </c>
      <c r="E7" s="276">
        <v>11657</v>
      </c>
      <c r="F7" s="276">
        <v>41799</v>
      </c>
      <c r="G7" s="276">
        <v>42947</v>
      </c>
      <c r="H7" s="276" t="s">
        <v>99</v>
      </c>
      <c r="I7" s="277">
        <f>(G7-E7)/365.25</f>
        <v>85.667351129363453</v>
      </c>
      <c r="J7" s="278">
        <f>G7-E7</f>
        <v>31290</v>
      </c>
      <c r="K7" s="278">
        <f>G7-F7</f>
        <v>1148</v>
      </c>
      <c r="L7" s="279" t="s">
        <v>109</v>
      </c>
      <c r="M7" s="280" t="s">
        <v>100</v>
      </c>
      <c r="N7" s="281" t="s">
        <v>130</v>
      </c>
      <c r="O7" s="280"/>
      <c r="P7" s="280"/>
      <c r="Q7" s="282" t="s">
        <v>131</v>
      </c>
      <c r="R7" s="281" t="s">
        <v>132</v>
      </c>
      <c r="S7" s="283" t="s">
        <v>133</v>
      </c>
      <c r="T7" s="284">
        <v>1556.78</v>
      </c>
      <c r="U7" s="284">
        <v>53.47</v>
      </c>
      <c r="V7" s="285">
        <f t="shared" si="0"/>
        <v>1503.31</v>
      </c>
      <c r="W7" s="286" t="s">
        <v>104</v>
      </c>
      <c r="X7" s="287">
        <v>13050000</v>
      </c>
      <c r="Y7" s="288">
        <f>X7*V7</f>
        <v>19618195500</v>
      </c>
      <c r="Z7" s="287">
        <v>96000000</v>
      </c>
      <c r="AA7" s="281" t="s">
        <v>134</v>
      </c>
      <c r="AB7" s="289">
        <v>2250000</v>
      </c>
      <c r="AC7" s="275" t="s">
        <v>135</v>
      </c>
      <c r="AD7" s="275">
        <v>114949</v>
      </c>
      <c r="AE7" s="275">
        <v>283</v>
      </c>
      <c r="AF7" s="275">
        <f>100*0.0025</f>
        <v>0.25</v>
      </c>
      <c r="AG7" s="275">
        <f>100*0.664</f>
        <v>66.400000000000006</v>
      </c>
      <c r="AH7" s="275">
        <v>2374</v>
      </c>
      <c r="AI7" s="275">
        <f>100*0.0209</f>
        <v>2.09</v>
      </c>
      <c r="AJ7" s="275">
        <f>100*264</f>
        <v>26400</v>
      </c>
      <c r="AK7" s="275">
        <f>100*0.0024</f>
        <v>0.24</v>
      </c>
      <c r="AL7" s="275">
        <f>100*0.33</f>
        <v>33</v>
      </c>
      <c r="AM7" s="275">
        <f>100*0.14</f>
        <v>14.000000000000002</v>
      </c>
      <c r="AN7" s="275">
        <f>100*0.712</f>
        <v>71.2</v>
      </c>
      <c r="AO7" s="275">
        <f>100*0.216</f>
        <v>21.6</v>
      </c>
      <c r="AP7" s="275">
        <v>8153</v>
      </c>
      <c r="AQ7" s="275">
        <f>100*0.785</f>
        <v>78.5</v>
      </c>
      <c r="AR7" s="275">
        <f>100*0.198</f>
        <v>19.8</v>
      </c>
      <c r="AS7" s="275">
        <f>100*0.786</f>
        <v>78.600000000000009</v>
      </c>
      <c r="AT7" s="275">
        <f>100*0.0145</f>
        <v>1.4500000000000002</v>
      </c>
      <c r="AU7" s="275">
        <f>100*0.0017</f>
        <v>0.16999999999999998</v>
      </c>
      <c r="AV7" s="275">
        <f>100*0.009</f>
        <v>0.89999999999999991</v>
      </c>
      <c r="AW7" s="275">
        <f>100*0.113</f>
        <v>11.3</v>
      </c>
      <c r="AX7" s="275">
        <f>100*0.613</f>
        <v>61.3</v>
      </c>
      <c r="AY7" s="275">
        <f>100*0.265</f>
        <v>26.5</v>
      </c>
      <c r="AZ7" s="275">
        <v>98599</v>
      </c>
      <c r="BA7" s="275">
        <f>100*0.905</f>
        <v>90.5</v>
      </c>
      <c r="BB7" s="275">
        <f>100*0.252</f>
        <v>25.2</v>
      </c>
      <c r="BC7" s="275">
        <f>100*0.63</f>
        <v>63</v>
      </c>
      <c r="BD7" s="275">
        <f>100*0.0022</f>
        <v>0.22</v>
      </c>
      <c r="BE7" s="275">
        <f>100*0.116</f>
        <v>11.600000000000001</v>
      </c>
      <c r="BF7" s="275">
        <f>100*0.126</f>
        <v>12.6</v>
      </c>
      <c r="BG7" s="275">
        <f>100*0.58</f>
        <v>57.999999999999993</v>
      </c>
      <c r="BH7" s="275">
        <f>100*0.0498</f>
        <v>4.9799999999999995</v>
      </c>
      <c r="BI7" s="275">
        <f>100*0.244</f>
        <v>24.4</v>
      </c>
      <c r="BJ7" s="275">
        <f>100*0.809</f>
        <v>80.900000000000006</v>
      </c>
      <c r="BK7" s="275">
        <f>100*0.163</f>
        <v>16.3</v>
      </c>
      <c r="BL7" s="275">
        <f>100*0.0177</f>
        <v>1.77</v>
      </c>
      <c r="BM7" s="275">
        <f>100*0.0106</f>
        <v>1.06</v>
      </c>
      <c r="BN7" s="275">
        <f>100*0.587</f>
        <v>58.699999999999996</v>
      </c>
      <c r="BO7" s="275">
        <f>100*0.346</f>
        <v>34.599999999999994</v>
      </c>
      <c r="BP7" s="275">
        <f>100*0.0318</f>
        <v>3.18</v>
      </c>
      <c r="BQ7" s="275">
        <f>100*0.0353</f>
        <v>3.53</v>
      </c>
      <c r="BR7" s="275">
        <f>100*0.848</f>
        <v>84.8</v>
      </c>
      <c r="BS7" s="275">
        <f>100*0.14</f>
        <v>14.000000000000002</v>
      </c>
      <c r="BT7" s="275">
        <v>0</v>
      </c>
      <c r="BU7" s="275">
        <f>100*0.0114</f>
        <v>1.1400000000000001</v>
      </c>
      <c r="BV7" s="275">
        <f>100*0.0682</f>
        <v>6.8199999999999994</v>
      </c>
      <c r="BW7" s="275">
        <f>100*0.0568</f>
        <v>5.6800000000000006</v>
      </c>
      <c r="BX7" s="275">
        <f>100*0.0795</f>
        <v>7.95</v>
      </c>
      <c r="BY7" s="275">
        <f>100*0.795</f>
        <v>79.5</v>
      </c>
      <c r="BZ7" s="290">
        <f t="shared" si="1"/>
        <v>3.7819685226933249E-2</v>
      </c>
      <c r="CA7" s="291">
        <v>3039396</v>
      </c>
      <c r="CB7" s="291"/>
      <c r="CC7" s="292"/>
      <c r="CD7" s="292"/>
      <c r="CE7" s="292"/>
      <c r="CF7" s="292"/>
      <c r="CG7" s="292"/>
      <c r="CH7" s="292"/>
      <c r="CI7" s="292"/>
      <c r="CJ7" s="292"/>
      <c r="CK7" s="292"/>
      <c r="CL7" s="292"/>
      <c r="CM7" s="292"/>
      <c r="CN7" s="292"/>
      <c r="CO7" s="292"/>
      <c r="CP7" s="292"/>
      <c r="CQ7" s="292"/>
      <c r="CR7" s="292"/>
      <c r="CS7" s="292"/>
      <c r="CT7" s="292"/>
      <c r="CU7" s="292"/>
    </row>
    <row r="8" spans="1:101" s="33" customFormat="1">
      <c r="A8" s="33" t="s">
        <v>136</v>
      </c>
      <c r="B8" s="33" t="s">
        <v>97</v>
      </c>
      <c r="D8" s="33" t="s">
        <v>98</v>
      </c>
      <c r="E8" s="94">
        <v>11657</v>
      </c>
      <c r="F8" s="94">
        <v>41799</v>
      </c>
      <c r="G8" s="94">
        <v>43070</v>
      </c>
      <c r="H8" s="94" t="s">
        <v>99</v>
      </c>
      <c r="I8" s="34">
        <f>(G8-E8)/365.25</f>
        <v>86.004106776180691</v>
      </c>
      <c r="J8" s="34">
        <f>G8-E8</f>
        <v>31413</v>
      </c>
      <c r="K8" s="34">
        <f>G8-F8</f>
        <v>1271</v>
      </c>
      <c r="L8" s="35" t="s">
        <v>109</v>
      </c>
      <c r="M8" s="35" t="s">
        <v>100</v>
      </c>
      <c r="N8" s="36" t="s">
        <v>130</v>
      </c>
      <c r="O8" s="40"/>
      <c r="P8" s="40"/>
      <c r="Q8" s="151"/>
      <c r="R8" s="37" t="s">
        <v>102</v>
      </c>
      <c r="S8" s="167" t="s">
        <v>137</v>
      </c>
      <c r="T8" s="168">
        <v>733.33</v>
      </c>
      <c r="U8" s="168">
        <v>71.790000000000006</v>
      </c>
      <c r="V8" s="38">
        <f t="shared" si="0"/>
        <v>661.54000000000008</v>
      </c>
      <c r="W8" s="185" t="s">
        <v>104</v>
      </c>
      <c r="X8" s="39">
        <v>27500000</v>
      </c>
      <c r="Y8" s="173">
        <f>X8*V8</f>
        <v>18192350000.000004</v>
      </c>
      <c r="Z8" s="39">
        <v>234000000</v>
      </c>
      <c r="AA8" s="37" t="s">
        <v>138</v>
      </c>
      <c r="AB8" s="172">
        <v>27000000</v>
      </c>
      <c r="AC8" s="33" t="s">
        <v>139</v>
      </c>
      <c r="AD8" s="33">
        <v>114908</v>
      </c>
      <c r="AE8" s="33">
        <v>162</v>
      </c>
      <c r="AF8" s="33">
        <f>100*0.0014</f>
        <v>0.13999999999999999</v>
      </c>
      <c r="AG8" s="33">
        <v>7.35</v>
      </c>
      <c r="AH8" s="33">
        <v>1521</v>
      </c>
      <c r="AI8" s="33">
        <f>100*0.0129</f>
        <v>1.29</v>
      </c>
      <c r="AJ8" s="33">
        <v>105</v>
      </c>
      <c r="AK8" s="33">
        <f>100*0.001</f>
        <v>0.1</v>
      </c>
      <c r="AL8" s="33">
        <f>100*0.00475</f>
        <v>0.47499999999999998</v>
      </c>
      <c r="AM8" s="33">
        <f>100*0.0033</f>
        <v>0.33</v>
      </c>
      <c r="AN8" s="33">
        <f>100*0.819</f>
        <v>81.899999999999991</v>
      </c>
      <c r="AO8" s="33">
        <f>100*0.0862</f>
        <v>8.6199999999999992</v>
      </c>
      <c r="AP8" s="33">
        <v>15391</v>
      </c>
      <c r="AQ8" s="33">
        <f>100*0.05604</f>
        <v>5.6040000000000001</v>
      </c>
      <c r="AR8" s="33">
        <f>100*0.08126</f>
        <v>8.1259999999999994</v>
      </c>
      <c r="AS8" s="33">
        <f>100*0.129895</f>
        <v>12.989500000000001</v>
      </c>
      <c r="AT8" s="33">
        <f>100*0.497</f>
        <v>49.7</v>
      </c>
      <c r="AU8" s="33">
        <f>100*0.295</f>
        <v>29.5</v>
      </c>
      <c r="AV8" s="33">
        <f>100*0.133</f>
        <v>13.3</v>
      </c>
      <c r="AW8" s="33">
        <f>100*0.227</f>
        <v>22.7</v>
      </c>
      <c r="AX8" s="33">
        <f>100*0.372</f>
        <v>37.200000000000003</v>
      </c>
      <c r="AY8" s="33">
        <f>100*0.271</f>
        <v>27.1</v>
      </c>
      <c r="AZ8" s="33">
        <v>77657</v>
      </c>
      <c r="BA8" s="33">
        <f>100*0.0078658</f>
        <v>0.78657999999999995</v>
      </c>
      <c r="BB8" s="33">
        <f>100*0.43765</f>
        <v>43.765000000000001</v>
      </c>
      <c r="BC8" s="33">
        <f>100*0.43094135</f>
        <v>43.094135000000001</v>
      </c>
      <c r="BD8" s="33">
        <f>100*0.00081</f>
        <v>8.0999999999999989E-2</v>
      </c>
      <c r="BE8" s="33">
        <f>100*0.13</f>
        <v>13</v>
      </c>
      <c r="BF8" s="33">
        <f>100*0.46281</f>
        <v>46.280999999999999</v>
      </c>
      <c r="BG8" s="33">
        <f>100*0.431885</f>
        <v>43.188500000000005</v>
      </c>
      <c r="BH8" s="33">
        <f>100*0.0004267</f>
        <v>4.267E-2</v>
      </c>
      <c r="BI8" s="33">
        <f>100*0.106</f>
        <v>10.6</v>
      </c>
      <c r="BJ8" s="33">
        <f>100*0.1104</f>
        <v>11.04</v>
      </c>
      <c r="BK8" s="33">
        <f>100*0.0489</f>
        <v>4.8899999999999997</v>
      </c>
      <c r="BL8" s="33">
        <f>100*0.191</f>
        <v>19.100000000000001</v>
      </c>
      <c r="BM8" s="33">
        <f>100*0.642</f>
        <v>64.2</v>
      </c>
      <c r="BN8" s="33">
        <f>100*0.6015</f>
        <v>60.150000000000006</v>
      </c>
      <c r="BO8" s="33">
        <f>100*0.13165</f>
        <v>13.164999999999999</v>
      </c>
      <c r="BP8" s="33">
        <f>100*0.0964</f>
        <v>9.64</v>
      </c>
      <c r="BQ8" s="33">
        <f>100*0.103</f>
        <v>10.299999999999999</v>
      </c>
      <c r="BR8" s="33">
        <f>100*0.0791</f>
        <v>7.91</v>
      </c>
      <c r="BS8" s="33">
        <f>100*0.0106</f>
        <v>1.06</v>
      </c>
      <c r="BT8" s="33">
        <f>100*0.0172</f>
        <v>1.72</v>
      </c>
      <c r="BU8" s="33">
        <f>100*0.867</f>
        <v>86.7</v>
      </c>
      <c r="BV8" s="33">
        <f>100*0.49</f>
        <v>49</v>
      </c>
      <c r="BW8" s="33">
        <f>100*0.0086</f>
        <v>0.86</v>
      </c>
      <c r="BX8" s="33">
        <f>100*0.0259</f>
        <v>2.59</v>
      </c>
      <c r="BY8" s="33">
        <f>100*0.417</f>
        <v>41.699999999999996</v>
      </c>
      <c r="BZ8" s="102">
        <f>AD8/CA8</f>
        <v>0.13057771787858369</v>
      </c>
      <c r="CA8" s="103">
        <v>879997</v>
      </c>
      <c r="CB8" s="103"/>
      <c r="CC8" s="44"/>
      <c r="CD8" s="44"/>
      <c r="CE8" s="44"/>
      <c r="CF8" s="44"/>
      <c r="CG8" s="44"/>
      <c r="CH8" s="44"/>
      <c r="CI8" s="44"/>
      <c r="CJ8" s="44"/>
      <c r="CK8" s="44"/>
      <c r="CL8" s="44"/>
      <c r="CM8" s="44"/>
      <c r="CN8" s="44"/>
      <c r="CO8" s="44"/>
      <c r="CP8" s="44"/>
      <c r="CQ8" s="44"/>
      <c r="CR8" s="44"/>
      <c r="CS8" s="44"/>
      <c r="CT8" s="44"/>
      <c r="CU8" s="44"/>
    </row>
    <row r="9" spans="1:101" s="33" customFormat="1">
      <c r="A9" s="22" t="s">
        <v>140</v>
      </c>
      <c r="B9" s="22" t="s">
        <v>108</v>
      </c>
      <c r="C9" s="22"/>
      <c r="D9" s="22" t="s">
        <v>98</v>
      </c>
      <c r="E9" s="59">
        <v>22653</v>
      </c>
      <c r="F9" s="59">
        <v>41974</v>
      </c>
      <c r="G9" s="59">
        <v>42872</v>
      </c>
      <c r="H9" s="59" t="s">
        <v>99</v>
      </c>
      <c r="I9" s="31">
        <f>(G9-E9)/365.25</f>
        <v>55.356605065023956</v>
      </c>
      <c r="J9" s="32">
        <f>G9-E9</f>
        <v>20219</v>
      </c>
      <c r="K9" s="32">
        <f>G9-F9</f>
        <v>898</v>
      </c>
      <c r="L9" s="32" t="s">
        <v>109</v>
      </c>
      <c r="M9" s="32" t="s">
        <v>100</v>
      </c>
      <c r="N9" s="25" t="s">
        <v>110</v>
      </c>
      <c r="O9" s="62">
        <v>0</v>
      </c>
      <c r="P9" s="62">
        <v>0</v>
      </c>
      <c r="Q9" s="59" t="s">
        <v>111</v>
      </c>
      <c r="R9" s="61" t="s">
        <v>102</v>
      </c>
      <c r="S9" s="62">
        <v>10</v>
      </c>
      <c r="T9" s="63">
        <v>2731.57</v>
      </c>
      <c r="U9" s="63">
        <v>78.11</v>
      </c>
      <c r="V9" s="28">
        <f t="shared" si="0"/>
        <v>2653.46</v>
      </c>
      <c r="W9" s="186" t="s">
        <v>104</v>
      </c>
      <c r="X9" s="143"/>
      <c r="Y9" s="64">
        <v>4130000</v>
      </c>
      <c r="Z9" s="30"/>
      <c r="AA9" s="61"/>
      <c r="AB9" s="175">
        <f>14600000*5</f>
        <v>73000000</v>
      </c>
      <c r="AC9" s="22" t="s">
        <v>141</v>
      </c>
      <c r="AD9" s="22">
        <v>199130</v>
      </c>
      <c r="AE9" s="22">
        <v>2264</v>
      </c>
      <c r="AF9" s="22">
        <f>100*0.0114</f>
        <v>1.1400000000000001</v>
      </c>
      <c r="AG9" s="22">
        <f>100*0.0287</f>
        <v>2.87</v>
      </c>
      <c r="AH9" s="22">
        <v>1057</v>
      </c>
      <c r="AI9" s="22">
        <f>100*0.0053</f>
        <v>0.53</v>
      </c>
      <c r="AJ9" s="22">
        <v>5257</v>
      </c>
      <c r="AK9" s="22">
        <f>100*0.027</f>
        <v>2.7</v>
      </c>
      <c r="AL9" s="22">
        <f>100*0.00019</f>
        <v>1.9E-2</v>
      </c>
      <c r="AM9" s="22">
        <f>100*0.00057</f>
        <v>5.6999999999999995E-2</v>
      </c>
      <c r="AN9" s="22">
        <f>100*0.676</f>
        <v>67.600000000000009</v>
      </c>
      <c r="AO9" s="22">
        <f>100*0.008</f>
        <v>0.8</v>
      </c>
      <c r="AP9" s="22">
        <v>44402</v>
      </c>
      <c r="AQ9" s="22">
        <f>100*0.0586</f>
        <v>5.86</v>
      </c>
      <c r="AR9" s="22">
        <f>100*0.452</f>
        <v>45.2</v>
      </c>
      <c r="AS9" s="22">
        <f>100*0.19</f>
        <v>19</v>
      </c>
      <c r="AT9" s="22">
        <f>100*0.224</f>
        <v>22.400000000000002</v>
      </c>
      <c r="AU9" s="22">
        <f>100*0.134</f>
        <v>13.4</v>
      </c>
      <c r="AV9" s="22">
        <f>100*0.0111</f>
        <v>1.1100000000000001</v>
      </c>
      <c r="AW9" s="22">
        <f>100*0.0116</f>
        <v>1.1599999999999999</v>
      </c>
      <c r="AX9" s="22">
        <f>100*0.394</f>
        <v>39.4</v>
      </c>
      <c r="AY9" s="22">
        <f>100*0.583</f>
        <v>58.3</v>
      </c>
      <c r="AZ9" s="22">
        <v>140629</v>
      </c>
      <c r="BA9" s="22">
        <f>100*0.0301</f>
        <v>3.01</v>
      </c>
      <c r="BB9" s="22">
        <f>100*0.762</f>
        <v>76.2</v>
      </c>
      <c r="BC9" s="22">
        <f>100*0.0288</f>
        <v>2.88</v>
      </c>
      <c r="BD9" s="22">
        <f>100*0.0828</f>
        <v>8.2799999999999994</v>
      </c>
      <c r="BE9" s="22">
        <f>100*0.127</f>
        <v>12.7</v>
      </c>
      <c r="BF9" s="22">
        <f>100*0.116</f>
        <v>11.600000000000001</v>
      </c>
      <c r="BG9" s="22">
        <f>100*0.0047</f>
        <v>0.47000000000000003</v>
      </c>
      <c r="BH9" s="22">
        <f>100*0.1</f>
        <v>10</v>
      </c>
      <c r="BI9" s="22">
        <f>100*0.78</f>
        <v>78</v>
      </c>
      <c r="BJ9" s="22">
        <f>100*0.847</f>
        <v>84.7</v>
      </c>
      <c r="BK9" s="22">
        <f>100*0.0663</f>
        <v>6.63</v>
      </c>
      <c r="BL9" s="22">
        <f>100*0.0199</f>
        <v>1.9900000000000002</v>
      </c>
      <c r="BM9" s="22">
        <f>100*0.0667</f>
        <v>6.67</v>
      </c>
      <c r="BN9" s="22">
        <f>100*0.911</f>
        <v>91.100000000000009</v>
      </c>
      <c r="BO9" s="22">
        <f>100*0.0861</f>
        <v>8.61</v>
      </c>
      <c r="BP9" s="22">
        <v>0</v>
      </c>
      <c r="BQ9" s="22">
        <f>100*0.0031</f>
        <v>0.31</v>
      </c>
      <c r="BR9" s="22">
        <f>100*0.952</f>
        <v>95.199999999999989</v>
      </c>
      <c r="BS9" s="22">
        <f>100*0.0023</f>
        <v>0.22999999999999998</v>
      </c>
      <c r="BT9" s="22">
        <f>100*0.00019</f>
        <v>1.9E-2</v>
      </c>
      <c r="BU9" s="22">
        <f>100*0.0457</f>
        <v>4.5699999999999994</v>
      </c>
      <c r="BV9" s="22">
        <f>100*0.00019</f>
        <v>1.9E-2</v>
      </c>
      <c r="BW9" s="22">
        <v>0</v>
      </c>
      <c r="BX9" s="22">
        <f>100*0.0023</f>
        <v>0.22999999999999998</v>
      </c>
      <c r="BY9" s="22">
        <f>100*0.998</f>
        <v>99.8</v>
      </c>
      <c r="BZ9" s="66">
        <f t="shared" si="1"/>
        <v>0.2040161876953025</v>
      </c>
      <c r="CA9" s="67">
        <v>976050</v>
      </c>
      <c r="CB9" s="67"/>
      <c r="CC9" s="57"/>
      <c r="CD9" s="57"/>
      <c r="CE9" s="57"/>
      <c r="CF9" s="57"/>
      <c r="CG9" s="57"/>
      <c r="CH9" s="57"/>
      <c r="CI9" s="57"/>
      <c r="CJ9" s="57"/>
      <c r="CK9" s="57"/>
      <c r="CL9" s="57"/>
      <c r="CM9" s="57"/>
      <c r="CN9" s="57"/>
      <c r="CO9" s="57"/>
      <c r="CP9" s="57"/>
      <c r="CQ9" s="57"/>
      <c r="CR9" s="57"/>
      <c r="CS9" s="57"/>
      <c r="CT9" s="57"/>
      <c r="CU9" s="57"/>
      <c r="CV9" s="22"/>
      <c r="CW9" s="22"/>
    </row>
    <row r="10" spans="1:101" s="275" customFormat="1">
      <c r="A10" s="293" t="s">
        <v>142</v>
      </c>
      <c r="B10" s="293" t="s">
        <v>108</v>
      </c>
      <c r="C10" s="293"/>
      <c r="D10" s="293" t="s">
        <v>98</v>
      </c>
      <c r="E10" s="294">
        <v>16873</v>
      </c>
      <c r="F10" s="294">
        <v>42114</v>
      </c>
      <c r="G10" s="294">
        <v>43222</v>
      </c>
      <c r="H10" s="294" t="s">
        <v>99</v>
      </c>
      <c r="I10" s="295">
        <v>72.139630390143736</v>
      </c>
      <c r="J10" s="295">
        <v>26349</v>
      </c>
      <c r="K10" s="295">
        <v>1108</v>
      </c>
      <c r="L10" s="296" t="s">
        <v>109</v>
      </c>
      <c r="M10" s="296" t="s">
        <v>109</v>
      </c>
      <c r="N10" s="297" t="s">
        <v>110</v>
      </c>
      <c r="O10" s="298"/>
      <c r="P10" s="298"/>
      <c r="Q10" s="299" t="s">
        <v>111</v>
      </c>
      <c r="R10" s="300" t="s">
        <v>143</v>
      </c>
      <c r="S10" s="301">
        <v>10</v>
      </c>
      <c r="T10" s="302">
        <v>1971.83</v>
      </c>
      <c r="U10" s="302">
        <v>83.41</v>
      </c>
      <c r="V10" s="303">
        <f t="shared" si="0"/>
        <v>1888.4199999999998</v>
      </c>
      <c r="W10" s="304" t="s">
        <v>104</v>
      </c>
      <c r="X10" s="305"/>
      <c r="Y10" s="306">
        <v>17100000</v>
      </c>
      <c r="Z10" s="305"/>
      <c r="AA10" s="307"/>
      <c r="AB10" s="308">
        <v>29500000</v>
      </c>
      <c r="AC10" s="293" t="s">
        <v>124</v>
      </c>
      <c r="AD10" s="293">
        <v>224132</v>
      </c>
      <c r="AE10" s="293">
        <v>299</v>
      </c>
      <c r="AF10" s="293">
        <f>100*0.0013</f>
        <v>0.13</v>
      </c>
      <c r="AG10" s="293">
        <f>100*0.1795</f>
        <v>17.95</v>
      </c>
      <c r="AH10" s="293">
        <v>1835</v>
      </c>
      <c r="AI10" s="293">
        <f>100*0.00845</f>
        <v>0.84499999999999997</v>
      </c>
      <c r="AJ10" s="293">
        <v>1002</v>
      </c>
      <c r="AK10" s="293">
        <f>100*0.0046</f>
        <v>0.45999999999999996</v>
      </c>
      <c r="AL10" s="293">
        <f>100*0.0011</f>
        <v>0.11</v>
      </c>
      <c r="AM10" s="293">
        <f>100*0.0011</f>
        <v>0.11</v>
      </c>
      <c r="AN10" s="293">
        <f>100*0.751</f>
        <v>75.099999999999994</v>
      </c>
      <c r="AO10" s="293">
        <v>5.0900000000000001E-2</v>
      </c>
      <c r="AP10" s="293">
        <v>64274</v>
      </c>
      <c r="AQ10" s="293">
        <v>7.3980000000000004E-2</v>
      </c>
      <c r="AR10" s="293">
        <v>0.107</v>
      </c>
      <c r="AS10" s="293">
        <v>9.1944999999999999E-2</v>
      </c>
      <c r="AT10" s="293">
        <v>0.50414999999999999</v>
      </c>
      <c r="AU10" s="293">
        <v>0.28999999999999998</v>
      </c>
      <c r="AV10" s="293">
        <v>7.9749399999999998E-2</v>
      </c>
      <c r="AW10" s="293">
        <v>7.7052850000000006E-2</v>
      </c>
      <c r="AX10" s="293">
        <v>0.52</v>
      </c>
      <c r="AY10" s="293">
        <v>0.315</v>
      </c>
      <c r="AZ10" s="293">
        <v>150981</v>
      </c>
      <c r="BA10" s="293">
        <v>6.6333799999999998E-2</v>
      </c>
      <c r="BB10" s="293">
        <v>0.6079</v>
      </c>
      <c r="BC10" s="293">
        <v>0.25441999999999998</v>
      </c>
      <c r="BD10" s="293">
        <v>8.6999999999999994E-3</v>
      </c>
      <c r="BE10" s="293">
        <v>0.112</v>
      </c>
      <c r="BF10" s="293">
        <v>0.67882000000000009</v>
      </c>
      <c r="BG10" s="293">
        <v>0.26592399999999999</v>
      </c>
      <c r="BH10" s="293">
        <v>8.1599999999999989E-3</v>
      </c>
      <c r="BI10" s="293">
        <v>4.7300000000000002E-2</v>
      </c>
      <c r="BJ10" s="293">
        <v>0.30130000000000001</v>
      </c>
      <c r="BK10" s="293">
        <v>0.27825</v>
      </c>
      <c r="BL10" s="293">
        <v>0.19500000000000001</v>
      </c>
      <c r="BM10" s="293">
        <v>0.186</v>
      </c>
      <c r="BN10" s="293">
        <v>0.311</v>
      </c>
      <c r="BO10" s="293">
        <v>0.21299999999999999</v>
      </c>
      <c r="BP10" s="293">
        <v>0.29499999999999998</v>
      </c>
      <c r="BQ10" s="293">
        <v>0.186</v>
      </c>
      <c r="BR10" s="293">
        <v>0.73339999999999994</v>
      </c>
      <c r="BS10" s="293">
        <v>0.10845</v>
      </c>
      <c r="BT10" s="293">
        <v>0.02</v>
      </c>
      <c r="BU10" s="293">
        <v>0.13300000000000001</v>
      </c>
      <c r="BV10" s="293">
        <v>0.114</v>
      </c>
      <c r="BW10" s="293">
        <v>1.9E-2</v>
      </c>
      <c r="BX10" s="293">
        <v>0.11</v>
      </c>
      <c r="BY10" s="293">
        <v>0.75700000000000001</v>
      </c>
      <c r="BZ10" s="309">
        <f t="shared" si="1"/>
        <v>0.25233099839458889</v>
      </c>
      <c r="CA10" s="310">
        <v>888246</v>
      </c>
      <c r="CB10" s="310"/>
      <c r="CC10" s="311"/>
      <c r="CD10" s="311"/>
      <c r="CE10" s="311"/>
      <c r="CF10" s="311"/>
      <c r="CG10" s="311"/>
      <c r="CH10" s="311"/>
      <c r="CI10" s="311"/>
      <c r="CJ10" s="311"/>
      <c r="CK10" s="311"/>
      <c r="CL10" s="311"/>
      <c r="CM10" s="311"/>
      <c r="CN10" s="311"/>
      <c r="CO10" s="311"/>
      <c r="CP10" s="311"/>
      <c r="CQ10" s="311"/>
      <c r="CR10" s="311"/>
      <c r="CS10" s="311"/>
      <c r="CT10" s="311"/>
      <c r="CU10" s="311"/>
      <c r="CV10" s="293"/>
      <c r="CW10" s="293"/>
    </row>
    <row r="11" spans="1:101" s="33" customFormat="1">
      <c r="A11" s="22" t="s">
        <v>144</v>
      </c>
      <c r="B11" s="22" t="s">
        <v>108</v>
      </c>
      <c r="C11" s="22"/>
      <c r="D11" s="22" t="s">
        <v>98</v>
      </c>
      <c r="E11" s="96">
        <v>16873</v>
      </c>
      <c r="F11" s="96">
        <v>42114</v>
      </c>
      <c r="G11" s="96">
        <v>43243</v>
      </c>
      <c r="H11" s="96" t="s">
        <v>99</v>
      </c>
      <c r="I11" s="23">
        <v>72.197125256673516</v>
      </c>
      <c r="J11" s="23">
        <v>26370</v>
      </c>
      <c r="K11" s="23">
        <v>1129</v>
      </c>
      <c r="L11" s="24" t="s">
        <v>109</v>
      </c>
      <c r="M11" s="24" t="s">
        <v>109</v>
      </c>
      <c r="N11" s="25" t="s">
        <v>110</v>
      </c>
      <c r="O11" s="26"/>
      <c r="P11" s="26"/>
      <c r="Q11" s="153" t="s">
        <v>111</v>
      </c>
      <c r="R11" s="27" t="s">
        <v>143</v>
      </c>
      <c r="S11" s="169">
        <v>10</v>
      </c>
      <c r="T11" s="170">
        <v>2047.5</v>
      </c>
      <c r="U11" s="170">
        <v>89.26</v>
      </c>
      <c r="V11" s="28">
        <f t="shared" si="0"/>
        <v>1958.24</v>
      </c>
      <c r="W11" s="186" t="s">
        <v>104</v>
      </c>
      <c r="X11" s="30"/>
      <c r="Y11" s="175">
        <v>11500000</v>
      </c>
      <c r="Z11" s="30"/>
      <c r="AA11" s="27"/>
      <c r="AB11" s="111">
        <v>29500000</v>
      </c>
      <c r="AC11" s="22" t="s">
        <v>145</v>
      </c>
      <c r="AD11" s="22">
        <v>1350000</v>
      </c>
      <c r="AE11" s="22">
        <v>3137</v>
      </c>
      <c r="AF11" s="22">
        <f>100*0.0026</f>
        <v>0.26</v>
      </c>
      <c r="AG11" s="22">
        <f>100*0.118</f>
        <v>11.799999999999999</v>
      </c>
      <c r="AH11" s="22">
        <v>2191</v>
      </c>
      <c r="AI11" s="22">
        <f>100*0.0018</f>
        <v>0.18</v>
      </c>
      <c r="AJ11" s="22">
        <v>4336</v>
      </c>
      <c r="AK11" s="22">
        <f>100*0.0037</f>
        <v>0.37</v>
      </c>
      <c r="AL11" s="22">
        <f>100*0.0187</f>
        <v>1.87</v>
      </c>
      <c r="AM11" s="22">
        <f>100*0.0157</f>
        <v>1.5699999999999998</v>
      </c>
      <c r="AN11" s="22">
        <f>100*0.735</f>
        <v>73.5</v>
      </c>
      <c r="AO11" s="22">
        <f>100*0.108</f>
        <v>10.8</v>
      </c>
      <c r="AP11" s="22">
        <v>347699</v>
      </c>
      <c r="AQ11" s="22">
        <f>100*0.0554</f>
        <v>5.54</v>
      </c>
      <c r="AR11" s="22">
        <f>100*0.0757</f>
        <v>7.57</v>
      </c>
      <c r="AS11" s="22">
        <f>100*0.0993</f>
        <v>9.93</v>
      </c>
      <c r="AT11" s="22">
        <f>100*0.534</f>
        <v>53.400000000000006</v>
      </c>
      <c r="AU11" s="22">
        <f>100*0.291</f>
        <v>29.099999999999998</v>
      </c>
      <c r="AV11" s="22">
        <f>100*0.0475</f>
        <v>4.75</v>
      </c>
      <c r="AW11" s="22">
        <f>100*0.087</f>
        <v>8.6999999999999993</v>
      </c>
      <c r="AX11" s="22">
        <f>100*0.556</f>
        <v>55.600000000000009</v>
      </c>
      <c r="AY11" s="22">
        <f>100*0.309</f>
        <v>30.9</v>
      </c>
      <c r="AZ11" s="22">
        <v>774000</v>
      </c>
      <c r="BA11" s="22">
        <f>100*0.0972</f>
        <v>9.7199999999999989</v>
      </c>
      <c r="BB11" s="22">
        <f>100*0.502</f>
        <v>50.2</v>
      </c>
      <c r="BC11" s="22">
        <f>100*0.367</f>
        <v>36.700000000000003</v>
      </c>
      <c r="BD11" s="22">
        <f>100*0.0175</f>
        <v>1.7500000000000002</v>
      </c>
      <c r="BE11" s="22">
        <f>100*0.114</f>
        <v>11.4</v>
      </c>
      <c r="BF11" s="22">
        <f>100*0.484</f>
        <v>48.4</v>
      </c>
      <c r="BG11" s="22">
        <f>100*0.365</f>
        <v>36.5</v>
      </c>
      <c r="BH11" s="22">
        <f>100*0.0192</f>
        <v>1.92</v>
      </c>
      <c r="BI11" s="22">
        <f>100*0.132</f>
        <v>13.200000000000001</v>
      </c>
      <c r="BJ11" s="22">
        <f>100*0.293</f>
        <v>29.299999999999997</v>
      </c>
      <c r="BK11" s="22">
        <f>100*0.409</f>
        <v>40.9</v>
      </c>
      <c r="BL11" s="22">
        <f>100*0.148</f>
        <v>14.799999999999999</v>
      </c>
      <c r="BM11" s="22">
        <f>100*0.151</f>
        <v>15.1</v>
      </c>
      <c r="BN11" s="22">
        <f>100*0.179</f>
        <v>17.899999999999999</v>
      </c>
      <c r="BO11" s="22">
        <f>100*0.151</f>
        <v>15.1</v>
      </c>
      <c r="BP11" s="22">
        <f>100*0.347</f>
        <v>34.699999999999996</v>
      </c>
      <c r="BQ11" s="22">
        <f>100*0.322</f>
        <v>32.200000000000003</v>
      </c>
      <c r="BR11" s="22">
        <f>100*0.64</f>
        <v>64</v>
      </c>
      <c r="BS11" s="22">
        <f>100*0.186</f>
        <v>18.600000000000001</v>
      </c>
      <c r="BT11" s="22">
        <f>100*0.042</f>
        <v>4.2</v>
      </c>
      <c r="BU11" s="22">
        <f>100*0.132</f>
        <v>13.200000000000001</v>
      </c>
      <c r="BV11" s="22">
        <f>100*0.0839</f>
        <v>8.39</v>
      </c>
      <c r="BW11" s="22">
        <f>100*0.0125</f>
        <v>1.25</v>
      </c>
      <c r="BX11" s="22">
        <f>100*0.216</f>
        <v>21.6</v>
      </c>
      <c r="BY11" s="22">
        <f>100*0.688</f>
        <v>68.8</v>
      </c>
      <c r="BZ11" s="66"/>
      <c r="CA11" s="67"/>
      <c r="CB11" s="67"/>
      <c r="CC11" s="57"/>
      <c r="CD11" s="57"/>
      <c r="CE11" s="57"/>
      <c r="CF11" s="57"/>
      <c r="CG11" s="57"/>
      <c r="CH11" s="57"/>
      <c r="CI11" s="57"/>
      <c r="CJ11" s="57"/>
      <c r="CK11" s="57"/>
      <c r="CL11" s="57"/>
      <c r="CM11" s="57"/>
      <c r="CN11" s="57"/>
      <c r="CO11" s="57"/>
      <c r="CP11" s="57"/>
      <c r="CQ11" s="57"/>
      <c r="CR11" s="57"/>
      <c r="CS11" s="57"/>
      <c r="CT11" s="57"/>
      <c r="CU11" s="57"/>
      <c r="CV11" s="22"/>
      <c r="CW11" s="22"/>
    </row>
    <row r="12" spans="1:101" s="33" customFormat="1" ht="12.6" customHeight="1">
      <c r="A12" s="22" t="s">
        <v>146</v>
      </c>
      <c r="B12" s="22" t="s">
        <v>108</v>
      </c>
      <c r="C12" s="22"/>
      <c r="D12" s="22" t="s">
        <v>98</v>
      </c>
      <c r="E12" s="59">
        <v>13862</v>
      </c>
      <c r="F12" s="59">
        <v>42191</v>
      </c>
      <c r="G12" s="59">
        <v>43180</v>
      </c>
      <c r="H12" s="59" t="s">
        <v>99</v>
      </c>
      <c r="I12" s="31">
        <f>(G12-E12)/365.25</f>
        <v>80.268309377138948</v>
      </c>
      <c r="J12" s="32">
        <f>G12-E12</f>
        <v>29318</v>
      </c>
      <c r="K12" s="32">
        <f>G12-F12</f>
        <v>989</v>
      </c>
      <c r="L12" s="32" t="s">
        <v>100</v>
      </c>
      <c r="M12" s="32" t="s">
        <v>109</v>
      </c>
      <c r="N12" s="25" t="s">
        <v>110</v>
      </c>
      <c r="O12" s="62">
        <v>0</v>
      </c>
      <c r="P12" s="62">
        <v>0</v>
      </c>
      <c r="Q12" s="59" t="s">
        <v>111</v>
      </c>
      <c r="R12" s="61" t="s">
        <v>112</v>
      </c>
      <c r="S12" s="62">
        <v>10</v>
      </c>
      <c r="T12" s="60">
        <v>2744.4</v>
      </c>
      <c r="U12" s="63">
        <v>88.6</v>
      </c>
      <c r="V12" s="28">
        <f t="shared" si="0"/>
        <v>2655.8</v>
      </c>
      <c r="W12" s="186" t="s">
        <v>104</v>
      </c>
      <c r="X12" s="143"/>
      <c r="Y12" s="64">
        <v>81600000</v>
      </c>
      <c r="Z12" s="143"/>
      <c r="AA12" s="61"/>
      <c r="AB12" s="64">
        <v>41500000</v>
      </c>
      <c r="AC12" s="22" t="s">
        <v>147</v>
      </c>
      <c r="AD12" s="22">
        <v>146524</v>
      </c>
      <c r="AE12" s="22">
        <v>1388</v>
      </c>
      <c r="AF12" s="22">
        <f>100*0.0095</f>
        <v>0.95</v>
      </c>
      <c r="AG12" s="22">
        <f>100*0.242</f>
        <v>24.2</v>
      </c>
      <c r="AH12" s="22">
        <v>252</v>
      </c>
      <c r="AI12" s="22">
        <f>100*0.00215</f>
        <v>0.215</v>
      </c>
      <c r="AJ12" s="22">
        <v>879</v>
      </c>
      <c r="AK12" s="22">
        <f>100*0.0076</f>
        <v>0.76</v>
      </c>
      <c r="AL12" s="22">
        <f>100*0.02565</f>
        <v>2.5649999999999999</v>
      </c>
      <c r="AM12" s="22">
        <f>100*0.0177</f>
        <v>1.77</v>
      </c>
      <c r="AN12" s="22">
        <f>100*0.651</f>
        <v>65.100000000000009</v>
      </c>
      <c r="AO12" s="22">
        <f>100*0.0133</f>
        <v>1.3299999999999998</v>
      </c>
      <c r="AP12" s="22">
        <v>13918</v>
      </c>
      <c r="AQ12" s="22">
        <f>100*0.2153</f>
        <v>21.529999999999998</v>
      </c>
      <c r="AR12" s="22">
        <f>100*0.155</f>
        <v>15.5</v>
      </c>
      <c r="AS12" s="22">
        <f>100*0.327</f>
        <v>32.700000000000003</v>
      </c>
      <c r="AT12" s="22">
        <f>100*0.4179507</f>
        <v>41.795070000000003</v>
      </c>
      <c r="AU12" s="22">
        <f>100*0.0704</f>
        <v>7.04</v>
      </c>
      <c r="AV12" s="22">
        <f>100*0.0940057</f>
        <v>9.4005700000000001</v>
      </c>
      <c r="AW12" s="22">
        <f>100*0.272765</f>
        <v>27.276499999999999</v>
      </c>
      <c r="AX12" s="22">
        <f>100*0.5069507</f>
        <v>50.695070000000001</v>
      </c>
      <c r="AY12" s="22">
        <f>100*0.145</f>
        <v>14.499999999999998</v>
      </c>
      <c r="AZ12" s="22">
        <v>78881</v>
      </c>
      <c r="BA12" s="22">
        <f>100*0.06368</f>
        <v>6.3680000000000003</v>
      </c>
      <c r="BB12" s="22">
        <f>100*0.3339741</f>
        <v>33.397410000000001</v>
      </c>
      <c r="BC12" s="22">
        <f>100*0.228991385</f>
        <v>22.899138499999999</v>
      </c>
      <c r="BD12" s="22">
        <f>100*0.0859</f>
        <v>8.59</v>
      </c>
      <c r="BE12" s="22">
        <f>100*0.351</f>
        <v>35.099999999999994</v>
      </c>
      <c r="BF12" s="22">
        <f>100*0.3178</f>
        <v>31.78</v>
      </c>
      <c r="BG12" s="22">
        <f>100*0.208982045</f>
        <v>20.898204500000002</v>
      </c>
      <c r="BH12" s="22">
        <f>100*0.0802</f>
        <v>8.02</v>
      </c>
      <c r="BI12" s="22">
        <f>100*0.304</f>
        <v>30.4</v>
      </c>
      <c r="BJ12" s="22">
        <f>100*0.0839</f>
        <v>8.39</v>
      </c>
      <c r="BK12" s="22">
        <f>100*0.05354</f>
        <v>5.3540000000000001</v>
      </c>
      <c r="BL12" s="22">
        <f>100*0.3558</f>
        <v>35.58</v>
      </c>
      <c r="BM12" s="22">
        <f>100*0.505</f>
        <v>50.5</v>
      </c>
      <c r="BN12" s="22">
        <f>100*0.0607</f>
        <v>6.0699999999999994</v>
      </c>
      <c r="BO12" s="22">
        <f>100*0.0166</f>
        <v>1.66</v>
      </c>
      <c r="BP12" s="22">
        <f>100*0.329</f>
        <v>32.9</v>
      </c>
      <c r="BQ12" s="22">
        <f>100*0.593</f>
        <v>59.3</v>
      </c>
      <c r="BR12" s="22">
        <f>100*0.457</f>
        <v>45.7</v>
      </c>
      <c r="BS12" s="22">
        <f>100*0.4</f>
        <v>40</v>
      </c>
      <c r="BT12" s="22">
        <f>100*0.0676</f>
        <v>6.76</v>
      </c>
      <c r="BU12" s="22">
        <f>100*0.0761</f>
        <v>7.61</v>
      </c>
      <c r="BV12" s="22">
        <f>100*0.225</f>
        <v>22.5</v>
      </c>
      <c r="BW12" s="22">
        <f>100*0.19345</f>
        <v>19.345000000000002</v>
      </c>
      <c r="BX12" s="22">
        <f>100*0.232</f>
        <v>23.200000000000003</v>
      </c>
      <c r="BY12" s="22">
        <f>100*0.349</f>
        <v>34.9</v>
      </c>
      <c r="BZ12" s="66">
        <f>AD12/CA12</f>
        <v>0.14652399999999999</v>
      </c>
      <c r="CA12" s="67">
        <v>1000000</v>
      </c>
      <c r="CB12" s="67"/>
      <c r="CC12" s="57"/>
      <c r="CD12" s="57"/>
      <c r="CE12" s="57"/>
      <c r="CF12" s="57"/>
      <c r="CG12" s="57"/>
      <c r="CH12" s="57"/>
      <c r="CI12" s="57"/>
      <c r="CJ12" s="57"/>
      <c r="CK12" s="57"/>
      <c r="CL12" s="57"/>
      <c r="CM12" s="57"/>
      <c r="CN12" s="57"/>
      <c r="CO12" s="57"/>
      <c r="CP12" s="57"/>
      <c r="CQ12" s="57"/>
      <c r="CR12" s="57"/>
      <c r="CS12" s="57"/>
      <c r="CT12" s="57"/>
      <c r="CU12" s="57"/>
      <c r="CV12" s="22"/>
      <c r="CW12" s="22"/>
    </row>
    <row r="13" spans="1:101" s="33" customFormat="1">
      <c r="A13" s="22" t="s">
        <v>148</v>
      </c>
      <c r="B13" s="22" t="s">
        <v>108</v>
      </c>
      <c r="C13" s="22"/>
      <c r="D13" s="22" t="s">
        <v>98</v>
      </c>
      <c r="E13" s="59">
        <v>13862</v>
      </c>
      <c r="F13" s="59">
        <v>42191</v>
      </c>
      <c r="G13" s="59">
        <v>43271</v>
      </c>
      <c r="H13" s="59" t="s">
        <v>99</v>
      </c>
      <c r="I13" s="31">
        <v>80.517453798767974</v>
      </c>
      <c r="J13" s="32">
        <v>29409</v>
      </c>
      <c r="K13" s="32">
        <v>1080</v>
      </c>
      <c r="L13" s="32" t="s">
        <v>100</v>
      </c>
      <c r="M13" s="32" t="s">
        <v>109</v>
      </c>
      <c r="N13" s="25" t="s">
        <v>110</v>
      </c>
      <c r="O13" s="62"/>
      <c r="P13" s="62"/>
      <c r="Q13" s="59" t="s">
        <v>111</v>
      </c>
      <c r="R13" s="61" t="s">
        <v>112</v>
      </c>
      <c r="S13" s="62">
        <v>10</v>
      </c>
      <c r="T13" s="60">
        <v>2568.0100000000002</v>
      </c>
      <c r="U13" s="63">
        <v>74.09</v>
      </c>
      <c r="V13" s="28">
        <f t="shared" si="0"/>
        <v>2493.92</v>
      </c>
      <c r="W13" s="186" t="s">
        <v>104</v>
      </c>
      <c r="X13" s="143"/>
      <c r="Y13" s="64">
        <v>107500000</v>
      </c>
      <c r="Z13" s="143"/>
      <c r="AA13" s="61"/>
      <c r="AB13" s="64">
        <v>12750000</v>
      </c>
      <c r="AC13" s="22" t="s">
        <v>149</v>
      </c>
      <c r="AD13" s="22">
        <v>889000</v>
      </c>
      <c r="AE13" s="22">
        <v>6220</v>
      </c>
      <c r="AF13" s="22">
        <f>100*0.0073</f>
        <v>0.73</v>
      </c>
      <c r="AG13" s="22">
        <f>100*0.8</f>
        <v>80</v>
      </c>
      <c r="AH13" s="22">
        <v>946</v>
      </c>
      <c r="AI13" s="22">
        <f>100*0.0011</f>
        <v>0.11</v>
      </c>
      <c r="AJ13" s="22">
        <v>6975</v>
      </c>
      <c r="AK13" s="22">
        <f>100*0.0082</f>
        <v>0.82000000000000006</v>
      </c>
      <c r="AL13" s="22">
        <f>100*0.16</f>
        <v>16</v>
      </c>
      <c r="AM13" s="22">
        <f>100*0.0794</f>
        <v>7.9399999999999995</v>
      </c>
      <c r="AN13" s="22">
        <f>100*0.747</f>
        <v>74.7</v>
      </c>
      <c r="AO13" s="22">
        <f>100*0.0116</f>
        <v>1.1599999999999999</v>
      </c>
      <c r="AP13" s="22">
        <v>105976</v>
      </c>
      <c r="AQ13" s="22">
        <f>100*0.132</f>
        <v>13.200000000000001</v>
      </c>
      <c r="AR13" s="22">
        <f>100*0.151</f>
        <v>15.1</v>
      </c>
      <c r="AS13" s="22">
        <f>100*0.228</f>
        <v>22.8</v>
      </c>
      <c r="AT13" s="22">
        <f>100*0.51</f>
        <v>51</v>
      </c>
      <c r="AU13" s="22">
        <f>100*0.111</f>
        <v>11.1</v>
      </c>
      <c r="AV13" s="22">
        <f>100*0.0966</f>
        <v>9.66</v>
      </c>
      <c r="AW13" s="22">
        <f>100*0.186</f>
        <v>18.600000000000001</v>
      </c>
      <c r="AX13" s="22">
        <f>100*0.585</f>
        <v>58.5</v>
      </c>
      <c r="AY13" s="22">
        <f>100*0.133</f>
        <v>13.3</v>
      </c>
      <c r="AZ13" s="22">
        <v>671000</v>
      </c>
      <c r="BA13" s="22">
        <f>100*0.263</f>
        <v>26.3</v>
      </c>
      <c r="BB13" s="22">
        <f>100*0.325</f>
        <v>32.5</v>
      </c>
      <c r="BC13" s="22">
        <f>100*0.281</f>
        <v>28.1</v>
      </c>
      <c r="BD13" s="22">
        <f>100*0.123</f>
        <v>12.3</v>
      </c>
      <c r="BE13" s="22">
        <f>100*0.271</f>
        <v>27.1</v>
      </c>
      <c r="BF13" s="22">
        <f>100*0.318</f>
        <v>31.8</v>
      </c>
      <c r="BG13" s="22">
        <f>100*0.279</f>
        <v>27.900000000000002</v>
      </c>
      <c r="BH13" s="22">
        <f>100*0.125</f>
        <v>12.5</v>
      </c>
      <c r="BI13" s="22">
        <f>100*0.278</f>
        <v>27.800000000000004</v>
      </c>
      <c r="BJ13" s="22">
        <f>100*0.231</f>
        <v>23.1</v>
      </c>
      <c r="BK13" s="22">
        <f>100*0.445</f>
        <v>44.5</v>
      </c>
      <c r="BL13" s="22">
        <f>100*0.359</f>
        <v>35.9</v>
      </c>
      <c r="BM13" s="22">
        <f>100*0.148</f>
        <v>14.799999999999999</v>
      </c>
      <c r="BN13" s="22">
        <f>100*0.0347</f>
        <v>3.47</v>
      </c>
      <c r="BO13" s="22">
        <f>100*0.0156</f>
        <v>1.5599999999999998</v>
      </c>
      <c r="BP13" s="22">
        <f>100*0.784</f>
        <v>78.400000000000006</v>
      </c>
      <c r="BQ13" s="22">
        <f>100*0.35</f>
        <v>35</v>
      </c>
      <c r="BR13" s="22">
        <f>100*0.564</f>
        <v>56.399999999999991</v>
      </c>
      <c r="BS13" s="22">
        <f>100*0.28</f>
        <v>28.000000000000004</v>
      </c>
      <c r="BT13" s="22">
        <f>100*0.0609</f>
        <v>6.09</v>
      </c>
      <c r="BU13" s="22">
        <f>100*0.0953</f>
        <v>9.5299999999999994</v>
      </c>
      <c r="BV13" s="22">
        <f>100*0.0875</f>
        <v>8.75</v>
      </c>
      <c r="BW13" s="22">
        <f>100*0.0333</f>
        <v>3.3300000000000005</v>
      </c>
      <c r="BX13" s="22">
        <f>100*0.314</f>
        <v>31.4</v>
      </c>
      <c r="BY13" s="22">
        <f>100*0.565</f>
        <v>56.499999999999993</v>
      </c>
      <c r="BZ13" s="66"/>
      <c r="CA13" s="67"/>
      <c r="CB13" s="67"/>
      <c r="CC13" s="57"/>
      <c r="CD13" s="57"/>
      <c r="CE13" s="57"/>
      <c r="CF13" s="57"/>
      <c r="CG13" s="57"/>
      <c r="CH13" s="57"/>
      <c r="CI13" s="57"/>
      <c r="CJ13" s="57"/>
      <c r="CK13" s="57"/>
      <c r="CL13" s="57"/>
      <c r="CM13" s="57"/>
      <c r="CN13" s="57"/>
      <c r="CO13" s="57"/>
      <c r="CP13" s="57"/>
      <c r="CQ13" s="57"/>
      <c r="CR13" s="57"/>
      <c r="CS13" s="57"/>
      <c r="CT13" s="57"/>
      <c r="CU13" s="57"/>
      <c r="CV13" s="22"/>
      <c r="CW13" s="22"/>
    </row>
    <row r="14" spans="1:101" s="33" customFormat="1">
      <c r="A14" s="22" t="s">
        <v>150</v>
      </c>
      <c r="B14" s="22" t="s">
        <v>108</v>
      </c>
      <c r="C14" s="22"/>
      <c r="D14" s="22" t="s">
        <v>98</v>
      </c>
      <c r="E14" s="59">
        <v>21486</v>
      </c>
      <c r="F14" s="59">
        <v>42233</v>
      </c>
      <c r="G14" s="59">
        <v>43222</v>
      </c>
      <c r="H14" s="59" t="s">
        <v>151</v>
      </c>
      <c r="I14" s="31">
        <v>59.509924709103352</v>
      </c>
      <c r="J14" s="32">
        <v>21736</v>
      </c>
      <c r="K14" s="32">
        <v>989</v>
      </c>
      <c r="L14" s="32" t="s">
        <v>100</v>
      </c>
      <c r="M14" s="32" t="s">
        <v>100</v>
      </c>
      <c r="N14" s="25">
        <v>42957</v>
      </c>
      <c r="O14" s="62"/>
      <c r="P14" s="62"/>
      <c r="Q14" s="59" t="s">
        <v>111</v>
      </c>
      <c r="R14" s="61" t="s">
        <v>143</v>
      </c>
      <c r="S14" s="62">
        <v>10</v>
      </c>
      <c r="T14" s="60">
        <v>2223.19</v>
      </c>
      <c r="U14" s="63">
        <v>86.24</v>
      </c>
      <c r="V14" s="28">
        <f t="shared" si="0"/>
        <v>2136.9500000000003</v>
      </c>
      <c r="W14" s="186" t="s">
        <v>104</v>
      </c>
      <c r="X14" s="143"/>
      <c r="Y14" s="64">
        <v>1000000</v>
      </c>
      <c r="Z14" s="143"/>
      <c r="AA14" s="61"/>
      <c r="AB14" s="64">
        <v>13950000</v>
      </c>
      <c r="AC14" s="65" t="s">
        <v>152</v>
      </c>
      <c r="AD14" s="22">
        <v>89349</v>
      </c>
      <c r="AE14" s="22">
        <v>507</v>
      </c>
      <c r="AF14" s="22">
        <f>100*0.0013</f>
        <v>0.13</v>
      </c>
      <c r="AG14" s="22">
        <f>100*0.2285</f>
        <v>22.85</v>
      </c>
      <c r="AH14" s="22">
        <v>163</v>
      </c>
      <c r="AI14" s="22">
        <f>100*0.00155</f>
        <v>0.155</v>
      </c>
      <c r="AJ14" s="22">
        <v>454</v>
      </c>
      <c r="AK14" s="22">
        <f>100*0.0062</f>
        <v>0.62</v>
      </c>
      <c r="AL14" s="22">
        <f>100*0.0021</f>
        <v>0.21</v>
      </c>
      <c r="AM14" s="22">
        <f>100*0.00385</f>
        <v>0.38500000000000001</v>
      </c>
      <c r="AN14" s="22">
        <f>100*0.802</f>
        <v>80.2</v>
      </c>
      <c r="AO14" s="22">
        <f>100*0.0507</f>
        <v>5.07</v>
      </c>
      <c r="AP14" s="22">
        <v>13364</v>
      </c>
      <c r="AQ14" s="22">
        <f>100*0.14038</f>
        <v>14.038</v>
      </c>
      <c r="AR14" s="22">
        <f>100*0.153</f>
        <v>15.299999999999999</v>
      </c>
      <c r="AS14" s="22">
        <f>100*0.594215</f>
        <v>59.421500000000002</v>
      </c>
      <c r="AT14" s="22">
        <f>100*0.2314</f>
        <v>23.14</v>
      </c>
      <c r="AU14" s="22">
        <f>100*0.0194</f>
        <v>1.94</v>
      </c>
      <c r="AV14" s="22">
        <f>100*0.1229355</f>
        <v>12.29355</v>
      </c>
      <c r="AW14" s="22">
        <f>100*0.46605</f>
        <v>46.605000000000004</v>
      </c>
      <c r="AX14" s="22">
        <f>100*0.3514</f>
        <v>35.14</v>
      </c>
      <c r="AY14" s="22">
        <f>100*0.0544</f>
        <v>5.4399999999999995</v>
      </c>
      <c r="AZ14" s="22">
        <v>68285</v>
      </c>
      <c r="BA14" s="22">
        <f>100*0.08377</f>
        <v>8.3769999999999989</v>
      </c>
      <c r="BB14" s="22">
        <f>100*0.45211</f>
        <v>45.210999999999999</v>
      </c>
      <c r="BC14" s="22">
        <f>100*0.493895</f>
        <v>49.389499999999998</v>
      </c>
      <c r="BD14" s="22">
        <f>100*0.0031854</f>
        <v>0.31853999999999999</v>
      </c>
      <c r="BE14" s="22">
        <f>100*0.0468</f>
        <v>4.68</v>
      </c>
      <c r="BF14" s="22">
        <f>100*0.43576</f>
        <v>43.576000000000001</v>
      </c>
      <c r="BG14" s="22">
        <f>100*0.48903</f>
        <v>48.902999999999999</v>
      </c>
      <c r="BH14" s="22">
        <f>100*0.00761</f>
        <v>0.76100000000000001</v>
      </c>
      <c r="BI14" s="22">
        <f>100*0.064</f>
        <v>6.4</v>
      </c>
      <c r="BJ14" s="22">
        <f>100*0.0532</f>
        <v>5.3199999999999994</v>
      </c>
      <c r="BK14" s="22">
        <f>100*0.75605</f>
        <v>75.605000000000004</v>
      </c>
      <c r="BL14" s="22">
        <f>100*0.0509</f>
        <v>5.09</v>
      </c>
      <c r="BM14" s="22">
        <f>100*0.009</f>
        <v>0.89999999999999991</v>
      </c>
      <c r="BN14" s="22">
        <f>100*0.0179</f>
        <v>1.79</v>
      </c>
      <c r="BO14" s="22">
        <f>100*0.1226</f>
        <v>12.26</v>
      </c>
      <c r="BP14" s="22">
        <f>100*0.7661</f>
        <v>76.61</v>
      </c>
      <c r="BQ14" s="22">
        <f>100*0.0645</f>
        <v>6.45</v>
      </c>
      <c r="BR14" s="22">
        <f>100*0.217</f>
        <v>21.7</v>
      </c>
      <c r="BS14" s="22">
        <f>100*0.681</f>
        <v>68.100000000000009</v>
      </c>
      <c r="BT14" s="22">
        <f>100*0.0805</f>
        <v>8.0500000000000007</v>
      </c>
      <c r="BU14" s="22">
        <f>100*0.0345</f>
        <v>3.45</v>
      </c>
      <c r="BV14" s="22">
        <f>100*0.0274</f>
        <v>2.74</v>
      </c>
      <c r="BW14" s="22">
        <f>100*0.108</f>
        <v>10.8</v>
      </c>
      <c r="BX14" s="22">
        <f>100*0.671</f>
        <v>67.100000000000009</v>
      </c>
      <c r="BY14" s="22">
        <f>100*0.146</f>
        <v>14.6</v>
      </c>
      <c r="BZ14" s="66">
        <f>AD14/CA14</f>
        <v>2.5868395993842472E-2</v>
      </c>
      <c r="CA14" s="67">
        <v>3453983</v>
      </c>
      <c r="CB14" s="67"/>
      <c r="CC14" s="22"/>
      <c r="CD14" s="22"/>
      <c r="CE14" s="22"/>
      <c r="CF14" s="22"/>
      <c r="CG14" s="22"/>
      <c r="CH14" s="22"/>
      <c r="CI14" s="22"/>
      <c r="CJ14" s="22"/>
      <c r="CK14" s="22"/>
      <c r="CL14" s="22"/>
      <c r="CM14" s="22"/>
      <c r="CN14" s="22"/>
      <c r="CO14" s="22"/>
      <c r="CP14" s="22"/>
      <c r="CQ14" s="22"/>
      <c r="CR14" s="22"/>
      <c r="CS14" s="22"/>
      <c r="CT14" s="22"/>
      <c r="CU14" s="22"/>
      <c r="CV14" s="22"/>
      <c r="CW14" s="22"/>
    </row>
    <row r="15" spans="1:101" s="33" customFormat="1">
      <c r="A15" s="22" t="s">
        <v>153</v>
      </c>
      <c r="B15" s="22" t="s">
        <v>154</v>
      </c>
      <c r="C15" s="22"/>
      <c r="D15" s="22" t="s">
        <v>98</v>
      </c>
      <c r="E15" s="109">
        <v>21486</v>
      </c>
      <c r="F15" s="109">
        <v>42233</v>
      </c>
      <c r="G15" s="109">
        <v>43425</v>
      </c>
      <c r="H15" s="59" t="s">
        <v>151</v>
      </c>
      <c r="I15" s="31">
        <v>60.06570841889117</v>
      </c>
      <c r="J15" s="32">
        <v>21939</v>
      </c>
      <c r="K15" s="32">
        <v>1192</v>
      </c>
      <c r="L15" s="32" t="s">
        <v>100</v>
      </c>
      <c r="M15" s="32" t="s">
        <v>100</v>
      </c>
      <c r="N15" s="147">
        <v>42957</v>
      </c>
      <c r="O15" s="22"/>
      <c r="P15" s="112" t="s">
        <v>155</v>
      </c>
      <c r="Q15" s="109" t="s">
        <v>111</v>
      </c>
      <c r="R15" s="110" t="s">
        <v>112</v>
      </c>
      <c r="S15" s="62">
        <v>10</v>
      </c>
      <c r="T15" s="113">
        <v>2189.1</v>
      </c>
      <c r="U15" s="114">
        <v>83.89</v>
      </c>
      <c r="V15" s="28">
        <f t="shared" si="0"/>
        <v>2105.21</v>
      </c>
      <c r="W15" s="186" t="s">
        <v>104</v>
      </c>
      <c r="X15" s="143"/>
      <c r="Y15" s="111">
        <v>8700000</v>
      </c>
      <c r="Z15" s="143"/>
      <c r="AA15" s="61"/>
      <c r="AB15" s="111">
        <v>15900000</v>
      </c>
      <c r="AC15" s="65" t="s">
        <v>156</v>
      </c>
      <c r="AD15" s="22">
        <v>273359</v>
      </c>
      <c r="AE15" s="22">
        <v>2513</v>
      </c>
      <c r="AF15" s="22">
        <f>100*0.0085</f>
        <v>0.85000000000000009</v>
      </c>
      <c r="AG15" s="22">
        <f>100*0.3008</f>
        <v>30.080000000000002</v>
      </c>
      <c r="AH15" s="22">
        <v>46</v>
      </c>
      <c r="AI15" s="22">
        <f>100*0.000215</f>
        <v>2.1499999999999998E-2</v>
      </c>
      <c r="AJ15" s="22">
        <v>1182</v>
      </c>
      <c r="AK15" s="22">
        <f>100*0.0038</f>
        <v>0.38</v>
      </c>
      <c r="AL15" s="22">
        <f>100*0.1458</f>
        <v>14.580000000000002</v>
      </c>
      <c r="AM15" s="22">
        <f>100*0.03443</f>
        <v>3.4430000000000001</v>
      </c>
      <c r="AN15" s="22">
        <f>100*0.807</f>
        <v>80.7</v>
      </c>
      <c r="AO15" s="22">
        <f>100*0.0288</f>
        <v>2.88</v>
      </c>
      <c r="AP15" s="22">
        <f>100*66428</f>
        <v>6642800</v>
      </c>
      <c r="AQ15" s="22">
        <f>100*0.0616248</f>
        <v>6.1624800000000004</v>
      </c>
      <c r="AR15" s="22">
        <f>100*0.2129096</f>
        <v>21.290960000000002</v>
      </c>
      <c r="AS15" s="22">
        <f>100*0.44795985</f>
        <v>44.795985000000002</v>
      </c>
      <c r="AT15" s="22">
        <f>100*0.3069824</f>
        <v>30.698239999999998</v>
      </c>
      <c r="AU15" s="22">
        <f>100*0.031</f>
        <v>3.1</v>
      </c>
      <c r="AV15" s="22">
        <f>100*0.1419507</f>
        <v>14.195070000000001</v>
      </c>
      <c r="AW15" s="22">
        <f>100*0.38991</f>
        <v>38.991</v>
      </c>
      <c r="AX15" s="22">
        <f>100*0.3699473</f>
        <v>36.994729999999997</v>
      </c>
      <c r="AY15" s="22">
        <f>100*0.0757</f>
        <v>7.57</v>
      </c>
      <c r="AZ15" s="22">
        <v>180218</v>
      </c>
      <c r="BA15" s="22">
        <f>100*0.023085</f>
        <v>2.3085</v>
      </c>
      <c r="BB15" s="22">
        <f>100*0.55177</f>
        <v>55.177</v>
      </c>
      <c r="BC15" s="22">
        <f>100*0.40292095</f>
        <v>40.292095000000003</v>
      </c>
      <c r="BD15" s="22">
        <f>100*0.00149315</f>
        <v>0.149315</v>
      </c>
      <c r="BE15" s="22">
        <f>100*0.0493</f>
        <v>4.93</v>
      </c>
      <c r="BF15" s="22">
        <f>100*0.45922</f>
        <v>45.922000000000004</v>
      </c>
      <c r="BG15" s="22">
        <f>100*0.38060945</f>
        <v>38.060945000000004</v>
      </c>
      <c r="BH15" s="22">
        <f>100*0.0052589</f>
        <v>0.52589000000000008</v>
      </c>
      <c r="BI15" s="22">
        <f>100*0.121</f>
        <v>12.1</v>
      </c>
      <c r="BJ15" s="22">
        <f>100*0.19</f>
        <v>19</v>
      </c>
      <c r="BK15" s="22">
        <f>100*0.30585</f>
        <v>30.585000000000001</v>
      </c>
      <c r="BL15" s="22">
        <f>100*0.3554</f>
        <v>35.54</v>
      </c>
      <c r="BM15" s="22">
        <f>100*0.11</f>
        <v>11</v>
      </c>
      <c r="BN15" s="22">
        <f>100*0.06225</f>
        <v>6.2249999999999996</v>
      </c>
      <c r="BO15" s="22">
        <f>100*0.09755</f>
        <v>9.754999999999999</v>
      </c>
      <c r="BP15" s="22">
        <f>100*0.599</f>
        <v>59.9</v>
      </c>
      <c r="BQ15" s="22">
        <f>100*0.227</f>
        <v>22.7</v>
      </c>
      <c r="BR15" s="22">
        <f>100*0.651</f>
        <v>65.100000000000009</v>
      </c>
      <c r="BS15" s="22">
        <f>100*0.0305</f>
        <v>3.05</v>
      </c>
      <c r="BT15" s="22">
        <f>100*0.0148</f>
        <v>1.48</v>
      </c>
      <c r="BU15" s="22">
        <f>100*0.257</f>
        <v>25.7</v>
      </c>
      <c r="BV15" s="22">
        <f>100*0.0754</f>
        <v>7.5399999999999991</v>
      </c>
      <c r="BW15" s="22">
        <f>100*0.0041</f>
        <v>0.41000000000000003</v>
      </c>
      <c r="BX15" s="22">
        <f>100*0.0461</f>
        <v>4.6100000000000003</v>
      </c>
      <c r="BY15" s="22">
        <f>100*0.875</f>
        <v>87.5</v>
      </c>
      <c r="BZ15" s="66"/>
      <c r="CA15" s="67"/>
      <c r="CB15" s="67"/>
      <c r="CC15" s="22"/>
      <c r="CD15" s="22"/>
      <c r="CE15" s="22"/>
      <c r="CF15" s="22"/>
      <c r="CG15" s="22"/>
      <c r="CH15" s="22"/>
      <c r="CI15" s="22"/>
      <c r="CJ15" s="22"/>
      <c r="CK15" s="22"/>
      <c r="CL15" s="22"/>
      <c r="CM15" s="22"/>
      <c r="CN15" s="22"/>
      <c r="CO15" s="22"/>
      <c r="CP15" s="22"/>
      <c r="CQ15" s="22"/>
      <c r="CR15" s="22"/>
      <c r="CS15" s="22"/>
      <c r="CT15" s="22"/>
      <c r="CU15" s="22"/>
      <c r="CV15" s="22"/>
      <c r="CW15" s="22"/>
    </row>
    <row r="16" spans="1:101" s="33" customFormat="1">
      <c r="A16" s="22" t="s">
        <v>157</v>
      </c>
      <c r="B16" s="22" t="s">
        <v>108</v>
      </c>
      <c r="C16" s="22"/>
      <c r="D16" s="22" t="s">
        <v>98</v>
      </c>
      <c r="E16" s="59">
        <v>28187</v>
      </c>
      <c r="F16" s="59">
        <v>42338</v>
      </c>
      <c r="G16" s="59">
        <v>43131</v>
      </c>
      <c r="H16" s="59" t="s">
        <v>151</v>
      </c>
      <c r="I16" s="31">
        <f>(G16-E16)/365.25</f>
        <v>40.91444216290212</v>
      </c>
      <c r="J16" s="32">
        <f>G16-E16</f>
        <v>14944</v>
      </c>
      <c r="K16" s="32">
        <f>G16-F16</f>
        <v>793</v>
      </c>
      <c r="L16" s="32" t="s">
        <v>100</v>
      </c>
      <c r="M16" s="32" t="s">
        <v>100</v>
      </c>
      <c r="N16" s="25">
        <v>39299</v>
      </c>
      <c r="O16" s="62">
        <v>0</v>
      </c>
      <c r="P16" s="62">
        <v>0</v>
      </c>
      <c r="Q16" s="59" t="s">
        <v>111</v>
      </c>
      <c r="R16" s="61" t="s">
        <v>112</v>
      </c>
      <c r="S16" s="62">
        <v>10</v>
      </c>
      <c r="T16" s="60">
        <v>2121.9899999999998</v>
      </c>
      <c r="U16" s="63">
        <v>82.19</v>
      </c>
      <c r="V16" s="28">
        <f t="shared" si="0"/>
        <v>2039.7999999999997</v>
      </c>
      <c r="W16" s="186" t="s">
        <v>104</v>
      </c>
      <c r="X16" s="143"/>
      <c r="Y16" s="64">
        <v>18000000</v>
      </c>
      <c r="Z16" s="143"/>
      <c r="AA16" s="61"/>
      <c r="AB16" s="64">
        <v>3600000</v>
      </c>
      <c r="AC16" s="22" t="s">
        <v>158</v>
      </c>
      <c r="AD16" s="22">
        <v>328006</v>
      </c>
      <c r="AE16" s="22">
        <v>560</v>
      </c>
      <c r="AF16" s="22">
        <f>100*0.0017</f>
        <v>0.16999999999999998</v>
      </c>
      <c r="AG16" s="22">
        <f>100*0.2216</f>
        <v>22.16</v>
      </c>
      <c r="AH16" s="22">
        <v>58</v>
      </c>
      <c r="AI16" s="22">
        <f>100*0.00014</f>
        <v>1.3999999999999999E-2</v>
      </c>
      <c r="AJ16" s="22">
        <v>211</v>
      </c>
      <c r="AK16" s="22">
        <f>100*0.00065</f>
        <v>6.5000000000000002E-2</v>
      </c>
      <c r="AL16" s="22">
        <f>100*0.03825</f>
        <v>3.8249999999999997</v>
      </c>
      <c r="AM16" s="22">
        <f>100*0.0105</f>
        <v>1.05</v>
      </c>
      <c r="AN16" s="22">
        <f>100*0.716</f>
        <v>71.599999999999994</v>
      </c>
      <c r="AO16" s="22">
        <f>100*0.14</f>
        <v>14.000000000000002</v>
      </c>
      <c r="AP16" s="22">
        <v>104097</v>
      </c>
      <c r="AQ16" s="22">
        <f>100*0.0408197</f>
        <v>4.0819700000000001</v>
      </c>
      <c r="AR16" s="22">
        <f>100*0.0478</f>
        <v>4.78</v>
      </c>
      <c r="AS16" s="22">
        <f>100*0.15099335</f>
        <v>15.099335</v>
      </c>
      <c r="AT16" s="22">
        <f>100*0.51499283</f>
        <v>51.499282999999998</v>
      </c>
      <c r="AU16" s="22">
        <f>100*0.285</f>
        <v>28.499999999999996</v>
      </c>
      <c r="AV16" s="22">
        <f>100*0.01967</f>
        <v>1.9670000000000001</v>
      </c>
      <c r="AW16" s="22">
        <f>100*0.121096415</f>
        <v>12.1096415</v>
      </c>
      <c r="AX16" s="22">
        <f>100*0.6279857</f>
        <v>62.798569999999998</v>
      </c>
      <c r="AY16" s="22">
        <f>100*0.23</f>
        <v>23</v>
      </c>
      <c r="AZ16" s="22">
        <v>107830</v>
      </c>
      <c r="BA16" s="22">
        <f>100*0.0449309</f>
        <v>4.4930900000000005</v>
      </c>
      <c r="BB16" s="22">
        <f>100*0.39</f>
        <v>39</v>
      </c>
      <c r="BC16" s="22">
        <f>100*0.4619605</f>
        <v>46.19605</v>
      </c>
      <c r="BD16" s="22">
        <f>100*0.0614</f>
        <v>6.1400000000000006</v>
      </c>
      <c r="BE16" s="22">
        <f>100*0.0844</f>
        <v>8.44</v>
      </c>
      <c r="BF16" s="22">
        <f>100*0.25733</f>
        <v>25.733000000000001</v>
      </c>
      <c r="BG16" s="22">
        <f>100*0.43364815</f>
        <v>43.364815</v>
      </c>
      <c r="BH16" s="22">
        <f>100*0.0821782</f>
        <v>8.2178200000000015</v>
      </c>
      <c r="BI16" s="22">
        <f>100*0.224</f>
        <v>22.400000000000002</v>
      </c>
      <c r="BJ16" s="22">
        <f>100*0.214</f>
        <v>21.4</v>
      </c>
      <c r="BK16" s="22">
        <f>100*0.2917</f>
        <v>29.17</v>
      </c>
      <c r="BL16" s="22">
        <f>100*0.3052</f>
        <v>30.520000000000003</v>
      </c>
      <c r="BM16" s="22">
        <f>100*0.184</f>
        <v>18.399999999999999</v>
      </c>
      <c r="BN16" s="22">
        <f>100*0.129</f>
        <v>12.9</v>
      </c>
      <c r="BO16" s="22">
        <f>100*0.18755</f>
        <v>18.754999999999999</v>
      </c>
      <c r="BP16" s="22">
        <f>100*0.354</f>
        <v>35.4</v>
      </c>
      <c r="BQ16" s="22">
        <f>100*0.283</f>
        <v>28.299999999999997</v>
      </c>
      <c r="BR16" s="22">
        <f>100*0.195</f>
        <v>19.5</v>
      </c>
      <c r="BS16" s="22">
        <f>100*0.558</f>
        <v>55.800000000000004</v>
      </c>
      <c r="BT16" s="22">
        <f>100*0.172</f>
        <v>17.2</v>
      </c>
      <c r="BU16" s="22">
        <f>100*0.0465</f>
        <v>4.6500000000000004</v>
      </c>
      <c r="BV16" s="22">
        <f>100*0.0823</f>
        <v>8.23</v>
      </c>
      <c r="BW16" s="22">
        <f>100*0.13235</f>
        <v>13.234999999999999</v>
      </c>
      <c r="BX16" s="22">
        <f>100*0.661</f>
        <v>66.100000000000009</v>
      </c>
      <c r="BY16" s="22">
        <f>100*0.186</f>
        <v>18.600000000000001</v>
      </c>
      <c r="BZ16" s="115" t="e">
        <f>AD16/CA16</f>
        <v>#DIV/0!</v>
      </c>
      <c r="CA16" s="67"/>
      <c r="CB16" s="67"/>
      <c r="CC16" s="22"/>
      <c r="CD16" s="22"/>
      <c r="CE16" s="22"/>
      <c r="CF16" s="22"/>
      <c r="CG16" s="22"/>
      <c r="CH16" s="22"/>
      <c r="CI16" s="22"/>
      <c r="CJ16" s="22"/>
      <c r="CK16" s="22"/>
      <c r="CL16" s="22"/>
      <c r="CM16" s="22"/>
      <c r="CN16" s="22"/>
      <c r="CO16" s="22"/>
      <c r="CP16" s="22"/>
      <c r="CQ16" s="22"/>
      <c r="CR16" s="22"/>
      <c r="CS16" s="22"/>
      <c r="CT16" s="22"/>
      <c r="CU16" s="22"/>
      <c r="CV16" s="22"/>
      <c r="CW16" s="22"/>
    </row>
    <row r="17" spans="1:101" s="33" customFormat="1">
      <c r="A17" s="22" t="s">
        <v>159</v>
      </c>
      <c r="B17" s="22" t="s">
        <v>108</v>
      </c>
      <c r="C17" s="22"/>
      <c r="D17" s="22" t="s">
        <v>98</v>
      </c>
      <c r="E17" s="59">
        <v>28187</v>
      </c>
      <c r="F17" s="59">
        <v>42338</v>
      </c>
      <c r="G17" s="59">
        <v>43313</v>
      </c>
      <c r="H17" s="59" t="s">
        <v>151</v>
      </c>
      <c r="I17" s="31">
        <v>41.412731006160165</v>
      </c>
      <c r="J17" s="32">
        <v>15126</v>
      </c>
      <c r="K17" s="32">
        <v>975</v>
      </c>
      <c r="L17" s="32" t="s">
        <v>100</v>
      </c>
      <c r="M17" s="32" t="s">
        <v>100</v>
      </c>
      <c r="N17" s="25">
        <v>39299</v>
      </c>
      <c r="O17" s="62"/>
      <c r="P17" s="62"/>
      <c r="Q17" s="59" t="s">
        <v>111</v>
      </c>
      <c r="R17" s="61" t="s">
        <v>112</v>
      </c>
      <c r="S17" s="62">
        <v>10</v>
      </c>
      <c r="T17" s="60">
        <v>2470.34</v>
      </c>
      <c r="U17" s="63">
        <v>81.22</v>
      </c>
      <c r="V17" s="28">
        <f t="shared" si="0"/>
        <v>2389.1200000000003</v>
      </c>
      <c r="W17" s="186" t="s">
        <v>104</v>
      </c>
      <c r="X17" s="143"/>
      <c r="Y17" s="64">
        <v>16330000</v>
      </c>
      <c r="Z17" s="143"/>
      <c r="AA17" s="61"/>
      <c r="AB17" s="64">
        <v>11500000</v>
      </c>
      <c r="AC17" s="22" t="s">
        <v>160</v>
      </c>
      <c r="AD17" s="22">
        <v>1190000</v>
      </c>
      <c r="AE17" s="22">
        <v>3492</v>
      </c>
      <c r="AF17" s="22">
        <f>100*0.003</f>
        <v>0.3</v>
      </c>
      <c r="AG17" s="22">
        <f>100*0.213</f>
        <v>21.3</v>
      </c>
      <c r="AH17" s="22">
        <v>59</v>
      </c>
      <c r="AI17" s="22">
        <f>100*0.00005</f>
        <v>5.0000000000000001E-3</v>
      </c>
      <c r="AJ17" s="22">
        <v>2941</v>
      </c>
      <c r="AK17" s="22">
        <f>100*0.0025</f>
        <v>0.25</v>
      </c>
      <c r="AL17" s="22">
        <f>100*0.0258</f>
        <v>2.58</v>
      </c>
      <c r="AM17" s="22">
        <f>100*0.016</f>
        <v>1.6</v>
      </c>
      <c r="AN17" s="22">
        <f>100*0.809</f>
        <v>80.900000000000006</v>
      </c>
      <c r="AO17" s="22">
        <f>100*0.0524</f>
        <v>5.24</v>
      </c>
      <c r="AP17" s="22">
        <v>469000</v>
      </c>
      <c r="AQ17" s="22">
        <f>100*0.0523</f>
        <v>5.2299999999999995</v>
      </c>
      <c r="AR17" s="22">
        <f>100*0.0864</f>
        <v>8.64</v>
      </c>
      <c r="AS17" s="22">
        <f>100*0.296</f>
        <v>29.599999999999998</v>
      </c>
      <c r="AT17" s="22">
        <f>100*0.473</f>
        <v>47.3</v>
      </c>
      <c r="AU17" s="22">
        <f>100*0.145</f>
        <v>14.499999999999998</v>
      </c>
      <c r="AV17" s="22">
        <f>100*0.0419</f>
        <v>4.1900000000000004</v>
      </c>
      <c r="AW17" s="22">
        <f>100*0.187</f>
        <v>18.7</v>
      </c>
      <c r="AX17" s="22">
        <f>100*0.582</f>
        <v>58.199999999999996</v>
      </c>
      <c r="AY17" s="22">
        <f>100*0.189</f>
        <v>18.899999999999999</v>
      </c>
      <c r="AZ17" s="22">
        <v>664000</v>
      </c>
      <c r="BA17" s="22">
        <f>100*0.0708</f>
        <v>7.08</v>
      </c>
      <c r="BB17" s="22">
        <f>100*0.535</f>
        <v>53.5</v>
      </c>
      <c r="BC17" s="22">
        <f>100*0.361</f>
        <v>36.1</v>
      </c>
      <c r="BD17" s="22">
        <f>100*0.0283</f>
        <v>2.83</v>
      </c>
      <c r="BE17" s="22">
        <f>100*0.0758</f>
        <v>7.580000000000001</v>
      </c>
      <c r="BF17" s="22">
        <f>100*0.498</f>
        <v>49.8</v>
      </c>
      <c r="BG17" s="22">
        <f>100*0.357</f>
        <v>35.699999999999996</v>
      </c>
      <c r="BH17" s="22">
        <f>100*0.0338</f>
        <v>3.38</v>
      </c>
      <c r="BI17" s="22">
        <f>100*0.111</f>
        <v>11.1</v>
      </c>
      <c r="BJ17" s="22">
        <f>100*0.327</f>
        <v>32.700000000000003</v>
      </c>
      <c r="BK17" s="22">
        <f>100*0.493</f>
        <v>49.3</v>
      </c>
      <c r="BL17" s="22">
        <f>100*0.148</f>
        <v>14.799999999999999</v>
      </c>
      <c r="BM17" s="22">
        <f>100*0.0312</f>
        <v>3.1199999999999997</v>
      </c>
      <c r="BN17" s="22">
        <f>100*0.172</f>
        <v>17.2</v>
      </c>
      <c r="BO17" s="22">
        <f>100*0.316</f>
        <v>31.6</v>
      </c>
      <c r="BP17" s="22">
        <f>100*0.357</f>
        <v>35.699999999999996</v>
      </c>
      <c r="BQ17" s="22">
        <f>100*0.155</f>
        <v>15.5</v>
      </c>
      <c r="BR17" s="22">
        <f>100*0.616</f>
        <v>61.6</v>
      </c>
      <c r="BS17" s="22">
        <f>100*0.201</f>
        <v>20.100000000000001</v>
      </c>
      <c r="BT17" s="22">
        <f>100*0.0456</f>
        <v>4.5600000000000005</v>
      </c>
      <c r="BU17" s="22">
        <f>100*0.137</f>
        <v>13.700000000000001</v>
      </c>
      <c r="BV17" s="22">
        <f>100*0.0466</f>
        <v>4.66</v>
      </c>
      <c r="BW17" s="22">
        <f>100*0.0099</f>
        <v>0.9900000000000001</v>
      </c>
      <c r="BX17" s="22">
        <f>100*0.237</f>
        <v>23.7</v>
      </c>
      <c r="BY17" s="22">
        <f>100*0.707</f>
        <v>70.7</v>
      </c>
      <c r="BZ17" s="115">
        <v>0.14699999999999999</v>
      </c>
      <c r="CA17" s="67"/>
      <c r="CB17" s="67"/>
      <c r="CC17" s="22"/>
      <c r="CD17" s="22"/>
      <c r="CE17" s="22"/>
      <c r="CF17" s="22"/>
      <c r="CG17" s="22"/>
      <c r="CH17" s="22"/>
      <c r="CI17" s="22"/>
      <c r="CJ17" s="22"/>
      <c r="CK17" s="22"/>
      <c r="CL17" s="22"/>
      <c r="CM17" s="22"/>
      <c r="CN17" s="22"/>
      <c r="CO17" s="22"/>
      <c r="CP17" s="22"/>
      <c r="CQ17" s="22"/>
      <c r="CR17" s="22"/>
      <c r="CS17" s="22"/>
      <c r="CT17" s="22"/>
      <c r="CU17" s="22"/>
      <c r="CV17" s="22"/>
      <c r="CW17" s="22"/>
    </row>
    <row r="18" spans="1:101" s="33" customFormat="1">
      <c r="A18" s="33" t="s">
        <v>161</v>
      </c>
      <c r="B18" s="33" t="s">
        <v>97</v>
      </c>
      <c r="D18" s="33" t="s">
        <v>98</v>
      </c>
      <c r="E18" s="94">
        <v>26622</v>
      </c>
      <c r="F18" s="94">
        <v>42430</v>
      </c>
      <c r="G18" s="94">
        <v>42997</v>
      </c>
      <c r="H18" s="94" t="s">
        <v>99</v>
      </c>
      <c r="I18" s="45">
        <f>(G18-E18)/365.25</f>
        <v>44.832306639288156</v>
      </c>
      <c r="J18" s="34">
        <f>G18-E18</f>
        <v>16375</v>
      </c>
      <c r="K18" s="34">
        <f>G18-F18</f>
        <v>567</v>
      </c>
      <c r="L18" s="35" t="s">
        <v>109</v>
      </c>
      <c r="M18" s="35" t="s">
        <v>109</v>
      </c>
      <c r="N18" s="36" t="s">
        <v>162</v>
      </c>
      <c r="O18" s="40"/>
      <c r="P18" s="40"/>
      <c r="Q18" s="151" t="s">
        <v>163</v>
      </c>
      <c r="R18" s="37" t="s">
        <v>102</v>
      </c>
      <c r="S18" s="167" t="s">
        <v>164</v>
      </c>
      <c r="T18" s="168">
        <v>194</v>
      </c>
      <c r="U18" s="168">
        <v>92.6</v>
      </c>
      <c r="V18" s="38">
        <f t="shared" si="0"/>
        <v>101.4</v>
      </c>
      <c r="W18" s="185" t="s">
        <v>104</v>
      </c>
      <c r="X18" s="39">
        <v>61400000</v>
      </c>
      <c r="Y18" s="173">
        <f>X18*V18</f>
        <v>6225960000</v>
      </c>
      <c r="Z18" s="39">
        <v>122800000</v>
      </c>
      <c r="AA18" s="37" t="s">
        <v>165</v>
      </c>
      <c r="AB18" s="172">
        <v>16400000</v>
      </c>
      <c r="AC18" s="33" t="s">
        <v>166</v>
      </c>
      <c r="AD18" s="33">
        <v>51899</v>
      </c>
      <c r="AE18" s="33">
        <v>1319</v>
      </c>
      <c r="AF18" s="33">
        <v>2.5600000000000001E-2</v>
      </c>
      <c r="AG18" s="33">
        <v>0</v>
      </c>
      <c r="AH18" s="33">
        <v>0</v>
      </c>
      <c r="AI18" s="33">
        <v>0</v>
      </c>
      <c r="AJ18" s="33">
        <v>639</v>
      </c>
      <c r="AK18" s="33">
        <v>1.2699999999999999E-2</v>
      </c>
      <c r="AL18" s="33">
        <v>0</v>
      </c>
      <c r="AM18" s="33">
        <v>0</v>
      </c>
      <c r="AN18" s="33">
        <v>0</v>
      </c>
      <c r="AO18" s="33">
        <v>0</v>
      </c>
      <c r="AP18" s="33">
        <v>0</v>
      </c>
      <c r="AQ18" s="33">
        <v>0</v>
      </c>
      <c r="AR18" s="33">
        <v>0</v>
      </c>
      <c r="AS18" s="33">
        <v>0</v>
      </c>
      <c r="AT18" s="33">
        <v>0</v>
      </c>
      <c r="AU18" s="33">
        <v>0</v>
      </c>
      <c r="AV18" s="33">
        <v>0</v>
      </c>
      <c r="AW18" s="33">
        <v>0</v>
      </c>
      <c r="AX18" s="33">
        <v>0</v>
      </c>
      <c r="AY18" s="33">
        <v>0</v>
      </c>
      <c r="AZ18" s="33">
        <v>3</v>
      </c>
      <c r="BA18" s="33">
        <v>0</v>
      </c>
      <c r="BB18" s="33">
        <v>0</v>
      </c>
      <c r="BC18" s="33">
        <v>0.33300000000000002</v>
      </c>
      <c r="BD18" s="33">
        <v>0.66700000000000004</v>
      </c>
      <c r="BE18" s="33">
        <v>0</v>
      </c>
      <c r="BF18" s="33">
        <v>0</v>
      </c>
      <c r="BG18" s="33">
        <v>0.66700000000000004</v>
      </c>
      <c r="BH18" s="33">
        <v>0.33300000000000002</v>
      </c>
      <c r="BI18" s="33">
        <v>0</v>
      </c>
      <c r="BJ18" s="33">
        <v>0.161</v>
      </c>
      <c r="BK18" s="33">
        <v>2.3E-3</v>
      </c>
      <c r="BL18" s="33">
        <v>7.6000000000000004E-4</v>
      </c>
      <c r="BM18" s="33">
        <v>0.83499999999999996</v>
      </c>
      <c r="BN18" s="33">
        <v>5.3E-3</v>
      </c>
      <c r="BO18" s="33">
        <v>0</v>
      </c>
      <c r="BP18" s="33">
        <v>3.0000000000000001E-3</v>
      </c>
      <c r="BQ18" s="33">
        <v>0.99199999999999999</v>
      </c>
      <c r="BR18" s="33">
        <v>0</v>
      </c>
      <c r="BS18" s="33">
        <v>0</v>
      </c>
      <c r="BT18" s="33">
        <v>0</v>
      </c>
      <c r="BU18" s="33">
        <v>1</v>
      </c>
      <c r="BV18" s="33">
        <v>0</v>
      </c>
      <c r="BW18" s="33">
        <v>0</v>
      </c>
      <c r="BX18" s="33">
        <v>0</v>
      </c>
      <c r="BY18" s="33">
        <v>1</v>
      </c>
      <c r="BZ18" s="102">
        <f>AD18/CA18</f>
        <v>4.6788565699984852E-2</v>
      </c>
      <c r="CA18" s="103">
        <v>1109224</v>
      </c>
      <c r="CB18" s="103"/>
      <c r="CC18" s="44"/>
      <c r="CD18" s="44"/>
      <c r="CE18" s="44"/>
      <c r="CF18" s="44"/>
      <c r="CG18" s="44"/>
      <c r="CH18" s="44"/>
      <c r="CI18" s="44"/>
      <c r="CJ18" s="44"/>
      <c r="CK18" s="44"/>
      <c r="CL18" s="44"/>
      <c r="CM18" s="44"/>
      <c r="CN18" s="44"/>
      <c r="CO18" s="44"/>
      <c r="CP18" s="44"/>
      <c r="CQ18" s="44"/>
      <c r="CR18" s="44"/>
      <c r="CS18" s="44"/>
      <c r="CT18" s="44"/>
      <c r="CU18" s="44"/>
    </row>
    <row r="19" spans="1:101" s="33" customFormat="1">
      <c r="A19" s="22" t="s">
        <v>167</v>
      </c>
      <c r="B19" s="22" t="s">
        <v>108</v>
      </c>
      <c r="C19" s="22"/>
      <c r="D19" s="22" t="s">
        <v>98</v>
      </c>
      <c r="E19" s="59">
        <v>14351</v>
      </c>
      <c r="F19" s="59">
        <v>42355</v>
      </c>
      <c r="G19" s="59">
        <v>43110</v>
      </c>
      <c r="H19" s="59" t="s">
        <v>151</v>
      </c>
      <c r="I19" s="31">
        <f>(G19-E19)/365.25</f>
        <v>78.737850787132103</v>
      </c>
      <c r="J19" s="32">
        <f>G19-E19</f>
        <v>28759</v>
      </c>
      <c r="K19" s="32">
        <f>G19-F19</f>
        <v>755</v>
      </c>
      <c r="L19" s="32" t="s">
        <v>109</v>
      </c>
      <c r="M19" s="32" t="s">
        <v>100</v>
      </c>
      <c r="N19" s="25" t="s">
        <v>110</v>
      </c>
      <c r="O19" s="62">
        <v>0</v>
      </c>
      <c r="P19" s="62">
        <v>0</v>
      </c>
      <c r="Q19" s="59" t="s">
        <v>111</v>
      </c>
      <c r="R19" s="61" t="s">
        <v>112</v>
      </c>
      <c r="S19" s="62">
        <v>10</v>
      </c>
      <c r="T19" s="60">
        <v>2591.63</v>
      </c>
      <c r="U19" s="63">
        <v>62.39</v>
      </c>
      <c r="V19" s="28">
        <f t="shared" si="0"/>
        <v>2529.2400000000002</v>
      </c>
      <c r="W19" s="186" t="s">
        <v>104</v>
      </c>
      <c r="X19" s="143"/>
      <c r="Y19" s="64">
        <v>47500000</v>
      </c>
      <c r="Z19" s="143"/>
      <c r="AA19" s="61"/>
      <c r="AB19" s="64">
        <v>42400000</v>
      </c>
      <c r="AC19" s="22" t="s">
        <v>168</v>
      </c>
      <c r="AD19" s="22">
        <v>114234</v>
      </c>
      <c r="AE19" s="22">
        <v>8132</v>
      </c>
      <c r="AF19" s="22">
        <f>100*0.0735</f>
        <v>7.35</v>
      </c>
      <c r="AG19" s="22">
        <f>100*0.07092</f>
        <v>7.0919999999999996</v>
      </c>
      <c r="AH19" s="22">
        <v>797</v>
      </c>
      <c r="AI19" s="22">
        <f>100*0.0076</f>
        <v>0.76</v>
      </c>
      <c r="AJ19" s="22">
        <v>637</v>
      </c>
      <c r="AK19" s="22">
        <f>100*0.0063</f>
        <v>0.63</v>
      </c>
      <c r="AL19" s="22">
        <f>100*0.03975</f>
        <v>3.9750000000000001</v>
      </c>
      <c r="AM19" s="22">
        <f>100*0.0108</f>
        <v>1.08</v>
      </c>
      <c r="AN19" s="22">
        <f>100*0.719</f>
        <v>71.899999999999991</v>
      </c>
      <c r="AO19" s="22">
        <f>100*0.0362</f>
        <v>3.62</v>
      </c>
      <c r="AP19" s="22">
        <v>25075</v>
      </c>
      <c r="AQ19" s="22">
        <f>100*0.1149657</f>
        <v>11.49657</v>
      </c>
      <c r="AR19" s="22">
        <f>100*0.21253</f>
        <v>21.253</v>
      </c>
      <c r="AS19" s="22">
        <f>100*0.52102</f>
        <v>52.102000000000004</v>
      </c>
      <c r="AT19" s="22">
        <f>100*0.2073</f>
        <v>20.73</v>
      </c>
      <c r="AU19" s="22">
        <f>100*0.0336</f>
        <v>3.36</v>
      </c>
      <c r="AV19" s="22">
        <f>100*0.172</f>
        <v>17.2</v>
      </c>
      <c r="AW19" s="22">
        <f>100*0.4601</f>
        <v>46.01</v>
      </c>
      <c r="AX19" s="22">
        <f>100*0.255</f>
        <v>25.5</v>
      </c>
      <c r="AY19" s="22">
        <f>100*0.0744</f>
        <v>7.4399999999999995</v>
      </c>
      <c r="AZ19" s="22">
        <v>73487</v>
      </c>
      <c r="BA19" s="22">
        <f>100*0.0223023</f>
        <v>2.2302300000000002</v>
      </c>
      <c r="BB19" s="22">
        <f>100*0.5418</f>
        <v>54.179999999999993</v>
      </c>
      <c r="BC19" s="22">
        <f>100*0.22932</f>
        <v>22.931999999999999</v>
      </c>
      <c r="BD19" s="22">
        <f>100*0.0921</f>
        <v>9.2100000000000009</v>
      </c>
      <c r="BE19" s="22">
        <f>100*0.128</f>
        <v>12.8</v>
      </c>
      <c r="BF19" s="22">
        <f>100*0.3899</f>
        <v>38.99</v>
      </c>
      <c r="BG19" s="22">
        <f>100*0.2052</f>
        <v>20.52</v>
      </c>
      <c r="BH19" s="22">
        <f>100*0.1003</f>
        <v>10.029999999999999</v>
      </c>
      <c r="BI19" s="22">
        <f>100*0.314</f>
        <v>31.4</v>
      </c>
      <c r="BJ19" s="22">
        <f>100*0.164</f>
        <v>16.400000000000002</v>
      </c>
      <c r="BK19" s="22">
        <f>100*0.2796</f>
        <v>27.96</v>
      </c>
      <c r="BL19" s="22">
        <f>100*0.048</f>
        <v>4.8</v>
      </c>
      <c r="BM19" s="22">
        <f>100*0.0228</f>
        <v>2.2800000000000002</v>
      </c>
      <c r="BN19" s="22">
        <f>100*0.1772</f>
        <v>17.72</v>
      </c>
      <c r="BO19" s="22">
        <f>100*0.10307</f>
        <v>10.306999999999999</v>
      </c>
      <c r="BP19" s="22">
        <f>100*0.3152</f>
        <v>31.52</v>
      </c>
      <c r="BQ19" s="22">
        <f>100*0.382</f>
        <v>38.200000000000003</v>
      </c>
      <c r="BR19" s="22">
        <f>100*0.271</f>
        <v>27.1</v>
      </c>
      <c r="BS19" s="22">
        <f>100*0.526</f>
        <v>52.6</v>
      </c>
      <c r="BT19" s="22">
        <f>100*0.133</f>
        <v>13.3</v>
      </c>
      <c r="BU19" s="22">
        <f>100*0.0501</f>
        <v>5.01</v>
      </c>
      <c r="BV19" s="22">
        <f>100*0.1899</f>
        <v>18.990000000000002</v>
      </c>
      <c r="BW19" s="22">
        <f>100*0.24095</f>
        <v>24.094999999999999</v>
      </c>
      <c r="BX19" s="22">
        <f>100*0.3196</f>
        <v>31.96</v>
      </c>
      <c r="BY19" s="22">
        <f>100*0.225</f>
        <v>22.5</v>
      </c>
      <c r="BZ19" s="116">
        <f>AD19/CA19</f>
        <v>6.0760148100002076E-2</v>
      </c>
      <c r="CA19" s="67">
        <v>1880081</v>
      </c>
      <c r="CB19" s="67"/>
      <c r="CC19" s="57"/>
      <c r="CD19" s="57"/>
      <c r="CE19" s="57"/>
      <c r="CF19" s="57"/>
      <c r="CG19" s="57"/>
      <c r="CH19" s="57"/>
      <c r="CI19" s="57"/>
      <c r="CJ19" s="57"/>
      <c r="CK19" s="57"/>
      <c r="CL19" s="57"/>
      <c r="CM19" s="57"/>
      <c r="CN19" s="57"/>
      <c r="CO19" s="57"/>
      <c r="CP19" s="57"/>
      <c r="CQ19" s="57"/>
      <c r="CR19" s="57"/>
      <c r="CS19" s="57"/>
      <c r="CT19" s="57"/>
      <c r="CU19" s="57"/>
      <c r="CV19" s="22"/>
      <c r="CW19" s="22"/>
    </row>
    <row r="20" spans="1:101" s="22" customFormat="1">
      <c r="A20" s="33" t="s">
        <v>169</v>
      </c>
      <c r="B20" s="33" t="s">
        <v>97</v>
      </c>
      <c r="C20" s="33"/>
      <c r="D20" s="33" t="s">
        <v>98</v>
      </c>
      <c r="E20" s="94">
        <v>21225</v>
      </c>
      <c r="F20" s="94">
        <v>42514</v>
      </c>
      <c r="G20" s="94">
        <v>43222</v>
      </c>
      <c r="H20" s="94" t="s">
        <v>99</v>
      </c>
      <c r="I20" s="45">
        <f>(G20-E20)/365.25</f>
        <v>60.224503764544835</v>
      </c>
      <c r="J20" s="34">
        <f>G20-E20</f>
        <v>21997</v>
      </c>
      <c r="K20" s="34">
        <f>G20-F20</f>
        <v>708</v>
      </c>
      <c r="L20" s="35" t="s">
        <v>109</v>
      </c>
      <c r="M20" s="35" t="s">
        <v>100</v>
      </c>
      <c r="N20" s="36" t="s">
        <v>170</v>
      </c>
      <c r="O20" s="40"/>
      <c r="P20" s="40"/>
      <c r="Q20" s="151" t="s">
        <v>171</v>
      </c>
      <c r="R20" s="37" t="s">
        <v>102</v>
      </c>
      <c r="S20" s="167" t="s">
        <v>172</v>
      </c>
      <c r="T20" s="168">
        <v>1941.87</v>
      </c>
      <c r="U20" s="168">
        <v>75.28</v>
      </c>
      <c r="V20" s="38">
        <f t="shared" si="0"/>
        <v>1866.59</v>
      </c>
      <c r="W20" s="185" t="s">
        <v>104</v>
      </c>
      <c r="X20" s="39">
        <v>8500000</v>
      </c>
      <c r="Y20" s="173">
        <f>X20*V20</f>
        <v>15866015000</v>
      </c>
      <c r="Z20" s="39">
        <v>111600000</v>
      </c>
      <c r="AA20" s="37" t="s">
        <v>173</v>
      </c>
      <c r="AB20" s="173">
        <v>76800000</v>
      </c>
      <c r="AC20" s="105" t="s">
        <v>174</v>
      </c>
      <c r="AD20" s="33">
        <v>112525</v>
      </c>
      <c r="AE20" s="33">
        <v>2059</v>
      </c>
      <c r="AF20" s="33">
        <f>100*0.0196</f>
        <v>1.96</v>
      </c>
      <c r="AG20" s="33">
        <f>100*0.0593</f>
        <v>5.93</v>
      </c>
      <c r="AH20" s="33">
        <v>360</v>
      </c>
      <c r="AI20" s="33">
        <f>100*0.0034</f>
        <v>0.33999999999999997</v>
      </c>
      <c r="AJ20" s="33">
        <v>1109</v>
      </c>
      <c r="AK20" s="33">
        <f>100*0.0108</f>
        <v>1.08</v>
      </c>
      <c r="AL20" s="33">
        <f>100*0.0117</f>
        <v>1.17</v>
      </c>
      <c r="AM20" s="33">
        <f>100*0.0009</f>
        <v>0.09</v>
      </c>
      <c r="AN20" s="33">
        <f>100*0.83</f>
        <v>83</v>
      </c>
      <c r="AO20" s="33">
        <f>100*0.0117</f>
        <v>1.17</v>
      </c>
      <c r="AP20" s="33">
        <v>41735</v>
      </c>
      <c r="AQ20" s="33">
        <f>100*0.0314</f>
        <v>3.1399999999999997</v>
      </c>
      <c r="AR20" s="33">
        <f>100*0.0302</f>
        <v>3.02</v>
      </c>
      <c r="AS20" s="33">
        <f>100*0.242</f>
        <v>24.2</v>
      </c>
      <c r="AT20" s="33">
        <f>100*0.675</f>
        <v>67.5</v>
      </c>
      <c r="AU20" s="33">
        <f>100*0.0529</f>
        <v>5.29</v>
      </c>
      <c r="AV20" s="33">
        <f>100*0.0128</f>
        <v>1.28</v>
      </c>
      <c r="AW20" s="33">
        <f>100*0.215</f>
        <v>21.5</v>
      </c>
      <c r="AX20" s="33">
        <f>100*0.731</f>
        <v>73.099999999999994</v>
      </c>
      <c r="AY20" s="33">
        <f>100*0.0406</f>
        <v>4.0599999999999996</v>
      </c>
      <c r="AZ20" s="33">
        <v>52802</v>
      </c>
      <c r="BA20" s="33">
        <f>100*0.0212</f>
        <v>2.12</v>
      </c>
      <c r="BB20" s="33">
        <f>100*0.276</f>
        <v>27.6</v>
      </c>
      <c r="BC20" s="33">
        <f>100*0.409</f>
        <v>40.9</v>
      </c>
      <c r="BD20" s="33">
        <f>100*0.0469</f>
        <v>4.6899999999999995</v>
      </c>
      <c r="BE20" s="33">
        <f>100*0.268</f>
        <v>26.8</v>
      </c>
      <c r="BF20" s="33">
        <f>100*0.247</f>
        <v>24.7</v>
      </c>
      <c r="BG20" s="33">
        <f>100*0.408</f>
        <v>40.799999999999997</v>
      </c>
      <c r="BH20" s="33">
        <f>100*0.0471</f>
        <v>4.71</v>
      </c>
      <c r="BI20" s="33">
        <f>100*0.297</f>
        <v>29.7</v>
      </c>
      <c r="BJ20" s="33">
        <f>100*0.234</f>
        <v>23.400000000000002</v>
      </c>
      <c r="BK20" s="33">
        <f>100*0.57</f>
        <v>56.999999999999993</v>
      </c>
      <c r="BL20" s="33">
        <f>100*0.124</f>
        <v>12.4</v>
      </c>
      <c r="BM20" s="33">
        <f>100*0.0714</f>
        <v>7.1400000000000006</v>
      </c>
      <c r="BN20" s="33">
        <f>100*0.0024</f>
        <v>0.24</v>
      </c>
      <c r="BO20" s="33">
        <f>100*0.0092</f>
        <v>0.91999999999999993</v>
      </c>
      <c r="BP20" s="33">
        <f>100*0.688</f>
        <v>68.8</v>
      </c>
      <c r="BQ20" s="33">
        <f>100*0.301</f>
        <v>30.099999999999998</v>
      </c>
      <c r="BR20" s="33">
        <f>100*0.615</f>
        <v>61.5</v>
      </c>
      <c r="BS20" s="33">
        <f>100*0.176</f>
        <v>17.599999999999998</v>
      </c>
      <c r="BT20" s="33">
        <f>100*0.0252</f>
        <v>2.52</v>
      </c>
      <c r="BU20" s="33">
        <f>100*0.184</f>
        <v>18.399999999999999</v>
      </c>
      <c r="BV20" s="33">
        <f>100*0.0099</f>
        <v>0.9900000000000001</v>
      </c>
      <c r="BW20" s="33">
        <f>100*0.0036</f>
        <v>0.36</v>
      </c>
      <c r="BX20" s="33">
        <f>100*0.197</f>
        <v>19.7</v>
      </c>
      <c r="BY20" s="33">
        <f>100*0.789</f>
        <v>78.900000000000006</v>
      </c>
      <c r="BZ20" s="102">
        <f>100*0.0233</f>
        <v>2.33</v>
      </c>
      <c r="CA20" s="103"/>
      <c r="CB20" s="103"/>
      <c r="CC20" s="44"/>
      <c r="CD20" s="44"/>
      <c r="CE20" s="44"/>
      <c r="CF20" s="44"/>
      <c r="CG20" s="44"/>
      <c r="CH20" s="44"/>
      <c r="CI20" s="44"/>
      <c r="CJ20" s="44"/>
      <c r="CK20" s="44"/>
      <c r="CL20" s="44"/>
      <c r="CM20" s="44"/>
      <c r="CN20" s="44"/>
      <c r="CO20" s="44"/>
      <c r="CP20" s="44"/>
      <c r="CQ20" s="44"/>
      <c r="CR20" s="44"/>
      <c r="CS20" s="44"/>
      <c r="CT20" s="44"/>
      <c r="CU20" s="44"/>
      <c r="CV20" s="33"/>
      <c r="CW20" s="33"/>
    </row>
    <row r="21" spans="1:101" s="22" customFormat="1">
      <c r="A21" s="22" t="s">
        <v>175</v>
      </c>
      <c r="B21" s="22" t="s">
        <v>108</v>
      </c>
      <c r="D21" s="22" t="s">
        <v>98</v>
      </c>
      <c r="E21" s="59">
        <v>21274</v>
      </c>
      <c r="F21" s="59">
        <v>42543</v>
      </c>
      <c r="G21" s="59">
        <v>43194</v>
      </c>
      <c r="H21" s="59" t="s">
        <v>151</v>
      </c>
      <c r="I21" s="31">
        <v>60.013689253935659</v>
      </c>
      <c r="J21" s="32">
        <v>21920</v>
      </c>
      <c r="K21" s="32">
        <v>651</v>
      </c>
      <c r="L21" s="32" t="s">
        <v>109</v>
      </c>
      <c r="M21" s="32" t="s">
        <v>100</v>
      </c>
      <c r="N21" s="25" t="s">
        <v>110</v>
      </c>
      <c r="O21" s="60"/>
      <c r="P21" s="26"/>
      <c r="Q21" s="59" t="s">
        <v>111</v>
      </c>
      <c r="R21" s="61" t="s">
        <v>112</v>
      </c>
      <c r="S21" s="62">
        <v>10</v>
      </c>
      <c r="T21" s="60">
        <v>2108.48</v>
      </c>
      <c r="U21" s="63">
        <v>89.33</v>
      </c>
      <c r="V21" s="28">
        <f t="shared" si="0"/>
        <v>2019.15</v>
      </c>
      <c r="W21" s="186" t="s">
        <v>104</v>
      </c>
      <c r="X21" s="143"/>
      <c r="Y21" s="64">
        <v>26300000</v>
      </c>
      <c r="Z21" s="143"/>
      <c r="AA21" s="61"/>
      <c r="AB21" s="64">
        <v>53800000</v>
      </c>
      <c r="AC21" s="65" t="s">
        <v>176</v>
      </c>
      <c r="AD21" s="22">
        <v>201509</v>
      </c>
      <c r="AE21" s="22">
        <v>300</v>
      </c>
      <c r="AF21" s="22">
        <f>100*0.0016</f>
        <v>0.16</v>
      </c>
      <c r="AG21" s="22">
        <f>100*0.05445</f>
        <v>5.4450000000000003</v>
      </c>
      <c r="AH21" s="22">
        <v>177</v>
      </c>
      <c r="AI21" s="22">
        <f>100*0.00092</f>
        <v>9.1999999999999998E-2</v>
      </c>
      <c r="AJ21" s="22">
        <v>1563</v>
      </c>
      <c r="AK21" s="22">
        <f>100*0.0082</f>
        <v>0.82000000000000006</v>
      </c>
      <c r="AL21" s="22">
        <f>100*0.000335</f>
        <v>3.3500000000000002E-2</v>
      </c>
      <c r="AM21" s="22">
        <f>100*0.000625</f>
        <v>6.25E-2</v>
      </c>
      <c r="AN21" s="22">
        <f>100*0.97</f>
        <v>97</v>
      </c>
      <c r="AO21" s="22">
        <f>100*0.0087</f>
        <v>0.86999999999999988</v>
      </c>
      <c r="AP21" s="22">
        <v>53804</v>
      </c>
      <c r="AQ21" s="22">
        <f>100*0.1654794</f>
        <v>16.547940000000001</v>
      </c>
      <c r="AR21" s="22">
        <f>100*0.0695814</f>
        <v>6.9581400000000002</v>
      </c>
      <c r="AS21" s="22">
        <f>100*0.62098155</f>
        <v>62.098154999999998</v>
      </c>
      <c r="AT21" s="22">
        <f>100*0.2739816</f>
        <v>27.398160000000001</v>
      </c>
      <c r="AU21" s="22">
        <f>100*0.0435</f>
        <v>4.3499999999999996</v>
      </c>
      <c r="AV21" s="22">
        <f>100*0.0238</f>
        <v>2.3800000000000003</v>
      </c>
      <c r="AW21" s="22">
        <f>100*0.47692335</f>
        <v>47.692335</v>
      </c>
      <c r="AX21" s="22">
        <f>100*0.4119816</f>
        <v>41.198160000000001</v>
      </c>
      <c r="AY21" s="22">
        <f>100*0.087</f>
        <v>8.6999999999999993</v>
      </c>
      <c r="AZ21" s="22">
        <v>123333</v>
      </c>
      <c r="BA21" s="22">
        <f>100*0.0775231</f>
        <v>7.7523099999999996</v>
      </c>
      <c r="BB21" s="22">
        <f>100*0.34196</f>
        <v>34.195999999999998</v>
      </c>
      <c r="BC21" s="22">
        <f>100*0.5109555</f>
        <v>51.095550000000003</v>
      </c>
      <c r="BD21" s="22">
        <f>100*0.0259</f>
        <v>2.59</v>
      </c>
      <c r="BE21" s="22">
        <f>100*0.122</f>
        <v>12.2</v>
      </c>
      <c r="BF21" s="22">
        <f>100*0.331955</f>
        <v>33.195500000000003</v>
      </c>
      <c r="BG21" s="22">
        <f>100*0.463973445</f>
        <v>46.397344499999996</v>
      </c>
      <c r="BH21" s="22">
        <f>100*0.0220838</f>
        <v>2.20838</v>
      </c>
      <c r="BI21" s="22">
        <f>100*0.183</f>
        <v>18.3</v>
      </c>
      <c r="BJ21" s="22">
        <f>100*0.385</f>
        <v>38.5</v>
      </c>
      <c r="BK21" s="22">
        <f>100*0.2293</f>
        <v>22.93</v>
      </c>
      <c r="BL21" s="22">
        <f>100*0.182</f>
        <v>18.2</v>
      </c>
      <c r="BM21" s="22">
        <f>100*0.238</f>
        <v>23.799999999999997</v>
      </c>
      <c r="BN21" s="22">
        <f>100*0.062</f>
        <v>6.2</v>
      </c>
      <c r="BO21" s="22">
        <f>100*0.07</f>
        <v>7.0000000000000009</v>
      </c>
      <c r="BP21" s="22">
        <f>100*0.3257</f>
        <v>32.57</v>
      </c>
      <c r="BQ21" s="22">
        <f>100*0.546</f>
        <v>54.6</v>
      </c>
      <c r="BR21" s="22">
        <f>100*0.464</f>
        <v>46.400000000000006</v>
      </c>
      <c r="BS21" s="22">
        <f>100*0.38068</f>
        <v>38.068000000000005</v>
      </c>
      <c r="BT21" s="22">
        <f>100*0.0946</f>
        <v>9.4600000000000009</v>
      </c>
      <c r="BU21" s="22">
        <f>100*0.0604</f>
        <v>6.04</v>
      </c>
      <c r="BV21" s="22">
        <f>100*0.008</f>
        <v>0.8</v>
      </c>
      <c r="BW21" s="22">
        <f>100*0.0018</f>
        <v>0.18</v>
      </c>
      <c r="BX21" s="22">
        <f>100*0.42836</f>
        <v>42.835999999999999</v>
      </c>
      <c r="BY21" s="22">
        <f>100*0.564</f>
        <v>56.399999999999991</v>
      </c>
      <c r="BZ21" s="66">
        <f>100*0.0533</f>
        <v>5.33</v>
      </c>
      <c r="CA21" s="67"/>
      <c r="CB21" s="67"/>
    </row>
    <row r="22" spans="1:101" s="22" customFormat="1">
      <c r="A22" s="33" t="s">
        <v>177</v>
      </c>
      <c r="B22" s="33" t="s">
        <v>97</v>
      </c>
      <c r="C22" s="33"/>
      <c r="D22" s="33" t="s">
        <v>98</v>
      </c>
      <c r="E22" s="94">
        <v>15290</v>
      </c>
      <c r="F22" s="94">
        <v>42586</v>
      </c>
      <c r="G22" s="94">
        <v>43111</v>
      </c>
      <c r="H22" s="94" t="s">
        <v>99</v>
      </c>
      <c r="I22" s="34">
        <f>(G22-E22)/365.25</f>
        <v>76.169746748802197</v>
      </c>
      <c r="J22" s="34">
        <f>G22-E22</f>
        <v>27821</v>
      </c>
      <c r="K22" s="34">
        <f>G22-F22</f>
        <v>525</v>
      </c>
      <c r="L22" s="35" t="s">
        <v>109</v>
      </c>
      <c r="M22" s="35" t="s">
        <v>100</v>
      </c>
      <c r="N22" s="36" t="s">
        <v>178</v>
      </c>
      <c r="O22" s="40"/>
      <c r="P22" s="40"/>
      <c r="Q22" s="151" t="s">
        <v>179</v>
      </c>
      <c r="R22" s="37" t="s">
        <v>102</v>
      </c>
      <c r="S22" s="167">
        <v>36</v>
      </c>
      <c r="T22" s="168">
        <v>1087.4100000000001</v>
      </c>
      <c r="U22" s="168">
        <v>98.39</v>
      </c>
      <c r="V22" s="38">
        <f t="shared" si="0"/>
        <v>989.0200000000001</v>
      </c>
      <c r="W22" s="185" t="s">
        <v>104</v>
      </c>
      <c r="X22" s="39">
        <v>60200000</v>
      </c>
      <c r="Y22" s="173">
        <f>X22*V22</f>
        <v>59539004000.000008</v>
      </c>
      <c r="Z22" s="39">
        <v>80400000</v>
      </c>
      <c r="AA22" s="37" t="s">
        <v>180</v>
      </c>
      <c r="AB22" s="173">
        <v>84000000</v>
      </c>
      <c r="AC22" s="33" t="s">
        <v>181</v>
      </c>
      <c r="AD22" s="33">
        <v>34994</v>
      </c>
      <c r="AE22" s="33">
        <v>281</v>
      </c>
      <c r="AF22" s="33">
        <f>100*0.008</f>
        <v>0.8</v>
      </c>
      <c r="AG22" s="33">
        <f>100*0.00875</f>
        <v>0.87500000000000011</v>
      </c>
      <c r="AH22" s="33">
        <v>36</v>
      </c>
      <c r="AI22" s="33">
        <f>100*0.00098</f>
        <v>9.8000000000000004E-2</v>
      </c>
      <c r="AJ22" s="33">
        <v>90</v>
      </c>
      <c r="AK22" s="33">
        <f>100*0.0029</f>
        <v>0.28999999999999998</v>
      </c>
      <c r="AL22" s="33">
        <v>0</v>
      </c>
      <c r="AM22" s="33">
        <v>0</v>
      </c>
      <c r="AN22" s="33">
        <f>100*0.822</f>
        <v>82.199999999999989</v>
      </c>
      <c r="AO22" s="33">
        <f>100*0.0504</f>
        <v>5.04</v>
      </c>
      <c r="AP22" s="33">
        <v>16135</v>
      </c>
      <c r="AQ22" s="33">
        <f>100*0.0014</f>
        <v>0.13999999999999999</v>
      </c>
      <c r="AR22" s="33">
        <f>100*0.3801</f>
        <v>38.01</v>
      </c>
      <c r="AS22" s="33">
        <f>100*0.33485</f>
        <v>33.484999999999999</v>
      </c>
      <c r="AT22" s="33">
        <f>100*0.1613</f>
        <v>16.13</v>
      </c>
      <c r="AU22" s="33">
        <f>100*0.0891</f>
        <v>8.91</v>
      </c>
      <c r="AV22" s="33">
        <f>100*0.2018</f>
        <v>20.18</v>
      </c>
      <c r="AW22" s="33">
        <f>100*0.21055</f>
        <v>21.055</v>
      </c>
      <c r="AX22" s="33">
        <f>100*0.2593</f>
        <v>25.929999999999996</v>
      </c>
      <c r="AY22" s="33">
        <f>100*0.303</f>
        <v>30.3</v>
      </c>
      <c r="AZ22" s="33">
        <v>14407</v>
      </c>
      <c r="BA22" s="33">
        <f>100*0.000305</f>
        <v>3.0499999999999999E-2</v>
      </c>
      <c r="BB22" s="33">
        <f>100*0.6262</f>
        <v>62.62</v>
      </c>
      <c r="BC22" s="33">
        <f>100*0.212895</f>
        <v>21.2895</v>
      </c>
      <c r="BD22" s="33">
        <f>100*0.01661</f>
        <v>1.661</v>
      </c>
      <c r="BE22" s="33">
        <f>100*0.135</f>
        <v>13.5</v>
      </c>
      <c r="BF22" s="33">
        <f>100*0.4903</f>
        <v>49.03</v>
      </c>
      <c r="BG22" s="33">
        <f>100*0.209</f>
        <v>20.9</v>
      </c>
      <c r="BH22" s="33">
        <f>100*0.0242</f>
        <v>2.42</v>
      </c>
      <c r="BI22" s="33">
        <f>100*0.257</f>
        <v>25.7</v>
      </c>
      <c r="BJ22" s="33">
        <f>100*0.194</f>
        <v>19.400000000000002</v>
      </c>
      <c r="BK22" s="33">
        <f>100*0.5969</f>
        <v>59.69</v>
      </c>
      <c r="BL22" s="33">
        <f>100*0.135</f>
        <v>13.5</v>
      </c>
      <c r="BM22" s="33">
        <f>100*0.0925</f>
        <v>9.25</v>
      </c>
      <c r="BN22" s="33">
        <f>100*0.0452</f>
        <v>4.5199999999999996</v>
      </c>
      <c r="BO22" s="33">
        <f>100*0.088</f>
        <v>8.7999999999999989</v>
      </c>
      <c r="BP22" s="33">
        <f>100*0.5789</f>
        <v>57.89</v>
      </c>
      <c r="BQ22" s="33">
        <f>100*0.235</f>
        <v>23.5</v>
      </c>
      <c r="BR22" s="33">
        <f>100*0.269</f>
        <v>26.900000000000002</v>
      </c>
      <c r="BS22" s="33">
        <f>100*0.655</f>
        <v>65.5</v>
      </c>
      <c r="BT22" s="33">
        <f>100*0.0563</f>
        <v>5.63</v>
      </c>
      <c r="BU22" s="33">
        <f>100*0.0168</f>
        <v>1.68</v>
      </c>
      <c r="BV22" s="33">
        <f>100*0.0628</f>
        <v>6.2799999999999994</v>
      </c>
      <c r="BW22" s="33">
        <f>100*0.164</f>
        <v>16.400000000000002</v>
      </c>
      <c r="BX22" s="33">
        <f>100*0.571</f>
        <v>57.099999999999994</v>
      </c>
      <c r="BY22" s="33">
        <f>100*0.185</f>
        <v>18.5</v>
      </c>
      <c r="BZ22" s="104" t="e">
        <f>AD22/CA22</f>
        <v>#DIV/0!</v>
      </c>
      <c r="CA22" s="103"/>
      <c r="CB22" s="103"/>
      <c r="CC22" s="44"/>
      <c r="CD22" s="44"/>
      <c r="CE22" s="44"/>
      <c r="CF22" s="44"/>
      <c r="CG22" s="44"/>
      <c r="CH22" s="44"/>
      <c r="CI22" s="44"/>
      <c r="CJ22" s="44"/>
      <c r="CK22" s="44"/>
      <c r="CL22" s="44"/>
      <c r="CM22" s="44"/>
      <c r="CN22" s="44"/>
      <c r="CO22" s="44"/>
      <c r="CP22" s="44"/>
      <c r="CQ22" s="44"/>
      <c r="CR22" s="44"/>
      <c r="CS22" s="44"/>
      <c r="CT22" s="44"/>
      <c r="CU22" s="44"/>
      <c r="CV22" s="33"/>
      <c r="CW22" s="33"/>
    </row>
    <row r="23" spans="1:101" s="22" customFormat="1">
      <c r="A23" s="33" t="s">
        <v>182</v>
      </c>
      <c r="B23" s="33" t="s">
        <v>97</v>
      </c>
      <c r="C23" s="33"/>
      <c r="D23" s="33" t="s">
        <v>98</v>
      </c>
      <c r="E23" s="95">
        <v>15290</v>
      </c>
      <c r="F23" s="95">
        <v>20620</v>
      </c>
      <c r="G23" s="95">
        <v>43071</v>
      </c>
      <c r="H23" s="95" t="s">
        <v>99</v>
      </c>
      <c r="I23" s="41">
        <f>(G23-E23)/365.25</f>
        <v>76.060232717316907</v>
      </c>
      <c r="J23" s="41">
        <f>G23-E23</f>
        <v>27781</v>
      </c>
      <c r="K23" s="41">
        <f>G23-F23</f>
        <v>22451</v>
      </c>
      <c r="L23" s="42" t="s">
        <v>109</v>
      </c>
      <c r="M23" s="42" t="s">
        <v>100</v>
      </c>
      <c r="N23" s="43" t="s">
        <v>183</v>
      </c>
      <c r="O23" s="33"/>
      <c r="P23" s="33"/>
      <c r="Q23" s="152" t="s">
        <v>184</v>
      </c>
      <c r="R23" s="33" t="s">
        <v>184</v>
      </c>
      <c r="S23" s="152" t="s">
        <v>184</v>
      </c>
      <c r="T23" s="152">
        <v>2624.62</v>
      </c>
      <c r="U23" s="152">
        <v>74.39</v>
      </c>
      <c r="V23" s="51">
        <v>2550.23</v>
      </c>
      <c r="W23" s="180" t="s">
        <v>185</v>
      </c>
      <c r="X23" s="51">
        <v>28000000</v>
      </c>
      <c r="Y23" s="152">
        <v>71406440000</v>
      </c>
      <c r="Z23" s="51">
        <v>3540000</v>
      </c>
      <c r="AA23" s="180" t="s">
        <v>186</v>
      </c>
      <c r="AB23" s="174">
        <v>740000000</v>
      </c>
      <c r="AC23" s="33" t="s">
        <v>187</v>
      </c>
      <c r="AD23" s="33">
        <v>26131</v>
      </c>
      <c r="AE23" s="33">
        <v>210</v>
      </c>
      <c r="AF23" s="33">
        <f>100*0.0079</f>
        <v>0.79</v>
      </c>
      <c r="AG23" s="33">
        <f>100*0.3285</f>
        <v>32.85</v>
      </c>
      <c r="AH23" s="33">
        <v>2</v>
      </c>
      <c r="AI23" s="33">
        <f>100*0.0000783</f>
        <v>7.8300000000000002E-3</v>
      </c>
      <c r="AJ23" s="33">
        <v>41</v>
      </c>
      <c r="AK23" s="33">
        <f>100*0.0016</f>
        <v>0.16</v>
      </c>
      <c r="AL23" s="33">
        <f>100*0.3365</f>
        <v>33.650000000000006</v>
      </c>
      <c r="AM23" s="33">
        <f>100*0.102</f>
        <v>10.199999999999999</v>
      </c>
      <c r="AN23" s="33">
        <f>100*0.714</f>
        <v>71.399999999999991</v>
      </c>
      <c r="AO23" s="33">
        <v>0</v>
      </c>
      <c r="AP23" s="33">
        <v>6207</v>
      </c>
      <c r="AQ23" s="33">
        <f>100*0.32469</f>
        <v>32.469000000000001</v>
      </c>
      <c r="AR23" s="33">
        <f>100*0.0809</f>
        <v>8.09</v>
      </c>
      <c r="AS23" s="33">
        <f>100*0.16192</f>
        <v>16.192</v>
      </c>
      <c r="AT23" s="33">
        <f>100*0.72154</f>
        <v>72.153999999999996</v>
      </c>
      <c r="AU23" s="33">
        <f>100*0.0365</f>
        <v>3.65</v>
      </c>
      <c r="AV23" s="33">
        <f>100*0.0727</f>
        <v>7.2700000000000005</v>
      </c>
      <c r="AW23" s="33">
        <f>100*0.193925</f>
        <v>19.392499999999998</v>
      </c>
      <c r="AX23" s="33">
        <f>100*0.68869</f>
        <v>68.869</v>
      </c>
      <c r="AY23" s="33">
        <f>100*0.0442</f>
        <v>4.42</v>
      </c>
      <c r="AZ23" s="33">
        <v>16135</v>
      </c>
      <c r="BA23" s="33">
        <f>100*0.21796</f>
        <v>21.795999999999999</v>
      </c>
      <c r="BB23" s="33">
        <f>100*0.45088</f>
        <v>45.088000000000001</v>
      </c>
      <c r="BC23" s="33">
        <f>100*0.38293845</f>
        <v>38.293844999999997</v>
      </c>
      <c r="BD23" s="33">
        <f>100*0.0273389</f>
        <v>2.7338899999999997</v>
      </c>
      <c r="BE23" s="33">
        <f>100*0.136</f>
        <v>13.600000000000001</v>
      </c>
      <c r="BF23" s="33">
        <f>100*0.45931</f>
        <v>45.930999999999997</v>
      </c>
      <c r="BG23" s="33">
        <f>100*0.380875</f>
        <v>38.087499999999999</v>
      </c>
      <c r="BH23" s="33">
        <f>100*0.0293</f>
        <v>2.93</v>
      </c>
      <c r="BI23" s="33">
        <f>100*0.1325</f>
        <v>13.25</v>
      </c>
      <c r="BJ23" s="33">
        <f>100*0.1377</f>
        <v>13.77</v>
      </c>
      <c r="BK23" s="33">
        <f>100*0.0561</f>
        <v>5.6099999999999994</v>
      </c>
      <c r="BL23" s="33">
        <f>100*0.519</f>
        <v>51.9</v>
      </c>
      <c r="BM23" s="33">
        <f>100*0.224</f>
        <v>22.400000000000002</v>
      </c>
      <c r="BN23" s="33">
        <f>100*0.114</f>
        <v>11.4</v>
      </c>
      <c r="BO23" s="33">
        <f>100*0.27645</f>
        <v>27.644999999999996</v>
      </c>
      <c r="BP23" s="33">
        <f>100*0.5244</f>
        <v>52.44</v>
      </c>
      <c r="BQ23" s="33">
        <f>100*0.0762</f>
        <v>7.62</v>
      </c>
      <c r="BR23" s="33">
        <f>100*0.157</f>
        <v>15.7</v>
      </c>
      <c r="BS23" s="33">
        <f>100*0.286</f>
        <v>28.599999999999998</v>
      </c>
      <c r="BT23" s="33">
        <f>100*0.314</f>
        <v>31.4</v>
      </c>
      <c r="BU23" s="33">
        <f>100*0.253</f>
        <v>25.3</v>
      </c>
      <c r="BV23" s="33">
        <f>100*0.238</f>
        <v>23.799999999999997</v>
      </c>
      <c r="BW23" s="33">
        <f>100*0.381</f>
        <v>38.1</v>
      </c>
      <c r="BX23" s="33">
        <f>100*0.257</f>
        <v>25.7</v>
      </c>
      <c r="BY23" s="33">
        <f>100*0.114</f>
        <v>11.4</v>
      </c>
      <c r="BZ23" s="102">
        <f>AD23/CA23</f>
        <v>4.4565532531764304E-2</v>
      </c>
      <c r="CA23" s="103">
        <v>586350</v>
      </c>
      <c r="CB23" s="103"/>
      <c r="CC23" s="44"/>
      <c r="CD23" s="44"/>
      <c r="CE23" s="44"/>
      <c r="CF23" s="44"/>
      <c r="CG23" s="44"/>
      <c r="CH23" s="44"/>
      <c r="CI23" s="44"/>
      <c r="CJ23" s="44"/>
      <c r="CK23" s="44"/>
      <c r="CL23" s="44"/>
      <c r="CM23" s="44"/>
      <c r="CN23" s="44"/>
      <c r="CO23" s="44"/>
      <c r="CP23" s="44"/>
      <c r="CQ23" s="44"/>
      <c r="CR23" s="44"/>
      <c r="CS23" s="44"/>
      <c r="CT23" s="44"/>
      <c r="CU23" s="44"/>
      <c r="CV23" s="33"/>
      <c r="CW23" s="33"/>
    </row>
    <row r="24" spans="1:101" s="189" customFormat="1">
      <c r="A24" s="189" t="s">
        <v>188</v>
      </c>
      <c r="B24" s="189" t="s">
        <v>97</v>
      </c>
      <c r="D24" s="189" t="s">
        <v>98</v>
      </c>
      <c r="E24" s="190">
        <v>15414</v>
      </c>
      <c r="F24" s="190">
        <v>42436</v>
      </c>
      <c r="G24" s="190">
        <v>43213</v>
      </c>
      <c r="H24" s="190" t="s">
        <v>99</v>
      </c>
      <c r="I24" s="213">
        <f>(G24-E24)/365.25</f>
        <v>76.10951403148529</v>
      </c>
      <c r="J24" s="213">
        <f>G24-E24</f>
        <v>27799</v>
      </c>
      <c r="K24" s="213">
        <f>G24-F24</f>
        <v>777</v>
      </c>
      <c r="L24" s="214" t="s">
        <v>109</v>
      </c>
      <c r="M24" s="214" t="s">
        <v>109</v>
      </c>
      <c r="N24" s="194" t="s">
        <v>189</v>
      </c>
      <c r="O24" s="195"/>
      <c r="P24" s="195"/>
      <c r="Q24" s="215" t="s">
        <v>190</v>
      </c>
      <c r="R24" s="216" t="s">
        <v>102</v>
      </c>
      <c r="S24" s="217" t="s">
        <v>191</v>
      </c>
      <c r="T24" s="197">
        <v>1758.87</v>
      </c>
      <c r="U24" s="197">
        <v>83.02</v>
      </c>
      <c r="V24" s="198">
        <f>T24-U24</f>
        <v>1675.85</v>
      </c>
      <c r="W24" s="209" t="s">
        <v>104</v>
      </c>
      <c r="X24" s="199">
        <v>2800000</v>
      </c>
      <c r="Y24" s="200">
        <f>X24*V24</f>
        <v>4692380000</v>
      </c>
      <c r="Z24" s="199">
        <v>122000000</v>
      </c>
      <c r="AA24" s="216" t="s">
        <v>192</v>
      </c>
      <c r="AB24" s="200">
        <v>1000000</v>
      </c>
      <c r="AC24" s="189" t="s">
        <v>193</v>
      </c>
      <c r="AD24" s="189">
        <v>80320</v>
      </c>
      <c r="AE24" s="189">
        <v>235</v>
      </c>
      <c r="AF24" s="189">
        <f>100*0.003</f>
        <v>0.3</v>
      </c>
      <c r="AG24" s="189">
        <f>100*0.443</f>
        <v>44.3</v>
      </c>
      <c r="AH24" s="189">
        <v>54</v>
      </c>
      <c r="AI24" s="189">
        <f>100*0.00068</f>
        <v>6.8000000000000005E-2</v>
      </c>
      <c r="AJ24" s="189">
        <v>532</v>
      </c>
      <c r="AK24" s="189">
        <f>100*0.0067</f>
        <v>0.67</v>
      </c>
      <c r="AL24" s="189">
        <f>100*0.147</f>
        <v>14.7</v>
      </c>
      <c r="AM24" s="189">
        <f>100*0.0132</f>
        <v>1.32</v>
      </c>
      <c r="AN24" s="189">
        <f>100*0.925</f>
        <v>92.5</v>
      </c>
      <c r="AO24" s="189">
        <f>100*0.0451</f>
        <v>4.51</v>
      </c>
      <c r="AP24" s="189">
        <v>28872</v>
      </c>
      <c r="AQ24" s="189">
        <f>100*0.113</f>
        <v>11.3</v>
      </c>
      <c r="AR24" s="189">
        <f>100*0.157</f>
        <v>15.7</v>
      </c>
      <c r="AS24" s="189">
        <f>100*0.104</f>
        <v>10.4</v>
      </c>
      <c r="AT24" s="189">
        <f>100*0.679</f>
        <v>67.900000000000006</v>
      </c>
      <c r="AU24" s="189">
        <f>100*0.0596</f>
        <v>5.96</v>
      </c>
      <c r="AV24" s="189">
        <f>100*0.0749</f>
        <v>7.4899999999999993</v>
      </c>
      <c r="AW24" s="189">
        <f>100*0.0747</f>
        <v>7.4700000000000006</v>
      </c>
      <c r="AX24" s="189">
        <f>100*0.729</f>
        <v>72.899999999999991</v>
      </c>
      <c r="AY24" s="189">
        <f>100*0.122</f>
        <v>12.2</v>
      </c>
      <c r="AZ24" s="189">
        <v>46881</v>
      </c>
      <c r="BA24" s="189">
        <f>100*0.198</f>
        <v>19.8</v>
      </c>
      <c r="BB24" s="189">
        <f>100*0.663</f>
        <v>66.3</v>
      </c>
      <c r="BC24" s="189">
        <f>100*0.139</f>
        <v>13.900000000000002</v>
      </c>
      <c r="BD24" s="189">
        <f>100*0.0033</f>
        <v>0.33</v>
      </c>
      <c r="BE24" s="189">
        <f>100*0.195</f>
        <v>19.5</v>
      </c>
      <c r="BF24" s="189">
        <f>100*0.521</f>
        <v>52.1</v>
      </c>
      <c r="BG24" s="189">
        <f>100*0.136</f>
        <v>13.600000000000001</v>
      </c>
      <c r="BH24" s="189">
        <f>100*0.0058</f>
        <v>0.57999999999999996</v>
      </c>
      <c r="BI24" s="189">
        <f>100*0.337</f>
        <v>33.700000000000003</v>
      </c>
      <c r="BJ24" s="189">
        <f>100*0.647</f>
        <v>64.7</v>
      </c>
      <c r="BK24" s="189">
        <f>100*0.0809</f>
        <v>8.09</v>
      </c>
      <c r="BL24" s="189">
        <f>10*0.162</f>
        <v>1.62</v>
      </c>
      <c r="BM24" s="189">
        <f>100*0.111</f>
        <v>11.1</v>
      </c>
      <c r="BN24" s="189">
        <f>100*0.179</f>
        <v>17.899999999999999</v>
      </c>
      <c r="BO24" s="189">
        <f>100*0.0043</f>
        <v>0.43</v>
      </c>
      <c r="BP24" s="189">
        <f>100*0.238</f>
        <v>23.799999999999997</v>
      </c>
      <c r="BQ24" s="189">
        <f>100*0.579</f>
        <v>57.9</v>
      </c>
      <c r="BR24" s="189">
        <f>100*0.361</f>
        <v>36.1</v>
      </c>
      <c r="BS24" s="189">
        <f>100*0.015</f>
        <v>1.5</v>
      </c>
      <c r="BT24" s="189">
        <f>100*0.0921</f>
        <v>9.2100000000000009</v>
      </c>
      <c r="BU24" s="189">
        <f>100*0.532</f>
        <v>53.2</v>
      </c>
      <c r="BV24" s="189">
        <f>100*0.0282</f>
        <v>2.82</v>
      </c>
      <c r="BW24" s="189">
        <v>0</v>
      </c>
      <c r="BX24" s="189">
        <f>100*0.107</f>
        <v>10.7</v>
      </c>
      <c r="BY24" s="189">
        <f>100*0.865</f>
        <v>86.5</v>
      </c>
      <c r="BZ24" s="212">
        <f>AD24/CA24</f>
        <v>5.8247090364936298E-2</v>
      </c>
      <c r="CA24" s="202">
        <v>1378953</v>
      </c>
      <c r="CB24" s="202"/>
    </row>
    <row r="25" spans="1:101" s="189" customFormat="1">
      <c r="A25" s="189" t="s">
        <v>194</v>
      </c>
      <c r="B25" s="189" t="s">
        <v>108</v>
      </c>
      <c r="D25" s="189" t="s">
        <v>98</v>
      </c>
      <c r="E25" s="204">
        <v>15414</v>
      </c>
      <c r="F25" s="204">
        <v>42436</v>
      </c>
      <c r="G25" s="204">
        <v>43369</v>
      </c>
      <c r="H25" s="204" t="s">
        <v>99</v>
      </c>
      <c r="I25" s="192">
        <v>76.536618754277896</v>
      </c>
      <c r="J25" s="193">
        <v>27955</v>
      </c>
      <c r="K25" s="193">
        <v>933</v>
      </c>
      <c r="L25" s="193" t="s">
        <v>109</v>
      </c>
      <c r="M25" s="193" t="s">
        <v>109</v>
      </c>
      <c r="N25" s="194">
        <v>43159</v>
      </c>
      <c r="O25" s="205"/>
      <c r="P25" s="195"/>
      <c r="Q25" s="204" t="s">
        <v>111</v>
      </c>
      <c r="R25" s="196" t="s">
        <v>112</v>
      </c>
      <c r="S25" s="206">
        <v>10</v>
      </c>
      <c r="T25" s="205">
        <v>2186.34</v>
      </c>
      <c r="U25" s="207">
        <v>72.12</v>
      </c>
      <c r="V25" s="208">
        <f>T25-U25</f>
        <v>2114.2200000000003</v>
      </c>
      <c r="W25" s="209" t="s">
        <v>104</v>
      </c>
      <c r="X25" s="210"/>
      <c r="Y25" s="197">
        <v>6750000</v>
      </c>
      <c r="Z25" s="210"/>
      <c r="AA25" s="196"/>
      <c r="AB25" s="211">
        <v>10660000</v>
      </c>
      <c r="AC25" s="218" t="s">
        <v>195</v>
      </c>
      <c r="AD25" s="189">
        <v>112552</v>
      </c>
      <c r="AE25" s="189">
        <v>490</v>
      </c>
      <c r="AF25" s="189">
        <f>100*0.0042</f>
        <v>0.42</v>
      </c>
      <c r="AG25" s="189">
        <f>100*0.2421</f>
        <v>24.21</v>
      </c>
      <c r="AH25" s="189">
        <v>20</v>
      </c>
      <c r="AI25" s="189">
        <f>100*0.000185</f>
        <v>1.8499999999999999E-2</v>
      </c>
      <c r="AJ25" s="189">
        <v>1053</v>
      </c>
      <c r="AK25" s="189">
        <f>100*0.0095</f>
        <v>0.95</v>
      </c>
      <c r="AL25" s="189">
        <f>100*0.05215</f>
        <v>5.2149999999999999</v>
      </c>
      <c r="AM25" s="189">
        <f>100*0.00585</f>
        <v>0.58499999999999996</v>
      </c>
      <c r="AN25" s="189">
        <f>100*0.914</f>
        <v>91.4</v>
      </c>
      <c r="AO25" s="189">
        <f>100*0.0487</f>
        <v>4.87</v>
      </c>
      <c r="AP25" s="189">
        <v>41397</v>
      </c>
      <c r="AQ25" s="189">
        <f>100*0.1635</f>
        <v>16.350000000000001</v>
      </c>
      <c r="AR25" s="189">
        <f>100*0.10866</f>
        <v>10.866000000000001</v>
      </c>
      <c r="AS25" s="189">
        <f>100*0.069255</f>
        <v>6.9254999999999995</v>
      </c>
      <c r="AT25" s="189">
        <f>100*0.7205</f>
        <v>72.05</v>
      </c>
      <c r="AU25" s="189">
        <f>100*0.0687</f>
        <v>6.87</v>
      </c>
      <c r="AV25" s="189">
        <f>100*0.0648418</f>
        <v>6.4841800000000003</v>
      </c>
      <c r="AW25" s="189">
        <f>100*0.05635</f>
        <v>5.6349999999999998</v>
      </c>
      <c r="AX25" s="189">
        <f>100*0.718</f>
        <v>71.8</v>
      </c>
      <c r="AY25" s="189">
        <f>100*0.123</f>
        <v>12.3</v>
      </c>
      <c r="AZ25" s="189">
        <v>61751</v>
      </c>
      <c r="BA25" s="189">
        <f>100*0.1439721</f>
        <v>14.397209999999999</v>
      </c>
      <c r="BB25" s="189">
        <f>100*0.5106</f>
        <v>51.06</v>
      </c>
      <c r="BC25" s="189">
        <f>100*0.17025</f>
        <v>17.025000000000002</v>
      </c>
      <c r="BD25" s="189">
        <f>100*0.0091</f>
        <v>0.91</v>
      </c>
      <c r="BE25" s="189">
        <f>100*0.255</f>
        <v>25.5</v>
      </c>
      <c r="BF25" s="189">
        <f>100*0.4788</f>
        <v>47.88</v>
      </c>
      <c r="BG25" s="189">
        <f>100*0.17147</f>
        <v>17.147000000000002</v>
      </c>
      <c r="BH25" s="189">
        <f>100*0.01148</f>
        <v>1.1480000000000001</v>
      </c>
      <c r="BI25" s="189">
        <f>100*0.329</f>
        <v>32.9</v>
      </c>
      <c r="BJ25" s="189">
        <f>100*0.197</f>
        <v>19.7</v>
      </c>
      <c r="BK25" s="189">
        <f>100*0.0333</f>
        <v>3.3300000000000005</v>
      </c>
      <c r="BL25" s="189">
        <f>100*0.489</f>
        <v>48.9</v>
      </c>
      <c r="BM25" s="189">
        <f>100*0.262</f>
        <v>26.200000000000003</v>
      </c>
      <c r="BN25" s="189">
        <f>100*0.0633</f>
        <v>6.3299999999999992</v>
      </c>
      <c r="BO25" s="189">
        <f>100*0.0056</f>
        <v>0.55999999999999994</v>
      </c>
      <c r="BP25" s="189">
        <f>100*0.488</f>
        <v>48.8</v>
      </c>
      <c r="BQ25" s="189">
        <f>100*0.441</f>
        <v>44.1</v>
      </c>
      <c r="BR25" s="189">
        <f>100*0.2815</f>
        <v>28.15</v>
      </c>
      <c r="BS25" s="189">
        <f>100*0.103</f>
        <v>10.299999999999999</v>
      </c>
      <c r="BT25" s="189">
        <f>100*0.348</f>
        <v>34.799999999999997</v>
      </c>
      <c r="BU25" s="189">
        <f>100*0.274</f>
        <v>27.400000000000002</v>
      </c>
      <c r="BV25" s="189">
        <f>100*0.0675</f>
        <v>6.75</v>
      </c>
      <c r="BW25" s="189">
        <f>100*0.0076</f>
        <v>0.76</v>
      </c>
      <c r="BX25" s="189">
        <f>100*0.264</f>
        <v>26.400000000000002</v>
      </c>
      <c r="BY25" s="189">
        <f>100*0.682</f>
        <v>68.2</v>
      </c>
      <c r="BZ25" s="212"/>
      <c r="CA25" s="202"/>
      <c r="CB25" s="202"/>
    </row>
    <row r="26" spans="1:101" s="22" customFormat="1">
      <c r="A26" s="22" t="s">
        <v>196</v>
      </c>
      <c r="B26" s="22" t="s">
        <v>108</v>
      </c>
      <c r="D26" s="22" t="s">
        <v>98</v>
      </c>
      <c r="E26" s="96">
        <v>27389</v>
      </c>
      <c r="F26" s="96">
        <v>42605</v>
      </c>
      <c r="G26" s="96">
        <v>43012</v>
      </c>
      <c r="H26" s="96" t="s">
        <v>151</v>
      </c>
      <c r="I26" s="31">
        <v>42.773442847364819</v>
      </c>
      <c r="J26" s="23">
        <v>15623</v>
      </c>
      <c r="K26" s="23">
        <v>407</v>
      </c>
      <c r="L26" s="32" t="s">
        <v>100</v>
      </c>
      <c r="M26" s="24" t="s">
        <v>109</v>
      </c>
      <c r="N26" s="117">
        <v>42895</v>
      </c>
      <c r="O26" s="27">
        <v>1</v>
      </c>
      <c r="P26" s="27" t="s">
        <v>197</v>
      </c>
      <c r="Q26" s="154" t="s">
        <v>111</v>
      </c>
      <c r="R26" s="22" t="s">
        <v>112</v>
      </c>
      <c r="S26" s="169">
        <v>10</v>
      </c>
      <c r="T26" s="170">
        <v>1290.0899999999999</v>
      </c>
      <c r="U26" s="170">
        <v>83.6</v>
      </c>
      <c r="V26" s="29">
        <f>T26-U26</f>
        <v>1206.49</v>
      </c>
      <c r="W26" s="186" t="s">
        <v>104</v>
      </c>
      <c r="X26" s="30">
        <v>135000</v>
      </c>
      <c r="Y26" s="175">
        <v>6600000</v>
      </c>
      <c r="Z26" s="143"/>
      <c r="AA26" s="27"/>
      <c r="AB26" s="175">
        <v>19800000</v>
      </c>
      <c r="AC26" s="22" t="s">
        <v>198</v>
      </c>
      <c r="AD26" s="22">
        <v>230111</v>
      </c>
      <c r="AE26" s="22">
        <v>2452</v>
      </c>
      <c r="AF26" s="22">
        <f>100*0.0105</f>
        <v>1.05</v>
      </c>
      <c r="AG26" s="22">
        <f>100*0.06825</f>
        <v>6.8250000000000002</v>
      </c>
      <c r="AH26" s="22">
        <v>368</v>
      </c>
      <c r="AI26" s="22">
        <f>100*0.0018</f>
        <v>0.18</v>
      </c>
      <c r="AJ26" s="22">
        <v>3233</v>
      </c>
      <c r="AK26" s="22">
        <f>100*0.0141</f>
        <v>1.41</v>
      </c>
      <c r="AL26" s="22">
        <f>100*0.00546</f>
        <v>0.54599999999999993</v>
      </c>
      <c r="AM26" s="22">
        <f>100*0.000485</f>
        <v>4.8500000000000001E-2</v>
      </c>
      <c r="AN26" s="22">
        <f>100*0.878</f>
        <v>87.8</v>
      </c>
      <c r="AO26" s="22">
        <f>100*0.0496</f>
        <v>4.96</v>
      </c>
      <c r="AP26" s="22">
        <v>26842</v>
      </c>
      <c r="AQ26" s="22">
        <f>100*0.0416</f>
        <v>4.16</v>
      </c>
      <c r="AR26" s="22">
        <f>100*0.2209255</f>
        <v>22.092549999999999</v>
      </c>
      <c r="AS26" s="22">
        <f>100*0.69770265</f>
        <v>69.770264999999995</v>
      </c>
      <c r="AT26" s="22">
        <f>100*0.051</f>
        <v>5.0999999999999996</v>
      </c>
      <c r="AU26" s="22">
        <f>100*0.0184</f>
        <v>1.8399999999999999</v>
      </c>
      <c r="AV26" s="22">
        <f>100*0.0464</f>
        <v>4.6399999999999997</v>
      </c>
      <c r="AW26" s="22">
        <f>100*0.4587153</f>
        <v>45.87153</v>
      </c>
      <c r="AX26" s="22">
        <f>100*0.285</f>
        <v>28.499999999999996</v>
      </c>
      <c r="AY26" s="22">
        <f>100*0.204</f>
        <v>20.399999999999999</v>
      </c>
      <c r="AZ26" s="22">
        <v>187504</v>
      </c>
      <c r="BA26" s="22">
        <f>100*0.00397</f>
        <v>0.39699999999999996</v>
      </c>
      <c r="BB26" s="22">
        <f>100*0.40089</f>
        <v>40.089000000000006</v>
      </c>
      <c r="BC26" s="22">
        <f>100*0.500865</f>
        <v>50.086500000000001</v>
      </c>
      <c r="BD26" s="22">
        <f>100*0.0054861</f>
        <v>0.54860999999999993</v>
      </c>
      <c r="BE26" s="22">
        <f>100*0.0801</f>
        <v>8.01</v>
      </c>
      <c r="BF26" s="22">
        <f>100*0.2557</f>
        <v>25.569999999999997</v>
      </c>
      <c r="BG26" s="22">
        <f>100*0.4632083</f>
        <v>46.320830000000001</v>
      </c>
      <c r="BH26" s="22">
        <f>100*0.0219629</f>
        <v>2.1962899999999999</v>
      </c>
      <c r="BI26" s="22">
        <f>100*0.248</f>
        <v>24.8</v>
      </c>
      <c r="BJ26" s="22">
        <f>100*0.076</f>
        <v>7.6</v>
      </c>
      <c r="BK26" s="22">
        <f>100*0.348</f>
        <v>34.799999999999997</v>
      </c>
      <c r="BL26" s="22">
        <f>100*0.0209</f>
        <v>2.09</v>
      </c>
      <c r="BM26" s="22">
        <f>100*0.0054</f>
        <v>0.54</v>
      </c>
      <c r="BN26" s="22">
        <f>100*0.0154</f>
        <v>1.54</v>
      </c>
      <c r="BO26" s="22">
        <f>100*0.039745</f>
        <v>3.9745000000000004</v>
      </c>
      <c r="BP26" s="22">
        <f>100*0.579</f>
        <v>57.9</v>
      </c>
      <c r="BQ26" s="22">
        <f>100*0.255</f>
        <v>25.5</v>
      </c>
      <c r="BR26" s="22">
        <f>100*0.35971</f>
        <v>35.970999999999997</v>
      </c>
      <c r="BS26" s="22">
        <f>100*0.499565</f>
        <v>49.956499999999998</v>
      </c>
      <c r="BT26" s="22">
        <f>100*0.0417</f>
        <v>4.17</v>
      </c>
      <c r="BU26" s="22">
        <f>100*0.0235</f>
        <v>2.35</v>
      </c>
      <c r="BV26" s="22">
        <f>100*0.0086</f>
        <v>0.86</v>
      </c>
      <c r="BW26" s="22">
        <f>100*0.0285</f>
        <v>2.85</v>
      </c>
      <c r="BX26" s="22">
        <f>100*0.539</f>
        <v>53.900000000000006</v>
      </c>
      <c r="BY26" s="22">
        <f>100*0.425</f>
        <v>42.5</v>
      </c>
      <c r="BZ26" s="66">
        <f t="shared" ref="BZ26:BZ32" si="2">AD26/CA26</f>
        <v>0.12177756044794642</v>
      </c>
      <c r="CA26" s="67">
        <v>1889601</v>
      </c>
      <c r="CB26" s="67"/>
      <c r="CC26" s="57"/>
      <c r="CD26" s="57"/>
      <c r="CE26" s="57"/>
      <c r="CF26" s="57"/>
      <c r="CG26" s="57"/>
      <c r="CH26" s="57"/>
      <c r="CI26" s="57"/>
      <c r="CJ26" s="57"/>
      <c r="CK26" s="57"/>
      <c r="CL26" s="57"/>
      <c r="CM26" s="57"/>
      <c r="CN26" s="57"/>
      <c r="CO26" s="57"/>
      <c r="CP26" s="57"/>
      <c r="CQ26" s="57"/>
      <c r="CR26" s="57"/>
      <c r="CS26" s="57"/>
      <c r="CT26" s="57"/>
      <c r="CU26" s="57"/>
    </row>
    <row r="27" spans="1:101" s="22" customFormat="1" ht="24">
      <c r="A27" s="22" t="s">
        <v>199</v>
      </c>
      <c r="B27" s="22" t="s">
        <v>108</v>
      </c>
      <c r="D27" s="22" t="s">
        <v>98</v>
      </c>
      <c r="E27" s="59">
        <v>27389</v>
      </c>
      <c r="F27" s="59">
        <v>42605</v>
      </c>
      <c r="G27" s="59">
        <v>43110</v>
      </c>
      <c r="H27" s="59" t="s">
        <v>151</v>
      </c>
      <c r="I27" s="31">
        <f>(G27-E27)/365.25</f>
        <v>43.041752224503767</v>
      </c>
      <c r="J27" s="32">
        <f>G27-E27</f>
        <v>15721</v>
      </c>
      <c r="K27" s="32">
        <f>G27-F27</f>
        <v>505</v>
      </c>
      <c r="L27" s="32" t="s">
        <v>100</v>
      </c>
      <c r="M27" s="32" t="s">
        <v>109</v>
      </c>
      <c r="N27" s="25" t="s">
        <v>200</v>
      </c>
      <c r="O27" s="60" t="e">
        <f>N27-G27</f>
        <v>#VALUE!</v>
      </c>
      <c r="P27" s="26" t="s">
        <v>201</v>
      </c>
      <c r="Q27" s="59" t="s">
        <v>111</v>
      </c>
      <c r="R27" s="61" t="s">
        <v>112</v>
      </c>
      <c r="S27" s="62">
        <v>10</v>
      </c>
      <c r="T27" s="60">
        <v>2902.66</v>
      </c>
      <c r="U27" s="63">
        <v>68.77</v>
      </c>
      <c r="V27" s="28">
        <f t="shared" ref="V27:V40" si="3">T27-U27</f>
        <v>2833.89</v>
      </c>
      <c r="W27" s="61"/>
      <c r="X27" s="143"/>
      <c r="Y27" s="64">
        <v>13000000</v>
      </c>
      <c r="Z27" s="143"/>
      <c r="AA27" s="61"/>
      <c r="AB27" s="64">
        <v>50900000</v>
      </c>
      <c r="AC27" s="22" t="s">
        <v>202</v>
      </c>
      <c r="AD27" s="22">
        <v>82529</v>
      </c>
      <c r="AE27" s="22">
        <v>537</v>
      </c>
      <c r="AF27" s="22">
        <f>100*0.0066</f>
        <v>0.66</v>
      </c>
      <c r="AG27" s="22">
        <v>0.4234</v>
      </c>
      <c r="AH27" s="22">
        <v>173</v>
      </c>
      <c r="AI27" s="22">
        <v>2.15E-3</v>
      </c>
      <c r="AJ27" s="22">
        <v>719</v>
      </c>
      <c r="AK27" s="22">
        <v>8.8999999999999999E-3</v>
      </c>
      <c r="AL27" s="22">
        <v>0.1176</v>
      </c>
      <c r="AM27" s="22">
        <v>1.5000000000000001E-2</v>
      </c>
      <c r="AN27" s="22">
        <v>0.91700000000000004</v>
      </c>
      <c r="AO27" s="22">
        <v>7.1000000000000004E-3</v>
      </c>
      <c r="AP27" s="22">
        <v>10030</v>
      </c>
      <c r="AQ27" s="22">
        <v>0.34880000000000005</v>
      </c>
      <c r="AR27" s="22">
        <v>0.1079</v>
      </c>
      <c r="AS27" s="22">
        <v>0.85365000000000002</v>
      </c>
      <c r="AT27" s="22">
        <v>2.5930000000000002E-2</v>
      </c>
      <c r="AU27" s="22">
        <v>1.01E-2</v>
      </c>
      <c r="AV27" s="22">
        <v>6.1399999999999996E-2</v>
      </c>
      <c r="AW27" s="22">
        <v>0.76145000000000007</v>
      </c>
      <c r="AX27" s="22">
        <v>8.5710000000000008E-2</v>
      </c>
      <c r="AY27" s="22">
        <v>5.1799999999999999E-2</v>
      </c>
      <c r="AZ27" s="22">
        <v>67417</v>
      </c>
      <c r="BA27" s="22">
        <v>5.0499999999999996E-2</v>
      </c>
      <c r="BB27" s="22">
        <v>0.25140000000000001</v>
      </c>
      <c r="BC27" s="22">
        <v>0.69440499999999994</v>
      </c>
      <c r="BD27" s="22">
        <v>7.0461000000000005E-3</v>
      </c>
      <c r="BE27" s="22">
        <v>4.7E-2</v>
      </c>
      <c r="BF27" s="22">
        <v>0.14149999999999999</v>
      </c>
      <c r="BG27" s="22">
        <v>0.63878500000000005</v>
      </c>
      <c r="BH27" s="22">
        <v>3.7139999999999999E-2</v>
      </c>
      <c r="BI27" s="22">
        <v>0.16300000000000001</v>
      </c>
      <c r="BJ27" s="22">
        <v>0.26250000000000001</v>
      </c>
      <c r="BK27" s="22">
        <v>0.37745000000000001</v>
      </c>
      <c r="BL27" s="22">
        <v>0.25600000000000001</v>
      </c>
      <c r="BM27" s="22">
        <v>6.8500000000000005E-2</v>
      </c>
      <c r="BN27" s="22">
        <v>3.2100000000000004E-2</v>
      </c>
      <c r="BO27" s="22">
        <v>7.6350000000000001E-2</v>
      </c>
      <c r="BP27" s="22">
        <v>0.54090000000000005</v>
      </c>
      <c r="BQ27" s="22">
        <v>0.34300000000000003</v>
      </c>
      <c r="BR27" s="22">
        <v>0.1472</v>
      </c>
      <c r="BS27" s="22">
        <v>0.79110000000000003</v>
      </c>
      <c r="BT27" s="22">
        <v>4.6899999999999997E-2</v>
      </c>
      <c r="BU27" s="22">
        <v>1.2800000000000001E-2</v>
      </c>
      <c r="BV27" s="22">
        <v>1.2500000000000001E-2</v>
      </c>
      <c r="BW27" s="22">
        <v>4.4600000000000001E-2</v>
      </c>
      <c r="BX27" s="22">
        <v>0.76300000000000001</v>
      </c>
      <c r="BY27" s="22">
        <v>0.16800000000000001</v>
      </c>
      <c r="BZ27" s="66">
        <f t="shared" si="2"/>
        <v>0.28224692202462381</v>
      </c>
      <c r="CA27" s="67">
        <v>292400</v>
      </c>
      <c r="CB27" s="67"/>
      <c r="CC27" s="57"/>
      <c r="CD27" s="57"/>
      <c r="CE27" s="57"/>
      <c r="CF27" s="57"/>
      <c r="CG27" s="57"/>
      <c r="CH27" s="57"/>
      <c r="CI27" s="57"/>
      <c r="CJ27" s="57"/>
      <c r="CK27" s="57"/>
      <c r="CL27" s="57"/>
      <c r="CM27" s="57"/>
      <c r="CN27" s="57"/>
      <c r="CO27" s="57"/>
      <c r="CP27" s="57"/>
      <c r="CQ27" s="57"/>
      <c r="CR27" s="57"/>
      <c r="CS27" s="57"/>
      <c r="CT27" s="57"/>
      <c r="CU27" s="57"/>
    </row>
    <row r="28" spans="1:101" s="22" customFormat="1">
      <c r="A28" s="33" t="s">
        <v>203</v>
      </c>
      <c r="B28" s="33" t="s">
        <v>97</v>
      </c>
      <c r="C28" s="33"/>
      <c r="D28" s="33" t="s">
        <v>98</v>
      </c>
      <c r="E28" s="94">
        <v>25572</v>
      </c>
      <c r="F28" s="94">
        <v>42826</v>
      </c>
      <c r="G28" s="94">
        <v>42947</v>
      </c>
      <c r="H28" s="94" t="s">
        <v>99</v>
      </c>
      <c r="I28" s="45">
        <f>(G28-E28)/365.25</f>
        <v>47.570157426420259</v>
      </c>
      <c r="J28" s="34">
        <f>G28-E28</f>
        <v>17375</v>
      </c>
      <c r="K28" s="34">
        <f>G28-F28</f>
        <v>121</v>
      </c>
      <c r="L28" s="46" t="s">
        <v>109</v>
      </c>
      <c r="M28" s="35" t="s">
        <v>109</v>
      </c>
      <c r="N28" s="37" t="s">
        <v>204</v>
      </c>
      <c r="O28" s="37"/>
      <c r="P28" s="37"/>
      <c r="Q28" s="151" t="s">
        <v>205</v>
      </c>
      <c r="R28" s="37" t="s">
        <v>102</v>
      </c>
      <c r="S28" s="167" t="s">
        <v>206</v>
      </c>
      <c r="T28" s="168">
        <v>2331.34</v>
      </c>
      <c r="U28" s="168">
        <v>72.08</v>
      </c>
      <c r="V28" s="38">
        <f t="shared" si="3"/>
        <v>2259.2600000000002</v>
      </c>
      <c r="W28" s="185" t="s">
        <v>104</v>
      </c>
      <c r="X28" s="39">
        <v>135000</v>
      </c>
      <c r="Y28" s="173">
        <f>X28*V28</f>
        <v>305000100</v>
      </c>
      <c r="Z28" s="39">
        <v>12000000</v>
      </c>
      <c r="AA28" s="37" t="s">
        <v>207</v>
      </c>
      <c r="AB28" s="172">
        <v>2250000</v>
      </c>
      <c r="AC28" s="33" t="s">
        <v>208</v>
      </c>
      <c r="AD28" s="33">
        <v>6082</v>
      </c>
      <c r="AE28" s="33">
        <v>27</v>
      </c>
      <c r="AF28" s="33">
        <f>100*0.0045</f>
        <v>0.44999999999999996</v>
      </c>
      <c r="AG28" s="33">
        <f>100*0.148</f>
        <v>14.799999999999999</v>
      </c>
      <c r="AH28" s="33">
        <v>0</v>
      </c>
      <c r="AI28" s="33">
        <v>0</v>
      </c>
      <c r="AJ28" s="33">
        <v>32</v>
      </c>
      <c r="AK28" s="33">
        <f>100*0.0054</f>
        <v>0.54</v>
      </c>
      <c r="AL28" s="33">
        <f>100*0.312</f>
        <v>31.2</v>
      </c>
      <c r="AM28" s="33">
        <f>100*0.188</f>
        <v>18.8</v>
      </c>
      <c r="AN28" s="33">
        <f>100*0.688</f>
        <v>68.8</v>
      </c>
      <c r="AO28" s="33">
        <f>100*0.0938</f>
        <v>9.379999999999999</v>
      </c>
      <c r="AP28" s="33">
        <v>1113</v>
      </c>
      <c r="AQ28" s="33">
        <f>100*0.364</f>
        <v>36.4</v>
      </c>
      <c r="AR28" s="33">
        <f>100*0.146</f>
        <v>14.6</v>
      </c>
      <c r="AS28" s="33">
        <f>100*0.823</f>
        <v>82.3</v>
      </c>
      <c r="AT28" s="33">
        <f>100*0.0153</f>
        <v>1.53</v>
      </c>
      <c r="AU28" s="33">
        <f>100*0.0153</f>
        <v>1.53</v>
      </c>
      <c r="AV28" s="33">
        <f>100*0.0027</f>
        <v>0.27</v>
      </c>
      <c r="AW28" s="33">
        <f>100*0.0234</f>
        <v>2.34</v>
      </c>
      <c r="AX28" s="33">
        <f>100*0.81</f>
        <v>81</v>
      </c>
      <c r="AY28" s="33">
        <f>100*0.164</f>
        <v>16.400000000000002</v>
      </c>
      <c r="AZ28" s="33">
        <v>4528</v>
      </c>
      <c r="BA28" s="33">
        <f>100*0.127</f>
        <v>12.7</v>
      </c>
      <c r="BB28" s="33">
        <f>100*0.386</f>
        <v>38.6</v>
      </c>
      <c r="BC28" s="33">
        <f>100*0.574</f>
        <v>57.4</v>
      </c>
      <c r="BD28" s="33">
        <f>100*0.00022</f>
        <v>2.2000000000000002E-2</v>
      </c>
      <c r="BE28" s="33">
        <f>100*0.0395</f>
        <v>3.95</v>
      </c>
      <c r="BF28" s="33">
        <f>100*0.0157</f>
        <v>1.5699999999999998</v>
      </c>
      <c r="BG28" s="33">
        <f>100*0.0133</f>
        <v>1.3299999999999998</v>
      </c>
      <c r="BH28" s="33">
        <f>100*0.557</f>
        <v>55.7</v>
      </c>
      <c r="BI28" s="33">
        <f>100*0.414</f>
        <v>41.4</v>
      </c>
      <c r="BJ28" s="33">
        <f>100*0.111</f>
        <v>11.1</v>
      </c>
      <c r="BK28" s="33">
        <f>100*0.556</f>
        <v>55.600000000000009</v>
      </c>
      <c r="BL28" s="33">
        <f>100*0.259</f>
        <v>25.900000000000002</v>
      </c>
      <c r="BM28" s="33">
        <f>100*0.0741</f>
        <v>7.41</v>
      </c>
      <c r="BN28" s="33">
        <f>100*0.222</f>
        <v>22.2</v>
      </c>
      <c r="BO28" s="33">
        <f>100*0.519</f>
        <v>51.9</v>
      </c>
      <c r="BP28" s="33">
        <f>100*0.148</f>
        <v>14.799999999999999</v>
      </c>
      <c r="BQ28" s="33">
        <f>100*0.111</f>
        <v>11.1</v>
      </c>
      <c r="BR28" s="33">
        <f>100*0.469</f>
        <v>46.9</v>
      </c>
      <c r="BS28" s="33">
        <f>100*0.25</f>
        <v>25</v>
      </c>
      <c r="BT28" s="33">
        <f>100*0.125</f>
        <v>12.5</v>
      </c>
      <c r="BU28" s="33">
        <f>100*0.156</f>
        <v>15.6</v>
      </c>
      <c r="BV28" s="33">
        <v>0</v>
      </c>
      <c r="BW28" s="33">
        <v>0</v>
      </c>
      <c r="BX28" s="33">
        <f>100*0.375</f>
        <v>37.5</v>
      </c>
      <c r="BY28" s="33">
        <f>100*0.625</f>
        <v>62.5</v>
      </c>
      <c r="BZ28" s="102">
        <f t="shared" si="2"/>
        <v>2.9722460054030174E-3</v>
      </c>
      <c r="CA28" s="103">
        <v>2046264</v>
      </c>
      <c r="CB28" s="103"/>
      <c r="CC28" s="44"/>
      <c r="CD28" s="44"/>
      <c r="CE28" s="44"/>
      <c r="CF28" s="44"/>
      <c r="CG28" s="44"/>
      <c r="CH28" s="44"/>
      <c r="CI28" s="44"/>
      <c r="CJ28" s="44"/>
      <c r="CK28" s="44"/>
      <c r="CL28" s="44"/>
      <c r="CM28" s="44"/>
      <c r="CN28" s="44"/>
      <c r="CO28" s="44"/>
      <c r="CP28" s="44"/>
      <c r="CQ28" s="44"/>
      <c r="CR28" s="44"/>
      <c r="CS28" s="44"/>
      <c r="CT28" s="44"/>
      <c r="CU28" s="44"/>
      <c r="CV28" s="33"/>
      <c r="CW28" s="33"/>
    </row>
    <row r="29" spans="1:101" s="22" customFormat="1">
      <c r="A29" s="22" t="s">
        <v>209</v>
      </c>
      <c r="B29" s="22" t="s">
        <v>108</v>
      </c>
      <c r="D29" s="22" t="s">
        <v>98</v>
      </c>
      <c r="E29" s="59">
        <v>27991</v>
      </c>
      <c r="F29" s="59">
        <v>42725</v>
      </c>
      <c r="G29" s="59">
        <v>43132</v>
      </c>
      <c r="H29" s="59" t="s">
        <v>151</v>
      </c>
      <c r="I29" s="31">
        <f>(G29-E29)/365.25</f>
        <v>41.453798767967143</v>
      </c>
      <c r="J29" s="32">
        <f>G29-E29</f>
        <v>15141</v>
      </c>
      <c r="K29" s="32">
        <f>G29-F29</f>
        <v>407</v>
      </c>
      <c r="L29" s="32" t="s">
        <v>109</v>
      </c>
      <c r="M29" s="32" t="s">
        <v>100</v>
      </c>
      <c r="N29" s="25" t="s">
        <v>110</v>
      </c>
      <c r="O29" s="62">
        <v>0</v>
      </c>
      <c r="P29" s="62">
        <v>0</v>
      </c>
      <c r="Q29" s="59" t="s">
        <v>111</v>
      </c>
      <c r="R29" s="61" t="s">
        <v>112</v>
      </c>
      <c r="S29" s="62">
        <v>10</v>
      </c>
      <c r="T29" s="60">
        <v>1839.74</v>
      </c>
      <c r="U29" s="63">
        <v>70.650000000000006</v>
      </c>
      <c r="V29" s="28">
        <f t="shared" si="3"/>
        <v>1769.09</v>
      </c>
      <c r="W29" s="61"/>
      <c r="X29" s="143"/>
      <c r="Y29" s="64">
        <v>8500000</v>
      </c>
      <c r="Z29" s="143"/>
      <c r="AA29" s="61"/>
      <c r="AB29" s="64">
        <v>1300000</v>
      </c>
      <c r="AC29" s="22" t="s">
        <v>210</v>
      </c>
      <c r="AD29" s="22">
        <v>222941</v>
      </c>
      <c r="AE29" s="22">
        <v>2966</v>
      </c>
      <c r="AF29" s="22">
        <f>100*0.0135</f>
        <v>1.35</v>
      </c>
      <c r="AG29" s="22">
        <f>100*0.839</f>
        <v>83.899999999999991</v>
      </c>
      <c r="AH29" s="22">
        <v>2163</v>
      </c>
      <c r="AI29" s="22">
        <f>100*0.01</f>
        <v>1</v>
      </c>
      <c r="AJ29" s="22">
        <v>1978</v>
      </c>
      <c r="AK29" s="22">
        <f>100*0.0095</f>
        <v>0.95</v>
      </c>
      <c r="AL29" s="22">
        <f>100*0.3625</f>
        <v>36.25</v>
      </c>
      <c r="AM29" s="22">
        <f>100*0.0408</f>
        <v>4.08</v>
      </c>
      <c r="AN29" s="22">
        <f>100*0.889</f>
        <v>88.9</v>
      </c>
      <c r="AO29" s="22">
        <f>100*0.0647</f>
        <v>6.47</v>
      </c>
      <c r="AP29" s="22">
        <v>25149</v>
      </c>
      <c r="AQ29" s="22">
        <f>100*0.35076</f>
        <v>35.076000000000001</v>
      </c>
      <c r="AR29" s="22">
        <f>100*0.33672</f>
        <v>33.672000000000004</v>
      </c>
      <c r="AS29" s="22">
        <f>100*0.418805</f>
        <v>41.880499999999998</v>
      </c>
      <c r="AT29" s="22">
        <f>100*0.19783</f>
        <v>19.783000000000001</v>
      </c>
      <c r="AU29" s="22">
        <f>100*0.0414</f>
        <v>4.1399999999999997</v>
      </c>
      <c r="AV29" s="22">
        <f>100*0.1538</f>
        <v>15.379999999999999</v>
      </c>
      <c r="AW29" s="22">
        <f>100*0.33155</f>
        <v>33.155000000000001</v>
      </c>
      <c r="AX29" s="22">
        <f>100*0.29872</f>
        <v>29.872</v>
      </c>
      <c r="AY29" s="22">
        <f>100*0.191</f>
        <v>19.100000000000001</v>
      </c>
      <c r="AZ29" s="22">
        <v>185135</v>
      </c>
      <c r="BA29" s="22">
        <f>100*0.20333</f>
        <v>20.333000000000002</v>
      </c>
      <c r="BB29" s="22">
        <f>100*0.29749</f>
        <v>29.748999999999999</v>
      </c>
      <c r="BC29" s="22">
        <f>100*0.59375915</f>
        <v>59.375914999999999</v>
      </c>
      <c r="BD29" s="22">
        <f>100*0.01969193</f>
        <v>1.969193</v>
      </c>
      <c r="BE29" s="22">
        <f>100*0.0899</f>
        <v>8.99</v>
      </c>
      <c r="BF29" s="22">
        <f>100*0.2349</f>
        <v>23.49</v>
      </c>
      <c r="BG29" s="22">
        <f>100*0.54120565</f>
        <v>54.120564999999999</v>
      </c>
      <c r="BH29" s="22">
        <f>100*0.0276</f>
        <v>2.76</v>
      </c>
      <c r="BI29" s="22">
        <f>100*0.119</f>
        <v>11.899999999999999</v>
      </c>
      <c r="BJ29" s="22">
        <f>100*0.153</f>
        <v>15.299999999999999</v>
      </c>
      <c r="BK29" s="22">
        <f>100*0.06284</f>
        <v>6.2839999999999989</v>
      </c>
      <c r="BL29" s="22">
        <f>100*0.36951</f>
        <v>36.951000000000001</v>
      </c>
      <c r="BM29" s="22">
        <f>100*0.413</f>
        <v>41.3</v>
      </c>
      <c r="BN29" s="22">
        <f>100*0.075</f>
        <v>7.5</v>
      </c>
      <c r="BO29" s="22">
        <f>100*0.068205</f>
        <v>6.8205</v>
      </c>
      <c r="BP29" s="22">
        <f>100*0.4415</f>
        <v>44.15</v>
      </c>
      <c r="BQ29" s="22">
        <f>100*0.36</f>
        <v>36</v>
      </c>
      <c r="BR29" s="22">
        <f>100*0.3244</f>
        <v>32.440000000000005</v>
      </c>
      <c r="BS29" s="22">
        <f>100*0.538</f>
        <v>53.800000000000004</v>
      </c>
      <c r="BT29" s="22">
        <f>100*0.0688</f>
        <v>6.88</v>
      </c>
      <c r="BU29" s="22">
        <f>100*0.0788</f>
        <v>7.88</v>
      </c>
      <c r="BV29" s="22">
        <f>100*0.1666</f>
        <v>16.66</v>
      </c>
      <c r="BW29" s="22">
        <f>100*0.2422</f>
        <v>24.22</v>
      </c>
      <c r="BX29" s="22">
        <f>100*0.359</f>
        <v>35.9</v>
      </c>
      <c r="BY29" s="22">
        <f>100*0.214</f>
        <v>21.4</v>
      </c>
      <c r="BZ29" s="66">
        <f t="shared" si="2"/>
        <v>0.10762734284180484</v>
      </c>
      <c r="CA29" s="67">
        <v>2071416</v>
      </c>
      <c r="CB29" s="67"/>
      <c r="CC29" s="57"/>
      <c r="CD29" s="57"/>
      <c r="CE29" s="57"/>
      <c r="CF29" s="57"/>
      <c r="CG29" s="57"/>
      <c r="CH29" s="57"/>
      <c r="CI29" s="57"/>
      <c r="CJ29" s="57"/>
      <c r="CK29" s="57"/>
      <c r="CL29" s="57"/>
      <c r="CM29" s="57"/>
      <c r="CN29" s="57"/>
      <c r="CO29" s="57"/>
      <c r="CP29" s="57"/>
      <c r="CQ29" s="57"/>
      <c r="CR29" s="57"/>
      <c r="CS29" s="57"/>
      <c r="CT29" s="57"/>
      <c r="CU29" s="57"/>
    </row>
    <row r="30" spans="1:101" s="189" customFormat="1" ht="24">
      <c r="A30" s="189" t="s">
        <v>211</v>
      </c>
      <c r="B30" s="189" t="s">
        <v>97</v>
      </c>
      <c r="D30" s="189" t="s">
        <v>98</v>
      </c>
      <c r="E30" s="190">
        <v>24133</v>
      </c>
      <c r="F30" s="190">
        <v>43046</v>
      </c>
      <c r="G30" s="190">
        <v>43071</v>
      </c>
      <c r="H30" s="190" t="s">
        <v>151</v>
      </c>
      <c r="I30" s="213">
        <f>(G30-E30)/365.25</f>
        <v>51.849418206707732</v>
      </c>
      <c r="J30" s="213">
        <f>G30-E30</f>
        <v>18938</v>
      </c>
      <c r="K30" s="213">
        <f>G30-F30</f>
        <v>25</v>
      </c>
      <c r="L30" s="214" t="s">
        <v>100</v>
      </c>
      <c r="M30" s="214" t="s">
        <v>109</v>
      </c>
      <c r="N30" s="194" t="s">
        <v>201</v>
      </c>
      <c r="O30" s="195"/>
      <c r="P30" s="195"/>
      <c r="Q30" s="215" t="s">
        <v>212</v>
      </c>
      <c r="R30" s="216" t="s">
        <v>184</v>
      </c>
      <c r="S30" s="217" t="s">
        <v>213</v>
      </c>
      <c r="T30" s="197">
        <v>1738.53</v>
      </c>
      <c r="U30" s="197">
        <v>74.73</v>
      </c>
      <c r="V30" s="198">
        <f t="shared" si="3"/>
        <v>1663.8</v>
      </c>
      <c r="W30" s="209" t="s">
        <v>185</v>
      </c>
      <c r="X30" s="199">
        <v>24600000</v>
      </c>
      <c r="Y30" s="200">
        <f>X30*V30</f>
        <v>40929480000</v>
      </c>
      <c r="Z30" s="199">
        <v>39200000</v>
      </c>
      <c r="AA30" s="216" t="s">
        <v>138</v>
      </c>
      <c r="AB30" s="219">
        <v>29100000</v>
      </c>
      <c r="AC30" s="189" t="s">
        <v>214</v>
      </c>
      <c r="AD30" s="189">
        <v>37351</v>
      </c>
      <c r="AE30" s="189">
        <v>86</v>
      </c>
      <c r="AF30" s="189">
        <f>100*0.0024</f>
        <v>0.24</v>
      </c>
      <c r="AG30" s="189">
        <f>100*0.151</f>
        <v>15.1</v>
      </c>
      <c r="AH30" s="189">
        <v>206</v>
      </c>
      <c r="AI30" s="189">
        <f>100*0.0058</f>
        <v>0.57999999999999996</v>
      </c>
      <c r="AJ30" s="189">
        <v>8</v>
      </c>
      <c r="AK30" s="189">
        <f>100*0.00021</f>
        <v>2.1000000000000001E-2</v>
      </c>
      <c r="AL30" s="189" t="s">
        <v>215</v>
      </c>
      <c r="AM30" s="189" t="s">
        <v>216</v>
      </c>
      <c r="AN30" s="189" t="s">
        <v>216</v>
      </c>
      <c r="AO30" s="189" t="s">
        <v>215</v>
      </c>
      <c r="AP30" s="189">
        <v>10055</v>
      </c>
      <c r="AQ30" s="189">
        <f>100*0.231</f>
        <v>23.1</v>
      </c>
      <c r="AR30" s="189">
        <f>100*0.0222</f>
        <v>2.2200000000000002</v>
      </c>
      <c r="AS30" s="189">
        <f>100*0.1999005</f>
        <v>19.99005</v>
      </c>
      <c r="AT30" s="189">
        <f>100*0.4869083</f>
        <v>48.690829999999998</v>
      </c>
      <c r="AU30" s="189">
        <f>100*0.291</f>
        <v>29.099999999999998</v>
      </c>
      <c r="AV30" s="189">
        <f>100*0.197</f>
        <v>19.7</v>
      </c>
      <c r="AW30" s="189">
        <f>100*0.368</f>
        <v>36.799999999999997</v>
      </c>
      <c r="AX30" s="189">
        <f>100*0.3499083</f>
        <v>34.990830000000003</v>
      </c>
      <c r="AY30" s="189">
        <f>100*0.0841</f>
        <v>8.41</v>
      </c>
      <c r="AZ30" s="189">
        <v>24268</v>
      </c>
      <c r="BA30" s="189">
        <f>100*0.0474</f>
        <v>4.74</v>
      </c>
      <c r="BB30" s="189">
        <f>100*0.2249176</f>
        <v>22.491759999999999</v>
      </c>
      <c r="BC30" s="189">
        <f>100*0.3639176</f>
        <v>36.391759999999998</v>
      </c>
      <c r="BD30" s="189">
        <f>100*0.095</f>
        <v>9.5</v>
      </c>
      <c r="BE30" s="189">
        <f>100*0.316</f>
        <v>31.6</v>
      </c>
      <c r="BF30" s="189">
        <f>100*0.325</f>
        <v>32.5</v>
      </c>
      <c r="BG30" s="189">
        <f>100*0.335</f>
        <v>33.5</v>
      </c>
      <c r="BH30" s="189">
        <f>100*0.0715</f>
        <v>7.1499999999999995</v>
      </c>
      <c r="BI30" s="189">
        <f>100*0.269</f>
        <v>26.900000000000002</v>
      </c>
      <c r="BJ30" s="189">
        <f>100*0.226</f>
        <v>22.6</v>
      </c>
      <c r="BK30" s="189">
        <f>100*0.1284</f>
        <v>12.839999999999998</v>
      </c>
      <c r="BL30" s="189">
        <f>100*0.237</f>
        <v>23.7</v>
      </c>
      <c r="BM30" s="189">
        <f>100*0.398</f>
        <v>39.800000000000004</v>
      </c>
      <c r="BN30" s="189">
        <f>100*0.314</f>
        <v>31.4</v>
      </c>
      <c r="BO30" s="189">
        <f>100*0.496</f>
        <v>49.6</v>
      </c>
      <c r="BP30" s="189">
        <f>100*0.279</f>
        <v>27.900000000000002</v>
      </c>
      <c r="BQ30" s="189">
        <f>100*0.186</f>
        <v>18.600000000000001</v>
      </c>
      <c r="BR30" s="189" t="s">
        <v>216</v>
      </c>
      <c r="BS30" s="189" t="s">
        <v>216</v>
      </c>
      <c r="BT30" s="189" t="s">
        <v>216</v>
      </c>
      <c r="BU30" s="189" t="s">
        <v>216</v>
      </c>
      <c r="BV30" s="189" t="s">
        <v>216</v>
      </c>
      <c r="BW30" s="189" t="s">
        <v>216</v>
      </c>
      <c r="BX30" s="189" t="s">
        <v>216</v>
      </c>
      <c r="BY30" s="189" t="s">
        <v>216</v>
      </c>
      <c r="BZ30" s="212">
        <f t="shared" si="2"/>
        <v>3.7997837182355235E-2</v>
      </c>
      <c r="CA30" s="202">
        <v>982977</v>
      </c>
      <c r="CB30" s="202"/>
      <c r="CC30" s="203"/>
      <c r="CD30" s="203"/>
      <c r="CE30" s="203"/>
      <c r="CF30" s="203"/>
      <c r="CG30" s="203"/>
      <c r="CH30" s="203"/>
      <c r="CI30" s="203"/>
      <c r="CJ30" s="203"/>
      <c r="CK30" s="203"/>
      <c r="CL30" s="203"/>
      <c r="CM30" s="203"/>
      <c r="CN30" s="203"/>
      <c r="CO30" s="203"/>
      <c r="CP30" s="203"/>
      <c r="CQ30" s="203"/>
      <c r="CR30" s="203"/>
      <c r="CS30" s="203"/>
      <c r="CT30" s="203"/>
      <c r="CU30" s="203"/>
    </row>
    <row r="31" spans="1:101" s="189" customFormat="1" ht="24">
      <c r="A31" s="189" t="s">
        <v>217</v>
      </c>
      <c r="B31" s="189" t="s">
        <v>108</v>
      </c>
      <c r="C31" s="189" t="s">
        <v>218</v>
      </c>
      <c r="D31" s="189" t="s">
        <v>98</v>
      </c>
      <c r="E31" s="204">
        <v>24133</v>
      </c>
      <c r="F31" s="204">
        <v>43046</v>
      </c>
      <c r="G31" s="204">
        <v>43180</v>
      </c>
      <c r="H31" s="204" t="s">
        <v>151</v>
      </c>
      <c r="I31" s="192">
        <f>(G31-E31)/365.25</f>
        <v>52.147843942505133</v>
      </c>
      <c r="J31" s="193">
        <f>G31-E31</f>
        <v>19047</v>
      </c>
      <c r="K31" s="193">
        <f>G31-F31</f>
        <v>134</v>
      </c>
      <c r="L31" s="193" t="s">
        <v>100</v>
      </c>
      <c r="M31" s="193" t="s">
        <v>109</v>
      </c>
      <c r="N31" s="194" t="s">
        <v>219</v>
      </c>
      <c r="O31" s="205" t="e">
        <f>N31-G31</f>
        <v>#VALUE!</v>
      </c>
      <c r="P31" s="206" t="s">
        <v>197</v>
      </c>
      <c r="Q31" s="204" t="s">
        <v>111</v>
      </c>
      <c r="R31" s="196" t="s">
        <v>220</v>
      </c>
      <c r="S31" s="206">
        <v>10</v>
      </c>
      <c r="T31" s="205">
        <v>2265.15</v>
      </c>
      <c r="U31" s="207">
        <v>82.62</v>
      </c>
      <c r="V31" s="208">
        <f t="shared" si="3"/>
        <v>2182.5300000000002</v>
      </c>
      <c r="W31" s="196" t="s">
        <v>104</v>
      </c>
      <c r="X31" s="210"/>
      <c r="Y31" s="211">
        <v>65500000</v>
      </c>
      <c r="Z31" s="210"/>
      <c r="AA31" s="196"/>
      <c r="AB31" s="211">
        <v>45800000</v>
      </c>
      <c r="AC31" s="189" t="s">
        <v>221</v>
      </c>
      <c r="AD31" s="189">
        <v>154129</v>
      </c>
      <c r="AE31" s="189">
        <v>1344</v>
      </c>
      <c r="AF31" s="189">
        <f>100*0.0087</f>
        <v>0.86999999999999988</v>
      </c>
      <c r="AG31" s="189">
        <f>100*0.45121</f>
        <v>45.121000000000002</v>
      </c>
      <c r="AH31" s="189">
        <v>1685</v>
      </c>
      <c r="AI31" s="189">
        <f>100*0.0116</f>
        <v>1.1599999999999999</v>
      </c>
      <c r="AJ31" s="189">
        <v>1770</v>
      </c>
      <c r="AK31" s="189">
        <f>100*0.0117</f>
        <v>1.17</v>
      </c>
      <c r="AL31" s="189">
        <f>100*0.10125</f>
        <v>10.125</v>
      </c>
      <c r="AM31" s="189">
        <f>100*0.03105</f>
        <v>3.105</v>
      </c>
      <c r="AN31" s="189">
        <f>100*0.727</f>
        <v>72.7</v>
      </c>
      <c r="AO31" s="189">
        <f>100*0.0634</f>
        <v>6.34</v>
      </c>
      <c r="AP31" s="189">
        <v>27677</v>
      </c>
      <c r="AQ31" s="189">
        <f>100*0.4169277</f>
        <v>41.692770000000003</v>
      </c>
      <c r="AR31" s="189">
        <f>100*0.1339732</f>
        <v>13.397319999999999</v>
      </c>
      <c r="AS31" s="189">
        <f>100*0.3529443</f>
        <v>35.294429999999998</v>
      </c>
      <c r="AT31" s="189">
        <f>100*0.329</f>
        <v>32.9</v>
      </c>
      <c r="AU31" s="189">
        <f>100*0.149</f>
        <v>14.899999999999999</v>
      </c>
      <c r="AV31" s="189">
        <f>100*0.04285</f>
        <v>4.2850000000000001</v>
      </c>
      <c r="AW31" s="189">
        <f>100*0.2708</f>
        <v>27.08</v>
      </c>
      <c r="AX31" s="189">
        <f>100*0.4419154</f>
        <v>44.191540000000003</v>
      </c>
      <c r="AY31" s="189">
        <f>100*0.263</f>
        <v>26.3</v>
      </c>
      <c r="AZ31" s="189">
        <v>110537</v>
      </c>
      <c r="BA31" s="189">
        <f>100*0.1394471</f>
        <v>13.944709999999999</v>
      </c>
      <c r="BB31" s="189">
        <f>100*0.4919742</f>
        <v>49.197419999999994</v>
      </c>
      <c r="BC31" s="189">
        <f>100*0.2849659</f>
        <v>28.496589999999998</v>
      </c>
      <c r="BD31" s="189">
        <f>100*0.046882</f>
        <v>4.6882000000000001</v>
      </c>
      <c r="BE31" s="189">
        <f>100*0.196</f>
        <v>19.600000000000001</v>
      </c>
      <c r="BF31" s="189">
        <f>100*0.27486</f>
        <v>27.486000000000001</v>
      </c>
      <c r="BG31" s="189">
        <f>100*0.29397905</f>
        <v>29.397905000000002</v>
      </c>
      <c r="BH31" s="189">
        <f>100*0.0627461</f>
        <v>6.27461</v>
      </c>
      <c r="BI31" s="189">
        <f>100*0.339</f>
        <v>33.900000000000006</v>
      </c>
      <c r="BJ31" s="189">
        <f>100*0.0567</f>
        <v>5.67</v>
      </c>
      <c r="BK31" s="189">
        <f>100*0.0079</f>
        <v>0.79</v>
      </c>
      <c r="BL31" s="189">
        <f>100*0.0811</f>
        <v>8.1100000000000012</v>
      </c>
      <c r="BM31" s="189">
        <f>100*0.854</f>
        <v>85.399999999999991</v>
      </c>
      <c r="BN31" s="189">
        <f>100*0.07259</f>
        <v>7.2590000000000003</v>
      </c>
      <c r="BO31" s="189">
        <f>100*0.008995</f>
        <v>0.89949999999999997</v>
      </c>
      <c r="BP31" s="189">
        <f>100*0.0685</f>
        <v>6.8500000000000005</v>
      </c>
      <c r="BQ31" s="189">
        <f>100*0.846</f>
        <v>84.6</v>
      </c>
      <c r="BR31" s="189">
        <f>100*0.632</f>
        <v>63.2</v>
      </c>
      <c r="BS31" s="189">
        <f>100*0.101</f>
        <v>10.100000000000001</v>
      </c>
      <c r="BT31" s="189">
        <f>100*0.0484</f>
        <v>4.84</v>
      </c>
      <c r="BU31" s="189">
        <f>100*0.218</f>
        <v>21.8</v>
      </c>
      <c r="BV31" s="189">
        <f>100*0.2373</f>
        <v>23.73</v>
      </c>
      <c r="BW31" s="189">
        <f>100*0.12915</f>
        <v>12.914999999999999</v>
      </c>
      <c r="BX31" s="189">
        <f>100*0.172</f>
        <v>17.2</v>
      </c>
      <c r="BY31" s="189">
        <f>100*0.459</f>
        <v>45.9</v>
      </c>
      <c r="BZ31" s="212">
        <f t="shared" si="2"/>
        <v>0.12088823981094472</v>
      </c>
      <c r="CA31" s="202">
        <v>1274971</v>
      </c>
      <c r="CB31" s="202"/>
      <c r="CC31" s="203"/>
      <c r="CD31" s="203"/>
      <c r="CE31" s="203"/>
      <c r="CF31" s="203"/>
      <c r="CG31" s="203"/>
      <c r="CH31" s="203"/>
      <c r="CI31" s="203"/>
      <c r="CJ31" s="203"/>
      <c r="CK31" s="203"/>
      <c r="CL31" s="203"/>
      <c r="CM31" s="203"/>
      <c r="CN31" s="203"/>
      <c r="CO31" s="203"/>
      <c r="CP31" s="203"/>
      <c r="CQ31" s="203"/>
      <c r="CR31" s="203"/>
      <c r="CS31" s="203"/>
      <c r="CT31" s="203"/>
      <c r="CU31" s="203"/>
    </row>
    <row r="32" spans="1:101" s="189" customFormat="1">
      <c r="A32" s="189" t="s">
        <v>222</v>
      </c>
      <c r="B32" s="189" t="s">
        <v>108</v>
      </c>
      <c r="D32" s="189" t="s">
        <v>98</v>
      </c>
      <c r="E32" s="204">
        <v>24133</v>
      </c>
      <c r="F32" s="204">
        <v>43046</v>
      </c>
      <c r="G32" s="204">
        <v>43313</v>
      </c>
      <c r="H32" s="204" t="s">
        <v>151</v>
      </c>
      <c r="I32" s="192">
        <v>52.511978097193705</v>
      </c>
      <c r="J32" s="193">
        <v>19180</v>
      </c>
      <c r="K32" s="193">
        <v>267</v>
      </c>
      <c r="L32" s="193" t="s">
        <v>100</v>
      </c>
      <c r="M32" s="193" t="s">
        <v>109</v>
      </c>
      <c r="N32" s="194">
        <v>43071</v>
      </c>
      <c r="O32" s="205"/>
      <c r="P32" s="206"/>
      <c r="Q32" s="204" t="s">
        <v>111</v>
      </c>
      <c r="R32" s="196" t="s">
        <v>112</v>
      </c>
      <c r="S32" s="206">
        <v>10</v>
      </c>
      <c r="T32" s="205">
        <v>1890.82</v>
      </c>
      <c r="U32" s="207">
        <v>80.400000000000006</v>
      </c>
      <c r="V32" s="208">
        <f t="shared" si="3"/>
        <v>1810.4199999999998</v>
      </c>
      <c r="W32" s="196"/>
      <c r="X32" s="210"/>
      <c r="Y32" s="211">
        <v>17000000</v>
      </c>
      <c r="Z32" s="210"/>
      <c r="AA32" s="196"/>
      <c r="AB32" s="211">
        <v>21000000</v>
      </c>
      <c r="AC32" s="189" t="s">
        <v>223</v>
      </c>
      <c r="AD32" s="189">
        <v>476000</v>
      </c>
      <c r="AE32" s="189">
        <v>5530</v>
      </c>
      <c r="AF32" s="189">
        <f>100*0.0117</f>
        <v>1.17</v>
      </c>
      <c r="AG32" s="189">
        <f>100*0.55471</f>
        <v>55.471000000000004</v>
      </c>
      <c r="AH32" s="189">
        <v>587</v>
      </c>
      <c r="AI32" s="189">
        <f>100*0.0011</f>
        <v>0.11</v>
      </c>
      <c r="AJ32" s="189">
        <v>10148</v>
      </c>
      <c r="AK32" s="189">
        <f>100*0.0206</f>
        <v>2.06</v>
      </c>
      <c r="AL32" s="189">
        <f>100*0.1555</f>
        <v>15.55</v>
      </c>
      <c r="AM32" s="189">
        <f>100*0.0091161</f>
        <v>0.91161000000000003</v>
      </c>
      <c r="AN32" s="189">
        <f>100*0.946</f>
        <v>94.6</v>
      </c>
      <c r="AO32" s="189">
        <f>100*0.0131</f>
        <v>1.31</v>
      </c>
      <c r="AP32" s="189">
        <v>89255</v>
      </c>
      <c r="AQ32" s="189">
        <f>100*0.31089</f>
        <v>31.088999999999999</v>
      </c>
      <c r="AR32" s="189">
        <f>100*0.2431</f>
        <v>24.310000000000002</v>
      </c>
      <c r="AS32" s="189">
        <f>100*0.574615</f>
        <v>57.461500000000001</v>
      </c>
      <c r="AT32" s="189">
        <f>100*0.09234</f>
        <v>9.234</v>
      </c>
      <c r="AU32" s="189">
        <f>100*0.0819</f>
        <v>8.19</v>
      </c>
      <c r="AV32" s="189">
        <f>100*0.08485</f>
        <v>8.4849999999999994</v>
      </c>
      <c r="AW32" s="189">
        <f>100*0.55334</f>
        <v>55.334000000000003</v>
      </c>
      <c r="AX32" s="189">
        <f>100*0.17715</f>
        <v>17.715</v>
      </c>
      <c r="AY32" s="189">
        <f>100*0.173</f>
        <v>17.299999999999997</v>
      </c>
      <c r="AZ32" s="189">
        <v>362716</v>
      </c>
      <c r="BA32" s="189">
        <f>100*0.1489589</f>
        <v>14.895890000000001</v>
      </c>
      <c r="BB32" s="189">
        <f>100*0.4084</f>
        <v>40.839999999999996</v>
      </c>
      <c r="BC32" s="189">
        <f>100*0.508435</f>
        <v>50.843499999999999</v>
      </c>
      <c r="BD32" s="189">
        <f>100*0.00189449</f>
        <v>0.18944900000000001</v>
      </c>
      <c r="BE32" s="189">
        <f>100*0.0712</f>
        <v>7.12</v>
      </c>
      <c r="BF32" s="189">
        <f>100*0.30638</f>
        <v>30.637999999999998</v>
      </c>
      <c r="BG32" s="189">
        <f>100*0.5236</f>
        <v>52.359999999999992</v>
      </c>
      <c r="BH32" s="189">
        <f>100*0.00715</f>
        <v>0.71499999999999997</v>
      </c>
      <c r="BI32" s="189">
        <f>100*0.162</f>
        <v>16.2</v>
      </c>
      <c r="BJ32" s="189">
        <f>100*0.6245</f>
        <v>62.45</v>
      </c>
      <c r="BK32" s="189">
        <f>100*0.09235</f>
        <v>9.2349999999999994</v>
      </c>
      <c r="BL32" s="189">
        <f>100*0.04736</f>
        <v>4.7359999999999998</v>
      </c>
      <c r="BM32" s="189">
        <f>100*0.24</f>
        <v>24</v>
      </c>
      <c r="BN32" s="189">
        <f>100*0.16664</f>
        <v>16.664000000000001</v>
      </c>
      <c r="BO32" s="189">
        <f>100*0.01783</f>
        <v>1.7829999999999999</v>
      </c>
      <c r="BP32" s="189">
        <f>100*0.1384</f>
        <v>13.84</v>
      </c>
      <c r="BQ32" s="189">
        <f>100*0.66</f>
        <v>66</v>
      </c>
      <c r="BR32" s="189">
        <f>100*0.8237</f>
        <v>82.37</v>
      </c>
      <c r="BS32" s="189">
        <f>100*0.04595</f>
        <v>4.5949999999999998</v>
      </c>
      <c r="BT32" s="189">
        <f>100*0.0051</f>
        <v>0.51</v>
      </c>
      <c r="BU32" s="189">
        <f>100*0.102</f>
        <v>10.199999999999999</v>
      </c>
      <c r="BV32" s="189">
        <f>100*0.23001</f>
        <v>23.000999999999998</v>
      </c>
      <c r="BW32" s="189">
        <f>100*0.060455</f>
        <v>6.0455000000000005</v>
      </c>
      <c r="BX32" s="189">
        <f>100*0.0677</f>
        <v>6.77</v>
      </c>
      <c r="BY32" s="189">
        <f>100*0.563</f>
        <v>56.3</v>
      </c>
      <c r="BZ32" s="212" t="e">
        <f t="shared" si="2"/>
        <v>#DIV/0!</v>
      </c>
      <c r="CA32" s="202"/>
      <c r="CB32" s="202"/>
      <c r="CC32" s="203"/>
      <c r="CD32" s="203"/>
      <c r="CE32" s="203"/>
      <c r="CF32" s="203"/>
      <c r="CG32" s="203"/>
      <c r="CH32" s="203"/>
      <c r="CI32" s="203"/>
      <c r="CJ32" s="203"/>
      <c r="CK32" s="203"/>
      <c r="CL32" s="203"/>
      <c r="CM32" s="203"/>
      <c r="CN32" s="203"/>
      <c r="CO32" s="203"/>
      <c r="CP32" s="203"/>
      <c r="CQ32" s="203"/>
      <c r="CR32" s="203"/>
      <c r="CS32" s="203"/>
      <c r="CT32" s="203"/>
      <c r="CU32" s="203"/>
    </row>
    <row r="33" spans="1:101" s="22" customFormat="1">
      <c r="A33" s="33" t="s">
        <v>224</v>
      </c>
      <c r="B33" s="33" t="s">
        <v>97</v>
      </c>
      <c r="C33" s="33"/>
      <c r="D33" s="33" t="s">
        <v>98</v>
      </c>
      <c r="E33" s="94">
        <v>20000</v>
      </c>
      <c r="F33" s="94">
        <v>43053</v>
      </c>
      <c r="G33" s="94">
        <v>43094</v>
      </c>
      <c r="H33" s="94" t="s">
        <v>151</v>
      </c>
      <c r="I33" s="34">
        <f>(G33-E33)/365.25</f>
        <v>63.227926078028744</v>
      </c>
      <c r="J33" s="34">
        <f>G33-E33</f>
        <v>23094</v>
      </c>
      <c r="K33" s="34">
        <f>G33-F33</f>
        <v>41</v>
      </c>
      <c r="L33" s="35" t="s">
        <v>100</v>
      </c>
      <c r="M33" s="35" t="s">
        <v>100</v>
      </c>
      <c r="N33" s="36" t="s">
        <v>225</v>
      </c>
      <c r="O33" s="40"/>
      <c r="P33" s="40"/>
      <c r="Q33" s="151" t="s">
        <v>226</v>
      </c>
      <c r="R33" s="37" t="s">
        <v>102</v>
      </c>
      <c r="S33" s="167" t="s">
        <v>227</v>
      </c>
      <c r="T33" s="168">
        <v>2175.9</v>
      </c>
      <c r="U33" s="168">
        <v>76.42</v>
      </c>
      <c r="V33" s="38">
        <f t="shared" si="3"/>
        <v>2099.48</v>
      </c>
      <c r="W33" s="37" t="s">
        <v>228</v>
      </c>
      <c r="X33" s="39">
        <f>15000000/2</f>
        <v>7500000</v>
      </c>
      <c r="Y33" s="173">
        <f>X33*V33</f>
        <v>15746100000</v>
      </c>
      <c r="Z33" s="39">
        <f>2700000000/2</f>
        <v>1350000000</v>
      </c>
      <c r="AA33" s="37" t="s">
        <v>226</v>
      </c>
      <c r="AB33" s="173">
        <v>17000000</v>
      </c>
      <c r="AC33" s="33" t="s">
        <v>229</v>
      </c>
      <c r="AD33" s="33">
        <v>34472</v>
      </c>
      <c r="AE33" s="33">
        <v>1408</v>
      </c>
      <c r="AF33" s="33">
        <f>100*0.0399</f>
        <v>3.9899999999999998</v>
      </c>
      <c r="AG33" s="33">
        <f>100*0.23914</f>
        <v>23.913999999999998</v>
      </c>
      <c r="AH33" s="33">
        <v>14</v>
      </c>
      <c r="AI33" s="33">
        <f>100*0.000425</f>
        <v>4.2499999999999996E-2</v>
      </c>
      <c r="AJ33" s="33">
        <v>153</v>
      </c>
      <c r="AK33" s="33">
        <f>100*0.0044</f>
        <v>0.44</v>
      </c>
      <c r="AL33" s="33">
        <v>0</v>
      </c>
      <c r="AM33" s="33">
        <v>0</v>
      </c>
      <c r="AN33" s="33">
        <f>100*0.64</f>
        <v>64</v>
      </c>
      <c r="AO33" s="33">
        <f>100*0.071</f>
        <v>7.1</v>
      </c>
      <c r="AP33" s="33">
        <v>10969</v>
      </c>
      <c r="AQ33" s="33">
        <f>100*0.09914</f>
        <v>9.9140000000000015</v>
      </c>
      <c r="AR33" s="33">
        <f>100*0.08473</f>
        <v>8.4730000000000008</v>
      </c>
      <c r="AS33" s="33">
        <f>100*0.2449544</f>
        <v>24.495439999999999</v>
      </c>
      <c r="AT33" s="33">
        <f>100*0.58554</f>
        <v>58.553999999999995</v>
      </c>
      <c r="AU33" s="33">
        <f>100*0.0832</f>
        <v>8.32</v>
      </c>
      <c r="AV33" s="33">
        <f>100*0.04561</f>
        <v>4.5609999999999999</v>
      </c>
      <c r="AW33" s="33">
        <f>100*0.1844544</f>
        <v>18.445439999999998</v>
      </c>
      <c r="AX33" s="33">
        <f>100*0.64154</f>
        <v>64.153999999999996</v>
      </c>
      <c r="AY33" s="33">
        <f>100*0.126</f>
        <v>12.6</v>
      </c>
      <c r="AZ33" s="33">
        <v>18131</v>
      </c>
      <c r="BA33" s="33">
        <f>100*0.06342</f>
        <v>6.3420000000000005</v>
      </c>
      <c r="BB33" s="33">
        <f>100*0.32406</f>
        <v>32.405999999999999</v>
      </c>
      <c r="BC33" s="33">
        <f>100*0.27791</f>
        <v>27.791</v>
      </c>
      <c r="BD33" s="33">
        <f>100*0.0493416</f>
        <v>4.9341600000000003</v>
      </c>
      <c r="BE33" s="33">
        <f>100*0.354</f>
        <v>35.4</v>
      </c>
      <c r="BF33" s="33">
        <f>100*0.25722</f>
        <v>25.722000000000001</v>
      </c>
      <c r="BG33" s="33">
        <f>100*0.2737858</f>
        <v>27.378580000000003</v>
      </c>
      <c r="BH33" s="33">
        <f>100*0.05122</f>
        <v>5.1219999999999999</v>
      </c>
      <c r="BI33" s="33">
        <f>100*0.415</f>
        <v>41.5</v>
      </c>
      <c r="BJ33" s="33">
        <f>100*0.558</f>
        <v>55.800000000000004</v>
      </c>
      <c r="BK33" s="33">
        <f>100*0.21775</f>
        <v>21.774999999999999</v>
      </c>
      <c r="BL33" s="33">
        <f>100*0.0219</f>
        <v>2.19</v>
      </c>
      <c r="BM33" s="33">
        <f>100*0.031</f>
        <v>3.1</v>
      </c>
      <c r="BN33" s="33">
        <f>100*0.0761</f>
        <v>7.61</v>
      </c>
      <c r="BO33" s="33">
        <f>100*0.013155</f>
        <v>1.3155000000000001</v>
      </c>
      <c r="BP33" s="33">
        <f>100*0.2419</f>
        <v>24.19</v>
      </c>
      <c r="BQ33" s="33">
        <f>100*0.663</f>
        <v>66.3</v>
      </c>
      <c r="BR33" s="33">
        <f>100*0.435</f>
        <v>43.5</v>
      </c>
      <c r="BS33" s="33">
        <f>100*0.115</f>
        <v>11.5</v>
      </c>
      <c r="BT33" s="33">
        <f>100*0.169</f>
        <v>16.900000000000002</v>
      </c>
      <c r="BU33" s="33">
        <f>100*0.266</f>
        <v>26.6</v>
      </c>
      <c r="BV33" s="33">
        <f>100*0.0645</f>
        <v>6.45</v>
      </c>
      <c r="BW33" s="33">
        <f>100*0.0688</f>
        <v>6.88</v>
      </c>
      <c r="BX33" s="33">
        <f>100*0.19</f>
        <v>19</v>
      </c>
      <c r="BY33" s="33">
        <f>100*0.645</f>
        <v>64.5</v>
      </c>
      <c r="BZ33" s="102">
        <f>AD33/CA33</f>
        <v>6.4603304003973044E-2</v>
      </c>
      <c r="CA33" s="103">
        <v>533595</v>
      </c>
      <c r="CB33" s="103"/>
      <c r="CC33" s="44"/>
      <c r="CD33" s="44"/>
      <c r="CE33" s="44"/>
      <c r="CF33" s="44"/>
      <c r="CG33" s="44"/>
      <c r="CH33" s="44"/>
      <c r="CI33" s="44"/>
      <c r="CJ33" s="44"/>
      <c r="CK33" s="44"/>
      <c r="CL33" s="44"/>
      <c r="CM33" s="44"/>
      <c r="CN33" s="44"/>
      <c r="CO33" s="44"/>
      <c r="CP33" s="44"/>
      <c r="CQ33" s="44"/>
      <c r="CR33" s="44"/>
      <c r="CS33" s="44"/>
      <c r="CT33" s="44"/>
      <c r="CU33" s="44"/>
      <c r="CV33" s="33"/>
      <c r="CW33" s="33"/>
    </row>
    <row r="34" spans="1:101" s="189" customFormat="1">
      <c r="A34" s="189" t="s">
        <v>230</v>
      </c>
      <c r="B34" s="189" t="s">
        <v>108</v>
      </c>
      <c r="D34" s="189" t="s">
        <v>98</v>
      </c>
      <c r="E34" s="204">
        <v>23937</v>
      </c>
      <c r="F34" s="204">
        <v>42746</v>
      </c>
      <c r="G34" s="204">
        <v>43131</v>
      </c>
      <c r="H34" s="204" t="s">
        <v>151</v>
      </c>
      <c r="I34" s="192">
        <f>(G34-E34)/365.25</f>
        <v>52.550308008213555</v>
      </c>
      <c r="J34" s="193">
        <f>G34-E34</f>
        <v>19194</v>
      </c>
      <c r="K34" s="193">
        <f>G34-F34</f>
        <v>385</v>
      </c>
      <c r="L34" s="193" t="s">
        <v>100</v>
      </c>
      <c r="M34" s="193" t="s">
        <v>100</v>
      </c>
      <c r="N34" s="194" t="s">
        <v>110</v>
      </c>
      <c r="O34" s="205">
        <v>0</v>
      </c>
      <c r="P34" s="195" t="s">
        <v>231</v>
      </c>
      <c r="Q34" s="204" t="s">
        <v>111</v>
      </c>
      <c r="R34" s="196" t="s">
        <v>112</v>
      </c>
      <c r="S34" s="206">
        <v>10</v>
      </c>
      <c r="T34" s="205">
        <v>1863.1</v>
      </c>
      <c r="U34" s="207">
        <v>82.24</v>
      </c>
      <c r="V34" s="208">
        <f t="shared" si="3"/>
        <v>1780.86</v>
      </c>
      <c r="W34" s="196"/>
      <c r="X34" s="210"/>
      <c r="Y34" s="211">
        <v>18000000</v>
      </c>
      <c r="Z34" s="210"/>
      <c r="AA34" s="196"/>
      <c r="AB34" s="211">
        <v>2100000</v>
      </c>
      <c r="AC34" s="189" t="s">
        <v>232</v>
      </c>
      <c r="AD34" s="189">
        <v>215781</v>
      </c>
      <c r="AE34" s="189">
        <v>883</v>
      </c>
      <c r="AF34" s="189">
        <f>100*0.0045</f>
        <v>0.44999999999999996</v>
      </c>
      <c r="AG34" s="189">
        <f>100*0.4369</f>
        <v>43.69</v>
      </c>
      <c r="AH34" s="189">
        <v>227</v>
      </c>
      <c r="AI34" s="189">
        <v>8.7999999999999992E-4</v>
      </c>
      <c r="AJ34" s="189">
        <v>4110</v>
      </c>
      <c r="AK34" s="189">
        <f>100*0.0201</f>
        <v>2.0099999999999998</v>
      </c>
      <c r="AL34" s="189">
        <f>100*0.1033</f>
        <v>10.33</v>
      </c>
      <c r="AM34" s="189">
        <f>100*0.1073</f>
        <v>10.73</v>
      </c>
      <c r="AN34" s="189">
        <f>100*0.431</f>
        <v>43.1</v>
      </c>
      <c r="AO34" s="189">
        <v>2.6499999999999999E-2</v>
      </c>
      <c r="AP34" s="189">
        <v>27219</v>
      </c>
      <c r="AQ34" s="189">
        <f>100*0.09021</f>
        <v>9.020999999999999</v>
      </c>
      <c r="AR34" s="189">
        <f>100*0.298</f>
        <v>29.799999999999997</v>
      </c>
      <c r="AS34" s="189">
        <f>100*0.4987385</f>
        <v>49.873849999999997</v>
      </c>
      <c r="AT34" s="189">
        <f>100*0.14783</f>
        <v>14.782999999999999</v>
      </c>
      <c r="AU34" s="189">
        <f>100*0.0567</f>
        <v>5.67</v>
      </c>
      <c r="AV34" s="189">
        <f>100*0.2127</f>
        <v>21.27</v>
      </c>
      <c r="AW34" s="189">
        <f>100*0.32627</f>
        <v>32.627000000000002</v>
      </c>
      <c r="AX34" s="189">
        <f>100*0.29666</f>
        <v>29.665999999999997</v>
      </c>
      <c r="AY34" s="189">
        <f>100*0.164</f>
        <v>16.400000000000002</v>
      </c>
      <c r="AZ34" s="189">
        <v>95995</v>
      </c>
      <c r="BA34" s="189">
        <f>100*0.10114</f>
        <v>10.113999999999999</v>
      </c>
      <c r="BB34" s="189">
        <f>100*0.5009775</f>
        <v>50.097749999999998</v>
      </c>
      <c r="BC34" s="189">
        <f>100*0.361825</f>
        <v>36.182499999999997</v>
      </c>
      <c r="BD34" s="189">
        <f>100*0.0218683</f>
        <v>2.1868300000000001</v>
      </c>
      <c r="BE34" s="189">
        <f>100*0.115</f>
        <v>11.5</v>
      </c>
      <c r="BF34" s="189">
        <f>100*0.4312</f>
        <v>43.120000000000005</v>
      </c>
      <c r="BG34" s="189">
        <f>100*0.342895</f>
        <v>34.289500000000004</v>
      </c>
      <c r="BH34" s="189">
        <f>100*0.04016</f>
        <v>4.016</v>
      </c>
      <c r="BI34" s="189">
        <f>100*0.182</f>
        <v>18.2</v>
      </c>
      <c r="BJ34" s="189">
        <f>100*0.197</f>
        <v>19.7</v>
      </c>
      <c r="BK34" s="189">
        <f>100*0.46185</f>
        <v>46.184999999999995</v>
      </c>
      <c r="BL34" s="189">
        <f>100*0.0311</f>
        <v>3.11</v>
      </c>
      <c r="BM34" s="189">
        <f>100*0.0334</f>
        <v>3.34</v>
      </c>
      <c r="BN34" s="189">
        <v>0.19290000000000002</v>
      </c>
      <c r="BO34" s="189">
        <v>0.23569999999999999</v>
      </c>
      <c r="BP34" s="189">
        <v>0.378</v>
      </c>
      <c r="BQ34" s="189">
        <v>0.19700000000000001</v>
      </c>
      <c r="BR34" s="189">
        <f>100*0.388</f>
        <v>38.800000000000004</v>
      </c>
      <c r="BS34" s="189">
        <f>100*0.56</f>
        <v>56.000000000000007</v>
      </c>
      <c r="BT34" s="189">
        <f>100*0.0347</f>
        <v>3.47</v>
      </c>
      <c r="BU34" s="189">
        <f>100*0.0241</f>
        <v>2.41</v>
      </c>
      <c r="BV34" s="189">
        <v>0.1239</v>
      </c>
      <c r="BW34" s="189">
        <v>0.16820000000000002</v>
      </c>
      <c r="BX34" s="189">
        <v>0.39700000000000002</v>
      </c>
      <c r="BY34" s="189">
        <v>0.312</v>
      </c>
      <c r="BZ34" s="212">
        <f>AD34/CA34</f>
        <v>0.19184728393942141</v>
      </c>
      <c r="CA34" s="202">
        <v>1124754</v>
      </c>
      <c r="CB34" s="202"/>
      <c r="CC34" s="203"/>
      <c r="CD34" s="203"/>
      <c r="CE34" s="203"/>
      <c r="CF34" s="203"/>
      <c r="CG34" s="203"/>
      <c r="CH34" s="203"/>
      <c r="CI34" s="203"/>
      <c r="CJ34" s="203"/>
      <c r="CK34" s="203"/>
      <c r="CL34" s="203"/>
      <c r="CM34" s="203"/>
      <c r="CN34" s="203"/>
      <c r="CO34" s="203"/>
      <c r="CP34" s="203"/>
      <c r="CQ34" s="203"/>
      <c r="CR34" s="203"/>
      <c r="CS34" s="203"/>
      <c r="CT34" s="203"/>
      <c r="CU34" s="203"/>
    </row>
    <row r="35" spans="1:101" s="189" customFormat="1" ht="13.15" customHeight="1">
      <c r="A35" s="189" t="s">
        <v>233</v>
      </c>
      <c r="B35" s="189" t="s">
        <v>97</v>
      </c>
      <c r="C35" s="189" t="s">
        <v>234</v>
      </c>
      <c r="D35" s="189" t="s">
        <v>98</v>
      </c>
      <c r="E35" s="190">
        <v>23937</v>
      </c>
      <c r="F35" s="190">
        <v>42746</v>
      </c>
      <c r="G35" s="190">
        <v>43178</v>
      </c>
      <c r="H35" s="190" t="s">
        <v>151</v>
      </c>
      <c r="I35" s="213">
        <f>(G35-E35)/365.25</f>
        <v>52.67898699520876</v>
      </c>
      <c r="J35" s="213">
        <f>G35-E35</f>
        <v>19241</v>
      </c>
      <c r="K35" s="213">
        <f>G35-F35</f>
        <v>432</v>
      </c>
      <c r="L35" s="214" t="s">
        <v>100</v>
      </c>
      <c r="M35" s="214" t="s">
        <v>100</v>
      </c>
      <c r="N35" s="194" t="s">
        <v>235</v>
      </c>
      <c r="Q35" s="215" t="s">
        <v>236</v>
      </c>
      <c r="R35" s="216" t="s">
        <v>102</v>
      </c>
      <c r="S35" s="217" t="s">
        <v>172</v>
      </c>
      <c r="T35" s="197">
        <v>1670.97</v>
      </c>
      <c r="U35" s="197">
        <v>86.35</v>
      </c>
      <c r="V35" s="198">
        <f t="shared" si="3"/>
        <v>1584.6200000000001</v>
      </c>
      <c r="W35" s="209" t="s">
        <v>104</v>
      </c>
      <c r="X35" s="199">
        <v>8200000</v>
      </c>
      <c r="Y35" s="200">
        <f>X35*V35</f>
        <v>12993884000.000002</v>
      </c>
      <c r="Z35" s="199">
        <f>155000000</f>
        <v>155000000</v>
      </c>
      <c r="AA35" s="196" t="s">
        <v>237</v>
      </c>
      <c r="AB35" s="200">
        <v>10000000</v>
      </c>
      <c r="AC35" s="189" t="s">
        <v>238</v>
      </c>
      <c r="AD35" s="189">
        <v>86563</v>
      </c>
      <c r="AE35" s="189">
        <v>398</v>
      </c>
      <c r="AF35" s="189">
        <f>100*0.0045</f>
        <v>0.44999999999999996</v>
      </c>
      <c r="AG35" s="189">
        <f>100*0.405</f>
        <v>40.5</v>
      </c>
      <c r="AH35" s="189">
        <v>702</v>
      </c>
      <c r="AI35" s="189">
        <f>100*0.008</f>
        <v>0.8</v>
      </c>
      <c r="AJ35" s="189">
        <v>1637</v>
      </c>
      <c r="AK35" s="189">
        <f>100*0.019</f>
        <v>1.9</v>
      </c>
      <c r="AL35" s="189">
        <f>100*0.152</f>
        <v>15.2</v>
      </c>
      <c r="AM35" s="189">
        <f>100*0.215</f>
        <v>21.5</v>
      </c>
      <c r="AN35" s="189">
        <f>100*0.371</f>
        <v>37.1</v>
      </c>
      <c r="AO35" s="189">
        <f>100*0.0538</f>
        <v>5.38</v>
      </c>
      <c r="AP35" s="189">
        <v>25218</v>
      </c>
      <c r="AQ35" s="189">
        <f>100*0.0556</f>
        <v>5.56</v>
      </c>
      <c r="AR35" s="189">
        <f>100*0.4</f>
        <v>40</v>
      </c>
      <c r="AS35" s="189">
        <f>100*0.295</f>
        <v>29.5</v>
      </c>
      <c r="AT35" s="189">
        <f>100*0.195</f>
        <v>19.5</v>
      </c>
      <c r="AU35" s="189">
        <f>100*0.11</f>
        <v>11</v>
      </c>
      <c r="AV35" s="189">
        <f>10*0.132</f>
        <v>1.32</v>
      </c>
      <c r="AW35" s="189">
        <f>100*0.108</f>
        <v>10.8</v>
      </c>
      <c r="AX35" s="189">
        <f>100*0.363</f>
        <v>36.299999999999997</v>
      </c>
      <c r="AY35" s="189">
        <f>100*0.398</f>
        <v>39.800000000000004</v>
      </c>
      <c r="AZ35" s="189">
        <v>54211</v>
      </c>
      <c r="BA35" s="189">
        <f>100*0.0865</f>
        <v>8.6499999999999986</v>
      </c>
      <c r="BB35" s="189">
        <f>100*0.636</f>
        <v>63.6</v>
      </c>
      <c r="BC35" s="189">
        <f>100*0.21</f>
        <v>21</v>
      </c>
      <c r="BD35" s="189">
        <f>100*0.0058</f>
        <v>0.57999999999999996</v>
      </c>
      <c r="BE35" s="189">
        <f>100*0.149</f>
        <v>14.899999999999999</v>
      </c>
      <c r="BF35" s="189">
        <f>100*0.413</f>
        <v>41.3</v>
      </c>
      <c r="BG35" s="189">
        <f>100*0.212</f>
        <v>21.2</v>
      </c>
      <c r="BH35" s="189">
        <f>100*0.0165</f>
        <v>1.6500000000000001</v>
      </c>
      <c r="BI35" s="189">
        <f>100*0.359</f>
        <v>35.9</v>
      </c>
      <c r="BJ35" s="189">
        <f>100*0.726</f>
        <v>72.599999999999994</v>
      </c>
      <c r="BK35" s="189">
        <f>100*0.126</f>
        <v>12.6</v>
      </c>
      <c r="BL35" s="189">
        <f>100*0.0402</f>
        <v>4.0199999999999996</v>
      </c>
      <c r="BM35" s="189">
        <f>100*0.108</f>
        <v>10.8</v>
      </c>
      <c r="BN35" s="189">
        <f>100*0.148</f>
        <v>14.799999999999999</v>
      </c>
      <c r="BO35" s="189">
        <v>0</v>
      </c>
      <c r="BP35" s="189">
        <f>100*0.166</f>
        <v>16.600000000000001</v>
      </c>
      <c r="BQ35" s="189">
        <f>100*0.686</f>
        <v>68.600000000000009</v>
      </c>
      <c r="BR35" s="189">
        <f>100*0.779</f>
        <v>77.900000000000006</v>
      </c>
      <c r="BS35" s="189">
        <f>100*0.0672</f>
        <v>6.72</v>
      </c>
      <c r="BT35" s="189">
        <f>100*0.0165</f>
        <v>1.6500000000000001</v>
      </c>
      <c r="BU35" s="189">
        <f>100*0.137</f>
        <v>13.700000000000001</v>
      </c>
      <c r="BV35" s="189">
        <f>100*0.0922</f>
        <v>9.2200000000000006</v>
      </c>
      <c r="BW35" s="189" t="s">
        <v>239</v>
      </c>
      <c r="BX35" s="189">
        <f>100*0.0739</f>
        <v>7.39</v>
      </c>
      <c r="BY35" s="189">
        <f>100*0.822</f>
        <v>82.199999999999989</v>
      </c>
      <c r="BZ35" s="212">
        <f>AD35/CA35</f>
        <v>2.870496227795959E-2</v>
      </c>
      <c r="CA35" s="202">
        <v>3015611</v>
      </c>
      <c r="CB35" s="202"/>
    </row>
    <row r="36" spans="1:101" s="189" customFormat="1">
      <c r="A36" s="189" t="s">
        <v>240</v>
      </c>
      <c r="B36" s="189" t="s">
        <v>97</v>
      </c>
      <c r="D36" s="189" t="s">
        <v>98</v>
      </c>
      <c r="E36" s="190">
        <v>23937</v>
      </c>
      <c r="F36" s="190">
        <v>42746</v>
      </c>
      <c r="G36" s="190">
        <v>43223</v>
      </c>
      <c r="H36" s="190" t="s">
        <v>151</v>
      </c>
      <c r="I36" s="213">
        <f>(G36-E36)/365.25</f>
        <v>52.802190280629709</v>
      </c>
      <c r="J36" s="213">
        <f>G36-E36</f>
        <v>19286</v>
      </c>
      <c r="K36" s="213">
        <f>G36-F36</f>
        <v>477</v>
      </c>
      <c r="L36" s="214" t="s">
        <v>100</v>
      </c>
      <c r="M36" s="214" t="s">
        <v>100</v>
      </c>
      <c r="N36" s="194" t="s">
        <v>235</v>
      </c>
      <c r="O36" s="195"/>
      <c r="P36" s="195"/>
      <c r="Q36" s="215" t="s">
        <v>241</v>
      </c>
      <c r="R36" s="216"/>
      <c r="S36" s="217"/>
      <c r="T36" s="197">
        <v>1530.1</v>
      </c>
      <c r="U36" s="197">
        <v>102.72</v>
      </c>
      <c r="V36" s="198">
        <f t="shared" si="3"/>
        <v>1427.3799999999999</v>
      </c>
      <c r="W36" s="209" t="s">
        <v>104</v>
      </c>
      <c r="X36" s="199">
        <v>20000000</v>
      </c>
      <c r="Y36" s="200">
        <f>X36*V36</f>
        <v>28547599999.999996</v>
      </c>
      <c r="Z36" s="199">
        <v>50500000</v>
      </c>
      <c r="AA36" s="216" t="s">
        <v>173</v>
      </c>
      <c r="AB36" s="219">
        <v>15400000</v>
      </c>
      <c r="AC36" s="189" t="s">
        <v>242</v>
      </c>
      <c r="AD36" s="189">
        <v>87005</v>
      </c>
      <c r="AE36" s="189">
        <v>550</v>
      </c>
      <c r="AF36" s="189">
        <f>100*0.0064</f>
        <v>0.64</v>
      </c>
      <c r="AG36" s="189">
        <f>100*0.396</f>
        <v>39.6</v>
      </c>
      <c r="AH36" s="189">
        <v>575</v>
      </c>
      <c r="AI36" s="189">
        <f>100*0.0067</f>
        <v>0.67</v>
      </c>
      <c r="AJ36" s="189">
        <v>2882</v>
      </c>
      <c r="AK36" s="189">
        <f>100*0.034</f>
        <v>3.4000000000000004</v>
      </c>
      <c r="AL36" s="189">
        <f>100*0.0486</f>
        <v>4.8599999999999994</v>
      </c>
      <c r="AM36" s="189">
        <f>100*0.0371</f>
        <v>3.71</v>
      </c>
      <c r="AN36" s="189">
        <f>100*0.515</f>
        <v>51.5</v>
      </c>
      <c r="AO36" s="189">
        <f>100*0.018</f>
        <v>1.7999999999999998</v>
      </c>
      <c r="AP36" s="189">
        <v>18121</v>
      </c>
      <c r="AQ36" s="189">
        <f>100*0.0658</f>
        <v>6.58</v>
      </c>
      <c r="AR36" s="189">
        <f>100*0.338</f>
        <v>33.800000000000004</v>
      </c>
      <c r="AS36" s="189">
        <f>100*0.391</f>
        <v>39.1</v>
      </c>
      <c r="AT36" s="189">
        <f>100*0.196</f>
        <v>19.600000000000001</v>
      </c>
      <c r="AU36" s="189">
        <f>100*0.0754</f>
        <v>7.5399999999999991</v>
      </c>
      <c r="AV36" s="189">
        <f>100*0.132</f>
        <v>13.200000000000001</v>
      </c>
      <c r="AW36" s="189">
        <f>100*0.172</f>
        <v>17.2</v>
      </c>
      <c r="AX36" s="189">
        <f>100*0.469</f>
        <v>46.9</v>
      </c>
      <c r="AY36" s="189">
        <f>100*0.227</f>
        <v>22.7</v>
      </c>
      <c r="AZ36" s="189">
        <v>60627</v>
      </c>
      <c r="BA36" s="189">
        <f>100*0.0299</f>
        <v>2.9899999999999998</v>
      </c>
      <c r="BB36" s="189">
        <f>100*0.556</f>
        <v>55.600000000000009</v>
      </c>
      <c r="BC36" s="189">
        <f>100*0.262</f>
        <v>26.200000000000003</v>
      </c>
      <c r="BD36" s="189">
        <f>100*0.0137</f>
        <v>1.37</v>
      </c>
      <c r="BE36" s="189">
        <f>100*0.168</f>
        <v>16.8</v>
      </c>
      <c r="BF36" s="189">
        <f>100*0.421</f>
        <v>42.1</v>
      </c>
      <c r="BG36" s="189">
        <f>100*0.251</f>
        <v>25.1</v>
      </c>
      <c r="BH36" s="189">
        <f>100*0.0254</f>
        <v>2.54</v>
      </c>
      <c r="BI36" s="189">
        <f>100*0.302</f>
        <v>30.2</v>
      </c>
      <c r="BJ36" s="189">
        <f>100*0.333</f>
        <v>33.300000000000004</v>
      </c>
      <c r="BK36" s="189">
        <f>100*0.624</f>
        <v>62.4</v>
      </c>
      <c r="BL36" s="189">
        <f>100*0.0327</f>
        <v>3.27</v>
      </c>
      <c r="BM36" s="189">
        <f>100*0.0109</f>
        <v>1.0900000000000001</v>
      </c>
      <c r="BN36" s="189">
        <f>100*0.0982</f>
        <v>9.82</v>
      </c>
      <c r="BO36" s="189">
        <f>100*0.149</f>
        <v>14.899999999999999</v>
      </c>
      <c r="BP36" s="189">
        <f>100*0.507</f>
        <v>50.7</v>
      </c>
      <c r="BQ36" s="189">
        <f>100*0.245</f>
        <v>24.5</v>
      </c>
      <c r="BR36" s="189">
        <f>100*0.616</f>
        <v>61.6</v>
      </c>
      <c r="BS36" s="189">
        <f>100*0.301</f>
        <v>30.099999999999998</v>
      </c>
      <c r="BT36" s="189">
        <f>100*0.0396</f>
        <v>3.9600000000000004</v>
      </c>
      <c r="BU36" s="189">
        <f>100*0.0441</f>
        <v>4.41</v>
      </c>
      <c r="BV36" s="189">
        <f>100*0.0687</f>
        <v>6.87</v>
      </c>
      <c r="BW36" s="189">
        <f>100*0.0271</f>
        <v>2.71</v>
      </c>
      <c r="BX36" s="189">
        <f>100*0.319</f>
        <v>31.900000000000002</v>
      </c>
      <c r="BY36" s="189">
        <f>100*0.585</f>
        <v>58.5</v>
      </c>
      <c r="BZ36" s="212">
        <f>100*0.0236</f>
        <v>2.36</v>
      </c>
      <c r="CA36" s="202"/>
      <c r="CB36" s="202"/>
      <c r="CC36" s="203"/>
      <c r="CD36" s="203"/>
      <c r="CE36" s="203"/>
      <c r="CF36" s="203"/>
      <c r="CG36" s="203"/>
      <c r="CH36" s="203"/>
      <c r="CI36" s="203"/>
      <c r="CJ36" s="203"/>
      <c r="CK36" s="203"/>
      <c r="CL36" s="203"/>
      <c r="CM36" s="203"/>
      <c r="CN36" s="203"/>
      <c r="CO36" s="203"/>
      <c r="CP36" s="203"/>
      <c r="CQ36" s="203"/>
      <c r="CR36" s="203"/>
      <c r="CS36" s="203"/>
      <c r="CT36" s="203"/>
      <c r="CU36" s="203"/>
    </row>
    <row r="37" spans="1:101" s="189" customFormat="1" ht="13.9" customHeight="1">
      <c r="A37" s="189" t="s">
        <v>243</v>
      </c>
      <c r="B37" s="189" t="s">
        <v>108</v>
      </c>
      <c r="D37" s="189" t="s">
        <v>98</v>
      </c>
      <c r="E37" s="204">
        <v>23937</v>
      </c>
      <c r="F37" s="204">
        <v>42746</v>
      </c>
      <c r="G37" s="204">
        <v>43355</v>
      </c>
      <c r="H37" s="204" t="s">
        <v>151</v>
      </c>
      <c r="I37" s="192">
        <v>53.163586584531146</v>
      </c>
      <c r="J37" s="193">
        <v>19418</v>
      </c>
      <c r="K37" s="193">
        <v>609</v>
      </c>
      <c r="L37" s="193" t="s">
        <v>100</v>
      </c>
      <c r="M37" s="193" t="s">
        <v>100</v>
      </c>
      <c r="N37" s="194">
        <v>43223</v>
      </c>
      <c r="O37" s="205"/>
      <c r="P37" s="195"/>
      <c r="Q37" s="204" t="s">
        <v>111</v>
      </c>
      <c r="R37" s="196" t="s">
        <v>112</v>
      </c>
      <c r="S37" s="220">
        <v>10</v>
      </c>
      <c r="T37" s="221">
        <v>1779.54</v>
      </c>
      <c r="U37" s="222">
        <v>85.09</v>
      </c>
      <c r="V37" s="208">
        <f t="shared" si="3"/>
        <v>1694.45</v>
      </c>
      <c r="W37" s="196"/>
      <c r="X37" s="210"/>
      <c r="Y37" s="223">
        <v>590000</v>
      </c>
      <c r="Z37" s="210"/>
      <c r="AA37" s="196"/>
      <c r="AB37" s="223">
        <v>8500000</v>
      </c>
      <c r="AC37" s="189" t="s">
        <v>244</v>
      </c>
      <c r="AD37" s="189">
        <v>484000</v>
      </c>
      <c r="AE37" s="189">
        <v>1796</v>
      </c>
      <c r="AF37" s="189">
        <f>100*0.0038</f>
        <v>0.38</v>
      </c>
      <c r="AG37" s="189">
        <f>100*0.519</f>
        <v>51.9</v>
      </c>
      <c r="AH37" s="189">
        <v>77</v>
      </c>
      <c r="AI37" s="189">
        <f>100*0.00016</f>
        <v>1.6E-2</v>
      </c>
      <c r="AJ37" s="189">
        <v>12080</v>
      </c>
      <c r="AK37" s="189">
        <f>100*0.0256</f>
        <v>2.56</v>
      </c>
      <c r="AL37" s="189">
        <f>100*0.0612</f>
        <v>6.12</v>
      </c>
      <c r="AM37" s="189">
        <f>100*0.0396</f>
        <v>3.9600000000000004</v>
      </c>
      <c r="AN37" s="189">
        <f>100*0.504</f>
        <v>50.4</v>
      </c>
      <c r="AO37" s="189">
        <f>100*0.0209</f>
        <v>2.09</v>
      </c>
      <c r="AP37" s="189">
        <v>107956</v>
      </c>
      <c r="AQ37" s="189">
        <f>100*0.293</f>
        <v>29.299999999999997</v>
      </c>
      <c r="AR37" s="189">
        <f>100*0.288</f>
        <v>28.799999999999997</v>
      </c>
      <c r="AS37" s="189">
        <f>100*0.363</f>
        <v>36.299999999999997</v>
      </c>
      <c r="AT37" s="189">
        <f>100*0.252</f>
        <v>25.2</v>
      </c>
      <c r="AU37" s="189">
        <f>100*0.0968</f>
        <v>9.68</v>
      </c>
      <c r="AV37" s="189">
        <f>100*0.123</f>
        <v>12.3</v>
      </c>
      <c r="AW37" s="189">
        <f>100*0.237</f>
        <v>23.7</v>
      </c>
      <c r="AX37" s="189">
        <f>100*0.487</f>
        <v>48.699999999999996</v>
      </c>
      <c r="AY37" s="189">
        <f>100*0.153</f>
        <v>15.299999999999999</v>
      </c>
      <c r="AZ37" s="189">
        <v>329566</v>
      </c>
      <c r="BA37" s="189">
        <f>100*0.274</f>
        <v>27.400000000000002</v>
      </c>
      <c r="BB37" s="189">
        <f>100*0.496</f>
        <v>49.6</v>
      </c>
      <c r="BC37" s="189">
        <f>100*0.303</f>
        <v>30.3</v>
      </c>
      <c r="BD37" s="189">
        <f>100*0.0157</f>
        <v>1.5699999999999998</v>
      </c>
      <c r="BE37" s="189">
        <f>100*0.185</f>
        <v>18.5</v>
      </c>
      <c r="BF37" s="189">
        <f>100*0.279</f>
        <v>27.900000000000002</v>
      </c>
      <c r="BG37" s="189">
        <f>100*0.306</f>
        <v>30.599999999999998</v>
      </c>
      <c r="BH37" s="189">
        <f>100*0.0574</f>
        <v>5.74</v>
      </c>
      <c r="BI37" s="189">
        <f>100*0.358</f>
        <v>35.799999999999997</v>
      </c>
      <c r="BJ37" s="189">
        <f>100*0.148</f>
        <v>14.799999999999999</v>
      </c>
      <c r="BK37" s="189">
        <f>100*0.496</f>
        <v>49.6</v>
      </c>
      <c r="BL37" s="189">
        <f>100*0.302</f>
        <v>30.2</v>
      </c>
      <c r="BM37" s="189">
        <f>100*0.0546</f>
        <v>5.46</v>
      </c>
      <c r="BN37" s="189">
        <f>100*0.054</f>
        <v>5.4</v>
      </c>
      <c r="BO37" s="189">
        <f>100*0.123</f>
        <v>12.3</v>
      </c>
      <c r="BP37" s="189">
        <f>100*0.675</f>
        <v>67.5</v>
      </c>
      <c r="BQ37" s="189">
        <f>100*0.148</f>
        <v>14.799999999999999</v>
      </c>
      <c r="BR37" s="189">
        <f>100*0.485</f>
        <v>48.5</v>
      </c>
      <c r="BS37" s="189">
        <f>100*0.429</f>
        <v>42.9</v>
      </c>
      <c r="BT37" s="189">
        <f>100*0.0473</f>
        <v>4.7300000000000004</v>
      </c>
      <c r="BU37" s="189">
        <f>100*0.0387</f>
        <v>3.8699999999999997</v>
      </c>
      <c r="BV37" s="189">
        <f>100*0.0697</f>
        <v>6.97</v>
      </c>
      <c r="BW37" s="189">
        <f>100*0.0589</f>
        <v>5.89</v>
      </c>
      <c r="BX37" s="189">
        <f>100*0.417</f>
        <v>41.699999999999996</v>
      </c>
      <c r="BY37" s="189">
        <f>100*0.454</f>
        <v>45.4</v>
      </c>
      <c r="BZ37" s="212">
        <f>100*1</f>
        <v>100</v>
      </c>
      <c r="CA37" s="202"/>
      <c r="CB37" s="202"/>
      <c r="CC37" s="203"/>
      <c r="CD37" s="203"/>
      <c r="CE37" s="203"/>
      <c r="CF37" s="203"/>
      <c r="CG37" s="203"/>
      <c r="CH37" s="203"/>
      <c r="CI37" s="203"/>
      <c r="CJ37" s="203"/>
      <c r="CK37" s="203"/>
      <c r="CL37" s="203"/>
      <c r="CM37" s="203"/>
      <c r="CN37" s="203"/>
      <c r="CO37" s="203"/>
      <c r="CP37" s="203"/>
      <c r="CQ37" s="203"/>
      <c r="CR37" s="203"/>
      <c r="CS37" s="203"/>
      <c r="CT37" s="203"/>
      <c r="CU37" s="203"/>
    </row>
    <row r="38" spans="1:101" s="22" customFormat="1" ht="11.45" customHeight="1">
      <c r="A38" s="33" t="s">
        <v>245</v>
      </c>
      <c r="B38" s="33" t="s">
        <v>97</v>
      </c>
      <c r="C38" s="33"/>
      <c r="D38" s="33" t="s">
        <v>98</v>
      </c>
      <c r="E38" s="94">
        <v>25179</v>
      </c>
      <c r="F38" s="94">
        <v>43145</v>
      </c>
      <c r="G38" s="94">
        <v>43167</v>
      </c>
      <c r="H38" s="94" t="s">
        <v>151</v>
      </c>
      <c r="I38" s="34">
        <f>(G38-E38)/365.25</f>
        <v>49.248459958932237</v>
      </c>
      <c r="J38" s="34">
        <f>G38-E38</f>
        <v>17988</v>
      </c>
      <c r="K38" s="34">
        <f>G38-F38</f>
        <v>22</v>
      </c>
      <c r="L38" s="35" t="s">
        <v>100</v>
      </c>
      <c r="M38" s="35" t="s">
        <v>100</v>
      </c>
      <c r="N38" s="36" t="s">
        <v>246</v>
      </c>
      <c r="O38" s="40"/>
      <c r="P38" s="40"/>
      <c r="Q38" s="151" t="s">
        <v>247</v>
      </c>
      <c r="R38" s="37" t="s">
        <v>102</v>
      </c>
      <c r="S38" s="167" t="s">
        <v>172</v>
      </c>
      <c r="T38" s="168">
        <f>1244.81+890</f>
        <v>2134.81</v>
      </c>
      <c r="U38" s="168">
        <v>73.17</v>
      </c>
      <c r="V38" s="38">
        <f t="shared" si="3"/>
        <v>2061.64</v>
      </c>
      <c r="W38" s="185" t="s">
        <v>104</v>
      </c>
      <c r="X38" s="39">
        <v>1700000</v>
      </c>
      <c r="Y38" s="173">
        <f>X38*V38</f>
        <v>3504788000</v>
      </c>
      <c r="Z38" s="39">
        <f>54000000*5</f>
        <v>270000000</v>
      </c>
      <c r="AA38" s="37" t="s">
        <v>247</v>
      </c>
      <c r="AB38" s="173">
        <v>40000000</v>
      </c>
      <c r="AC38" s="33" t="s">
        <v>248</v>
      </c>
      <c r="AD38" s="33">
        <v>295694</v>
      </c>
      <c r="AE38" s="33">
        <v>188</v>
      </c>
      <c r="AF38" s="33">
        <f>100*0.00063</f>
        <v>6.3E-2</v>
      </c>
      <c r="AG38" s="33">
        <f>100*0.519</f>
        <v>51.9</v>
      </c>
      <c r="AH38" s="33">
        <v>5749</v>
      </c>
      <c r="AI38" s="33">
        <f>100*0.01665</f>
        <v>1.6650000000000003</v>
      </c>
      <c r="AJ38" s="33">
        <v>1093</v>
      </c>
      <c r="AK38" s="33">
        <f>100*0.0037</f>
        <v>0.37</v>
      </c>
      <c r="AL38" s="33">
        <f>100*0.0333</f>
        <v>3.3300000000000005</v>
      </c>
      <c r="AM38" s="33">
        <f>100*0.026</f>
        <v>2.6</v>
      </c>
      <c r="AN38" s="33">
        <f>100*0.607</f>
        <v>60.699999999999996</v>
      </c>
      <c r="AO38" s="33">
        <f>100*0.058</f>
        <v>5.8000000000000007</v>
      </c>
      <c r="AP38" s="33">
        <v>168678</v>
      </c>
      <c r="AQ38" s="33">
        <f>100*0.252434</f>
        <v>25.243399999999998</v>
      </c>
      <c r="AR38" s="33">
        <f>100*0.0939</f>
        <v>9.39</v>
      </c>
      <c r="AS38" s="33">
        <f>100*0.1249689</f>
        <v>12.496889999999999</v>
      </c>
      <c r="AT38" s="33">
        <f>100*0.56</f>
        <v>56.000000000000007</v>
      </c>
      <c r="AU38" s="33">
        <f>100*0.21</f>
        <v>21</v>
      </c>
      <c r="AV38" s="33">
        <f>100*0.0379289</f>
        <v>3.7928900000000003</v>
      </c>
      <c r="AW38" s="33">
        <f>100*0.039495</f>
        <v>3.9495000000000005</v>
      </c>
      <c r="AX38" s="33">
        <f>100*0.617</f>
        <v>61.7</v>
      </c>
      <c r="AY38" s="33">
        <f>100*0.303</f>
        <v>30.3</v>
      </c>
      <c r="AZ38" s="33">
        <v>64230</v>
      </c>
      <c r="BA38" s="33">
        <f>100*0.2534423</f>
        <v>25.34423</v>
      </c>
      <c r="BB38" s="33">
        <f>100*0.5019833</f>
        <v>50.198329999999999</v>
      </c>
      <c r="BC38" s="33">
        <f>100*0.17698185</f>
        <v>17.698184999999999</v>
      </c>
      <c r="BD38" s="33">
        <f>100*0.048</f>
        <v>4.8</v>
      </c>
      <c r="BE38" s="33">
        <f>100*0.274</f>
        <v>27.400000000000002</v>
      </c>
      <c r="BF38" s="33">
        <f>100*0.4229377</f>
        <v>42.293770000000002</v>
      </c>
      <c r="BG38" s="33">
        <f>100*0.19797465</f>
        <v>19.797464999999999</v>
      </c>
      <c r="BH38" s="33">
        <f>100*0.057</f>
        <v>5.7</v>
      </c>
      <c r="BI38" s="33">
        <f>100*0.329</f>
        <v>32.9</v>
      </c>
      <c r="BJ38" s="33">
        <f>100*0.401</f>
        <v>40.1</v>
      </c>
      <c r="BK38" s="33">
        <f>100*0.09335</f>
        <v>9.3350000000000009</v>
      </c>
      <c r="BL38" s="33">
        <f>100*0.207</f>
        <v>20.7</v>
      </c>
      <c r="BM38" s="33">
        <f>100*0.333</f>
        <v>33.300000000000004</v>
      </c>
      <c r="BN38" s="33">
        <f>100*0.101</f>
        <v>10.100000000000001</v>
      </c>
      <c r="BO38" s="33">
        <f>100*0.04275</f>
        <v>4.2750000000000004</v>
      </c>
      <c r="BP38" s="33">
        <f>100*0.272</f>
        <v>27.200000000000003</v>
      </c>
      <c r="BQ38" s="33">
        <f>100*0.593</f>
        <v>59.3</v>
      </c>
      <c r="BR38" s="33">
        <f>100*0.722</f>
        <v>72.2</v>
      </c>
      <c r="BS38" s="33">
        <f>100*0.090845</f>
        <v>9.0845000000000002</v>
      </c>
      <c r="BT38" s="33">
        <f>100*0.0309</f>
        <v>3.09</v>
      </c>
      <c r="BU38" s="33">
        <f>100*0.137</f>
        <v>13.700000000000001</v>
      </c>
      <c r="BV38" s="33">
        <f>100*0.0586</f>
        <v>5.86</v>
      </c>
      <c r="BW38" s="33">
        <f>100*0.00328</f>
        <v>0.32800000000000001</v>
      </c>
      <c r="BX38" s="33">
        <f>100*0.0495</f>
        <v>4.95</v>
      </c>
      <c r="BY38" s="33">
        <f>100*0.887</f>
        <v>88.7</v>
      </c>
      <c r="BZ38" s="102">
        <f>AD38/CA38</f>
        <v>0.14236762599453531</v>
      </c>
      <c r="CA38" s="103">
        <v>2076975</v>
      </c>
      <c r="CB38" s="103"/>
      <c r="CC38" s="33"/>
      <c r="CD38" s="33"/>
      <c r="CE38" s="33"/>
      <c r="CF38" s="33"/>
      <c r="CG38" s="33"/>
      <c r="CH38" s="33"/>
      <c r="CI38" s="33"/>
      <c r="CJ38" s="33"/>
      <c r="CK38" s="33"/>
      <c r="CL38" s="33"/>
      <c r="CM38" s="33"/>
      <c r="CN38" s="33"/>
      <c r="CO38" s="33"/>
      <c r="CP38" s="33"/>
      <c r="CQ38" s="33"/>
      <c r="CR38" s="33"/>
      <c r="CS38" s="33"/>
      <c r="CT38" s="33"/>
      <c r="CU38" s="33"/>
      <c r="CV38" s="33"/>
      <c r="CW38" s="33"/>
    </row>
    <row r="39" spans="1:101" s="189" customFormat="1">
      <c r="A39" s="189" t="s">
        <v>249</v>
      </c>
      <c r="B39" s="189" t="s">
        <v>97</v>
      </c>
      <c r="D39" s="189" t="s">
        <v>98</v>
      </c>
      <c r="E39" s="204">
        <v>25372</v>
      </c>
      <c r="F39" s="204">
        <v>42866</v>
      </c>
      <c r="G39" s="204">
        <v>43241</v>
      </c>
      <c r="H39" s="204" t="s">
        <v>99</v>
      </c>
      <c r="I39" s="192">
        <f>(G39-E39)/365.25</f>
        <v>48.922655715263517</v>
      </c>
      <c r="J39" s="193">
        <f>G39-E39</f>
        <v>17869</v>
      </c>
      <c r="K39" s="193">
        <f>G39-F39</f>
        <v>375</v>
      </c>
      <c r="L39" s="214" t="s">
        <v>109</v>
      </c>
      <c r="M39" s="214" t="s">
        <v>109</v>
      </c>
      <c r="N39" s="194" t="s">
        <v>235</v>
      </c>
      <c r="O39" s="195"/>
      <c r="P39" s="195"/>
      <c r="Q39" s="215" t="s">
        <v>250</v>
      </c>
      <c r="R39" s="216" t="s">
        <v>251</v>
      </c>
      <c r="S39" s="217" t="s">
        <v>252</v>
      </c>
      <c r="T39" s="221">
        <f>1066.45+1260.87</f>
        <v>2327.3199999999997</v>
      </c>
      <c r="U39" s="222">
        <f>(60.24+49.61)/2</f>
        <v>54.924999999999997</v>
      </c>
      <c r="V39" s="208">
        <f>T39-U39</f>
        <v>2272.3949999999995</v>
      </c>
      <c r="W39" s="196" t="s">
        <v>104</v>
      </c>
      <c r="X39" s="210">
        <v>610000</v>
      </c>
      <c r="Y39" s="223">
        <f t="shared" ref="Y39" si="4">X39*V39</f>
        <v>1386160949.9999998</v>
      </c>
      <c r="Z39" s="199">
        <v>270000000</v>
      </c>
      <c r="AA39" s="216"/>
      <c r="AB39" s="223">
        <v>19800000</v>
      </c>
      <c r="AC39" s="189" t="s">
        <v>253</v>
      </c>
      <c r="AD39" s="189">
        <v>285709</v>
      </c>
      <c r="AE39" s="189">
        <v>15902</v>
      </c>
      <c r="AF39" s="189">
        <f>100*0.0568</f>
        <v>5.6800000000000006</v>
      </c>
      <c r="AG39" s="189">
        <f>100*0.103</f>
        <v>10.299999999999999</v>
      </c>
      <c r="AH39" s="189">
        <v>202</v>
      </c>
      <c r="AI39" s="189">
        <f>100*0.00072</f>
        <v>7.2000000000000008E-2</v>
      </c>
      <c r="AJ39" s="189">
        <v>9379</v>
      </c>
      <c r="AK39" s="189">
        <f>100*0.0357</f>
        <v>3.5700000000000003</v>
      </c>
      <c r="AL39" s="189">
        <f>100*0.0068</f>
        <v>0.67999999999999994</v>
      </c>
      <c r="AM39" s="189">
        <f>100*0.0027</f>
        <v>0.27</v>
      </c>
      <c r="AN39" s="189">
        <f>100*0.741</f>
        <v>74.099999999999994</v>
      </c>
      <c r="AO39" s="189">
        <f>100*0.0261</f>
        <v>2.6100000000000003</v>
      </c>
      <c r="AP39" s="189">
        <v>44599</v>
      </c>
      <c r="AQ39" s="189">
        <f>100*0.236</f>
        <v>23.599999999999998</v>
      </c>
      <c r="AR39" s="189">
        <f>100*0.468</f>
        <v>46.800000000000004</v>
      </c>
      <c r="AS39" s="189">
        <f>100*0.361</f>
        <v>36.1</v>
      </c>
      <c r="AT39" s="189">
        <f>100*0.13</f>
        <v>13</v>
      </c>
      <c r="AU39" s="189">
        <f>100*0.0407</f>
        <v>4.07</v>
      </c>
      <c r="AV39" s="189">
        <f>100*0.153</f>
        <v>15.299999999999999</v>
      </c>
      <c r="AW39" s="189">
        <f>100*0.289</f>
        <v>28.9</v>
      </c>
      <c r="AX39" s="189">
        <f>100*0.208</f>
        <v>20.8</v>
      </c>
      <c r="AY39" s="189">
        <f>100*0.349</f>
        <v>34.9</v>
      </c>
      <c r="AZ39" s="189">
        <v>197024</v>
      </c>
      <c r="BA39" s="189">
        <f>100*0.158</f>
        <v>15.8</v>
      </c>
      <c r="BB39" s="189">
        <f>100*0.659</f>
        <v>65.900000000000006</v>
      </c>
      <c r="BC39" s="189">
        <f>100*0.227</f>
        <v>22.7</v>
      </c>
      <c r="BD39" s="189">
        <f>100*0.0057</f>
        <v>0.57000000000000006</v>
      </c>
      <c r="BE39" s="189">
        <f>100*0.108</f>
        <v>10.8</v>
      </c>
      <c r="BF39" s="189">
        <f>100*0.564</f>
        <v>56.399999999999991</v>
      </c>
      <c r="BG39" s="189">
        <f>100*0.224</f>
        <v>22.400000000000002</v>
      </c>
      <c r="BH39" s="189">
        <f>100*0.0088</f>
        <v>0.88</v>
      </c>
      <c r="BI39" s="189">
        <f>100*0.203</f>
        <v>20.3</v>
      </c>
      <c r="BJ39" s="189">
        <f>100*0.108</f>
        <v>10.8</v>
      </c>
      <c r="BK39" s="189">
        <f>100*0.0568</f>
        <v>5.6800000000000006</v>
      </c>
      <c r="BL39" s="189">
        <f>100*0.581</f>
        <v>58.099999999999994</v>
      </c>
      <c r="BM39" s="189">
        <f>100*0.254</f>
        <v>25.4</v>
      </c>
      <c r="BN39" s="189">
        <f>100*0.0301</f>
        <v>3.01</v>
      </c>
      <c r="BO39" s="189">
        <f>100*0.0061</f>
        <v>0.61</v>
      </c>
      <c r="BP39" s="189">
        <f>100*0.637</f>
        <v>63.7</v>
      </c>
      <c r="BQ39" s="189">
        <f>100*0.326</f>
        <v>32.6</v>
      </c>
      <c r="BR39" s="189">
        <f>100*0.397</f>
        <v>39.700000000000003</v>
      </c>
      <c r="BS39" s="189">
        <f>100*0.0967</f>
        <v>9.67</v>
      </c>
      <c r="BT39" s="189">
        <f>100*0.158</f>
        <v>15.8</v>
      </c>
      <c r="BU39" s="189">
        <f>100*0.348</f>
        <v>34.799999999999997</v>
      </c>
      <c r="BV39" s="189">
        <f>100*0.0352</f>
        <v>3.52</v>
      </c>
      <c r="BW39" s="189">
        <f>100*0.0109</f>
        <v>1.0900000000000001</v>
      </c>
      <c r="BX39" s="189">
        <f>100*0.249</f>
        <v>24.9</v>
      </c>
      <c r="BY39" s="189">
        <f>100*0.705</f>
        <v>70.5</v>
      </c>
      <c r="BZ39" s="212">
        <v>0.127</v>
      </c>
      <c r="CA39" s="202"/>
      <c r="CB39" s="202"/>
    </row>
    <row r="40" spans="1:101" s="189" customFormat="1">
      <c r="A40" s="189" t="s">
        <v>254</v>
      </c>
      <c r="B40" s="189" t="s">
        <v>108</v>
      </c>
      <c r="D40" s="189" t="s">
        <v>98</v>
      </c>
      <c r="E40" s="204">
        <v>25372</v>
      </c>
      <c r="F40" s="204">
        <v>42866</v>
      </c>
      <c r="G40" s="204">
        <v>43370</v>
      </c>
      <c r="H40" s="204" t="s">
        <v>99</v>
      </c>
      <c r="I40" s="192">
        <v>49.275838466803556</v>
      </c>
      <c r="J40" s="193">
        <v>17998</v>
      </c>
      <c r="K40" s="193">
        <v>504</v>
      </c>
      <c r="L40" s="193" t="s">
        <v>109</v>
      </c>
      <c r="M40" s="193" t="s">
        <v>109</v>
      </c>
      <c r="N40" s="194">
        <v>43254</v>
      </c>
      <c r="O40" s="205"/>
      <c r="P40" s="195"/>
      <c r="Q40" s="204" t="s">
        <v>111</v>
      </c>
      <c r="R40" s="196" t="s">
        <v>255</v>
      </c>
      <c r="S40" s="220">
        <v>10</v>
      </c>
      <c r="T40" s="221">
        <v>1268.48</v>
      </c>
      <c r="U40" s="222">
        <v>51.49</v>
      </c>
      <c r="V40" s="208">
        <f t="shared" si="3"/>
        <v>1216.99</v>
      </c>
      <c r="W40" s="196"/>
      <c r="X40" s="210"/>
      <c r="Y40" s="223">
        <v>24900000</v>
      </c>
      <c r="Z40" s="210"/>
      <c r="AA40" s="196"/>
      <c r="AB40" s="223">
        <v>9750000</v>
      </c>
      <c r="AC40" s="189" t="s">
        <v>256</v>
      </c>
      <c r="AD40" s="189">
        <v>520000</v>
      </c>
      <c r="AE40" s="189">
        <v>12036</v>
      </c>
      <c r="AF40" s="189">
        <f>100*0.0236</f>
        <v>2.36</v>
      </c>
      <c r="AG40" s="189">
        <f>100*0.15758</f>
        <v>15.757999999999999</v>
      </c>
      <c r="AH40" s="189">
        <v>174</v>
      </c>
      <c r="AI40" s="189">
        <f>100*0.0003</f>
        <v>0.03</v>
      </c>
      <c r="AJ40" s="189">
        <v>11491</v>
      </c>
      <c r="AK40" s="189">
        <f>100*0.0228</f>
        <v>2.2800000000000002</v>
      </c>
      <c r="AL40" s="189">
        <f>100*0.0144092</f>
        <v>1.44092</v>
      </c>
      <c r="AM40" s="189">
        <f>100*0.0041592</f>
        <v>0.41592000000000001</v>
      </c>
      <c r="AN40" s="189">
        <f>100*0.754</f>
        <v>75.400000000000006</v>
      </c>
      <c r="AO40" s="189">
        <f>100*0.0335</f>
        <v>3.35</v>
      </c>
      <c r="AP40" s="189">
        <v>81968</v>
      </c>
      <c r="AQ40" s="189">
        <f>100*0.1644024</f>
        <v>16.440239999999999</v>
      </c>
      <c r="AR40" s="189">
        <f>100*0.3219235</f>
        <v>32.192349999999998</v>
      </c>
      <c r="AS40" s="189">
        <f>100*0.578795</f>
        <v>57.879499999999993</v>
      </c>
      <c r="AT40" s="189">
        <f>100*0.0779882</f>
        <v>7.7988199999999992</v>
      </c>
      <c r="AU40" s="189">
        <f>100*0.0227</f>
        <v>2.27</v>
      </c>
      <c r="AV40" s="189">
        <f>100*0.1489264</f>
        <v>14.892639999999998</v>
      </c>
      <c r="AW40" s="189">
        <f>100*0.5187</f>
        <v>51.870000000000005</v>
      </c>
      <c r="AX40" s="189">
        <f>100*0.15075</f>
        <v>15.074999999999999</v>
      </c>
      <c r="AY40" s="189">
        <f>100*0.175</f>
        <v>17.5</v>
      </c>
      <c r="AZ40" s="189">
        <v>405000</v>
      </c>
      <c r="BA40" s="189">
        <f>100*0.077176</f>
        <v>7.7175999999999991</v>
      </c>
      <c r="BB40" s="189">
        <f>100*0.5584</f>
        <v>55.84</v>
      </c>
      <c r="BC40" s="189">
        <f>100*0.3765265</f>
        <v>37.652650000000001</v>
      </c>
      <c r="BD40" s="189">
        <f>100*0.0032</f>
        <v>0.32</v>
      </c>
      <c r="BE40" s="189">
        <f>100*0.0599</f>
        <v>5.99</v>
      </c>
      <c r="BF40" s="189">
        <f>100*0.51069</f>
        <v>51.068999999999996</v>
      </c>
      <c r="BG40" s="189">
        <f>100*0.36493513</f>
        <v>36.493513</v>
      </c>
      <c r="BH40" s="189">
        <f>100*0.0057927</f>
        <v>0.57926999999999995</v>
      </c>
      <c r="BI40" s="189">
        <f>100*0.112</f>
        <v>11.200000000000001</v>
      </c>
      <c r="BJ40" s="189">
        <f>100*0.13353</f>
        <v>13.353000000000002</v>
      </c>
      <c r="BK40" s="189">
        <f>100*0.05747375</f>
        <v>5.7473749999999999</v>
      </c>
      <c r="BL40" s="189">
        <f>100*0.653</f>
        <v>65.3</v>
      </c>
      <c r="BM40" s="189">
        <f>100*0.157</f>
        <v>15.7</v>
      </c>
      <c r="BN40" s="189">
        <f>100*0.04</f>
        <v>4</v>
      </c>
      <c r="BO40" s="189">
        <f>100*0.01429875</f>
        <v>1.429875</v>
      </c>
      <c r="BP40" s="189">
        <f>100*0.696</f>
        <v>69.599999999999994</v>
      </c>
      <c r="BQ40" s="189">
        <f>100*0.251</f>
        <v>25.1</v>
      </c>
      <c r="BR40" s="189">
        <f>100*0.2517</f>
        <v>25.169999999999998</v>
      </c>
      <c r="BS40" s="189">
        <f>100*0.25791005</f>
        <v>25.791004999999998</v>
      </c>
      <c r="BT40" s="189">
        <f>100*0.3399201</f>
        <v>33.992010000000001</v>
      </c>
      <c r="BU40" s="189">
        <f>100*0.15</f>
        <v>15</v>
      </c>
      <c r="BV40" s="189">
        <f>100*0.0132</f>
        <v>1.32</v>
      </c>
      <c r="BW40" s="189">
        <f>100*0.0075</f>
        <v>0.75</v>
      </c>
      <c r="BX40" s="189">
        <f>100*0.56984</f>
        <v>56.984000000000002</v>
      </c>
      <c r="BY40" s="189">
        <f>100*0.411</f>
        <v>41.099999999999994</v>
      </c>
      <c r="BZ40" s="212"/>
      <c r="CA40" s="202"/>
      <c r="CB40" s="202"/>
      <c r="CC40" s="203"/>
      <c r="CD40" s="203"/>
      <c r="CE40" s="203"/>
      <c r="CF40" s="203"/>
      <c r="CG40" s="203"/>
      <c r="CH40" s="203"/>
      <c r="CI40" s="203"/>
      <c r="CJ40" s="203"/>
      <c r="CK40" s="203"/>
      <c r="CL40" s="203"/>
      <c r="CM40" s="203"/>
      <c r="CN40" s="203"/>
      <c r="CO40" s="203"/>
      <c r="CP40" s="203"/>
      <c r="CQ40" s="203"/>
      <c r="CR40" s="203"/>
      <c r="CS40" s="203"/>
      <c r="CT40" s="203"/>
      <c r="CU40" s="203"/>
    </row>
    <row r="41" spans="1:101" s="22" customFormat="1">
      <c r="A41" s="33" t="s">
        <v>257</v>
      </c>
      <c r="B41" s="33" t="s">
        <v>97</v>
      </c>
      <c r="C41" s="33"/>
      <c r="D41" s="33" t="s">
        <v>98</v>
      </c>
      <c r="E41" s="94">
        <v>13611</v>
      </c>
      <c r="F41" s="94">
        <v>42583</v>
      </c>
      <c r="G41" s="94">
        <v>43305</v>
      </c>
      <c r="H41" s="94" t="s">
        <v>99</v>
      </c>
      <c r="I41" s="34">
        <v>81.297741273100613</v>
      </c>
      <c r="J41" s="34">
        <v>29694</v>
      </c>
      <c r="K41" s="34">
        <v>722</v>
      </c>
      <c r="L41" s="35" t="s">
        <v>109</v>
      </c>
      <c r="M41" s="35" t="s">
        <v>109</v>
      </c>
      <c r="N41" s="36" t="s">
        <v>204</v>
      </c>
      <c r="O41" s="40"/>
      <c r="P41" s="40"/>
      <c r="Q41" s="151" t="s">
        <v>258</v>
      </c>
      <c r="R41" s="37" t="s">
        <v>259</v>
      </c>
      <c r="S41" s="167">
        <v>5</v>
      </c>
      <c r="T41" s="168">
        <v>1200.8900000000001</v>
      </c>
      <c r="U41" s="168">
        <v>72.42</v>
      </c>
      <c r="V41" s="38">
        <v>1128.47</v>
      </c>
      <c r="W41" s="185" t="s">
        <v>104</v>
      </c>
      <c r="X41" s="39">
        <v>177000000</v>
      </c>
      <c r="Y41" s="173">
        <v>199739190000</v>
      </c>
      <c r="Z41" s="39">
        <v>177000000</v>
      </c>
      <c r="AA41" s="37" t="s">
        <v>260</v>
      </c>
      <c r="AB41" s="172">
        <v>25900000</v>
      </c>
      <c r="AC41" s="33" t="s">
        <v>261</v>
      </c>
      <c r="AD41" s="33">
        <v>675000</v>
      </c>
      <c r="AE41" s="33">
        <v>35824</v>
      </c>
      <c r="AF41" s="33">
        <f>100*0.0538</f>
        <v>5.38</v>
      </c>
      <c r="AG41" s="33">
        <f>100*0.0833</f>
        <v>8.33</v>
      </c>
      <c r="AH41" s="33">
        <v>237</v>
      </c>
      <c r="AI41" s="33">
        <f>100*0.00036</f>
        <v>3.6000000000000004E-2</v>
      </c>
      <c r="AJ41" s="33">
        <v>2499</v>
      </c>
      <c r="AK41" s="33">
        <f>100*0.004</f>
        <v>0.4</v>
      </c>
      <c r="AL41" s="33">
        <f>100*0.157</f>
        <v>15.7</v>
      </c>
      <c r="AM41" s="33">
        <f>100*0.0276</f>
        <v>2.76</v>
      </c>
      <c r="AN41" s="33">
        <f>100*0.639</f>
        <v>63.9</v>
      </c>
      <c r="AO41" s="33">
        <f>100*0.0724</f>
        <v>7.24</v>
      </c>
      <c r="AP41" s="33">
        <v>259862</v>
      </c>
      <c r="AQ41" s="33">
        <f>100*0.0647</f>
        <v>6.47</v>
      </c>
      <c r="AR41" s="33">
        <f>100*0.151</f>
        <v>15.1</v>
      </c>
      <c r="AS41" s="33">
        <f>100*0.191</f>
        <v>19.100000000000001</v>
      </c>
      <c r="AT41" s="33">
        <f>100*0.561</f>
        <v>56.100000000000009</v>
      </c>
      <c r="AU41" s="33">
        <f>100*0.0963</f>
        <v>9.629999999999999</v>
      </c>
      <c r="AV41" s="33">
        <f>100*0.054</f>
        <v>5.4</v>
      </c>
      <c r="AW41" s="33">
        <f>100*0.0612</f>
        <v>6.12</v>
      </c>
      <c r="AX41" s="33">
        <f>100*0.739</f>
        <v>73.900000000000006</v>
      </c>
      <c r="AY41" s="33">
        <f>100*0.146</f>
        <v>14.6</v>
      </c>
      <c r="AZ41" s="33">
        <v>348118</v>
      </c>
      <c r="BA41" s="33">
        <f>100*0.0845</f>
        <v>8.4500000000000011</v>
      </c>
      <c r="BB41" s="33">
        <f>100*0.489</f>
        <v>48.9</v>
      </c>
      <c r="BC41" s="33">
        <f>100*0.225</f>
        <v>22.5</v>
      </c>
      <c r="BD41" s="33">
        <f>100*0.0833</f>
        <v>8.33</v>
      </c>
      <c r="BE41" s="33">
        <f>100*0.203</f>
        <v>20.3</v>
      </c>
      <c r="BF41" s="33">
        <f>100*0.454</f>
        <v>45.4</v>
      </c>
      <c r="BG41" s="33">
        <f>100*0.222</f>
        <v>22.2</v>
      </c>
      <c r="BH41" s="33">
        <f>100*0.0859</f>
        <v>8.59</v>
      </c>
      <c r="BI41" s="33">
        <f>100*0.238</f>
        <v>23.799999999999997</v>
      </c>
      <c r="BJ41" s="33">
        <f>100*0.503</f>
        <v>50.3</v>
      </c>
      <c r="BK41" s="33">
        <f>100*0.062</f>
        <v>6.2</v>
      </c>
      <c r="BL41" s="33">
        <f>100*0.121</f>
        <v>12.1</v>
      </c>
      <c r="BM41" s="33">
        <f>100*0.314</f>
        <v>31.4</v>
      </c>
      <c r="BN41" s="33">
        <f>100*0.086</f>
        <v>8.6</v>
      </c>
      <c r="BO41" s="33">
        <f>100*0.0023</f>
        <v>0.22999999999999998</v>
      </c>
      <c r="BP41" s="33">
        <f>100*0.183</f>
        <v>18.3</v>
      </c>
      <c r="BQ41" s="33">
        <f>100*0.728</f>
        <v>72.8</v>
      </c>
      <c r="BR41" s="33">
        <f>100*0.832</f>
        <v>83.2</v>
      </c>
      <c r="BS41" s="33">
        <f>100*0.0144</f>
        <v>1.44</v>
      </c>
      <c r="BT41" s="33">
        <f>100*0.0076</f>
        <v>0.76</v>
      </c>
      <c r="BU41" s="33">
        <f>100*0.146</f>
        <v>14.6</v>
      </c>
      <c r="BV41" s="33">
        <f>100*0.321</f>
        <v>32.1</v>
      </c>
      <c r="BW41" s="33">
        <f>100*0.0072</f>
        <v>0.72</v>
      </c>
      <c r="BX41" s="33">
        <f>100*0.0156</f>
        <v>1.5599999999999998</v>
      </c>
      <c r="BY41" s="33">
        <f>100*0.656</f>
        <v>65.600000000000009</v>
      </c>
      <c r="BZ41" s="102">
        <v>0.11600000000000001</v>
      </c>
      <c r="CA41" s="103"/>
      <c r="CB41" s="103"/>
      <c r="CC41" s="44"/>
      <c r="CD41" s="44"/>
      <c r="CE41" s="44"/>
      <c r="CF41" s="44"/>
      <c r="CG41" s="44"/>
      <c r="CH41" s="44"/>
      <c r="CI41" s="44"/>
      <c r="CJ41" s="44"/>
      <c r="CK41" s="44"/>
      <c r="CL41" s="44"/>
      <c r="CM41" s="44"/>
      <c r="CN41" s="44"/>
      <c r="CO41" s="44"/>
      <c r="CP41" s="44"/>
      <c r="CQ41" s="44"/>
      <c r="CR41" s="44"/>
      <c r="CS41" s="44"/>
      <c r="CT41" s="44"/>
      <c r="CU41" s="44"/>
      <c r="CV41" s="33"/>
      <c r="CW41" s="33"/>
    </row>
    <row r="42" spans="1:101" s="22" customFormat="1">
      <c r="A42" s="22" t="s">
        <v>262</v>
      </c>
      <c r="B42" s="22" t="s">
        <v>108</v>
      </c>
      <c r="D42" s="22" t="s">
        <v>98</v>
      </c>
      <c r="E42" s="59">
        <v>18194</v>
      </c>
      <c r="F42" s="59">
        <v>43270</v>
      </c>
      <c r="G42" s="59">
        <v>43341</v>
      </c>
      <c r="H42" s="59" t="s">
        <v>99</v>
      </c>
      <c r="I42" s="31">
        <v>68.848733744010957</v>
      </c>
      <c r="J42" s="32">
        <v>25147</v>
      </c>
      <c r="K42" s="32">
        <v>71</v>
      </c>
      <c r="L42" s="32" t="s">
        <v>100</v>
      </c>
      <c r="M42" s="32" t="s">
        <v>109</v>
      </c>
      <c r="N42" s="25" t="s">
        <v>110</v>
      </c>
      <c r="O42" s="60"/>
      <c r="P42" s="26"/>
      <c r="Q42" s="59" t="s">
        <v>111</v>
      </c>
      <c r="R42" s="110" t="s">
        <v>112</v>
      </c>
      <c r="S42" s="118">
        <v>10</v>
      </c>
      <c r="T42" s="113">
        <v>2452.48</v>
      </c>
      <c r="U42" s="114">
        <v>86.65</v>
      </c>
      <c r="V42" s="28">
        <f>T42-U42</f>
        <v>2365.83</v>
      </c>
      <c r="W42" s="61"/>
      <c r="X42" s="143"/>
      <c r="Y42" s="111">
        <v>4500000</v>
      </c>
      <c r="Z42" s="143"/>
      <c r="AA42" s="61"/>
      <c r="AB42" s="111">
        <v>25000000</v>
      </c>
      <c r="AC42" s="22" t="s">
        <v>263</v>
      </c>
      <c r="AD42" s="22">
        <v>681000</v>
      </c>
      <c r="AE42" s="22">
        <v>19199</v>
      </c>
      <c r="AF42" s="22">
        <f>100*0.0309</f>
        <v>3.09</v>
      </c>
      <c r="AG42" s="22">
        <f>100*0.78714</f>
        <v>78.713999999999999</v>
      </c>
      <c r="AH42" s="22">
        <v>893</v>
      </c>
      <c r="AI42" s="22">
        <f>100*0.00118</f>
        <v>0.11800000000000001</v>
      </c>
      <c r="AJ42" s="22">
        <v>3446</v>
      </c>
      <c r="AK42" s="22">
        <f>100*0.0058</f>
        <v>0.57999999999999996</v>
      </c>
      <c r="AL42" s="22">
        <f>100*0.05505</f>
        <v>5.5049999999999999</v>
      </c>
      <c r="AM42" s="22">
        <f>100*0.0221</f>
        <v>2.21</v>
      </c>
      <c r="AN42" s="22">
        <f>100*0.841</f>
        <v>84.1</v>
      </c>
      <c r="AO42" s="22">
        <f>100*0.0454</f>
        <v>4.54</v>
      </c>
      <c r="AP42" s="22">
        <v>97556</v>
      </c>
      <c r="AQ42" s="22">
        <f>100*0.4849551</f>
        <v>48.495509999999996</v>
      </c>
      <c r="AR42" s="22">
        <f>100*0.6889867</f>
        <v>68.898669999999996</v>
      </c>
      <c r="AS42" s="22">
        <f>100*0.229835</f>
        <v>22.983499999999999</v>
      </c>
      <c r="AT42" s="22">
        <f>100*0.0188</f>
        <v>1.8800000000000001</v>
      </c>
      <c r="AU42" s="22">
        <f>100*0.0614</f>
        <v>6.1400000000000006</v>
      </c>
      <c r="AV42" s="22">
        <f>100*0.3219282</f>
        <v>32.192819999999998</v>
      </c>
      <c r="AW42" s="22">
        <f>100*0.17498975</f>
        <v>17.498975000000002</v>
      </c>
      <c r="AX42" s="22">
        <f>100*0.157</f>
        <v>15.7</v>
      </c>
      <c r="AY42" s="22">
        <f>100*0.351</f>
        <v>35.099999999999994</v>
      </c>
      <c r="AZ42" s="22">
        <v>482000</v>
      </c>
      <c r="BA42" s="22">
        <f>100*0.2344689</f>
        <v>23.44689</v>
      </c>
      <c r="BB42" s="22">
        <f>100*0.6409754</f>
        <v>64.097539999999995</v>
      </c>
      <c r="BC42" s="22">
        <f>100*0.2859814</f>
        <v>28.598140000000001</v>
      </c>
      <c r="BD42" s="22">
        <f>100*0.0017</f>
        <v>0.16999999999999998</v>
      </c>
      <c r="BE42" s="22">
        <f>100*0.0654</f>
        <v>6.54</v>
      </c>
      <c r="BF42" s="22">
        <f>100*0.5239704</f>
        <v>52.397039999999997</v>
      </c>
      <c r="BG42" s="22">
        <f>100*0.286982865</f>
        <v>28.698286499999998</v>
      </c>
      <c r="BH42" s="22">
        <f>100*0.007086</f>
        <v>0.70860000000000001</v>
      </c>
      <c r="BI42" s="22">
        <f>100*0.215</f>
        <v>21.5</v>
      </c>
      <c r="BJ42" s="22">
        <f>100*0.324</f>
        <v>32.4</v>
      </c>
      <c r="BK42" s="22">
        <f>100*0.15456</f>
        <v>15.456</v>
      </c>
      <c r="BL42" s="22">
        <f>100*0.12564</f>
        <v>12.564</v>
      </c>
      <c r="BM42" s="22">
        <f>100*0.39</f>
        <v>39</v>
      </c>
      <c r="BN42" s="22">
        <f>100*0.12278</f>
        <v>12.278</v>
      </c>
      <c r="BO42" s="22">
        <f>100*0.07635</f>
        <v>7.6349999999999998</v>
      </c>
      <c r="BP42" s="22">
        <f>100*0.25207</f>
        <v>25.207000000000001</v>
      </c>
      <c r="BQ42" s="22">
        <f>100*0.548</f>
        <v>54.800000000000004</v>
      </c>
      <c r="BR42" s="22">
        <f>100*0.63068</f>
        <v>63.068000000000005</v>
      </c>
      <c r="BS42" s="22">
        <f>100*0.191</f>
        <v>19.100000000000001</v>
      </c>
      <c r="BT42" s="22">
        <f>100*0.0328</f>
        <v>3.2800000000000002</v>
      </c>
      <c r="BU42" s="22">
        <f>100*0.145</f>
        <v>14.499999999999998</v>
      </c>
      <c r="BV42" s="22">
        <f>100*0.0768</f>
        <v>7.68</v>
      </c>
      <c r="BW42" s="22">
        <f>100*0.04034</f>
        <v>4.0339999999999998</v>
      </c>
      <c r="BX42" s="22">
        <f>100*0.395</f>
        <v>39.5</v>
      </c>
      <c r="BY42" s="22">
        <f>100*0.498</f>
        <v>49.8</v>
      </c>
      <c r="BZ42" s="66" t="s">
        <v>264</v>
      </c>
      <c r="CA42" s="67"/>
      <c r="CB42" s="67"/>
      <c r="CC42" s="57"/>
      <c r="CD42" s="57"/>
      <c r="CE42" s="57"/>
      <c r="CF42" s="57"/>
      <c r="CG42" s="57"/>
      <c r="CH42" s="57"/>
      <c r="CI42" s="57"/>
      <c r="CJ42" s="57"/>
      <c r="CK42" s="57"/>
      <c r="CL42" s="57"/>
      <c r="CM42" s="57"/>
      <c r="CN42" s="57"/>
      <c r="CO42" s="57"/>
      <c r="CP42" s="57"/>
      <c r="CQ42" s="57"/>
      <c r="CR42" s="57"/>
      <c r="CS42" s="57"/>
      <c r="CT42" s="57"/>
      <c r="CU42" s="57"/>
    </row>
    <row r="43" spans="1:101" s="22" customFormat="1">
      <c r="A43" s="33" t="s">
        <v>265</v>
      </c>
      <c r="B43" s="33" t="s">
        <v>97</v>
      </c>
      <c r="C43" s="33"/>
      <c r="D43" s="33" t="s">
        <v>98</v>
      </c>
      <c r="E43" s="94">
        <v>27494</v>
      </c>
      <c r="F43" s="94">
        <v>43325</v>
      </c>
      <c r="G43" s="94">
        <v>43434</v>
      </c>
      <c r="H43" s="94" t="s">
        <v>151</v>
      </c>
      <c r="I43" s="34">
        <v>43.641341546885698</v>
      </c>
      <c r="J43" s="34">
        <v>15940</v>
      </c>
      <c r="K43" s="34">
        <v>109</v>
      </c>
      <c r="L43" s="35" t="s">
        <v>100</v>
      </c>
      <c r="M43" s="35" t="s">
        <v>100</v>
      </c>
      <c r="N43" s="36" t="s">
        <v>266</v>
      </c>
      <c r="O43" s="40"/>
      <c r="P43" s="40"/>
      <c r="Q43" s="151" t="s">
        <v>267</v>
      </c>
      <c r="R43" s="37" t="s">
        <v>268</v>
      </c>
      <c r="S43" s="167" t="s">
        <v>172</v>
      </c>
      <c r="T43" s="168">
        <v>880.45</v>
      </c>
      <c r="U43" s="168">
        <v>74.12</v>
      </c>
      <c r="V43" s="38">
        <v>806.33</v>
      </c>
      <c r="W43" s="185" t="s">
        <v>104</v>
      </c>
      <c r="X43" s="39">
        <v>35000000</v>
      </c>
      <c r="Y43" s="173">
        <v>28221550000</v>
      </c>
      <c r="Z43" s="39">
        <v>35000000</v>
      </c>
      <c r="AA43" s="37" t="s">
        <v>173</v>
      </c>
      <c r="AB43" s="173">
        <v>25500000</v>
      </c>
      <c r="AC43" s="105" t="s">
        <v>269</v>
      </c>
      <c r="AD43" s="33">
        <v>329690</v>
      </c>
      <c r="AE43" s="33">
        <v>4290</v>
      </c>
      <c r="AF43" s="33">
        <f>100*0.0131</f>
        <v>1.31</v>
      </c>
      <c r="AG43" s="33">
        <f>100*0.25</f>
        <v>25</v>
      </c>
      <c r="AH43" s="33">
        <v>1006</v>
      </c>
      <c r="AI43" s="33">
        <f>100*0.0031</f>
        <v>0.31</v>
      </c>
      <c r="AJ43" s="33">
        <v>3426</v>
      </c>
      <c r="AK43" s="33">
        <f>100*0.0107</f>
        <v>1.0699999999999998</v>
      </c>
      <c r="AL43" s="33">
        <f>100*0.0283</f>
        <v>2.83</v>
      </c>
      <c r="AM43" s="33">
        <f>100*0.0123</f>
        <v>1.23</v>
      </c>
      <c r="AN43" s="33">
        <f>100*0.802</f>
        <v>80.2</v>
      </c>
      <c r="AO43" s="33">
        <f>100*0.0388</f>
        <v>3.88</v>
      </c>
      <c r="AP43" s="33">
        <v>55895</v>
      </c>
      <c r="AQ43" s="33">
        <f>100*0.443</f>
        <v>44.3</v>
      </c>
      <c r="AR43" s="33">
        <f>100*0.18</f>
        <v>18</v>
      </c>
      <c r="AS43" s="33">
        <f>100*0.756</f>
        <v>75.599999999999994</v>
      </c>
      <c r="AT43" s="33">
        <f>100*0.0308</f>
        <v>3.08</v>
      </c>
      <c r="AU43" s="33">
        <f>100*0.0331</f>
        <v>3.3099999999999996</v>
      </c>
      <c r="AV43" s="33">
        <f>100*0.138</f>
        <v>13.8</v>
      </c>
      <c r="AW43" s="33">
        <f>100*0.743</f>
        <v>74.3</v>
      </c>
      <c r="AX43" s="33">
        <f>100*0.0593</f>
        <v>5.93</v>
      </c>
      <c r="AY43" s="33">
        <f>100*0.06</f>
        <v>6</v>
      </c>
      <c r="AZ43" s="33">
        <v>256089</v>
      </c>
      <c r="BA43" s="33">
        <f>100*0.262</f>
        <v>26.200000000000003</v>
      </c>
      <c r="BB43" s="33">
        <f>100*0.598</f>
        <v>59.8</v>
      </c>
      <c r="BC43" s="33">
        <f>100*0.307</f>
        <v>30.7</v>
      </c>
      <c r="BD43" s="33">
        <f>100*0.001</f>
        <v>0.1</v>
      </c>
      <c r="BE43" s="33">
        <f>100*0.0938</f>
        <v>9.379999999999999</v>
      </c>
      <c r="BF43" s="33">
        <f>100*0.492</f>
        <v>49.2</v>
      </c>
      <c r="BG43" s="33">
        <f>100*0.306</f>
        <v>30.599999999999998</v>
      </c>
      <c r="BH43" s="33">
        <f>100*0.004</f>
        <v>0.4</v>
      </c>
      <c r="BI43" s="33">
        <f>100*0.199</f>
        <v>19.900000000000002</v>
      </c>
      <c r="BJ43" s="33">
        <f>100*0.484</f>
        <v>48.4</v>
      </c>
      <c r="BK43" s="33">
        <f>100*0.291</f>
        <v>29.099999999999998</v>
      </c>
      <c r="BL43" s="33">
        <f>100*0.133</f>
        <v>13.3</v>
      </c>
      <c r="BM43" s="33">
        <f>100*0.0916</f>
        <v>9.16</v>
      </c>
      <c r="BN43" s="33">
        <f>100*0.189</f>
        <v>18.899999999999999</v>
      </c>
      <c r="BO43" s="33">
        <f>100*0.0816</f>
        <v>8.16</v>
      </c>
      <c r="BP43" s="33">
        <f>100*0.334</f>
        <v>33.4</v>
      </c>
      <c r="BQ43" s="33">
        <f>100*0.395</f>
        <v>39.5</v>
      </c>
      <c r="BR43" s="33">
        <f>100*0.75</f>
        <v>75</v>
      </c>
      <c r="BS43" s="33">
        <f>100*0.0966</f>
        <v>9.66</v>
      </c>
      <c r="BT43" s="33">
        <f>100*0.0306</f>
        <v>3.06</v>
      </c>
      <c r="BU43" s="33">
        <f>100*0.123</f>
        <v>12.3</v>
      </c>
      <c r="BV43" s="33">
        <f>100*0.127</f>
        <v>12.7</v>
      </c>
      <c r="BW43" s="33">
        <f>100*0.0152</f>
        <v>1.52</v>
      </c>
      <c r="BX43" s="33">
        <f>100*0.112</f>
        <v>11.200000000000001</v>
      </c>
      <c r="BY43" s="33">
        <f>100*0.746</f>
        <v>74.599999999999994</v>
      </c>
      <c r="BZ43" s="102">
        <v>9.5600000000000004E-2</v>
      </c>
      <c r="CA43" s="103"/>
      <c r="CB43" s="103"/>
      <c r="CC43" s="33"/>
      <c r="CD43" s="33"/>
      <c r="CE43" s="33"/>
      <c r="CF43" s="33"/>
      <c r="CG43" s="33"/>
      <c r="CH43" s="33"/>
      <c r="CI43" s="33"/>
      <c r="CJ43" s="33"/>
      <c r="CK43" s="33"/>
      <c r="CL43" s="33"/>
      <c r="CM43" s="33"/>
      <c r="CN43" s="33"/>
      <c r="CO43" s="33"/>
      <c r="CP43" s="33"/>
      <c r="CQ43" s="33"/>
      <c r="CR43" s="33"/>
      <c r="CS43" s="33"/>
      <c r="CT43" s="33"/>
      <c r="CU43" s="33"/>
      <c r="CV43" s="33"/>
      <c r="CW43" s="33"/>
    </row>
    <row r="44" spans="1:101" s="22" customFormat="1">
      <c r="A44" s="22" t="s">
        <v>270</v>
      </c>
      <c r="B44" s="22" t="s">
        <v>108</v>
      </c>
      <c r="D44" s="22" t="s">
        <v>98</v>
      </c>
      <c r="E44" s="59">
        <v>28932</v>
      </c>
      <c r="F44" s="59">
        <v>43344</v>
      </c>
      <c r="G44" s="59">
        <v>43433</v>
      </c>
      <c r="H44" s="59" t="s">
        <v>151</v>
      </c>
      <c r="I44" s="31">
        <f>(G44-E44)/365.25</f>
        <v>39.701574264202598</v>
      </c>
      <c r="J44" s="32">
        <f>G44-E44</f>
        <v>14501</v>
      </c>
      <c r="K44" s="32">
        <f>G44-F44</f>
        <v>89</v>
      </c>
      <c r="L44" s="32" t="s">
        <v>100</v>
      </c>
      <c r="M44" s="32" t="s">
        <v>100</v>
      </c>
      <c r="N44" s="25" t="s">
        <v>110</v>
      </c>
      <c r="P44" s="26"/>
      <c r="Q44" s="59" t="s">
        <v>111</v>
      </c>
      <c r="R44" s="61" t="s">
        <v>271</v>
      </c>
      <c r="S44" s="62">
        <v>10</v>
      </c>
      <c r="T44" s="113">
        <v>2162.13</v>
      </c>
      <c r="U44" s="114">
        <v>78.3</v>
      </c>
      <c r="V44" s="28">
        <f>T44-U44</f>
        <v>2083.83</v>
      </c>
      <c r="W44" s="61"/>
      <c r="X44" s="143"/>
      <c r="Y44" s="111">
        <v>12000000</v>
      </c>
      <c r="Z44" s="143"/>
      <c r="AA44" s="61"/>
      <c r="AB44" s="111">
        <v>20800000</v>
      </c>
      <c r="AC44" s="22" t="s">
        <v>272</v>
      </c>
      <c r="AD44" s="22">
        <v>305637</v>
      </c>
      <c r="AE44" s="22">
        <v>10661</v>
      </c>
      <c r="AF44" s="22">
        <f>100*0.0363</f>
        <v>3.63</v>
      </c>
      <c r="AG44" s="22">
        <f>100*0.4566</f>
        <v>45.660000000000004</v>
      </c>
      <c r="AH44" s="22">
        <v>100</v>
      </c>
      <c r="AI44" s="22">
        <f>100*0.00033</f>
        <v>3.3000000000000002E-2</v>
      </c>
      <c r="AJ44" s="22">
        <v>3648</v>
      </c>
      <c r="AK44" s="22">
        <f>100*0.0125</f>
        <v>1.25</v>
      </c>
      <c r="AL44" s="22">
        <f>100*0.071</f>
        <v>7.1</v>
      </c>
      <c r="AM44" s="22">
        <f>100*0.00877</f>
        <v>0.877</v>
      </c>
      <c r="AN44" s="22">
        <f>100*0.865</f>
        <v>86.5</v>
      </c>
      <c r="AO44" s="22">
        <f>100*0.0275</f>
        <v>2.75</v>
      </c>
      <c r="AP44" s="22">
        <v>26519</v>
      </c>
      <c r="AQ44" s="22">
        <f>100*0.29051</f>
        <v>29.050999999999998</v>
      </c>
      <c r="AR44" s="22">
        <f>100*0.15317</f>
        <v>15.317</v>
      </c>
      <c r="AS44" s="22">
        <f>100*0.72415</f>
        <v>72.414999999999992</v>
      </c>
      <c r="AT44" s="22">
        <f>100*0.0907</f>
        <v>9.07</v>
      </c>
      <c r="AU44" s="22">
        <f>100*0.0261</f>
        <v>2.6100000000000003</v>
      </c>
      <c r="AV44" s="22">
        <f>100*0.0827641</f>
        <v>8.2764099999999985</v>
      </c>
      <c r="AW44" s="22">
        <f>100*0.625325</f>
        <v>62.532499999999999</v>
      </c>
      <c r="AX44" s="22">
        <f>100*0.2118</f>
        <v>21.18</v>
      </c>
      <c r="AY44" s="22">
        <f>100*0.0721</f>
        <v>7.21</v>
      </c>
      <c r="AZ44" s="22">
        <v>245305</v>
      </c>
      <c r="BA44" s="22">
        <f>100*0.0640919</f>
        <v>6.4091899999999997</v>
      </c>
      <c r="BB44" s="22">
        <f>100*0.356</f>
        <v>35.6</v>
      </c>
      <c r="BC44" s="22">
        <f>100*0.577885</f>
        <v>57.788499999999999</v>
      </c>
      <c r="BD44" s="22">
        <f>100*0.00519612</f>
        <v>0.51961200000000007</v>
      </c>
      <c r="BE44" s="22">
        <f>100*0.0576</f>
        <v>5.76</v>
      </c>
      <c r="BF44" s="22">
        <f>100*0.2659253</f>
        <v>26.592529999999996</v>
      </c>
      <c r="BG44" s="22">
        <f>100*0.56482765</f>
        <v>56.482765000000001</v>
      </c>
      <c r="BH44" s="22">
        <f>100*0.0091419</f>
        <v>0.91418999999999995</v>
      </c>
      <c r="BI44" s="22">
        <f>100*0.161</f>
        <v>16.100000000000001</v>
      </c>
      <c r="BJ44" s="22">
        <f>100*0.3077</f>
        <v>30.769999999999996</v>
      </c>
      <c r="BK44" s="22">
        <f>100*0.24545</f>
        <v>24.545000000000002</v>
      </c>
      <c r="BL44" s="22">
        <f>100*0.28151</f>
        <v>28.151</v>
      </c>
      <c r="BM44" s="22">
        <f>100*0.157</f>
        <v>15.7</v>
      </c>
      <c r="BN44" s="22">
        <f>100*0.12084</f>
        <v>12.084</v>
      </c>
      <c r="BO44" s="22">
        <f>100*0.0433</f>
        <v>4.33</v>
      </c>
      <c r="BP44" s="22">
        <f>100*0.5045</f>
        <v>50.449999999999996</v>
      </c>
      <c r="BQ44" s="22">
        <f>100*0.313</f>
        <v>31.3</v>
      </c>
      <c r="BR44" s="22">
        <f>100*0.5588</f>
        <v>55.879999999999995</v>
      </c>
      <c r="BS44" s="22">
        <f>100*0.249685</f>
        <v>24.968499999999999</v>
      </c>
      <c r="BT44" s="22">
        <f>100*0.0652</f>
        <v>6.52</v>
      </c>
      <c r="BU44" s="22">
        <f>100*0.119</f>
        <v>11.899999999999999</v>
      </c>
      <c r="BV44" s="22">
        <f>100*0.30577</f>
        <v>30.576999999999998</v>
      </c>
      <c r="BW44" s="22">
        <f>100*0.050485</f>
        <v>5.0485000000000007</v>
      </c>
      <c r="BX44" s="22">
        <f>100*0.124</f>
        <v>12.4</v>
      </c>
      <c r="BY44" s="22">
        <f>100*0.539</f>
        <v>53.900000000000006</v>
      </c>
      <c r="BZ44" s="66"/>
      <c r="CA44" s="67"/>
      <c r="CB44" s="67"/>
      <c r="CC44" s="57"/>
      <c r="CD44" s="57"/>
      <c r="CE44" s="57"/>
      <c r="CF44" s="57"/>
      <c r="CG44" s="57"/>
      <c r="CH44" s="57"/>
      <c r="CI44" s="57"/>
      <c r="CJ44" s="57"/>
      <c r="CK44" s="57"/>
      <c r="CL44" s="57"/>
      <c r="CM44" s="57"/>
      <c r="CN44" s="57"/>
      <c r="CO44" s="57"/>
      <c r="CP44" s="57"/>
      <c r="CQ44" s="57"/>
      <c r="CR44" s="57"/>
      <c r="CS44" s="57"/>
      <c r="CT44" s="57"/>
      <c r="CU44" s="57"/>
    </row>
    <row r="45" spans="1:101" s="22" customFormat="1">
      <c r="A45" s="22" t="s">
        <v>273</v>
      </c>
      <c r="B45" s="22" t="s">
        <v>108</v>
      </c>
      <c r="D45" s="22" t="s">
        <v>98</v>
      </c>
      <c r="E45" s="59">
        <v>28290</v>
      </c>
      <c r="F45" s="59">
        <v>43344</v>
      </c>
      <c r="G45" s="59">
        <v>43440</v>
      </c>
      <c r="H45" s="59" t="s">
        <v>151</v>
      </c>
      <c r="I45" s="31">
        <v>41.478439425051334</v>
      </c>
      <c r="J45" s="32">
        <v>15150</v>
      </c>
      <c r="K45" s="32">
        <v>96</v>
      </c>
      <c r="L45" s="32" t="s">
        <v>100</v>
      </c>
      <c r="M45" s="32" t="s">
        <v>100</v>
      </c>
      <c r="N45" s="25" t="s">
        <v>110</v>
      </c>
      <c r="O45" s="60"/>
      <c r="P45" s="26"/>
      <c r="Q45" s="59" t="s">
        <v>111</v>
      </c>
      <c r="R45" s="110" t="s">
        <v>271</v>
      </c>
      <c r="S45" s="62">
        <v>10</v>
      </c>
      <c r="T45" s="113">
        <v>2573.9699999999998</v>
      </c>
      <c r="U45" s="114">
        <v>78</v>
      </c>
      <c r="V45" s="28">
        <v>2495.9699999999998</v>
      </c>
      <c r="W45" s="61"/>
      <c r="X45" s="143"/>
      <c r="Y45" s="111">
        <v>960000</v>
      </c>
      <c r="Z45" s="143"/>
      <c r="AA45" s="61"/>
      <c r="AB45" s="111">
        <v>15000000</v>
      </c>
      <c r="AC45" s="22" t="s">
        <v>274</v>
      </c>
      <c r="AD45" s="22">
        <v>440000</v>
      </c>
      <c r="AE45" s="22">
        <v>4844</v>
      </c>
      <c r="AF45" s="22">
        <f>100*0.0117</f>
        <v>1.17</v>
      </c>
      <c r="AG45" s="22">
        <f>100*0.2869</f>
        <v>28.689999999999998</v>
      </c>
      <c r="AH45" s="22">
        <v>654</v>
      </c>
      <c r="AI45" s="22">
        <f>100*0.0022</f>
        <v>0.22</v>
      </c>
      <c r="AJ45" s="22">
        <v>8183</v>
      </c>
      <c r="AK45" s="22">
        <f>100*0.0215</f>
        <v>2.15</v>
      </c>
      <c r="AL45" s="22">
        <f>100*0.02488</f>
        <v>2.488</v>
      </c>
      <c r="AM45" s="22">
        <f>100*0.0091</f>
        <v>0.91</v>
      </c>
      <c r="AN45" s="22">
        <f>100*0.749</f>
        <v>74.900000000000006</v>
      </c>
      <c r="AO45" s="22">
        <f>100*0.0507</f>
        <v>5.07</v>
      </c>
      <c r="AP45" s="22">
        <v>113522</v>
      </c>
      <c r="AQ45" s="22">
        <f>100*0.36492</f>
        <v>36.492000000000004</v>
      </c>
      <c r="AR45" s="22">
        <f>100*0.1579059</f>
        <v>15.790589999999998</v>
      </c>
      <c r="AS45" s="22">
        <f>100*0.307888</f>
        <v>30.788799999999998</v>
      </c>
      <c r="AT45" s="22">
        <f>100*0.46379</f>
        <v>46.378999999999998</v>
      </c>
      <c r="AU45" s="22">
        <f>100*0.0613</f>
        <v>6.13</v>
      </c>
      <c r="AV45" s="22">
        <f>100*0.10456</f>
        <v>10.456</v>
      </c>
      <c r="AW45" s="22">
        <f>100*0.20426585</f>
        <v>20.426584999999999</v>
      </c>
      <c r="AX45" s="22">
        <f>100*0.53276</f>
        <v>53.276000000000003</v>
      </c>
      <c r="AY45" s="22">
        <f>100*0.161</f>
        <v>16.100000000000001</v>
      </c>
      <c r="AZ45" s="22">
        <v>250349</v>
      </c>
      <c r="BA45" s="22">
        <f>100*0.2433</f>
        <v>24.33</v>
      </c>
      <c r="BB45" s="22">
        <f>100*0.43674</f>
        <v>43.673999999999999</v>
      </c>
      <c r="BC45" s="22">
        <f>100*0.21998275</f>
        <v>21.998275</v>
      </c>
      <c r="BD45" s="22">
        <f>100*0.0628768</f>
        <v>6.2876799999999999</v>
      </c>
      <c r="BE45" s="22">
        <f>100*0.27</f>
        <v>27</v>
      </c>
      <c r="BF45" s="22">
        <f>100*0.3933</f>
        <v>39.33</v>
      </c>
      <c r="BG45" s="22">
        <f>100*0.2173442</f>
        <v>21.73442</v>
      </c>
      <c r="BH45" s="22">
        <f>100*0.0667729</f>
        <v>6.6772899999999993</v>
      </c>
      <c r="BI45" s="22">
        <f>100*0.309</f>
        <v>30.9</v>
      </c>
      <c r="BJ45" s="22">
        <f>100*0.068</f>
        <v>6.8000000000000007</v>
      </c>
      <c r="BK45" s="22">
        <f>100*0.3633</f>
        <v>36.33</v>
      </c>
      <c r="BL45" s="22">
        <f>100*0.20819</f>
        <v>20.818999999999999</v>
      </c>
      <c r="BM45" s="22">
        <f>100*0.0365</f>
        <v>3.65</v>
      </c>
      <c r="BN45" s="22">
        <f>100*0.08069</f>
        <v>8.0689999999999991</v>
      </c>
      <c r="BO45" s="22">
        <f>100*0.0524</f>
        <v>5.24</v>
      </c>
      <c r="BP45" s="22">
        <f>100*0.7159</f>
        <v>71.59</v>
      </c>
      <c r="BQ45" s="22">
        <f>100*0.115</f>
        <v>11.5</v>
      </c>
      <c r="BR45" s="22">
        <f>100*0.3955</f>
        <v>39.550000000000004</v>
      </c>
      <c r="BS45" s="22">
        <f>100*0.14994</f>
        <v>14.994</v>
      </c>
      <c r="BT45" s="22">
        <f>100*0.199</f>
        <v>19.900000000000002</v>
      </c>
      <c r="BU45" s="22">
        <f>100*0.255</f>
        <v>25.5</v>
      </c>
      <c r="BV45" s="22">
        <f>100*0.03418</f>
        <v>3.4180000000000001</v>
      </c>
      <c r="BW45" s="22">
        <f>100*0.0241</f>
        <v>2.41</v>
      </c>
      <c r="BX45" s="22">
        <f>100*0.33388</f>
        <v>33.387999999999998</v>
      </c>
      <c r="BY45" s="22">
        <f>100*0.647</f>
        <v>64.7</v>
      </c>
      <c r="BZ45" s="66"/>
      <c r="CA45" s="67"/>
      <c r="CB45" s="67"/>
      <c r="CC45" s="57"/>
      <c r="CD45" s="57"/>
      <c r="CE45" s="57"/>
      <c r="CF45" s="57"/>
      <c r="CG45" s="57"/>
      <c r="CH45" s="57"/>
      <c r="CI45" s="57"/>
      <c r="CJ45" s="57"/>
      <c r="CK45" s="57"/>
      <c r="CL45" s="57"/>
      <c r="CM45" s="57"/>
      <c r="CN45" s="57"/>
      <c r="CO45" s="57"/>
      <c r="CP45" s="57"/>
      <c r="CQ45" s="57"/>
      <c r="CR45" s="57"/>
      <c r="CS45" s="57"/>
      <c r="CT45" s="57"/>
      <c r="CU45" s="57"/>
    </row>
    <row r="46" spans="1:101" s="189" customFormat="1" ht="12.6" customHeight="1">
      <c r="A46" s="189" t="s">
        <v>275</v>
      </c>
      <c r="B46" s="189" t="s">
        <v>108</v>
      </c>
      <c r="D46" s="189" t="s">
        <v>98</v>
      </c>
      <c r="E46" s="224">
        <v>15977</v>
      </c>
      <c r="F46" s="224">
        <v>42948</v>
      </c>
      <c r="G46" s="224">
        <v>43445</v>
      </c>
      <c r="H46" s="204" t="s">
        <v>99</v>
      </c>
      <c r="I46" s="192">
        <v>75.203285420944553</v>
      </c>
      <c r="J46" s="193">
        <v>27468</v>
      </c>
      <c r="K46" s="193">
        <v>497</v>
      </c>
      <c r="L46" s="193" t="s">
        <v>109</v>
      </c>
      <c r="M46" s="193" t="s">
        <v>109</v>
      </c>
      <c r="N46" s="194" t="s">
        <v>276</v>
      </c>
      <c r="O46" s="205">
        <v>0</v>
      </c>
      <c r="P46" s="225">
        <v>0</v>
      </c>
      <c r="Q46" s="224" t="s">
        <v>111</v>
      </c>
      <c r="R46" s="226" t="s">
        <v>271</v>
      </c>
      <c r="S46" s="206">
        <v>10</v>
      </c>
      <c r="T46" s="205">
        <v>1639.14</v>
      </c>
      <c r="U46" s="207">
        <v>86.96</v>
      </c>
      <c r="V46" s="208">
        <v>1552.18</v>
      </c>
      <c r="W46" s="196"/>
      <c r="X46" s="210"/>
      <c r="Y46" s="223">
        <v>49600000</v>
      </c>
      <c r="Z46" s="223"/>
      <c r="AA46" s="227"/>
      <c r="AB46" s="223">
        <v>14600000</v>
      </c>
      <c r="AC46" s="189" t="s">
        <v>277</v>
      </c>
      <c r="AD46" s="189">
        <v>92562</v>
      </c>
      <c r="AE46" s="189">
        <v>2025</v>
      </c>
      <c r="AF46" s="189">
        <f>100*0.0219</f>
        <v>2.19</v>
      </c>
      <c r="AG46" s="189">
        <f>100*0.144</f>
        <v>14.399999999999999</v>
      </c>
      <c r="AH46" s="189">
        <v>109</v>
      </c>
      <c r="AI46" s="189">
        <f>100*0.0014</f>
        <v>0.13999999999999999</v>
      </c>
      <c r="AJ46" s="189">
        <v>259</v>
      </c>
      <c r="AK46" s="189">
        <f>100*0.0025</f>
        <v>0.25</v>
      </c>
      <c r="AL46" s="189">
        <f>100*0.08525</f>
        <v>8.5250000000000004</v>
      </c>
      <c r="AM46" s="189">
        <f>100*0.01925</f>
        <v>1.925</v>
      </c>
      <c r="AN46" s="189">
        <f>100*0.735</f>
        <v>73.5</v>
      </c>
      <c r="AO46" s="189">
        <f>100*0.0357</f>
        <v>3.5700000000000003</v>
      </c>
      <c r="AP46" s="189">
        <v>5307</v>
      </c>
      <c r="AQ46" s="189">
        <f>100*0.215</f>
        <v>21.5</v>
      </c>
      <c r="AR46" s="189">
        <f>100*0.24409</f>
        <v>24.408999999999999</v>
      </c>
      <c r="AS46" s="189">
        <f>100*0.57355</f>
        <v>57.355000000000004</v>
      </c>
      <c r="AT46" s="189">
        <f>100*0.09927</f>
        <v>9.9269999999999996</v>
      </c>
      <c r="AU46" s="189">
        <f>100*0.0727</f>
        <v>7.2700000000000005</v>
      </c>
      <c r="AV46" s="189">
        <f>100*0.24444</f>
        <v>24.443999999999999</v>
      </c>
      <c r="AW46" s="189">
        <f>100*0.6682</f>
        <v>66.820000000000007</v>
      </c>
      <c r="AX46" s="189">
        <f>100*0.0418</f>
        <v>4.18</v>
      </c>
      <c r="AY46" s="189">
        <f>100*0.0134</f>
        <v>1.34</v>
      </c>
      <c r="AZ46" s="189">
        <v>75268</v>
      </c>
      <c r="BA46" s="189">
        <f>100*0.04554016</f>
        <v>4.5540160000000007</v>
      </c>
      <c r="BB46" s="189">
        <f>100*0.3518</f>
        <v>35.18</v>
      </c>
      <c r="BC46" s="189">
        <f>100*0.5766586</f>
        <v>57.665860000000002</v>
      </c>
      <c r="BD46" s="189">
        <f>100*0.0012</f>
        <v>0.12</v>
      </c>
      <c r="BE46" s="189">
        <f>100*0.0352</f>
        <v>3.52</v>
      </c>
      <c r="BF46" s="189">
        <f>100*0.3014</f>
        <v>30.14</v>
      </c>
      <c r="BG46" s="189">
        <f>100*0.62222</f>
        <v>62.222000000000001</v>
      </c>
      <c r="BH46" s="189">
        <f>100*0.0036448</f>
        <v>0.36448000000000003</v>
      </c>
      <c r="BI46" s="189">
        <f>100*0.0676</f>
        <v>6.76</v>
      </c>
      <c r="BJ46" s="189">
        <f>100*0.0334</f>
        <v>3.34</v>
      </c>
      <c r="BK46" s="189">
        <f>100*0.46815</f>
        <v>46.814999999999998</v>
      </c>
      <c r="BL46" s="189">
        <f>100*0.11843</f>
        <v>11.843</v>
      </c>
      <c r="BM46" s="189">
        <f>100*0.0212</f>
        <v>2.12</v>
      </c>
      <c r="BN46" s="189">
        <f>100*0.0125</f>
        <v>1.25</v>
      </c>
      <c r="BO46" s="189">
        <f>100*0.026105</f>
        <v>2.6105</v>
      </c>
      <c r="BP46" s="189">
        <f>100*0.8086</f>
        <v>80.86</v>
      </c>
      <c r="BQ46" s="189">
        <f>100*0.132</f>
        <v>13.200000000000001</v>
      </c>
      <c r="BR46" s="189">
        <f>100*0.515</f>
        <v>51.5</v>
      </c>
      <c r="BS46" s="189">
        <f>100*0.201</f>
        <v>20.100000000000001</v>
      </c>
      <c r="BT46" s="189">
        <f>100*0.1</f>
        <v>10</v>
      </c>
      <c r="BU46" s="189">
        <f>100*0.162</f>
        <v>16.2</v>
      </c>
      <c r="BV46" s="189">
        <f>100*0.278</f>
        <v>27.800000000000004</v>
      </c>
      <c r="BW46" s="189">
        <f>100*0.131</f>
        <v>13.100000000000001</v>
      </c>
      <c r="BX46" s="189">
        <f>100*0.162</f>
        <v>16.2</v>
      </c>
      <c r="BY46" s="189">
        <f>100*0.422</f>
        <v>42.199999999999996</v>
      </c>
      <c r="BZ46" s="212"/>
      <c r="CA46" s="202"/>
      <c r="CB46" s="202"/>
      <c r="CC46" s="203"/>
      <c r="CD46" s="203"/>
      <c r="CE46" s="203"/>
      <c r="CF46" s="203"/>
      <c r="CG46" s="203"/>
      <c r="CH46" s="203"/>
      <c r="CI46" s="203"/>
      <c r="CJ46" s="203"/>
      <c r="CK46" s="203"/>
      <c r="CL46" s="203"/>
      <c r="CM46" s="203"/>
      <c r="CN46" s="203"/>
      <c r="CO46" s="203"/>
      <c r="CP46" s="203"/>
      <c r="CQ46" s="203"/>
      <c r="CR46" s="203"/>
      <c r="CS46" s="203"/>
      <c r="CT46" s="203"/>
      <c r="CU46" s="203"/>
    </row>
    <row r="47" spans="1:101" s="189" customFormat="1" ht="13.15" customHeight="1">
      <c r="A47" s="189" t="s">
        <v>278</v>
      </c>
      <c r="B47" s="189" t="s">
        <v>97</v>
      </c>
      <c r="D47" s="189" t="s">
        <v>98</v>
      </c>
      <c r="E47" s="190">
        <v>15977</v>
      </c>
      <c r="F47" s="190">
        <v>42948</v>
      </c>
      <c r="G47" s="190">
        <v>43493</v>
      </c>
      <c r="H47" s="190" t="s">
        <v>99</v>
      </c>
      <c r="I47" s="213">
        <v>75.334702258726892</v>
      </c>
      <c r="J47" s="213">
        <v>27516</v>
      </c>
      <c r="K47" s="213">
        <v>545</v>
      </c>
      <c r="L47" s="214" t="s">
        <v>109</v>
      </c>
      <c r="M47" s="214" t="s">
        <v>109</v>
      </c>
      <c r="N47" s="194" t="s">
        <v>162</v>
      </c>
      <c r="O47" s="195"/>
      <c r="P47" s="195"/>
      <c r="Q47" s="215" t="s">
        <v>279</v>
      </c>
      <c r="R47" s="216" t="s">
        <v>280</v>
      </c>
      <c r="S47" s="217" t="s">
        <v>184</v>
      </c>
      <c r="T47" s="197">
        <v>1760.59</v>
      </c>
      <c r="U47" s="197">
        <v>55.7</v>
      </c>
      <c r="V47" s="198">
        <v>1704.8899999999999</v>
      </c>
      <c r="W47" s="209" t="s">
        <v>281</v>
      </c>
      <c r="X47" s="199">
        <v>1200000</v>
      </c>
      <c r="Y47" s="200">
        <v>2045867999.9999998</v>
      </c>
      <c r="Z47" s="199">
        <v>475000000</v>
      </c>
      <c r="AA47" s="216" t="s">
        <v>282</v>
      </c>
      <c r="AB47" s="219">
        <v>11000000</v>
      </c>
      <c r="AC47" s="189" t="s">
        <v>283</v>
      </c>
      <c r="AD47" s="189">
        <v>28630</v>
      </c>
      <c r="AE47" s="189">
        <v>122</v>
      </c>
      <c r="AF47" s="189">
        <f>100*0.0052</f>
        <v>0.52</v>
      </c>
      <c r="AG47" s="189">
        <f>100*0.0246</f>
        <v>2.46</v>
      </c>
      <c r="AH47" s="189">
        <v>42</v>
      </c>
      <c r="AI47" s="189">
        <f>100*0.0018</f>
        <v>0.18</v>
      </c>
      <c r="AJ47" s="189">
        <v>58</v>
      </c>
      <c r="AK47" s="189">
        <f>100*0.0025</f>
        <v>0.25</v>
      </c>
      <c r="AL47" s="189">
        <v>0</v>
      </c>
      <c r="AM47" s="189">
        <v>0</v>
      </c>
      <c r="AN47" s="189">
        <f>100*0.793</f>
        <v>79.3</v>
      </c>
      <c r="AO47" s="189">
        <f>100*0.138</f>
        <v>13.8</v>
      </c>
      <c r="AP47" s="189">
        <v>2436</v>
      </c>
      <c r="AQ47" s="189">
        <f>100*0.0263</f>
        <v>2.63</v>
      </c>
      <c r="AR47" s="189">
        <f>100*0.338</f>
        <v>33.800000000000004</v>
      </c>
      <c r="AS47" s="189">
        <f>100*0.476</f>
        <v>47.599999999999994</v>
      </c>
      <c r="AT47" s="189">
        <f>100*0.101</f>
        <v>10.100000000000001</v>
      </c>
      <c r="AU47" s="189">
        <f>100*0.0846</f>
        <v>8.4599999999999991</v>
      </c>
      <c r="AV47" s="189">
        <f>100*0.19</f>
        <v>19</v>
      </c>
      <c r="AW47" s="189">
        <f>100*0.399</f>
        <v>39.900000000000006</v>
      </c>
      <c r="AX47" s="189">
        <f>100*0.205</f>
        <v>20.5</v>
      </c>
      <c r="AY47" s="189">
        <f>100*0.206</f>
        <v>20.599999999999998</v>
      </c>
      <c r="AZ47" s="189">
        <v>19699</v>
      </c>
      <c r="BA47" s="189">
        <f>100*0.0071</f>
        <v>0.71000000000000008</v>
      </c>
      <c r="BB47" s="189">
        <f>100*0.409</f>
        <v>40.9</v>
      </c>
      <c r="BC47" s="189">
        <f>100*0.533</f>
        <v>53.300000000000004</v>
      </c>
      <c r="BD47" s="189">
        <f>100*0.0038</f>
        <v>0.38</v>
      </c>
      <c r="BE47" s="189">
        <f>100*0.0543</f>
        <v>5.43</v>
      </c>
      <c r="BF47" s="189">
        <f>100*0.348</f>
        <v>34.799999999999997</v>
      </c>
      <c r="BG47" s="189">
        <f>100*0.53</f>
        <v>53</v>
      </c>
      <c r="BH47" s="189">
        <f>100*0.0084</f>
        <v>0.84</v>
      </c>
      <c r="BI47" s="189">
        <f>100*0.114</f>
        <v>11.4</v>
      </c>
      <c r="BJ47" s="189">
        <f>100*0.0902</f>
        <v>9.02</v>
      </c>
      <c r="BK47" s="189">
        <f>100*0.262</f>
        <v>26.200000000000003</v>
      </c>
      <c r="BL47" s="189">
        <f>100*0.557</f>
        <v>55.7</v>
      </c>
      <c r="BM47" s="189">
        <f>100*0.0902</f>
        <v>9.02</v>
      </c>
      <c r="BN47" s="189">
        <f>100*0.0246</f>
        <v>2.46</v>
      </c>
      <c r="BO47" s="189">
        <f>100*0.0656</f>
        <v>6.5600000000000005</v>
      </c>
      <c r="BP47" s="189">
        <f>100*0.754</f>
        <v>75.400000000000006</v>
      </c>
      <c r="BQ47" s="189">
        <f>100*0.156</f>
        <v>15.6</v>
      </c>
      <c r="BR47" s="189">
        <f>100*0.379</f>
        <v>37.9</v>
      </c>
      <c r="BS47" s="189">
        <f>100*0.362</f>
        <v>36.199999999999996</v>
      </c>
      <c r="BT47" s="189">
        <f>100*0.069</f>
        <v>6.9</v>
      </c>
      <c r="BU47" s="189">
        <f>100*0.19</f>
        <v>19</v>
      </c>
      <c r="BV47" s="189">
        <f>100*0.121</f>
        <v>12.1</v>
      </c>
      <c r="BW47" s="189">
        <f>100*0.0862</f>
        <v>8.6199999999999992</v>
      </c>
      <c r="BX47" s="189">
        <f>100*0.345</f>
        <v>34.5</v>
      </c>
      <c r="BY47" s="189">
        <f>100*0.448</f>
        <v>44.800000000000004</v>
      </c>
      <c r="BZ47" s="212">
        <v>0.27300000000000002</v>
      </c>
      <c r="CA47" s="202"/>
      <c r="CB47" s="202"/>
      <c r="CC47" s="203"/>
      <c r="CD47" s="203"/>
      <c r="CE47" s="203"/>
      <c r="CF47" s="203"/>
      <c r="CG47" s="203"/>
      <c r="CH47" s="203"/>
      <c r="CI47" s="203"/>
      <c r="CJ47" s="203"/>
      <c r="CK47" s="203"/>
      <c r="CL47" s="203"/>
      <c r="CM47" s="203"/>
      <c r="CN47" s="203"/>
      <c r="CO47" s="203"/>
      <c r="CP47" s="203"/>
      <c r="CQ47" s="203"/>
      <c r="CR47" s="203"/>
      <c r="CS47" s="203"/>
      <c r="CT47" s="203"/>
      <c r="CU47" s="203"/>
    </row>
    <row r="48" spans="1:101" s="22" customFormat="1" ht="12.6" customHeight="1">
      <c r="A48" s="22" t="s">
        <v>284</v>
      </c>
      <c r="B48" s="22" t="s">
        <v>108</v>
      </c>
      <c r="D48" s="22" t="s">
        <v>98</v>
      </c>
      <c r="E48" s="109">
        <v>16873</v>
      </c>
      <c r="F48" s="109">
        <v>42993</v>
      </c>
      <c r="G48" s="109">
        <v>43418</v>
      </c>
      <c r="H48" s="59" t="s">
        <v>151</v>
      </c>
      <c r="I48" s="31">
        <v>72.676249144421632</v>
      </c>
      <c r="J48" s="32">
        <v>26545</v>
      </c>
      <c r="K48" s="32">
        <v>425</v>
      </c>
      <c r="L48" s="32" t="s">
        <v>100</v>
      </c>
      <c r="M48" s="32" t="s">
        <v>100</v>
      </c>
      <c r="N48" s="25">
        <v>43434</v>
      </c>
      <c r="O48" s="60">
        <v>1</v>
      </c>
      <c r="P48" s="26" t="s">
        <v>266</v>
      </c>
      <c r="Q48" s="109" t="s">
        <v>111</v>
      </c>
      <c r="R48" s="110" t="s">
        <v>285</v>
      </c>
      <c r="S48" s="62">
        <v>10</v>
      </c>
      <c r="T48" s="171" t="s">
        <v>286</v>
      </c>
      <c r="U48" s="171"/>
      <c r="V48" s="28">
        <v>3185.64</v>
      </c>
      <c r="W48" s="61"/>
      <c r="X48" s="143"/>
      <c r="Y48" s="111">
        <v>10800000</v>
      </c>
      <c r="Z48" s="111"/>
      <c r="AA48" s="181"/>
      <c r="AB48" s="111">
        <v>14400000</v>
      </c>
      <c r="AC48" s="22" t="s">
        <v>287</v>
      </c>
      <c r="AD48" s="22">
        <v>570000</v>
      </c>
      <c r="AE48" s="22">
        <v>2836</v>
      </c>
      <c r="AF48" s="22">
        <f>100*0.0053</f>
        <v>0.53</v>
      </c>
      <c r="AG48" s="22">
        <f>100*0.359</f>
        <v>35.9</v>
      </c>
      <c r="AH48" s="22">
        <v>8</v>
      </c>
      <c r="AI48" s="22">
        <f>100*0.0000151</f>
        <v>1.5099999999999998E-3</v>
      </c>
      <c r="AJ48" s="22">
        <v>1304</v>
      </c>
      <c r="AK48" s="22">
        <f>100*0.0025</f>
        <v>0.25</v>
      </c>
      <c r="AL48" s="22">
        <f>100*0.0491</f>
        <v>4.91</v>
      </c>
      <c r="AM48" s="22">
        <f>100*0.0031</f>
        <v>0.31</v>
      </c>
      <c r="AN48" s="22">
        <f>100*0.893</f>
        <v>89.3</v>
      </c>
      <c r="AO48" s="22">
        <f>100*0.013</f>
        <v>1.3</v>
      </c>
      <c r="AP48" s="22">
        <v>165860</v>
      </c>
      <c r="AQ48" s="22">
        <f>100*0.264</f>
        <v>26.400000000000002</v>
      </c>
      <c r="AR48" s="22">
        <f>100*0.0364</f>
        <v>3.64</v>
      </c>
      <c r="AS48" s="22">
        <f>100*0.22</f>
        <v>22</v>
      </c>
      <c r="AT48" s="22">
        <f>100*0.217</f>
        <v>21.7</v>
      </c>
      <c r="AU48" s="22">
        <f>100*0.527</f>
        <v>52.7</v>
      </c>
      <c r="AV48" s="22">
        <f>100*0.0156</f>
        <v>1.5599999999999998</v>
      </c>
      <c r="AW48" s="22">
        <f>100*0.126</f>
        <v>12.6</v>
      </c>
      <c r="AX48" s="22">
        <f>100*0.32</f>
        <v>32</v>
      </c>
      <c r="AY48" s="22">
        <f>100*0.539</f>
        <v>53.900000000000006</v>
      </c>
      <c r="AZ48" s="22">
        <v>330425</v>
      </c>
      <c r="BA48" s="22">
        <f>100*0.0779</f>
        <v>7.79</v>
      </c>
      <c r="BB48" s="22">
        <f>100*0.236</f>
        <v>23.599999999999998</v>
      </c>
      <c r="BC48" s="22">
        <f>100*0.688</f>
        <v>68.8</v>
      </c>
      <c r="BD48" s="22">
        <f>100*0.0254</f>
        <v>2.54</v>
      </c>
      <c r="BE48" s="22">
        <f>100*0.0504</f>
        <v>5.04</v>
      </c>
      <c r="BF48" s="22">
        <f>100*0.257</f>
        <v>25.7</v>
      </c>
      <c r="BG48" s="22">
        <f>100*0.658</f>
        <v>65.8</v>
      </c>
      <c r="BH48" s="22">
        <f>100*0.0208</f>
        <v>2.08</v>
      </c>
      <c r="BI48" s="22">
        <f>100*0.0639</f>
        <v>6.39</v>
      </c>
      <c r="BJ48" s="22">
        <f>100*0.213</f>
        <v>21.3</v>
      </c>
      <c r="BK48" s="22">
        <f>100*0.281</f>
        <v>28.1</v>
      </c>
      <c r="BL48" s="22">
        <f>100*0.443</f>
        <v>44.3</v>
      </c>
      <c r="BM48" s="22">
        <f>100*0.0635</f>
        <v>6.35</v>
      </c>
      <c r="BN48" s="22">
        <f>100*0.079</f>
        <v>7.9</v>
      </c>
      <c r="BO48" s="22">
        <f>100*0.0441</f>
        <v>4.41</v>
      </c>
      <c r="BP48" s="22">
        <f>100*0.702</f>
        <v>70.199999999999989</v>
      </c>
      <c r="BQ48" s="22">
        <f>100*0.175</f>
        <v>17.5</v>
      </c>
      <c r="BR48" s="22">
        <f>100*0.447</f>
        <v>44.7</v>
      </c>
      <c r="BS48" s="22">
        <f>100*0.327</f>
        <v>32.700000000000003</v>
      </c>
      <c r="BT48" s="22">
        <f>100*0.079</f>
        <v>7.9</v>
      </c>
      <c r="BU48" s="22">
        <f>100*0.147</f>
        <v>14.7</v>
      </c>
      <c r="BV48" s="22">
        <f>100*0.0867</f>
        <v>8.67</v>
      </c>
      <c r="BW48" s="22">
        <f>100*0.0284</f>
        <v>2.8400000000000003</v>
      </c>
      <c r="BX48" s="22">
        <f>100*0.377</f>
        <v>37.700000000000003</v>
      </c>
      <c r="BY48" s="22">
        <f>100*0.508</f>
        <v>50.8</v>
      </c>
      <c r="BZ48" s="66">
        <v>9.2999999999999999E-2</v>
      </c>
      <c r="CA48" s="67"/>
      <c r="CB48" s="67"/>
      <c r="CC48" s="57"/>
      <c r="CD48" s="57"/>
      <c r="CE48" s="57"/>
      <c r="CF48" s="57"/>
      <c r="CG48" s="57"/>
      <c r="CH48" s="57"/>
      <c r="CI48" s="57"/>
      <c r="CJ48" s="57"/>
      <c r="CK48" s="57"/>
      <c r="CL48" s="57"/>
      <c r="CM48" s="57"/>
      <c r="CN48" s="57"/>
      <c r="CO48" s="57"/>
      <c r="CP48" s="57"/>
      <c r="CQ48" s="57"/>
      <c r="CR48" s="57"/>
      <c r="CS48" s="57"/>
      <c r="CT48" s="57"/>
      <c r="CU48" s="57"/>
    </row>
    <row r="49" spans="1:101" s="54" customFormat="1" ht="13.9" customHeight="1">
      <c r="A49" s="22" t="s">
        <v>288</v>
      </c>
      <c r="B49" s="22" t="s">
        <v>108</v>
      </c>
      <c r="C49" s="22"/>
      <c r="D49" s="22" t="s">
        <v>98</v>
      </c>
      <c r="E49" s="109">
        <v>26786</v>
      </c>
      <c r="F49" s="109">
        <v>43012</v>
      </c>
      <c r="G49" s="109">
        <v>43469</v>
      </c>
      <c r="H49" s="109" t="s">
        <v>151</v>
      </c>
      <c r="I49" s="119">
        <v>45.675564681724843</v>
      </c>
      <c r="J49" s="120">
        <v>16683</v>
      </c>
      <c r="K49" s="120">
        <v>457</v>
      </c>
      <c r="L49" s="120" t="s">
        <v>109</v>
      </c>
      <c r="M49" s="120" t="s">
        <v>100</v>
      </c>
      <c r="N49" s="147" t="s">
        <v>276</v>
      </c>
      <c r="O49" s="113">
        <v>0</v>
      </c>
      <c r="P49" s="113">
        <v>0</v>
      </c>
      <c r="Q49" s="109" t="s">
        <v>111</v>
      </c>
      <c r="R49" s="110" t="s">
        <v>271</v>
      </c>
      <c r="S49" s="171">
        <v>10</v>
      </c>
      <c r="T49" s="171">
        <v>2175.36</v>
      </c>
      <c r="U49" s="170">
        <v>67.66</v>
      </c>
      <c r="V49" s="28">
        <f>T49-U49</f>
        <v>2107.7000000000003</v>
      </c>
      <c r="W49" s="61"/>
      <c r="X49" s="143"/>
      <c r="Y49" s="111">
        <v>10400000</v>
      </c>
      <c r="Z49" s="111"/>
      <c r="AA49" s="181"/>
      <c r="AB49" s="111">
        <v>10600000</v>
      </c>
      <c r="AC49" s="22" t="s">
        <v>289</v>
      </c>
      <c r="AD49" s="22">
        <v>1100000</v>
      </c>
      <c r="AE49" s="22">
        <v>42514</v>
      </c>
      <c r="AF49" s="22">
        <f>100*0.0429</f>
        <v>4.29</v>
      </c>
      <c r="AG49" s="22">
        <f>100*0.0949</f>
        <v>9.49</v>
      </c>
      <c r="AH49" s="22">
        <v>3568</v>
      </c>
      <c r="AI49" s="22">
        <f>100*0.0036</f>
        <v>0.36</v>
      </c>
      <c r="AJ49" s="22">
        <v>38267</v>
      </c>
      <c r="AK49" s="22">
        <f>100*0.0407</f>
        <v>4.07</v>
      </c>
      <c r="AL49" s="22">
        <f>100*0.0058</f>
        <v>0.57999999999999996</v>
      </c>
      <c r="AM49" s="22">
        <f>100*0.0017</f>
        <v>0.16999999999999998</v>
      </c>
      <c r="AN49" s="22">
        <f>100*0.831</f>
        <v>83.1</v>
      </c>
      <c r="AO49" s="22">
        <f>100*0.0086</f>
        <v>0.86</v>
      </c>
      <c r="AP49" s="22">
        <v>183616</v>
      </c>
      <c r="AQ49" s="22">
        <f>100*0.131</f>
        <v>13.100000000000001</v>
      </c>
      <c r="AR49" s="22">
        <f>100*0.103</f>
        <v>10.299999999999999</v>
      </c>
      <c r="AS49" s="22">
        <f>100*0.68</f>
        <v>68</v>
      </c>
      <c r="AT49" s="22">
        <f>100*0.17</f>
        <v>17</v>
      </c>
      <c r="AU49" s="22">
        <f>100*0.0462</f>
        <v>4.62</v>
      </c>
      <c r="AV49" s="22">
        <f>100*0.0324</f>
        <v>3.2399999999999998</v>
      </c>
      <c r="AW49" s="22">
        <f>100*0.588</f>
        <v>58.8</v>
      </c>
      <c r="AX49" s="22">
        <f>100*0.306</f>
        <v>30.599999999999998</v>
      </c>
      <c r="AY49" s="22">
        <f>100*0.0731</f>
        <v>7.31</v>
      </c>
      <c r="AZ49" s="22">
        <f>100*599000</f>
        <v>59900000</v>
      </c>
      <c r="BA49" s="22">
        <f>100*0.0686</f>
        <v>6.8599999999999994</v>
      </c>
      <c r="BB49" s="22">
        <f>100*0.483</f>
        <v>48.3</v>
      </c>
      <c r="BC49" s="22">
        <f>100*0.423</f>
        <v>42.3</v>
      </c>
      <c r="BD49" s="22">
        <f>100*0.0085</f>
        <v>0.85000000000000009</v>
      </c>
      <c r="BE49" s="22">
        <f>100*0.0863</f>
        <v>8.6300000000000008</v>
      </c>
      <c r="BF49" s="22">
        <f>100*0.424</f>
        <v>42.4</v>
      </c>
      <c r="BG49" s="22">
        <f>100*0.419</f>
        <v>41.9</v>
      </c>
      <c r="BH49" s="22">
        <f>100*0.0122</f>
        <v>1.22</v>
      </c>
      <c r="BI49" s="22">
        <f>100*0.145</f>
        <v>14.499999999999998</v>
      </c>
      <c r="BJ49" s="22">
        <f>100*0.425</f>
        <v>42.5</v>
      </c>
      <c r="BK49" s="22">
        <f>100*0.34</f>
        <v>34</v>
      </c>
      <c r="BL49" s="22">
        <f>100*0.0703</f>
        <v>7.03</v>
      </c>
      <c r="BM49" s="22">
        <f>100*0.164</f>
        <v>16.400000000000002</v>
      </c>
      <c r="BN49" s="22">
        <f>100*0.0096</f>
        <v>0.96</v>
      </c>
      <c r="BO49" s="22">
        <f>100*0.0086</f>
        <v>0.86</v>
      </c>
      <c r="BP49" s="22">
        <f>100*0.825</f>
        <v>82.5</v>
      </c>
      <c r="BQ49" s="22">
        <f>100*0.157</f>
        <v>15.7</v>
      </c>
      <c r="BR49" s="22">
        <f>100*0.734</f>
        <v>73.400000000000006</v>
      </c>
      <c r="BS49" s="22">
        <f>100*0.126</f>
        <v>12.6</v>
      </c>
      <c r="BT49" s="22">
        <f>100*0.007</f>
        <v>0.70000000000000007</v>
      </c>
      <c r="BU49" s="22">
        <f>100*0.134</f>
        <v>13.4</v>
      </c>
      <c r="BV49" s="22">
        <f>100*0.0292</f>
        <v>2.92</v>
      </c>
      <c r="BW49" s="22">
        <f>100*0.0058</f>
        <v>0.57999999999999996</v>
      </c>
      <c r="BX49" s="22">
        <f>100*0.365</f>
        <v>36.5</v>
      </c>
      <c r="BY49" s="22">
        <f>100*0.6</f>
        <v>60</v>
      </c>
      <c r="BZ49" s="66">
        <v>4.9500000000000002E-2</v>
      </c>
      <c r="CA49" s="67"/>
      <c r="CB49" s="67"/>
      <c r="CC49" s="57"/>
      <c r="CD49" s="57"/>
      <c r="CE49" s="57"/>
      <c r="CF49" s="57"/>
      <c r="CG49" s="57"/>
      <c r="CH49" s="57"/>
      <c r="CI49" s="57"/>
      <c r="CJ49" s="57"/>
      <c r="CK49" s="57"/>
      <c r="CL49" s="57"/>
      <c r="CM49" s="57"/>
      <c r="CN49" s="57"/>
      <c r="CO49" s="57"/>
      <c r="CP49" s="57"/>
      <c r="CQ49" s="57"/>
      <c r="CR49" s="57"/>
      <c r="CS49" s="57"/>
      <c r="CT49" s="57"/>
      <c r="CU49" s="57"/>
      <c r="CV49" s="22"/>
      <c r="CW49" s="22"/>
    </row>
    <row r="50" spans="1:101" s="54" customFormat="1" ht="24">
      <c r="A50" s="54" t="s">
        <v>96</v>
      </c>
      <c r="B50" s="54" t="s">
        <v>97</v>
      </c>
      <c r="D50" s="54" t="s">
        <v>290</v>
      </c>
      <c r="E50" s="97">
        <v>18328</v>
      </c>
      <c r="F50" s="97">
        <v>42184</v>
      </c>
      <c r="G50" s="97">
        <v>43004</v>
      </c>
      <c r="H50" s="97" t="s">
        <v>99</v>
      </c>
      <c r="I50" s="68">
        <f>(G50-E50)/365.25</f>
        <v>67.559206023271727</v>
      </c>
      <c r="J50" s="74">
        <f>G50-E50</f>
        <v>24676</v>
      </c>
      <c r="K50" s="74">
        <f>G50-F50</f>
        <v>820</v>
      </c>
      <c r="L50" s="76" t="s">
        <v>100</v>
      </c>
      <c r="M50" s="76" t="s">
        <v>100</v>
      </c>
      <c r="N50" s="70" t="s">
        <v>101</v>
      </c>
      <c r="O50" s="71"/>
      <c r="P50" s="71"/>
      <c r="Q50" s="155"/>
      <c r="R50" s="77" t="s">
        <v>102</v>
      </c>
      <c r="S50" s="159" t="s">
        <v>103</v>
      </c>
      <c r="T50" s="160">
        <v>1583.16</v>
      </c>
      <c r="U50" s="160">
        <v>79.03</v>
      </c>
      <c r="V50" s="72">
        <f>T50-U50</f>
        <v>1504.13</v>
      </c>
      <c r="W50" s="187" t="s">
        <v>104</v>
      </c>
      <c r="X50" s="73">
        <v>66000</v>
      </c>
      <c r="Y50" s="177">
        <f>X50*V50</f>
        <v>99272580</v>
      </c>
      <c r="Z50" s="73">
        <v>146000000</v>
      </c>
      <c r="AA50" s="77" t="s">
        <v>105</v>
      </c>
      <c r="AB50" s="176">
        <v>5000000</v>
      </c>
      <c r="AC50" s="54" t="s">
        <v>106</v>
      </c>
      <c r="AD50" s="54" t="s">
        <v>215</v>
      </c>
      <c r="AE50" s="54" t="s">
        <v>215</v>
      </c>
      <c r="AF50" s="54" t="s">
        <v>215</v>
      </c>
      <c r="AG50" s="54" t="s">
        <v>215</v>
      </c>
      <c r="AH50" s="54" t="s">
        <v>215</v>
      </c>
      <c r="AI50" s="54" t="s">
        <v>215</v>
      </c>
      <c r="AJ50" s="54" t="s">
        <v>215</v>
      </c>
      <c r="AK50" s="54" t="s">
        <v>215</v>
      </c>
      <c r="AL50" s="54" t="s">
        <v>215</v>
      </c>
      <c r="AM50" s="54" t="s">
        <v>215</v>
      </c>
      <c r="AN50" s="54" t="s">
        <v>215</v>
      </c>
      <c r="AO50" s="54" t="s">
        <v>215</v>
      </c>
      <c r="AP50" s="54" t="s">
        <v>215</v>
      </c>
      <c r="AQ50" s="54" t="s">
        <v>215</v>
      </c>
      <c r="AR50" s="54" t="s">
        <v>215</v>
      </c>
      <c r="AS50" s="54" t="s">
        <v>215</v>
      </c>
      <c r="AT50" s="54" t="s">
        <v>215</v>
      </c>
      <c r="AU50" s="54" t="s">
        <v>215</v>
      </c>
      <c r="AV50" s="54" t="s">
        <v>215</v>
      </c>
      <c r="AW50" s="54" t="s">
        <v>215</v>
      </c>
      <c r="AX50" s="54" t="s">
        <v>215</v>
      </c>
      <c r="AY50" s="54" t="s">
        <v>215</v>
      </c>
      <c r="AZ50" s="54" t="s">
        <v>215</v>
      </c>
      <c r="BA50" s="54" t="s">
        <v>215</v>
      </c>
      <c r="BB50" s="54" t="s">
        <v>215</v>
      </c>
      <c r="BC50" s="54" t="s">
        <v>215</v>
      </c>
      <c r="BD50" s="54" t="s">
        <v>215</v>
      </c>
      <c r="BE50" s="54" t="s">
        <v>215</v>
      </c>
      <c r="BF50" s="54" t="s">
        <v>215</v>
      </c>
      <c r="BG50" s="54" t="s">
        <v>215</v>
      </c>
      <c r="BH50" s="54" t="s">
        <v>215</v>
      </c>
      <c r="BI50" s="54" t="s">
        <v>215</v>
      </c>
      <c r="BJ50" s="54" t="s">
        <v>215</v>
      </c>
      <c r="BK50" s="54" t="s">
        <v>215</v>
      </c>
      <c r="BL50" s="54" t="s">
        <v>215</v>
      </c>
      <c r="BM50" s="54" t="s">
        <v>215</v>
      </c>
      <c r="BN50" s="54" t="s">
        <v>215</v>
      </c>
      <c r="BO50" s="54" t="s">
        <v>215</v>
      </c>
      <c r="BP50" s="54" t="s">
        <v>215</v>
      </c>
      <c r="BQ50" s="54" t="s">
        <v>215</v>
      </c>
      <c r="BR50" s="54" t="s">
        <v>215</v>
      </c>
      <c r="BS50" s="54" t="s">
        <v>215</v>
      </c>
      <c r="BT50" s="54" t="s">
        <v>215</v>
      </c>
      <c r="BU50" s="54" t="s">
        <v>215</v>
      </c>
      <c r="BV50" s="54" t="s">
        <v>215</v>
      </c>
      <c r="BW50" s="54" t="s">
        <v>215</v>
      </c>
      <c r="BX50" s="54" t="s">
        <v>215</v>
      </c>
      <c r="BY50" s="54" t="s">
        <v>215</v>
      </c>
      <c r="BZ50" s="54" t="s">
        <v>215</v>
      </c>
      <c r="CA50" s="81">
        <v>1000000</v>
      </c>
      <c r="CB50" s="81">
        <v>750000</v>
      </c>
      <c r="CC50" s="56">
        <v>720000</v>
      </c>
      <c r="CD50" s="56">
        <v>366</v>
      </c>
      <c r="CE50" s="56">
        <v>0</v>
      </c>
      <c r="CF50" s="56">
        <v>3616</v>
      </c>
      <c r="CG50" s="56">
        <v>662000</v>
      </c>
      <c r="CH50" s="56">
        <v>5584</v>
      </c>
      <c r="CI50" s="56">
        <v>67</v>
      </c>
      <c r="CJ50" s="56">
        <v>0.96</v>
      </c>
      <c r="CK50" s="56">
        <v>4.8999999999999998E-4</v>
      </c>
      <c r="CL50" s="56">
        <v>0</v>
      </c>
      <c r="CM50" s="56">
        <v>4.7999999999999996E-3</v>
      </c>
      <c r="CN50" s="56">
        <v>0.88300000000000001</v>
      </c>
      <c r="CO50" s="56">
        <v>7.4000000000000003E-3</v>
      </c>
      <c r="CP50" s="56">
        <v>8.9300000000000002E-5</v>
      </c>
      <c r="CQ50" s="56">
        <v>5.1000000000000004E-4</v>
      </c>
      <c r="CR50" s="56">
        <v>0</v>
      </c>
      <c r="CS50" s="56">
        <v>5.0000000000000001E-3</v>
      </c>
      <c r="CT50" s="56">
        <v>0.91900000000000004</v>
      </c>
      <c r="CU50" s="56">
        <v>7.7999999999999996E-3</v>
      </c>
      <c r="CV50" s="54">
        <v>9.3055555555555602E-5</v>
      </c>
    </row>
    <row r="51" spans="1:101" s="54" customFormat="1">
      <c r="A51" s="5" t="s">
        <v>114</v>
      </c>
      <c r="B51" s="5" t="s">
        <v>108</v>
      </c>
      <c r="C51" s="5"/>
      <c r="D51" s="5" t="s">
        <v>290</v>
      </c>
      <c r="E51" s="82">
        <v>12528</v>
      </c>
      <c r="F51" s="82">
        <v>41303</v>
      </c>
      <c r="G51" s="82">
        <v>43306</v>
      </c>
      <c r="H51" s="82" t="s">
        <v>99</v>
      </c>
      <c r="I51" s="83">
        <v>84.26557152635182</v>
      </c>
      <c r="J51" s="52">
        <v>30778</v>
      </c>
      <c r="K51" s="52">
        <v>2003</v>
      </c>
      <c r="L51" s="52" t="s">
        <v>100</v>
      </c>
      <c r="M51" s="52" t="s">
        <v>109</v>
      </c>
      <c r="N51" s="148" t="s">
        <v>115</v>
      </c>
      <c r="O51" s="84">
        <v>1</v>
      </c>
      <c r="P51" s="84" t="s">
        <v>116</v>
      </c>
      <c r="Q51" s="82" t="s">
        <v>111</v>
      </c>
      <c r="R51" s="9" t="s">
        <v>112</v>
      </c>
      <c r="S51" s="85">
        <v>10</v>
      </c>
      <c r="T51" s="86">
        <v>2723.71</v>
      </c>
      <c r="U51" s="87">
        <v>77.64</v>
      </c>
      <c r="V51" s="140">
        <v>2646.07</v>
      </c>
      <c r="W51" s="9"/>
      <c r="X51" s="8"/>
      <c r="Y51" s="88">
        <v>4130000</v>
      </c>
      <c r="Z51" s="19"/>
      <c r="AA51" s="9"/>
      <c r="AB51" s="179">
        <v>31200000</v>
      </c>
      <c r="AC51" s="20" t="s">
        <v>291</v>
      </c>
      <c r="AD51" s="20">
        <v>70936</v>
      </c>
      <c r="AE51" s="20">
        <v>633</v>
      </c>
      <c r="AF51" s="20">
        <f>100*0.0091</f>
        <v>0.91</v>
      </c>
      <c r="AG51" s="20">
        <f>100*0.134</f>
        <v>13.4</v>
      </c>
      <c r="AH51" s="20">
        <v>134</v>
      </c>
      <c r="AI51" s="20">
        <f>100*0.0019</f>
        <v>0.19</v>
      </c>
      <c r="AJ51" s="20">
        <v>322</v>
      </c>
      <c r="AK51" s="20">
        <f>100*0.0047</f>
        <v>0.47000000000000003</v>
      </c>
      <c r="AL51" s="20">
        <f>100*0.311</f>
        <v>31.1</v>
      </c>
      <c r="AM51" s="20">
        <f>100*0.0217</f>
        <v>2.17</v>
      </c>
      <c r="AN51" s="20">
        <f>100*0.851</f>
        <v>85.1</v>
      </c>
      <c r="AO51" s="20">
        <f>100*0.0901</f>
        <v>9.01</v>
      </c>
      <c r="AP51" s="20">
        <v>40643</v>
      </c>
      <c r="AQ51" s="20">
        <f>100*0.17</f>
        <v>17</v>
      </c>
      <c r="AR51" s="20">
        <f>100*0.221</f>
        <v>22.1</v>
      </c>
      <c r="AS51" s="20">
        <f>100*0.0621</f>
        <v>6.21</v>
      </c>
      <c r="AT51" s="20">
        <f>100*0.201</f>
        <v>20.100000000000001</v>
      </c>
      <c r="AU51" s="20">
        <f>100*0.516</f>
        <v>51.6</v>
      </c>
      <c r="AV51" s="20">
        <f>100*0.531</f>
        <v>53.1</v>
      </c>
      <c r="AW51" s="20">
        <f>100*0.21</f>
        <v>21</v>
      </c>
      <c r="AX51" s="20">
        <f>100*0.0905</f>
        <v>9.0499999999999989</v>
      </c>
      <c r="AY51" s="20">
        <f>100*0.169</f>
        <v>16.900000000000002</v>
      </c>
      <c r="AZ51" s="20">
        <v>23823</v>
      </c>
      <c r="BA51" s="20">
        <f>100*0.0286</f>
        <v>2.86</v>
      </c>
      <c r="BB51" s="20">
        <f>100*0.381</f>
        <v>38.1</v>
      </c>
      <c r="BC51" s="20">
        <f>100*0.162</f>
        <v>16.2</v>
      </c>
      <c r="BD51" s="20">
        <f>100*0.0085</f>
        <v>0.85000000000000009</v>
      </c>
      <c r="BE51" s="20">
        <f>100*0.448</f>
        <v>44.800000000000004</v>
      </c>
      <c r="BF51" s="20">
        <f>100*0.302</f>
        <v>30.2</v>
      </c>
      <c r="BG51" s="20">
        <f>100*0.147</f>
        <v>14.7</v>
      </c>
      <c r="BH51" s="20">
        <f>100*0.0078</f>
        <v>0.77999999999999992</v>
      </c>
      <c r="BI51" s="20">
        <f>100*0.544</f>
        <v>54.400000000000006</v>
      </c>
      <c r="BJ51" s="20">
        <f>100*0.765</f>
        <v>76.5</v>
      </c>
      <c r="BK51" s="20">
        <f>100*0.106</f>
        <v>10.6</v>
      </c>
      <c r="BL51" s="20">
        <f>100*0.0111</f>
        <v>1.1100000000000001</v>
      </c>
      <c r="BM51" s="20">
        <f>100*0.118</f>
        <v>11.799999999999999</v>
      </c>
      <c r="BN51" s="20">
        <f>100*0.338</f>
        <v>33.800000000000004</v>
      </c>
      <c r="BO51" s="20">
        <f>100*0.0616</f>
        <v>6.16</v>
      </c>
      <c r="BP51" s="20">
        <f>100*0.0711</f>
        <v>7.1099999999999994</v>
      </c>
      <c r="BQ51" s="20">
        <f>100*0.529</f>
        <v>52.900000000000006</v>
      </c>
      <c r="BR51" s="20">
        <f>100*0.286</f>
        <v>28.599999999999998</v>
      </c>
      <c r="BS51" s="20">
        <f>100*0.0435</f>
        <v>4.3499999999999996</v>
      </c>
      <c r="BT51" s="20">
        <f>100*0.0373</f>
        <v>3.73</v>
      </c>
      <c r="BU51" s="20">
        <f>100*0.634</f>
        <v>63.4</v>
      </c>
      <c r="BV51" s="20">
        <f>100*0.767</f>
        <v>76.7</v>
      </c>
      <c r="BW51" s="20">
        <f>100*0.0683</f>
        <v>6.83</v>
      </c>
      <c r="BX51" s="20">
        <f>100*0.0124</f>
        <v>1.24</v>
      </c>
      <c r="BY51" s="20">
        <f>100*0.152</f>
        <v>15.2</v>
      </c>
      <c r="BZ51" s="20">
        <f>100*0.185</f>
        <v>18.5</v>
      </c>
      <c r="CA51" s="130">
        <f>AD51/BZ51</f>
        <v>3834.3783783783783</v>
      </c>
      <c r="CB51" s="53"/>
      <c r="CC51" s="7"/>
      <c r="CD51" s="7"/>
      <c r="CE51" s="7"/>
      <c r="CF51" s="7"/>
      <c r="CG51" s="7"/>
      <c r="CH51" s="7"/>
      <c r="CI51" s="7"/>
      <c r="CJ51" s="7"/>
      <c r="CK51" s="7"/>
      <c r="CL51" s="7"/>
      <c r="CM51" s="7"/>
      <c r="CN51" s="7"/>
      <c r="CO51" s="7"/>
      <c r="CP51" s="7"/>
      <c r="CQ51" s="7"/>
      <c r="CR51" s="7"/>
      <c r="CS51" s="7"/>
      <c r="CT51" s="7"/>
      <c r="CU51" s="7"/>
      <c r="CV51" s="5"/>
      <c r="CW51" s="5"/>
    </row>
    <row r="52" spans="1:101" s="228" customFormat="1" ht="24">
      <c r="A52" s="228" t="s">
        <v>118</v>
      </c>
      <c r="B52" s="228" t="s">
        <v>97</v>
      </c>
      <c r="D52" s="228" t="s">
        <v>290</v>
      </c>
      <c r="E52" s="229">
        <v>17578</v>
      </c>
      <c r="F52" s="229">
        <v>41778</v>
      </c>
      <c r="G52" s="229">
        <v>42841</v>
      </c>
      <c r="H52" s="230" t="s">
        <v>99</v>
      </c>
      <c r="I52" s="231">
        <f t="shared" ref="I52:I57" si="5">(G52-E52)/365.25</f>
        <v>69.166324435318273</v>
      </c>
      <c r="J52" s="232">
        <f t="shared" ref="J52:J57" si="6">G52-E52</f>
        <v>25263</v>
      </c>
      <c r="K52" s="232">
        <f t="shared" ref="K52:K57" si="7">G52-F52</f>
        <v>1063</v>
      </c>
      <c r="L52" s="232" t="s">
        <v>109</v>
      </c>
      <c r="M52" s="232" t="s">
        <v>100</v>
      </c>
      <c r="N52" s="233" t="s">
        <v>119</v>
      </c>
      <c r="O52" s="234"/>
      <c r="P52" s="234"/>
      <c r="Q52" s="230"/>
      <c r="R52" s="235" t="s">
        <v>102</v>
      </c>
      <c r="S52" s="230">
        <v>6</v>
      </c>
      <c r="T52" s="236">
        <v>2034.55</v>
      </c>
      <c r="U52" s="230">
        <v>79.59</v>
      </c>
      <c r="V52" s="237">
        <f t="shared" ref="V52:V57" si="8">T52-U52</f>
        <v>1954.96</v>
      </c>
      <c r="W52" s="235" t="s">
        <v>120</v>
      </c>
      <c r="X52" s="238">
        <v>3140000</v>
      </c>
      <c r="Y52" s="239">
        <f>X52*V52</f>
        <v>6138574400</v>
      </c>
      <c r="Z52" s="238" t="s">
        <v>121</v>
      </c>
      <c r="AA52" s="235" t="s">
        <v>122</v>
      </c>
      <c r="AB52" s="239" t="s">
        <v>123</v>
      </c>
      <c r="BZ52" s="240">
        <f>AD52/CA52</f>
        <v>0</v>
      </c>
      <c r="CA52" s="241">
        <v>1000000</v>
      </c>
      <c r="CB52" s="241">
        <v>1690000</v>
      </c>
      <c r="CC52" s="242">
        <v>1670000</v>
      </c>
      <c r="CD52" s="242">
        <v>1489</v>
      </c>
      <c r="CE52" s="242">
        <v>7</v>
      </c>
      <c r="CF52" s="242">
        <v>8628</v>
      </c>
      <c r="CG52" s="242">
        <v>1380000</v>
      </c>
      <c r="CH52" s="242">
        <v>99220</v>
      </c>
      <c r="CI52" s="242">
        <v>4526</v>
      </c>
      <c r="CJ52" s="242">
        <v>0.98799999999999999</v>
      </c>
      <c r="CK52" s="242">
        <v>8.8000000000000003E-4</v>
      </c>
      <c r="CL52" s="242">
        <v>4.1400000000000002E-6</v>
      </c>
      <c r="CM52" s="242">
        <v>5.1000000000000004E-3</v>
      </c>
      <c r="CN52" s="242">
        <v>0.81699999999999995</v>
      </c>
      <c r="CO52" s="242">
        <v>5.8700000000000002E-2</v>
      </c>
      <c r="CP52" s="242">
        <v>2.7000000000000001E-3</v>
      </c>
      <c r="CQ52" s="242">
        <v>8.8999999999999995E-4</v>
      </c>
      <c r="CR52" s="242">
        <v>4.1899999999999997E-6</v>
      </c>
      <c r="CS52" s="242">
        <v>5.1999999999999998E-3</v>
      </c>
      <c r="CT52" s="242">
        <v>0.82599999999999996</v>
      </c>
      <c r="CU52" s="242">
        <v>5.9400000000000001E-2</v>
      </c>
      <c r="CV52" s="228">
        <v>2.7101796407185599E-3</v>
      </c>
    </row>
    <row r="53" spans="1:101" s="228" customFormat="1">
      <c r="A53" s="228" t="s">
        <v>125</v>
      </c>
      <c r="B53" s="228" t="s">
        <v>108</v>
      </c>
      <c r="D53" s="228" t="s">
        <v>290</v>
      </c>
      <c r="E53" s="243">
        <v>17578</v>
      </c>
      <c r="F53" s="243">
        <v>41778</v>
      </c>
      <c r="G53" s="243">
        <v>43047</v>
      </c>
      <c r="H53" s="243" t="s">
        <v>99</v>
      </c>
      <c r="I53" s="231">
        <f t="shared" si="5"/>
        <v>69.730321697467488</v>
      </c>
      <c r="J53" s="232">
        <f t="shared" si="6"/>
        <v>25469</v>
      </c>
      <c r="K53" s="232">
        <f t="shared" si="7"/>
        <v>1269</v>
      </c>
      <c r="L53" s="232" t="s">
        <v>109</v>
      </c>
      <c r="M53" s="232" t="s">
        <v>109</v>
      </c>
      <c r="N53" s="233" t="s">
        <v>126</v>
      </c>
      <c r="O53" s="244" t="e">
        <f>N53-G53</f>
        <v>#VALUE!</v>
      </c>
      <c r="P53" s="234" t="s">
        <v>127</v>
      </c>
      <c r="Q53" s="243" t="s">
        <v>111</v>
      </c>
      <c r="R53" s="235" t="s">
        <v>112</v>
      </c>
      <c r="S53" s="245">
        <v>10</v>
      </c>
      <c r="T53" s="244">
        <v>2810.43</v>
      </c>
      <c r="U53" s="246">
        <v>83.43</v>
      </c>
      <c r="V53" s="247">
        <f t="shared" si="8"/>
        <v>2727</v>
      </c>
      <c r="W53" s="235"/>
      <c r="X53" s="248"/>
      <c r="Y53" s="249">
        <v>2100000</v>
      </c>
      <c r="Z53" s="248"/>
      <c r="AA53" s="235"/>
      <c r="AB53" s="249">
        <v>22400000</v>
      </c>
      <c r="AC53" s="228" t="s">
        <v>292</v>
      </c>
      <c r="AD53" s="228">
        <v>1109</v>
      </c>
      <c r="AE53" s="228">
        <v>30</v>
      </c>
      <c r="AF53" s="228">
        <f>100*0.0279</f>
        <v>2.79</v>
      </c>
      <c r="AG53" s="228">
        <f>100*0.8</f>
        <v>80</v>
      </c>
      <c r="AH53" s="228">
        <v>2</v>
      </c>
      <c r="AI53" s="228">
        <f>100*0.0019</f>
        <v>0.19</v>
      </c>
      <c r="AJ53" s="228">
        <v>16</v>
      </c>
      <c r="AK53" s="228">
        <f>100*0.0155</f>
        <v>1.55</v>
      </c>
      <c r="AL53" s="228">
        <f>100*0.438</f>
        <v>43.8</v>
      </c>
      <c r="AM53" s="228">
        <f>100*0.25</f>
        <v>25</v>
      </c>
      <c r="AN53" s="228">
        <f>100*0.562</f>
        <v>56.2</v>
      </c>
      <c r="AO53" s="228">
        <f>100*0.25</f>
        <v>25</v>
      </c>
      <c r="AP53" s="228">
        <v>122</v>
      </c>
      <c r="AQ53" s="228">
        <f>100*0.73</f>
        <v>73</v>
      </c>
      <c r="AR53" s="228">
        <f>100*0.0984</f>
        <v>9.84</v>
      </c>
      <c r="AS53" s="228">
        <f>100*0.041</f>
        <v>4.1000000000000005</v>
      </c>
      <c r="AT53" s="228">
        <f>100*0.328</f>
        <v>32.800000000000004</v>
      </c>
      <c r="AU53" s="228">
        <f>100*0.533</f>
        <v>53.300000000000004</v>
      </c>
      <c r="AV53" s="228">
        <f>100*0.508</f>
        <v>50.8</v>
      </c>
      <c r="AW53" s="228">
        <f>100*0.328</f>
        <v>32.800000000000004</v>
      </c>
      <c r="AX53" s="228">
        <f>100*0.0492</f>
        <v>4.92</v>
      </c>
      <c r="AY53" s="228">
        <f>100*0.115</f>
        <v>11.5</v>
      </c>
      <c r="AZ53" s="228">
        <v>762</v>
      </c>
      <c r="BA53" s="228">
        <f>100*0.608</f>
        <v>60.8</v>
      </c>
      <c r="BB53" s="228">
        <f>100*0.0276</f>
        <v>2.76</v>
      </c>
      <c r="BC53" s="228">
        <f>100*0.0013</f>
        <v>0.13</v>
      </c>
      <c r="BD53" s="228">
        <f>100*0.0512</f>
        <v>5.12</v>
      </c>
      <c r="BE53" s="228">
        <f>100*0.92</f>
        <v>92</v>
      </c>
      <c r="BF53" s="228">
        <f>100*0.571</f>
        <v>57.099999999999994</v>
      </c>
      <c r="BG53" s="228">
        <f>100*0.0092</f>
        <v>0.91999999999999993</v>
      </c>
      <c r="BH53" s="228">
        <v>0</v>
      </c>
      <c r="BI53" s="228">
        <f>100*0.42</f>
        <v>42</v>
      </c>
      <c r="BJ53" s="228">
        <v>0</v>
      </c>
      <c r="BK53" s="228">
        <f>100*0.0333</f>
        <v>3.3300000000000005</v>
      </c>
      <c r="BL53" s="228">
        <f>100*0.233</f>
        <v>23.3</v>
      </c>
      <c r="BM53" s="228">
        <f>100*0.733</f>
        <v>73.3</v>
      </c>
      <c r="BN53" s="228">
        <f>100*0.467</f>
        <v>46.7</v>
      </c>
      <c r="BO53" s="228">
        <f>100*0.133</f>
        <v>13.3</v>
      </c>
      <c r="BP53" s="228">
        <f>100*0.133</f>
        <v>13.3</v>
      </c>
      <c r="BQ53" s="228">
        <f>100*0.267</f>
        <v>26.700000000000003</v>
      </c>
      <c r="BR53" s="228">
        <v>0</v>
      </c>
      <c r="BS53" s="228">
        <v>0</v>
      </c>
      <c r="BT53" s="228">
        <f>100*0.188</f>
        <v>18.8</v>
      </c>
      <c r="BU53" s="228">
        <f>100*0.812</f>
        <v>81.2</v>
      </c>
      <c r="BV53" s="228">
        <f>100*0.875</f>
        <v>87.5</v>
      </c>
      <c r="BW53" s="228">
        <f>100*0.125</f>
        <v>12.5</v>
      </c>
      <c r="BX53" s="228">
        <v>0</v>
      </c>
      <c r="BY53" s="228">
        <v>0</v>
      </c>
      <c r="BZ53" s="240">
        <f>AD53/CA53</f>
        <v>9.468936934660066E-4</v>
      </c>
      <c r="CA53" s="241">
        <v>1171198</v>
      </c>
      <c r="CB53" s="241"/>
    </row>
    <row r="54" spans="1:101" s="54" customFormat="1">
      <c r="A54" s="54" t="s">
        <v>129</v>
      </c>
      <c r="B54" s="54" t="s">
        <v>97</v>
      </c>
      <c r="D54" s="54" t="s">
        <v>290</v>
      </c>
      <c r="E54" s="97">
        <v>11657</v>
      </c>
      <c r="F54" s="97">
        <v>41799</v>
      </c>
      <c r="G54" s="97">
        <v>42947</v>
      </c>
      <c r="H54" s="97" t="s">
        <v>99</v>
      </c>
      <c r="I54" s="68">
        <f t="shared" si="5"/>
        <v>85.667351129363453</v>
      </c>
      <c r="J54" s="74">
        <f t="shared" si="6"/>
        <v>31290</v>
      </c>
      <c r="K54" s="74">
        <f t="shared" si="7"/>
        <v>1148</v>
      </c>
      <c r="L54" s="75" t="s">
        <v>109</v>
      </c>
      <c r="M54" s="76" t="s">
        <v>100</v>
      </c>
      <c r="N54" s="77" t="s">
        <v>130</v>
      </c>
      <c r="O54" s="76"/>
      <c r="P54" s="76"/>
      <c r="Q54" s="155" t="s">
        <v>131</v>
      </c>
      <c r="R54" s="77" t="s">
        <v>132</v>
      </c>
      <c r="S54" s="159" t="s">
        <v>133</v>
      </c>
      <c r="T54" s="160">
        <v>1556.78</v>
      </c>
      <c r="U54" s="160">
        <v>53.47</v>
      </c>
      <c r="V54" s="72">
        <f t="shared" si="8"/>
        <v>1503.31</v>
      </c>
      <c r="W54" s="187" t="s">
        <v>104</v>
      </c>
      <c r="X54" s="73">
        <v>13050000</v>
      </c>
      <c r="Y54" s="177">
        <f>X54*V54</f>
        <v>19618195500</v>
      </c>
      <c r="Z54" s="73">
        <v>96000000</v>
      </c>
      <c r="AA54" s="77" t="s">
        <v>134</v>
      </c>
      <c r="AB54" s="176">
        <v>2250000</v>
      </c>
      <c r="AC54" s="54" t="s">
        <v>293</v>
      </c>
      <c r="AD54" s="54">
        <v>1719</v>
      </c>
      <c r="AE54" s="54">
        <v>7</v>
      </c>
      <c r="AF54" s="54">
        <f>100*0.0073</f>
        <v>0.73</v>
      </c>
      <c r="AG54" s="54" t="s">
        <v>215</v>
      </c>
      <c r="AH54" s="54">
        <v>5</v>
      </c>
      <c r="AI54" s="54">
        <f>100*0.0034</f>
        <v>0.33999999999999997</v>
      </c>
      <c r="AJ54" s="54">
        <v>8</v>
      </c>
      <c r="AK54" s="54">
        <f>100*0.0081</f>
        <v>0.80999999999999994</v>
      </c>
      <c r="AL54" s="54" t="s">
        <v>215</v>
      </c>
      <c r="AM54" s="54" t="s">
        <v>216</v>
      </c>
      <c r="AN54" s="54" t="s">
        <v>216</v>
      </c>
      <c r="AO54" s="54" t="s">
        <v>215</v>
      </c>
      <c r="AP54" s="54">
        <v>433</v>
      </c>
      <c r="AQ54" s="54">
        <f>100*0.2195</f>
        <v>21.95</v>
      </c>
      <c r="AR54" s="54">
        <f>100*0.3935</f>
        <v>39.35</v>
      </c>
      <c r="AS54" s="54">
        <f>100*0.26905</f>
        <v>26.905000000000001</v>
      </c>
      <c r="AT54" s="54">
        <f>100*0.159</f>
        <v>15.9</v>
      </c>
      <c r="AU54" s="54">
        <f>100*0.181</f>
        <v>18.099999999999998</v>
      </c>
      <c r="AV54" s="54">
        <f>100*-0.0415</f>
        <v>-4.1500000000000004</v>
      </c>
      <c r="AW54" s="54">
        <f>100*-0.01445</f>
        <v>-1.4449999999999998</v>
      </c>
      <c r="AX54" s="54">
        <f>100*0.2976</f>
        <v>29.759999999999998</v>
      </c>
      <c r="AY54" s="54">
        <f>100*0.658</f>
        <v>65.8</v>
      </c>
      <c r="AZ54" s="54">
        <v>298</v>
      </c>
      <c r="BA54" s="54">
        <f>100*0.2998</f>
        <v>29.98</v>
      </c>
      <c r="BB54" s="54">
        <f>100*0.265</f>
        <v>26.5</v>
      </c>
      <c r="BC54" s="54">
        <f>100*0.029</f>
        <v>2.9000000000000004</v>
      </c>
      <c r="BD54" s="54">
        <v>0</v>
      </c>
      <c r="BE54" s="54">
        <f>100*0.695</f>
        <v>69.5</v>
      </c>
      <c r="BF54" s="312">
        <f>100*-0.0034</f>
        <v>-0.33999999999999997</v>
      </c>
      <c r="BG54" s="54">
        <v>0</v>
      </c>
      <c r="BH54" s="54">
        <f>100*0.0197</f>
        <v>1.97</v>
      </c>
      <c r="BI54" s="54">
        <f>100*0.971</f>
        <v>97.1</v>
      </c>
      <c r="BJ54" s="54" t="s">
        <v>215</v>
      </c>
      <c r="BK54" s="54" t="s">
        <v>215</v>
      </c>
      <c r="BL54" s="54" t="s">
        <v>215</v>
      </c>
      <c r="BM54" s="54" t="s">
        <v>215</v>
      </c>
      <c r="BN54" s="54" t="s">
        <v>215</v>
      </c>
      <c r="BO54" s="54" t="s">
        <v>215</v>
      </c>
      <c r="BP54" s="54" t="s">
        <v>215</v>
      </c>
      <c r="BQ54" s="54" t="s">
        <v>215</v>
      </c>
      <c r="BR54" s="54" t="s">
        <v>215</v>
      </c>
      <c r="BS54" s="54" t="s">
        <v>215</v>
      </c>
      <c r="BT54" s="54" t="s">
        <v>215</v>
      </c>
      <c r="BU54" s="54" t="s">
        <v>215</v>
      </c>
      <c r="BV54" s="54" t="s">
        <v>215</v>
      </c>
      <c r="BW54" s="54" t="s">
        <v>215</v>
      </c>
      <c r="BX54" s="54" t="s">
        <v>215</v>
      </c>
      <c r="BY54" s="54" t="s">
        <v>215</v>
      </c>
      <c r="BZ54" s="121">
        <f>AD54/CA54</f>
        <v>4.8980373373482618E-4</v>
      </c>
      <c r="CA54" s="81">
        <v>3509569</v>
      </c>
      <c r="CB54" s="81"/>
    </row>
    <row r="55" spans="1:101" s="54" customFormat="1">
      <c r="A55" s="54" t="s">
        <v>136</v>
      </c>
      <c r="B55" s="54" t="s">
        <v>97</v>
      </c>
      <c r="D55" s="54" t="s">
        <v>290</v>
      </c>
      <c r="E55" s="97">
        <v>11657</v>
      </c>
      <c r="F55" s="97">
        <v>41799</v>
      </c>
      <c r="G55" s="97">
        <v>43070</v>
      </c>
      <c r="H55" s="97" t="s">
        <v>99</v>
      </c>
      <c r="I55" s="74">
        <f t="shared" si="5"/>
        <v>86.004106776180691</v>
      </c>
      <c r="J55" s="74">
        <f t="shared" si="6"/>
        <v>31413</v>
      </c>
      <c r="K55" s="74">
        <f t="shared" si="7"/>
        <v>1271</v>
      </c>
      <c r="L55" s="76" t="s">
        <v>109</v>
      </c>
      <c r="M55" s="76" t="s">
        <v>100</v>
      </c>
      <c r="N55" s="70" t="s">
        <v>130</v>
      </c>
      <c r="O55" s="71"/>
      <c r="P55" s="71"/>
      <c r="Q55" s="155"/>
      <c r="R55" s="77" t="s">
        <v>102</v>
      </c>
      <c r="S55" s="159" t="s">
        <v>137</v>
      </c>
      <c r="T55" s="160">
        <v>733.33</v>
      </c>
      <c r="U55" s="160">
        <v>71.790000000000006</v>
      </c>
      <c r="V55" s="72">
        <f t="shared" si="8"/>
        <v>661.54000000000008</v>
      </c>
      <c r="W55" s="187" t="s">
        <v>104</v>
      </c>
      <c r="X55" s="73">
        <v>27500000</v>
      </c>
      <c r="Y55" s="177">
        <f>X55*V55</f>
        <v>18192350000.000004</v>
      </c>
      <c r="Z55" s="73">
        <v>234000000</v>
      </c>
      <c r="AA55" s="77" t="s">
        <v>138</v>
      </c>
      <c r="AB55" s="176">
        <v>27000000</v>
      </c>
      <c r="AC55" s="54" t="s">
        <v>294</v>
      </c>
      <c r="AD55" s="54">
        <v>40028</v>
      </c>
      <c r="AE55" s="54">
        <v>291</v>
      </c>
      <c r="AF55" s="54">
        <f>100*0.0093</f>
        <v>0.92999999999999994</v>
      </c>
      <c r="AG55" s="54">
        <f>100*0.0508</f>
        <v>5.08</v>
      </c>
      <c r="AH55" s="54">
        <v>0</v>
      </c>
      <c r="AI55" s="54">
        <v>0</v>
      </c>
      <c r="AJ55" s="54">
        <v>175</v>
      </c>
      <c r="AK55" s="54">
        <f>100*0.0055</f>
        <v>0.54999999999999993</v>
      </c>
      <c r="AL55" s="54">
        <f>100*0.273</f>
        <v>27.3</v>
      </c>
      <c r="AM55" s="54">
        <f>100*0.01115</f>
        <v>1.115</v>
      </c>
      <c r="AN55" s="54">
        <f>100*0.92</f>
        <v>92</v>
      </c>
      <c r="AO55" s="54">
        <f>100*0.0229</f>
        <v>2.29</v>
      </c>
      <c r="AP55" s="54">
        <v>17400</v>
      </c>
      <c r="AQ55" s="54">
        <f>100*0.02085</f>
        <v>2.085</v>
      </c>
      <c r="AR55" s="54">
        <f>100*0.02125</f>
        <v>2.125</v>
      </c>
      <c r="AS55" s="54">
        <f>100*0.00435</f>
        <v>0.43499999999999994</v>
      </c>
      <c r="AT55" s="54">
        <f>100*0.395</f>
        <v>39.5</v>
      </c>
      <c r="AU55" s="54">
        <f>100*0.5795</f>
        <v>57.95</v>
      </c>
      <c r="AV55" s="54">
        <f>100*0.25</f>
        <v>25</v>
      </c>
      <c r="AW55" s="54">
        <f>100*0.086</f>
        <v>8.6</v>
      </c>
      <c r="AX55" s="54">
        <f>100*0.33</f>
        <v>33</v>
      </c>
      <c r="AY55" s="54">
        <f>100*0.334</f>
        <v>33.4</v>
      </c>
      <c r="AZ55" s="54">
        <v>12909</v>
      </c>
      <c r="BA55" s="54">
        <f>100*0.0253</f>
        <v>2.5299999999999998</v>
      </c>
      <c r="BB55" s="54">
        <f>100*0.5</f>
        <v>50</v>
      </c>
      <c r="BC55" s="54">
        <f>100*0.0422</f>
        <v>4.22</v>
      </c>
      <c r="BD55" s="54">
        <f>100*0.000395</f>
        <v>3.95E-2</v>
      </c>
      <c r="BE55" s="54">
        <f>100*0.457</f>
        <v>45.7</v>
      </c>
      <c r="BF55" s="54">
        <f>100*0.48486</f>
        <v>48.486000000000004</v>
      </c>
      <c r="BG55" s="54">
        <f>100*0.0636</f>
        <v>6.36</v>
      </c>
      <c r="BH55" s="54">
        <f>100*0.00044</f>
        <v>4.4000000000000004E-2</v>
      </c>
      <c r="BI55" s="54">
        <f>100*0.451</f>
        <v>45.1</v>
      </c>
      <c r="BJ55" s="54">
        <f>100*0.264</f>
        <v>26.400000000000002</v>
      </c>
      <c r="BK55" s="54">
        <f>100*0.0032</f>
        <v>0.32</v>
      </c>
      <c r="BL55" s="54">
        <f>100*0.0109</f>
        <v>1.0900000000000001</v>
      </c>
      <c r="BM55" s="54">
        <f>100*0.722</f>
        <v>72.2</v>
      </c>
      <c r="BN55" s="54">
        <f>100*0.52</f>
        <v>52</v>
      </c>
      <c r="BO55" s="54">
        <f>100*0.07445</f>
        <v>7.4450000000000003</v>
      </c>
      <c r="BP55" s="54">
        <f>100*0.0111</f>
        <v>1.1100000000000001</v>
      </c>
      <c r="BQ55" s="54">
        <f>100*0.391</f>
        <v>39.1</v>
      </c>
      <c r="BR55" s="54">
        <f>100*0.603</f>
        <v>60.3</v>
      </c>
      <c r="BS55" s="54">
        <f>100*0.00525</f>
        <v>0.52500000000000002</v>
      </c>
      <c r="BT55" s="54">
        <v>0</v>
      </c>
      <c r="BU55" s="54">
        <f>100*0.392</f>
        <v>39.200000000000003</v>
      </c>
      <c r="BV55" s="54">
        <f>100*0.372</f>
        <v>37.200000000000003</v>
      </c>
      <c r="BW55" s="54">
        <f>100*0.0064</f>
        <v>0.64</v>
      </c>
      <c r="BX55" s="54">
        <v>0</v>
      </c>
      <c r="BY55" s="54">
        <f>100*0.622</f>
        <v>62.2</v>
      </c>
      <c r="BZ55" s="121">
        <f>AD55/CA55</f>
        <v>4.0028000000000001E-2</v>
      </c>
      <c r="CA55" s="81">
        <v>1000000</v>
      </c>
      <c r="CB55" s="81">
        <v>612000</v>
      </c>
      <c r="CC55" s="56">
        <v>459000</v>
      </c>
      <c r="CD55" s="56">
        <v>4703</v>
      </c>
      <c r="CE55" s="56">
        <v>276</v>
      </c>
      <c r="CF55" s="56">
        <v>220</v>
      </c>
      <c r="CG55" s="56">
        <v>409000</v>
      </c>
      <c r="CH55" s="56">
        <v>1103</v>
      </c>
      <c r="CI55" s="56">
        <v>95</v>
      </c>
      <c r="CJ55" s="56">
        <f>100*0.75</f>
        <v>75</v>
      </c>
      <c r="CK55" s="56">
        <v>7.7000000000000002E-3</v>
      </c>
      <c r="CL55" s="56">
        <v>4.4999999999999999E-4</v>
      </c>
      <c r="CM55" s="56">
        <v>3.6000000000000002E-4</v>
      </c>
      <c r="CN55" s="56">
        <v>0.66800000000000004</v>
      </c>
      <c r="CO55" s="56">
        <v>1.8E-3</v>
      </c>
      <c r="CP55" s="56">
        <v>1.6000000000000001E-4</v>
      </c>
      <c r="CQ55" s="56">
        <v>1.0200000000000001E-2</v>
      </c>
      <c r="CR55" s="56">
        <v>5.9999999999999995E-4</v>
      </c>
      <c r="CS55" s="56">
        <v>4.8000000000000001E-4</v>
      </c>
      <c r="CT55" s="56">
        <v>0.89100000000000001</v>
      </c>
      <c r="CU55" s="56">
        <v>2.3999999999999998E-3</v>
      </c>
      <c r="CV55" s="54">
        <v>2.0697167755991301E-4</v>
      </c>
    </row>
    <row r="56" spans="1:101" s="54" customFormat="1">
      <c r="A56" s="5" t="s">
        <v>140</v>
      </c>
      <c r="B56" s="5" t="s">
        <v>108</v>
      </c>
      <c r="C56" s="5"/>
      <c r="D56" s="5" t="s">
        <v>290</v>
      </c>
      <c r="E56" s="91">
        <v>22653</v>
      </c>
      <c r="F56" s="91">
        <v>41974</v>
      </c>
      <c r="G56" s="91">
        <v>42872</v>
      </c>
      <c r="H56" s="91" t="s">
        <v>99</v>
      </c>
      <c r="I56" s="83">
        <f t="shared" si="5"/>
        <v>55.356605065023956</v>
      </c>
      <c r="J56" s="52">
        <f t="shared" si="6"/>
        <v>20219</v>
      </c>
      <c r="K56" s="52">
        <f t="shared" si="7"/>
        <v>898</v>
      </c>
      <c r="L56" s="52" t="s">
        <v>109</v>
      </c>
      <c r="M56" s="52" t="s">
        <v>100</v>
      </c>
      <c r="N56" s="92" t="s">
        <v>110</v>
      </c>
      <c r="O56" s="84">
        <v>0</v>
      </c>
      <c r="P56" s="84">
        <v>0</v>
      </c>
      <c r="Q56" s="91" t="s">
        <v>111</v>
      </c>
      <c r="R56" s="9" t="s">
        <v>102</v>
      </c>
      <c r="S56" s="84">
        <v>10</v>
      </c>
      <c r="T56" s="93">
        <v>2731.57</v>
      </c>
      <c r="U56" s="93">
        <v>78.11</v>
      </c>
      <c r="V56" s="140">
        <f t="shared" si="8"/>
        <v>2653.46</v>
      </c>
      <c r="W56" s="9"/>
      <c r="X56" s="8"/>
      <c r="Y56" s="90">
        <v>4130000</v>
      </c>
      <c r="Z56" s="19"/>
      <c r="AA56" s="9"/>
      <c r="AB56" s="179">
        <f>14600000*5</f>
        <v>73000000</v>
      </c>
      <c r="AC56" s="5" t="s">
        <v>295</v>
      </c>
      <c r="AD56" s="5">
        <v>480000</v>
      </c>
      <c r="AE56" s="5">
        <v>7203</v>
      </c>
      <c r="AF56" s="5">
        <f>100*0.0151</f>
        <v>1.51</v>
      </c>
      <c r="AG56" s="5">
        <f>100*0.0122</f>
        <v>1.22</v>
      </c>
      <c r="AH56" s="5">
        <v>1774</v>
      </c>
      <c r="AI56" s="5">
        <f>100*0.0037</f>
        <v>0.37</v>
      </c>
      <c r="AJ56" s="5">
        <v>11851</v>
      </c>
      <c r="AK56" s="5">
        <f>100*0.0254</f>
        <v>2.54</v>
      </c>
      <c r="AL56" s="5">
        <f>100*0.00076</f>
        <v>7.5999999999999998E-2</v>
      </c>
      <c r="AM56" s="5">
        <f>100*0.00076</f>
        <v>7.5999999999999998E-2</v>
      </c>
      <c r="AN56" s="5">
        <f>100*0.709</f>
        <v>70.899999999999991</v>
      </c>
      <c r="AO56" s="5">
        <f>100*0.04</f>
        <v>4</v>
      </c>
      <c r="AP56" s="5">
        <v>118117</v>
      </c>
      <c r="AQ56" s="5">
        <f>100*0.0293</f>
        <v>2.93</v>
      </c>
      <c r="AR56" s="5">
        <f>100*0.599</f>
        <v>59.9</v>
      </c>
      <c r="AS56" s="5">
        <f>100*0.104</f>
        <v>10.4</v>
      </c>
      <c r="AT56" s="5">
        <f>100*0.0458</f>
        <v>4.58</v>
      </c>
      <c r="AU56" s="5">
        <f>100*0.252</f>
        <v>25.2</v>
      </c>
      <c r="AV56" s="5">
        <f>100*0.0021</f>
        <v>0.21</v>
      </c>
      <c r="AW56" s="5">
        <f>100*0.0011</f>
        <v>0.11</v>
      </c>
      <c r="AX56" s="5">
        <f>100*0.145</f>
        <v>14.499999999999998</v>
      </c>
      <c r="AY56" s="5">
        <f>100*0.852</f>
        <v>85.2</v>
      </c>
      <c r="AZ56" s="5">
        <v>318572</v>
      </c>
      <c r="BA56" s="5">
        <f>100*0.0103</f>
        <v>1.03</v>
      </c>
      <c r="BB56" s="5">
        <f>100*0.466</f>
        <v>46.6</v>
      </c>
      <c r="BC56" s="5">
        <f>100*0.0047</f>
        <v>0.47000000000000003</v>
      </c>
      <c r="BD56" s="5">
        <f>100*0.0185</f>
        <v>1.8499999999999999</v>
      </c>
      <c r="BE56" s="5">
        <f>100*0.511</f>
        <v>51.1</v>
      </c>
      <c r="BF56" s="5">
        <f>100*0.0122</f>
        <v>1.22</v>
      </c>
      <c r="BG56" s="5">
        <f>100*0.00035</f>
        <v>3.4999999999999996E-2</v>
      </c>
      <c r="BH56" s="5">
        <f>100*0.0215</f>
        <v>2.15</v>
      </c>
      <c r="BI56" s="5">
        <f>100*0.966</f>
        <v>96.6</v>
      </c>
      <c r="BJ56" s="5">
        <f>100*0.818</f>
        <v>81.8</v>
      </c>
      <c r="BK56" s="5">
        <f>100*0.0401</f>
        <v>4.01</v>
      </c>
      <c r="BL56" s="5">
        <f>100*0.0068</f>
        <v>0.67999999999999994</v>
      </c>
      <c r="BM56" s="5">
        <f>100*0.135</f>
        <v>13.5</v>
      </c>
      <c r="BN56" s="5">
        <f>100*0.947</f>
        <v>94.699999999999989</v>
      </c>
      <c r="BO56" s="5">
        <f>100*0.0466</f>
        <v>4.66</v>
      </c>
      <c r="BP56" s="5">
        <f>100*0.00028</f>
        <v>2.7999999999999997E-2</v>
      </c>
      <c r="BQ56" s="5">
        <f>100*0.0057</f>
        <v>0.57000000000000006</v>
      </c>
      <c r="BR56" s="5">
        <f>100*0.856</f>
        <v>85.6</v>
      </c>
      <c r="BS56" s="5">
        <f>100*0.0015</f>
        <v>0.15</v>
      </c>
      <c r="BT56" s="5">
        <f>100*0.00034</f>
        <v>3.4000000000000002E-2</v>
      </c>
      <c r="BU56" s="5">
        <f>100*0.143</f>
        <v>14.299999999999999</v>
      </c>
      <c r="BV56" s="5">
        <f>100*0.00068</f>
        <v>6.8000000000000005E-2</v>
      </c>
      <c r="BW56" s="5">
        <v>0</v>
      </c>
      <c r="BX56" s="5">
        <f>100*0.0019</f>
        <v>0.19</v>
      </c>
      <c r="BY56" s="5">
        <f>100*0.997</f>
        <v>99.7</v>
      </c>
      <c r="BZ56" s="131">
        <f>100*0.164</f>
        <v>16.400000000000002</v>
      </c>
      <c r="CA56" s="130">
        <f>AD56/BZ56</f>
        <v>29268.292682926825</v>
      </c>
      <c r="CB56" s="53">
        <v>2130000</v>
      </c>
      <c r="CC56" s="7">
        <v>2070000</v>
      </c>
      <c r="CD56" s="7">
        <v>1350000</v>
      </c>
      <c r="CE56" s="7">
        <v>37699</v>
      </c>
      <c r="CF56" s="7">
        <v>4</v>
      </c>
      <c r="CG56" s="7">
        <v>27714</v>
      </c>
      <c r="CH56" s="7">
        <v>294962</v>
      </c>
      <c r="CI56" s="7">
        <v>107890</v>
      </c>
      <c r="CJ56" s="7">
        <v>0.97199999999999998</v>
      </c>
      <c r="CK56" s="7">
        <v>0.63400000000000001</v>
      </c>
      <c r="CL56" s="7">
        <v>1.77E-2</v>
      </c>
      <c r="CM56" s="7">
        <v>1.88E-6</v>
      </c>
      <c r="CN56" s="7">
        <v>1.2999999999999999E-2</v>
      </c>
      <c r="CO56" s="7">
        <v>0.13800000000000001</v>
      </c>
      <c r="CP56" s="7">
        <v>5.0700000000000002E-2</v>
      </c>
      <c r="CQ56" s="7">
        <v>0.65200000000000002</v>
      </c>
      <c r="CR56" s="7">
        <v>1.8200000000000001E-2</v>
      </c>
      <c r="CS56" s="7">
        <v>1.9300000000000002E-6</v>
      </c>
      <c r="CT56" s="7">
        <v>1.34E-2</v>
      </c>
      <c r="CU56" s="7">
        <v>0.14199999999999999</v>
      </c>
      <c r="CV56" s="5">
        <v>5.2120772946859899E-2</v>
      </c>
      <c r="CW56" s="5"/>
    </row>
    <row r="57" spans="1:101" s="54" customFormat="1">
      <c r="A57" s="54" t="s">
        <v>296</v>
      </c>
      <c r="B57" s="54" t="s">
        <v>97</v>
      </c>
      <c r="D57" s="54" t="s">
        <v>290</v>
      </c>
      <c r="E57" s="97">
        <v>30041</v>
      </c>
      <c r="F57" s="97">
        <v>42030</v>
      </c>
      <c r="G57" s="97">
        <v>43112</v>
      </c>
      <c r="H57" s="97" t="s">
        <v>151</v>
      </c>
      <c r="I57" s="74">
        <f t="shared" si="5"/>
        <v>35.786447638603697</v>
      </c>
      <c r="J57" s="74">
        <f t="shared" si="6"/>
        <v>13071</v>
      </c>
      <c r="K57" s="74">
        <f t="shared" si="7"/>
        <v>1082</v>
      </c>
      <c r="L57" s="76" t="s">
        <v>297</v>
      </c>
      <c r="M57" s="76" t="s">
        <v>298</v>
      </c>
      <c r="N57" s="70" t="s">
        <v>162</v>
      </c>
      <c r="O57" s="71"/>
      <c r="P57" s="71"/>
      <c r="Q57" s="155" t="s">
        <v>299</v>
      </c>
      <c r="R57" s="77" t="s">
        <v>102</v>
      </c>
      <c r="S57" s="159" t="s">
        <v>172</v>
      </c>
      <c r="T57" s="160">
        <v>2842.93</v>
      </c>
      <c r="U57" s="160">
        <v>82.24</v>
      </c>
      <c r="V57" s="72">
        <f t="shared" si="8"/>
        <v>2760.69</v>
      </c>
      <c r="W57" s="77" t="s">
        <v>228</v>
      </c>
      <c r="X57" s="73">
        <v>8162500</v>
      </c>
      <c r="Y57" s="177">
        <f>X57*V57</f>
        <v>22534132125</v>
      </c>
      <c r="Z57" s="73">
        <v>408000000</v>
      </c>
      <c r="AA57" s="77" t="s">
        <v>300</v>
      </c>
      <c r="AB57" s="177" t="s">
        <v>301</v>
      </c>
      <c r="AC57" s="54" t="s">
        <v>302</v>
      </c>
      <c r="AD57" s="54">
        <v>4904</v>
      </c>
      <c r="AE57" s="54">
        <v>60</v>
      </c>
      <c r="AF57" s="54">
        <f>100*0.0121</f>
        <v>1.21</v>
      </c>
      <c r="AG57" s="54">
        <v>0</v>
      </c>
      <c r="AH57" s="54">
        <v>72</v>
      </c>
      <c r="AI57" s="54">
        <f>100*0.0155</f>
        <v>1.55</v>
      </c>
      <c r="AJ57" s="54">
        <v>261</v>
      </c>
      <c r="AK57" s="54">
        <f>100*0.0552</f>
        <v>5.52</v>
      </c>
      <c r="AL57" s="54">
        <f>100*0.01415</f>
        <v>1.415</v>
      </c>
      <c r="AM57" s="54">
        <f>100*0.00635</f>
        <v>0.63500000000000001</v>
      </c>
      <c r="AN57" s="54">
        <f>100*0.77</f>
        <v>77</v>
      </c>
      <c r="AO57" s="54">
        <f>100*0.0207</f>
        <v>2.0699999999999998</v>
      </c>
      <c r="AP57" s="54">
        <v>1141</v>
      </c>
      <c r="AQ57" s="54">
        <f>100*0.22055</f>
        <v>22.055</v>
      </c>
      <c r="AR57" s="54">
        <f>100*0.158</f>
        <v>15.8</v>
      </c>
      <c r="AS57" s="54">
        <f>100*0.18356</f>
        <v>18.356000000000002</v>
      </c>
      <c r="AT57" s="54">
        <f>100*0.527</f>
        <v>52.7</v>
      </c>
      <c r="AU57" s="54">
        <f>100*0.123</f>
        <v>12.3</v>
      </c>
      <c r="AV57" s="54">
        <f>100*0.0482</f>
        <v>4.82</v>
      </c>
      <c r="AW57" s="54">
        <f>100*0.101</f>
        <v>10.100000000000001</v>
      </c>
      <c r="AX57" s="54">
        <f>100*0.635</f>
        <v>63.5</v>
      </c>
      <c r="AY57" s="54">
        <f>100*0.222</f>
        <v>22.2</v>
      </c>
      <c r="AZ57" s="54">
        <v>2906</v>
      </c>
      <c r="BA57" s="54">
        <f>100*0.104</f>
        <v>10.4</v>
      </c>
      <c r="BB57" s="54">
        <f>100*0.673</f>
        <v>67.300000000000011</v>
      </c>
      <c r="BC57" s="54">
        <f>100*0.0962</f>
        <v>9.6199999999999992</v>
      </c>
      <c r="BD57" s="54">
        <f>100*0.0188</f>
        <v>1.8800000000000001</v>
      </c>
      <c r="BE57" s="54">
        <f>100*0.223</f>
        <v>22.3</v>
      </c>
      <c r="BF57" s="54">
        <f>100*0.56</f>
        <v>56.000000000000007</v>
      </c>
      <c r="BG57" s="54">
        <f>100*0.0826</f>
        <v>8.2600000000000016</v>
      </c>
      <c r="BH57" s="54">
        <f>100*0.0257</f>
        <v>2.5700000000000003</v>
      </c>
      <c r="BI57" s="54">
        <f>100*0.343</f>
        <v>34.300000000000004</v>
      </c>
      <c r="BJ57" s="54">
        <f>100*0.123</f>
        <v>12.3</v>
      </c>
      <c r="BK57" s="54">
        <f>100*0.08775</f>
        <v>8.7749999999999986</v>
      </c>
      <c r="BL57" s="54">
        <f>100*0.477</f>
        <v>47.699999999999996</v>
      </c>
      <c r="BM57" s="54">
        <f>100*0.338</f>
        <v>33.800000000000004</v>
      </c>
      <c r="BN57" s="54">
        <f>100*0.0769</f>
        <v>7.6899999999999995</v>
      </c>
      <c r="BO57" s="54">
        <f>100*0.154</f>
        <v>15.4</v>
      </c>
      <c r="BP57" s="54">
        <f>100*0.475</f>
        <v>47.5</v>
      </c>
      <c r="BQ57" s="54">
        <f>100*0.308</f>
        <v>30.8</v>
      </c>
      <c r="BR57" s="54">
        <f>100*0.256</f>
        <v>25.6</v>
      </c>
      <c r="BS57" s="54">
        <f>100*0.524</f>
        <v>52.400000000000006</v>
      </c>
      <c r="BT57" s="54">
        <f>100*0.165</f>
        <v>16.5</v>
      </c>
      <c r="BU57" s="54">
        <f>100*0.0849</f>
        <v>8.49</v>
      </c>
      <c r="BV57" s="54">
        <f>100*0.165</f>
        <v>16.5</v>
      </c>
      <c r="BW57" s="54">
        <f>100*0.4038</f>
        <v>40.380000000000003</v>
      </c>
      <c r="BX57" s="54">
        <f>100*0.293</f>
        <v>29.299999999999997</v>
      </c>
      <c r="BY57" s="54">
        <f>100*0.155</f>
        <v>15.5</v>
      </c>
      <c r="BZ57" s="121">
        <f>AD57/CA57</f>
        <v>1.1900454542035127E-3</v>
      </c>
      <c r="CA57" s="81">
        <v>4120851</v>
      </c>
      <c r="CB57" s="81">
        <v>1240000</v>
      </c>
      <c r="CC57" s="56">
        <v>1230000</v>
      </c>
      <c r="CD57" s="56">
        <v>4513</v>
      </c>
      <c r="CE57" s="56">
        <v>336</v>
      </c>
      <c r="CF57" s="56">
        <v>5512</v>
      </c>
      <c r="CG57" s="56">
        <v>1100000</v>
      </c>
      <c r="CH57" s="56">
        <v>33131</v>
      </c>
      <c r="CI57" s="56">
        <v>4932</v>
      </c>
      <c r="CJ57" s="56">
        <v>0.99199999999999999</v>
      </c>
      <c r="CK57" s="56">
        <v>3.5999999999999999E-3</v>
      </c>
      <c r="CL57" s="56">
        <v>2.7E-4</v>
      </c>
      <c r="CM57" s="56">
        <v>4.4000000000000003E-3</v>
      </c>
      <c r="CN57" s="56">
        <v>0.88700000000000001</v>
      </c>
      <c r="CO57" s="56">
        <v>2.6700000000000002E-2</v>
      </c>
      <c r="CP57" s="56">
        <v>4.0000000000000001E-3</v>
      </c>
      <c r="CQ57" s="56">
        <v>3.7000000000000002E-3</v>
      </c>
      <c r="CR57" s="56">
        <v>2.7E-4</v>
      </c>
      <c r="CS57" s="56">
        <v>4.4999999999999997E-3</v>
      </c>
      <c r="CT57" s="56">
        <v>0.89400000000000002</v>
      </c>
      <c r="CU57" s="56">
        <v>2.69E-2</v>
      </c>
      <c r="CV57" s="54">
        <v>4.0097560975609799E-3</v>
      </c>
    </row>
    <row r="58" spans="1:101" s="54" customFormat="1" ht="12.6" customHeight="1">
      <c r="A58" s="5" t="s">
        <v>142</v>
      </c>
      <c r="B58" s="5" t="s">
        <v>108</v>
      </c>
      <c r="C58" s="5"/>
      <c r="D58" s="5" t="s">
        <v>290</v>
      </c>
      <c r="E58" s="91">
        <v>16873</v>
      </c>
      <c r="F58" s="91">
        <v>42114</v>
      </c>
      <c r="G58" s="91">
        <v>43222</v>
      </c>
      <c r="H58" s="91" t="s">
        <v>99</v>
      </c>
      <c r="I58" s="83">
        <v>72.139630390143736</v>
      </c>
      <c r="J58" s="52">
        <v>26349</v>
      </c>
      <c r="K58" s="52">
        <v>1108</v>
      </c>
      <c r="L58" s="52" t="s">
        <v>109</v>
      </c>
      <c r="M58" s="52" t="s">
        <v>109</v>
      </c>
      <c r="N58" s="92" t="s">
        <v>110</v>
      </c>
      <c r="O58" s="84"/>
      <c r="P58" s="84"/>
      <c r="Q58" s="91" t="s">
        <v>111</v>
      </c>
      <c r="R58" s="9" t="s">
        <v>143</v>
      </c>
      <c r="S58" s="84">
        <v>10</v>
      </c>
      <c r="T58" s="93">
        <v>1971.83</v>
      </c>
      <c r="U58" s="93">
        <v>83.41</v>
      </c>
      <c r="V58" s="140"/>
      <c r="W58" s="9"/>
      <c r="X58" s="8"/>
      <c r="Y58" s="90">
        <v>17100000</v>
      </c>
      <c r="Z58" s="19"/>
      <c r="AA58" s="9"/>
      <c r="AB58" s="179">
        <v>29500000</v>
      </c>
      <c r="AC58" s="5" t="s">
        <v>303</v>
      </c>
      <c r="AD58" s="5">
        <v>374363</v>
      </c>
      <c r="AE58" s="5">
        <v>668</v>
      </c>
      <c r="AF58" s="5">
        <f>100*0.0019</f>
        <v>0.19</v>
      </c>
      <c r="AG58" s="5">
        <f>100*0.0659</f>
        <v>6.59</v>
      </c>
      <c r="AH58" s="5">
        <v>415</v>
      </c>
      <c r="AI58" s="5">
        <f>100*0.0012</f>
        <v>0.12</v>
      </c>
      <c r="AJ58" s="5">
        <f>100*564</f>
        <v>56400</v>
      </c>
      <c r="AK58" s="5">
        <f>100*0.0016</f>
        <v>0.16</v>
      </c>
      <c r="AL58" s="5">
        <f>100*0.0018</f>
        <v>0.18</v>
      </c>
      <c r="AM58" s="5">
        <f>100*0.0018</f>
        <v>0.18</v>
      </c>
      <c r="AN58" s="5">
        <f>100*0.674</f>
        <v>67.400000000000006</v>
      </c>
      <c r="AO58" s="5">
        <f>100*0.0833</f>
        <v>8.33</v>
      </c>
      <c r="AP58" s="5">
        <v>245542</v>
      </c>
      <c r="AQ58" s="5">
        <f>100*0.011</f>
        <v>1.0999999999999999</v>
      </c>
      <c r="AR58" s="5">
        <f>100*0.528</f>
        <v>52.800000000000004</v>
      </c>
      <c r="AS58" s="5">
        <f>100*0.0239</f>
        <v>2.39</v>
      </c>
      <c r="AT58" s="5">
        <f>100*0.0229</f>
        <v>2.29</v>
      </c>
      <c r="AU58" s="5">
        <f>100*0.426</f>
        <v>42.6</v>
      </c>
      <c r="AV58" s="5">
        <f>100*0.0383</f>
        <v>3.83</v>
      </c>
      <c r="AW58" s="5">
        <f>100*0.0113</f>
        <v>1.1299999999999999</v>
      </c>
      <c r="AX58" s="5">
        <f>100*0.0507</f>
        <v>5.07</v>
      </c>
      <c r="AY58" s="5">
        <f>100*0.9</f>
        <v>90</v>
      </c>
      <c r="AZ58" s="5">
        <v>72598</v>
      </c>
      <c r="BA58" s="5">
        <f>100*0.0146</f>
        <v>1.46</v>
      </c>
      <c r="BB58" s="5">
        <f>100*0.636</f>
        <v>63.6</v>
      </c>
      <c r="BC58" s="5">
        <f>100*0.037</f>
        <v>3.6999999999999997</v>
      </c>
      <c r="BD58" s="5">
        <f>100*0.005</f>
        <v>0.5</v>
      </c>
      <c r="BE58" s="5">
        <f>100*0.573</f>
        <v>57.3</v>
      </c>
      <c r="BF58" s="5">
        <f>100*0.632</f>
        <v>63.2</v>
      </c>
      <c r="BG58" s="5">
        <f>100*0.0414</f>
        <v>4.1399999999999997</v>
      </c>
      <c r="BH58" s="5">
        <f>100*0.0071</f>
        <v>0.71000000000000008</v>
      </c>
      <c r="BI58" s="5">
        <f>100*0.57</f>
        <v>56.999999999999993</v>
      </c>
      <c r="BJ58" s="5">
        <f>100*0.564</f>
        <v>56.399999999999991</v>
      </c>
      <c r="BK58" s="5">
        <f>100*0.175</f>
        <v>17.5</v>
      </c>
      <c r="BL58" s="5">
        <f>100*0.0449</f>
        <v>4.49</v>
      </c>
      <c r="BM58" s="5">
        <f>100*0.216</f>
        <v>21.6</v>
      </c>
      <c r="BN58" s="5">
        <f>100*0.249</f>
        <v>24.9</v>
      </c>
      <c r="BO58" s="5">
        <f>100*0.0778</f>
        <v>7.7799999999999994</v>
      </c>
      <c r="BP58" s="5">
        <f>100*0.115</f>
        <v>11.5</v>
      </c>
      <c r="BQ58" s="5">
        <f>100*0.558</f>
        <v>55.800000000000004</v>
      </c>
      <c r="BR58" s="5">
        <f>100*0.433</f>
        <v>43.3</v>
      </c>
      <c r="BS58" s="5">
        <f>100*0.0053</f>
        <v>0.53</v>
      </c>
      <c r="BT58" s="5">
        <f>100*0.0142</f>
        <v>1.4200000000000002</v>
      </c>
      <c r="BU58" s="5">
        <f>100*0.548</f>
        <v>54.800000000000004</v>
      </c>
      <c r="BV58" s="5">
        <f>100*0.137</f>
        <v>13.700000000000001</v>
      </c>
      <c r="BW58" s="5">
        <f>100*0.0106</f>
        <v>1.06</v>
      </c>
      <c r="BX58" s="5">
        <f>100*0.0337</f>
        <v>3.37</v>
      </c>
      <c r="BY58" s="5">
        <f>100*0.819</f>
        <v>81.899999999999991</v>
      </c>
      <c r="BZ58" s="58">
        <f>AD58/CA58</f>
        <v>0.21595701661429692</v>
      </c>
      <c r="CA58" s="53">
        <v>1733507</v>
      </c>
      <c r="CB58" s="53">
        <v>957000</v>
      </c>
      <c r="CC58" s="5">
        <v>704000</v>
      </c>
      <c r="CD58" s="5">
        <v>371426</v>
      </c>
      <c r="CE58" s="5">
        <v>10800</v>
      </c>
      <c r="CF58" s="5">
        <v>1125</v>
      </c>
      <c r="CG58" s="5">
        <v>3006</v>
      </c>
      <c r="CH58" s="5">
        <v>109793</v>
      </c>
      <c r="CI58" s="5">
        <v>52497</v>
      </c>
      <c r="CJ58" s="5">
        <v>73.599999999999994</v>
      </c>
      <c r="CK58" s="5">
        <v>38.799999999999997</v>
      </c>
      <c r="CL58" s="5">
        <v>1.1299999999999999</v>
      </c>
      <c r="CM58" s="5">
        <v>0.12</v>
      </c>
      <c r="CN58" s="5">
        <v>0.31</v>
      </c>
      <c r="CO58" s="5">
        <v>11.5</v>
      </c>
      <c r="CP58" s="5">
        <v>5.49</v>
      </c>
      <c r="CQ58" s="5">
        <v>52.8</v>
      </c>
      <c r="CR58" s="5">
        <v>1.53</v>
      </c>
      <c r="CS58" s="5">
        <v>0.16</v>
      </c>
      <c r="CT58" s="5">
        <v>0.43</v>
      </c>
      <c r="CU58" s="5">
        <v>15.6</v>
      </c>
      <c r="CV58" s="5">
        <v>7.46</v>
      </c>
      <c r="CW58" s="5"/>
    </row>
    <row r="59" spans="1:101" s="54" customFormat="1">
      <c r="A59" s="5" t="s">
        <v>144</v>
      </c>
      <c r="B59" s="5" t="s">
        <v>108</v>
      </c>
      <c r="C59" s="5"/>
      <c r="D59" s="5" t="s">
        <v>290</v>
      </c>
      <c r="E59" s="91">
        <v>16873</v>
      </c>
      <c r="F59" s="91">
        <v>42114</v>
      </c>
      <c r="G59" s="91">
        <v>43243</v>
      </c>
      <c r="H59" s="91" t="s">
        <v>99</v>
      </c>
      <c r="I59" s="83">
        <v>72.197125256673516</v>
      </c>
      <c r="J59" s="52">
        <v>26370</v>
      </c>
      <c r="K59" s="52">
        <v>1129</v>
      </c>
      <c r="L59" s="52" t="s">
        <v>109</v>
      </c>
      <c r="M59" s="52" t="s">
        <v>109</v>
      </c>
      <c r="N59" s="92" t="s">
        <v>110</v>
      </c>
      <c r="O59" s="84"/>
      <c r="P59" s="84"/>
      <c r="Q59" s="91" t="s">
        <v>111</v>
      </c>
      <c r="R59" s="9" t="s">
        <v>143</v>
      </c>
      <c r="S59" s="84">
        <v>10</v>
      </c>
      <c r="T59" s="89">
        <v>2047.5</v>
      </c>
      <c r="U59" s="93">
        <v>89.26</v>
      </c>
      <c r="V59" s="140">
        <v>1958.24</v>
      </c>
      <c r="W59" s="9"/>
      <c r="X59" s="8"/>
      <c r="Y59" s="90">
        <v>11500000</v>
      </c>
      <c r="Z59" s="8"/>
      <c r="AA59" s="9"/>
      <c r="AB59" s="90">
        <v>15000000</v>
      </c>
      <c r="AC59" s="5" t="s">
        <v>304</v>
      </c>
      <c r="AD59" s="5">
        <v>312917</v>
      </c>
      <c r="AE59" s="5">
        <v>557</v>
      </c>
      <c r="AF59" s="5">
        <f>100*0.0018</f>
        <v>0.18</v>
      </c>
      <c r="AG59" s="5">
        <f>100*0.0592</f>
        <v>5.92</v>
      </c>
      <c r="AH59" s="5">
        <v>111</v>
      </c>
      <c r="AI59" s="5">
        <f>100*0.00036</f>
        <v>3.6000000000000004E-2</v>
      </c>
      <c r="AJ59" s="5">
        <v>589</v>
      </c>
      <c r="AK59" s="5">
        <f>100*0.0019</f>
        <v>0.19</v>
      </c>
      <c r="AL59" s="5">
        <f>100*0.0424</f>
        <v>4.24</v>
      </c>
      <c r="AM59" s="5">
        <f>100*0.0068</f>
        <v>0.67999999999999994</v>
      </c>
      <c r="AN59" s="5">
        <f>100*0.796</f>
        <v>79.600000000000009</v>
      </c>
      <c r="AO59" s="5">
        <f>100*0.0968</f>
        <v>9.68</v>
      </c>
      <c r="AP59" s="5">
        <v>212576</v>
      </c>
      <c r="AQ59" s="5">
        <f>100*0.0676</f>
        <v>6.76</v>
      </c>
      <c r="AR59" s="5">
        <f>100*0.489</f>
        <v>48.9</v>
      </c>
      <c r="AS59" s="5">
        <f>100*0.0376</f>
        <v>3.7600000000000002</v>
      </c>
      <c r="AT59" s="5">
        <f>100*0.0401</f>
        <v>4.01</v>
      </c>
      <c r="AU59" s="5">
        <f>100*0.433</f>
        <v>43.3</v>
      </c>
      <c r="AV59" s="5">
        <f>100*0.237</f>
        <v>23.7</v>
      </c>
      <c r="AW59" s="5">
        <f>100*0.0263</f>
        <v>2.63</v>
      </c>
      <c r="AX59" s="5">
        <f>100*0.0687</f>
        <v>6.87</v>
      </c>
      <c r="AY59" s="5">
        <f>100*0.668</f>
        <v>66.8</v>
      </c>
      <c r="AZ59" s="5">
        <v>86571</v>
      </c>
      <c r="BA59" s="5">
        <f>100*0.0249</f>
        <v>2.4899999999999998</v>
      </c>
      <c r="BB59" s="5">
        <f>100*0.584</f>
        <v>58.4</v>
      </c>
      <c r="BC59" s="5">
        <f>100*0.0413</f>
        <v>4.1300000000000008</v>
      </c>
      <c r="BD59" s="5">
        <f>100*0.0046</f>
        <v>0.45999999999999996</v>
      </c>
      <c r="BE59" s="5">
        <f>100*0.37</f>
        <v>37</v>
      </c>
      <c r="BF59" s="5">
        <f>100*0.359</f>
        <v>35.9</v>
      </c>
      <c r="BG59" s="5">
        <f>100*0.0343</f>
        <v>3.4299999999999997</v>
      </c>
      <c r="BH59" s="5">
        <f>100*0.0124</f>
        <v>1.24</v>
      </c>
      <c r="BI59" s="5">
        <f>100*0.595</f>
        <v>59.5</v>
      </c>
      <c r="BJ59" s="5">
        <f>100*0.519</f>
        <v>51.9</v>
      </c>
      <c r="BK59" s="5">
        <f>100*0.269</f>
        <v>26.900000000000002</v>
      </c>
      <c r="BL59" s="5">
        <f>100*0.0539</f>
        <v>5.3900000000000006</v>
      </c>
      <c r="BM59" s="5">
        <f>100*0.158</f>
        <v>15.8</v>
      </c>
      <c r="BN59" s="5">
        <f>100*0.343</f>
        <v>34.300000000000004</v>
      </c>
      <c r="BO59" s="5">
        <f>100*0.208</f>
        <v>20.8</v>
      </c>
      <c r="BP59" s="5">
        <f>100*0.115</f>
        <v>11.5</v>
      </c>
      <c r="BQ59" s="5">
        <f>100*0.334</f>
        <v>33.4</v>
      </c>
      <c r="BR59" s="5">
        <f>100*0.584</f>
        <v>58.4</v>
      </c>
      <c r="BS59" s="5">
        <f>100*0.0238</f>
        <v>2.3800000000000003</v>
      </c>
      <c r="BT59" s="5">
        <f>100*0.0187</f>
        <v>1.87</v>
      </c>
      <c r="BU59" s="5">
        <f>100*0.374</f>
        <v>37.4</v>
      </c>
      <c r="BV59" s="5">
        <f>100*0.397</f>
        <v>39.700000000000003</v>
      </c>
      <c r="BW59" s="5">
        <f>100*0.039</f>
        <v>3.9</v>
      </c>
      <c r="BX59" s="5">
        <f>100*0.0119</f>
        <v>1.1900000000000002</v>
      </c>
      <c r="BY59" s="5">
        <f>100*0.552</f>
        <v>55.2</v>
      </c>
      <c r="BZ59" s="131"/>
      <c r="CA59" s="131" t="s">
        <v>215</v>
      </c>
      <c r="CB59" s="53">
        <v>838000</v>
      </c>
      <c r="CC59" s="53">
        <v>574000</v>
      </c>
      <c r="CD59" s="6">
        <v>40</v>
      </c>
      <c r="CE59" s="6">
        <v>10117</v>
      </c>
      <c r="CF59" s="6">
        <v>2312</v>
      </c>
      <c r="CG59" s="6">
        <v>5263</v>
      </c>
      <c r="CH59" s="6">
        <v>110163</v>
      </c>
      <c r="CI59" s="6">
        <v>26428</v>
      </c>
      <c r="CJ59" s="6">
        <v>68.5</v>
      </c>
      <c r="CK59" s="6">
        <v>4.7699999999999999E-3</v>
      </c>
      <c r="CL59" s="6">
        <v>1.21</v>
      </c>
      <c r="CM59" s="6">
        <v>0.28000000000000003</v>
      </c>
      <c r="CN59" s="6">
        <v>0.63</v>
      </c>
      <c r="CO59" s="6">
        <v>13.1</v>
      </c>
      <c r="CP59" s="6">
        <v>3.15</v>
      </c>
      <c r="CQ59" s="6">
        <v>6.9699999999999996E-3</v>
      </c>
      <c r="CR59" s="6">
        <v>1.76</v>
      </c>
      <c r="CS59" s="6">
        <v>0.4</v>
      </c>
      <c r="CT59" s="6">
        <v>0.92</v>
      </c>
      <c r="CU59" s="6">
        <v>19.2</v>
      </c>
      <c r="CV59" s="6">
        <v>4.5999999999999996</v>
      </c>
      <c r="CW59" s="5"/>
    </row>
    <row r="60" spans="1:101" s="54" customFormat="1" ht="13.15" customHeight="1">
      <c r="A60" s="5" t="s">
        <v>146</v>
      </c>
      <c r="B60" s="5" t="s">
        <v>108</v>
      </c>
      <c r="C60" s="5"/>
      <c r="D60" s="5" t="s">
        <v>290</v>
      </c>
      <c r="E60" s="91">
        <v>13862</v>
      </c>
      <c r="F60" s="91">
        <v>42191</v>
      </c>
      <c r="G60" s="91">
        <v>43180</v>
      </c>
      <c r="H60" s="91" t="s">
        <v>99</v>
      </c>
      <c r="I60" s="83">
        <f>(G60-E60)/365.25</f>
        <v>80.268309377138948</v>
      </c>
      <c r="J60" s="52">
        <f>G60-E60</f>
        <v>29318</v>
      </c>
      <c r="K60" s="52">
        <f>G60-F60</f>
        <v>989</v>
      </c>
      <c r="L60" s="52" t="s">
        <v>100</v>
      </c>
      <c r="M60" s="52" t="s">
        <v>109</v>
      </c>
      <c r="N60" s="92" t="s">
        <v>110</v>
      </c>
      <c r="O60" s="84">
        <v>0</v>
      </c>
      <c r="P60" s="84">
        <v>0</v>
      </c>
      <c r="Q60" s="91" t="s">
        <v>111</v>
      </c>
      <c r="R60" s="9" t="s">
        <v>112</v>
      </c>
      <c r="S60" s="84">
        <v>10</v>
      </c>
      <c r="T60" s="89">
        <v>2744.4</v>
      </c>
      <c r="U60" s="93">
        <v>88.6</v>
      </c>
      <c r="V60" s="140">
        <f>T60-U60</f>
        <v>2655.8</v>
      </c>
      <c r="W60" s="9"/>
      <c r="X60" s="8"/>
      <c r="Y60" s="90">
        <v>81600000</v>
      </c>
      <c r="Z60" s="8"/>
      <c r="AA60" s="9"/>
      <c r="AB60" s="90">
        <v>41500000</v>
      </c>
      <c r="AC60" s="5" t="s">
        <v>147</v>
      </c>
      <c r="AD60" s="5">
        <v>502000</v>
      </c>
      <c r="AE60" s="5">
        <v>6207</v>
      </c>
      <c r="AF60" s="5">
        <f>100*0.0124</f>
        <v>1.24</v>
      </c>
      <c r="AG60" s="5">
        <f>100*0.37184</f>
        <v>37.183999999999997</v>
      </c>
      <c r="AH60" s="5">
        <v>1553</v>
      </c>
      <c r="AI60" s="5">
        <f>100*0.00295</f>
        <v>0.29499999999999998</v>
      </c>
      <c r="AJ60" s="5">
        <v>2457</v>
      </c>
      <c r="AK60" s="5">
        <f>10*0.0048</f>
        <v>4.7999999999999994E-2</v>
      </c>
      <c r="AL60" s="5">
        <f>100*0.0409</f>
        <v>4.09</v>
      </c>
      <c r="AM60" s="5">
        <f>100*0.02315</f>
        <v>2.3149999999999999</v>
      </c>
      <c r="AN60" s="5">
        <f>100*0.577</f>
        <v>57.699999999999996</v>
      </c>
      <c r="AO60" s="5">
        <f>100*0.0563</f>
        <v>5.63</v>
      </c>
      <c r="AP60" s="5">
        <v>175877</v>
      </c>
      <c r="AQ60" s="5">
        <f>100*0.4113</f>
        <v>41.13</v>
      </c>
      <c r="AR60" s="5">
        <f>100*0.47583</f>
        <v>47.582999999999998</v>
      </c>
      <c r="AS60" s="5">
        <f>100*0.10697705</f>
        <v>10.697705000000001</v>
      </c>
      <c r="AT60" s="5">
        <f>100*0.06619417</f>
        <v>6.6194169999999994</v>
      </c>
      <c r="AU60" s="5">
        <f>100*0.346</f>
        <v>34.599999999999994</v>
      </c>
      <c r="AV60" s="5">
        <f>100*0.04659</f>
        <v>4.6589999999999998</v>
      </c>
      <c r="AW60" s="5">
        <f>100*0.023877185</f>
        <v>2.3877185000000001</v>
      </c>
      <c r="AX60" s="5">
        <f>100*0.153</f>
        <v>15.299999999999999</v>
      </c>
      <c r="AY60" s="5">
        <f>100*0.786</f>
        <v>78.600000000000009</v>
      </c>
      <c r="AZ60" s="5">
        <v>260048</v>
      </c>
      <c r="BA60" s="5">
        <f>100*0.03205</f>
        <v>3.2050000000000001</v>
      </c>
      <c r="BB60" s="5">
        <f>100*0.32399669</f>
        <v>32.399668999999996</v>
      </c>
      <c r="BC60" s="5">
        <f>100*0.043694615</f>
        <v>4.3694614999999999</v>
      </c>
      <c r="BD60" s="5">
        <f>100*0.02669586</f>
        <v>2.6695859999999998</v>
      </c>
      <c r="BE60" s="5">
        <f>100*0.611</f>
        <v>61.1</v>
      </c>
      <c r="BF60" s="5">
        <f>100*0.28588</f>
        <v>28.588000000000001</v>
      </c>
      <c r="BG60" s="5">
        <f>100*0.03089425</f>
        <v>3.0894250000000003</v>
      </c>
      <c r="BH60" s="5">
        <f>100*0.0187</f>
        <v>1.87</v>
      </c>
      <c r="BI60" s="5">
        <f>100*0.664</f>
        <v>66.400000000000006</v>
      </c>
      <c r="BJ60" s="5">
        <f>100*0.216</f>
        <v>21.6</v>
      </c>
      <c r="BK60" s="5">
        <f>100*0.086</f>
        <v>8.6</v>
      </c>
      <c r="BL60" s="5">
        <f>100*0.0491</f>
        <v>4.91</v>
      </c>
      <c r="BM60" s="5">
        <f>100*0.147</f>
        <v>14.7</v>
      </c>
      <c r="BN60" s="5">
        <f>100*0.20063</f>
        <v>20.062999999999999</v>
      </c>
      <c r="BO60" s="5">
        <f>100*0.039715</f>
        <v>3.9714999999999998</v>
      </c>
      <c r="BP60" s="5">
        <f>100*0.2</f>
        <v>20</v>
      </c>
      <c r="BQ60" s="5">
        <f>100*0.597</f>
        <v>59.699999999999996</v>
      </c>
      <c r="BR60" s="5">
        <f>100*0.372</f>
        <v>37.200000000000003</v>
      </c>
      <c r="BS60" s="5">
        <f>100*0.420795</f>
        <v>42.079499999999996</v>
      </c>
      <c r="BT60" s="5">
        <f>100*0.08859</f>
        <v>8.859</v>
      </c>
      <c r="BU60" s="5">
        <f>100*0.129</f>
        <v>12.9</v>
      </c>
      <c r="BV60" s="5">
        <f>100*0.4072</f>
        <v>40.72</v>
      </c>
      <c r="BW60" s="5">
        <f>100*0.261145</f>
        <v>26.114500000000003</v>
      </c>
      <c r="BX60" s="5">
        <f>100*0.124</f>
        <v>12.4</v>
      </c>
      <c r="BY60" s="5">
        <f>100*0.208</f>
        <v>20.8</v>
      </c>
      <c r="BZ60" s="131" t="e">
        <f>AD60/CA60</f>
        <v>#VALUE!</v>
      </c>
      <c r="CA60" s="131" t="s">
        <v>215</v>
      </c>
      <c r="CB60" s="53">
        <v>2260000</v>
      </c>
      <c r="CC60" s="6">
        <v>1840000</v>
      </c>
      <c r="CD60" s="6">
        <v>418000</v>
      </c>
      <c r="CE60" s="6">
        <v>22463</v>
      </c>
      <c r="CF60" s="6">
        <v>4489</v>
      </c>
      <c r="CG60" s="6">
        <v>17122</v>
      </c>
      <c r="CH60" s="6">
        <v>116466</v>
      </c>
      <c r="CI60" s="6">
        <v>30066</v>
      </c>
      <c r="CJ60" s="6">
        <v>80.2</v>
      </c>
      <c r="CK60" s="6">
        <v>18</v>
      </c>
      <c r="CL60" s="6">
        <v>0.99</v>
      </c>
      <c r="CM60" s="6">
        <v>0.2</v>
      </c>
      <c r="CN60" s="6">
        <v>0.81</v>
      </c>
      <c r="CO60" s="6">
        <v>5.77</v>
      </c>
      <c r="CP60" s="6">
        <v>1.22</v>
      </c>
      <c r="CQ60" s="6">
        <v>22.4</v>
      </c>
      <c r="CR60" s="6">
        <v>1.27</v>
      </c>
      <c r="CS60" s="6">
        <v>0.26</v>
      </c>
      <c r="CT60" s="6">
        <v>1</v>
      </c>
      <c r="CU60" s="6">
        <v>7.19</v>
      </c>
      <c r="CV60" s="5">
        <v>1.73</v>
      </c>
      <c r="CW60" s="5"/>
    </row>
    <row r="61" spans="1:101" s="126" customFormat="1" ht="12.75" customHeight="1">
      <c r="A61" s="5" t="s">
        <v>148</v>
      </c>
      <c r="B61" s="5" t="s">
        <v>108</v>
      </c>
      <c r="C61" s="5"/>
      <c r="D61" s="5" t="s">
        <v>290</v>
      </c>
      <c r="E61" s="91">
        <v>13862</v>
      </c>
      <c r="F61" s="91">
        <v>42191</v>
      </c>
      <c r="G61" s="91">
        <v>43271</v>
      </c>
      <c r="H61" s="91" t="s">
        <v>99</v>
      </c>
      <c r="I61" s="83">
        <v>80.517453798767974</v>
      </c>
      <c r="J61" s="52">
        <v>29409</v>
      </c>
      <c r="K61" s="52">
        <v>1080</v>
      </c>
      <c r="L61" s="52" t="s">
        <v>100</v>
      </c>
      <c r="M61" s="52" t="s">
        <v>109</v>
      </c>
      <c r="N61" s="92" t="s">
        <v>110</v>
      </c>
      <c r="O61" s="84"/>
      <c r="P61" s="84"/>
      <c r="Q61" s="91" t="s">
        <v>111</v>
      </c>
      <c r="R61" s="9" t="s">
        <v>112</v>
      </c>
      <c r="S61" s="84">
        <v>10</v>
      </c>
      <c r="T61" s="89">
        <v>2568.0100000000002</v>
      </c>
      <c r="U61" s="93">
        <v>74.09</v>
      </c>
      <c r="V61" s="140">
        <f>T61-U61</f>
        <v>2493.92</v>
      </c>
      <c r="W61" s="9"/>
      <c r="X61" s="8"/>
      <c r="Y61" s="90">
        <v>107500000</v>
      </c>
      <c r="Z61" s="8"/>
      <c r="AA61" s="9"/>
      <c r="AB61" s="132">
        <v>12750000</v>
      </c>
      <c r="AC61" s="5" t="s">
        <v>305</v>
      </c>
      <c r="AD61" s="5">
        <v>595000</v>
      </c>
      <c r="AE61" s="5">
        <v>7220</v>
      </c>
      <c r="AF61" s="5">
        <f>100*0.0124</f>
        <v>1.24</v>
      </c>
      <c r="AG61" s="5">
        <f>100*0.67222</f>
        <v>67.222000000000008</v>
      </c>
      <c r="AH61" s="5">
        <v>543</v>
      </c>
      <c r="AI61" s="5">
        <f>100*0.0009</f>
        <v>0.09</v>
      </c>
      <c r="AJ61" s="5">
        <v>2805</v>
      </c>
      <c r="AK61" s="5">
        <f>100*0.0047</f>
        <v>0.47000000000000003</v>
      </c>
      <c r="AL61" s="5">
        <f>100*0.09045</f>
        <v>9.0449999999999999</v>
      </c>
      <c r="AM61" s="5">
        <f>100*0.06615</f>
        <v>6.6150000000000002</v>
      </c>
      <c r="AN61" s="5">
        <f>100*0.675</f>
        <v>67.5</v>
      </c>
      <c r="AO61" s="5">
        <f>100*0.0175</f>
        <v>1.7500000000000002</v>
      </c>
      <c r="AP61" s="5">
        <v>221037</v>
      </c>
      <c r="AQ61" s="5">
        <f>100*0.70288</f>
        <v>70.287999999999997</v>
      </c>
      <c r="AR61" s="5">
        <f>100*0.3159489</f>
        <v>31.594889999999999</v>
      </c>
      <c r="AS61" s="5">
        <f>100*0.0931833</f>
        <v>9.3183299999999996</v>
      </c>
      <c r="AT61" s="5">
        <f>100*0.0941774</f>
        <v>9.4177400000000002</v>
      </c>
      <c r="AU61" s="5">
        <f>100*0.497</f>
        <v>49.7</v>
      </c>
      <c r="AV61" s="5">
        <f>100*0.0587042</f>
        <v>5.8704200000000002</v>
      </c>
      <c r="AW61" s="5">
        <f>100*0.0369703</f>
        <v>3.6970299999999998</v>
      </c>
      <c r="AX61" s="5">
        <f>100*0.1769729</f>
        <v>17.697289999999999</v>
      </c>
      <c r="AY61" s="5">
        <f>100*0.705</f>
        <v>70.5</v>
      </c>
      <c r="AZ61" s="5">
        <v>305492</v>
      </c>
      <c r="BA61" s="5">
        <f>100*0.2164</f>
        <v>21.64</v>
      </c>
      <c r="BB61" s="5">
        <f>100*0.3319202</f>
        <v>33.192019999999999</v>
      </c>
      <c r="BC61" s="5">
        <f>100*0.0382737</f>
        <v>3.8273700000000002</v>
      </c>
      <c r="BD61" s="5">
        <f>100*0.01169018</f>
        <v>1.1690179999999999</v>
      </c>
      <c r="BE61" s="5">
        <f>100*0.62</f>
        <v>62</v>
      </c>
      <c r="BF61" s="5">
        <f>100*0.30258</f>
        <v>30.258000000000003</v>
      </c>
      <c r="BG61" s="5">
        <f>100*0.0464401</f>
        <v>4.6440099999999997</v>
      </c>
      <c r="BH61" s="5">
        <f>100*0.01459018</f>
        <v>1.4590179999999999</v>
      </c>
      <c r="BI61" s="5">
        <f>100*0.643</f>
        <v>64.3</v>
      </c>
      <c r="BJ61" s="5">
        <f>100*0.25286</f>
        <v>25.285999999999998</v>
      </c>
      <c r="BK61" s="5">
        <f>100*0.069585</f>
        <v>6.958499999999999</v>
      </c>
      <c r="BL61" s="5">
        <f>100*0.10286</f>
        <v>10.286</v>
      </c>
      <c r="BM61" s="5">
        <f>100*0.557</f>
        <v>55.7</v>
      </c>
      <c r="BN61" s="5">
        <f>100*0.18886</f>
        <v>18.885999999999999</v>
      </c>
      <c r="BO61" s="5">
        <f>100*0.04243</f>
        <v>4.2430000000000003</v>
      </c>
      <c r="BP61" s="5">
        <f>100*0.17271</f>
        <v>17.271000000000001</v>
      </c>
      <c r="BQ61" s="5">
        <f>100*0.597</f>
        <v>59.699999999999996</v>
      </c>
      <c r="BR61" s="5">
        <f>100*0.636</f>
        <v>63.6</v>
      </c>
      <c r="BS61" s="5">
        <f>100*0.0963</f>
        <v>9.629999999999999</v>
      </c>
      <c r="BT61" s="5">
        <f>100*0.0289</f>
        <v>2.8899999999999997</v>
      </c>
      <c r="BU61" s="5">
        <f>100*0.227</f>
        <v>22.7</v>
      </c>
      <c r="BV61" s="5">
        <f>100*0.38464</f>
        <v>38.463999999999999</v>
      </c>
      <c r="BW61" s="5">
        <f>100*0.0763</f>
        <v>7.6300000000000008</v>
      </c>
      <c r="BX61" s="5">
        <f>100*0.097</f>
        <v>9.7000000000000011</v>
      </c>
      <c r="BY61" s="5">
        <f>100*0.499</f>
        <v>49.9</v>
      </c>
      <c r="BZ61" s="131">
        <f>100*0.203</f>
        <v>20.3</v>
      </c>
      <c r="CA61" s="130">
        <f>AD61/BZ61</f>
        <v>29310.344827586207</v>
      </c>
      <c r="CB61" s="53">
        <v>2780000</v>
      </c>
      <c r="CC61" s="6">
        <v>2240000</v>
      </c>
      <c r="CD61" s="6">
        <v>843000</v>
      </c>
      <c r="CE61" s="6">
        <v>40745</v>
      </c>
      <c r="CF61" s="6">
        <v>10144</v>
      </c>
      <c r="CG61" s="6">
        <v>16749</v>
      </c>
      <c r="CH61" s="6">
        <v>228711</v>
      </c>
      <c r="CI61" s="6">
        <v>66961</v>
      </c>
      <c r="CJ61" s="6">
        <v>80.599999999999994</v>
      </c>
      <c r="CK61" s="6">
        <v>30.3</v>
      </c>
      <c r="CL61" s="6">
        <v>1.47</v>
      </c>
      <c r="CM61" s="6">
        <v>0.36</v>
      </c>
      <c r="CN61" s="6">
        <v>0.6</v>
      </c>
      <c r="CO61" s="6">
        <v>8.23</v>
      </c>
      <c r="CP61" s="6">
        <v>2.41</v>
      </c>
      <c r="CQ61" s="6">
        <v>37.6</v>
      </c>
      <c r="CR61" s="6">
        <v>1.82</v>
      </c>
      <c r="CS61" s="6">
        <v>0.45</v>
      </c>
      <c r="CT61" s="6">
        <v>0.75</v>
      </c>
      <c r="CU61" s="6">
        <v>10.199999999999999</v>
      </c>
      <c r="CV61" s="5">
        <v>2.99</v>
      </c>
      <c r="CW61" s="5"/>
    </row>
    <row r="62" spans="1:101" s="54" customFormat="1">
      <c r="A62" s="5" t="s">
        <v>150</v>
      </c>
      <c r="B62" s="5" t="s">
        <v>108</v>
      </c>
      <c r="C62" s="5"/>
      <c r="D62" s="5" t="s">
        <v>290</v>
      </c>
      <c r="E62" s="91">
        <v>21486</v>
      </c>
      <c r="F62" s="91">
        <v>42233</v>
      </c>
      <c r="G62" s="91">
        <v>43222</v>
      </c>
      <c r="H62" s="91" t="s">
        <v>151</v>
      </c>
      <c r="I62" s="83">
        <v>59.509924709103352</v>
      </c>
      <c r="J62" s="52">
        <v>21736</v>
      </c>
      <c r="K62" s="52">
        <v>989</v>
      </c>
      <c r="L62" s="52" t="s">
        <v>100</v>
      </c>
      <c r="M62" s="52" t="s">
        <v>100</v>
      </c>
      <c r="N62" s="92">
        <v>42957</v>
      </c>
      <c r="O62" s="84"/>
      <c r="P62" s="84"/>
      <c r="Q62" s="91" t="s">
        <v>111</v>
      </c>
      <c r="R62" s="9" t="s">
        <v>143</v>
      </c>
      <c r="S62" s="84">
        <v>10</v>
      </c>
      <c r="T62" s="89">
        <v>2223.19</v>
      </c>
      <c r="U62" s="93">
        <v>86.24</v>
      </c>
      <c r="V62" s="140">
        <f>T62-U62</f>
        <v>2136.9500000000003</v>
      </c>
      <c r="W62" s="9"/>
      <c r="X62" s="8"/>
      <c r="Y62" s="90">
        <v>1000000</v>
      </c>
      <c r="Z62" s="8"/>
      <c r="AA62" s="9"/>
      <c r="AB62" s="132">
        <v>13950000</v>
      </c>
      <c r="AC62" s="20" t="s">
        <v>306</v>
      </c>
      <c r="AD62" s="5">
        <v>2193</v>
      </c>
      <c r="AE62" s="5">
        <v>12</v>
      </c>
      <c r="AF62" s="5">
        <f>100*0.0064</f>
        <v>0.64</v>
      </c>
      <c r="AG62" s="5">
        <v>0</v>
      </c>
      <c r="AH62" s="5">
        <v>35</v>
      </c>
      <c r="AI62" s="5">
        <f>100*0.0185</f>
        <v>1.8499999999999999</v>
      </c>
      <c r="AJ62" s="5">
        <v>73</v>
      </c>
      <c r="AK62" s="5">
        <f>100*0.0399</f>
        <v>3.9899999999999998</v>
      </c>
      <c r="AL62" s="5">
        <f>100*0.0685</f>
        <v>6.8500000000000005</v>
      </c>
      <c r="AM62" s="5">
        <f>100*0.0137</f>
        <v>1.37</v>
      </c>
      <c r="AN62" s="5">
        <f>100*0.658</f>
        <v>65.8</v>
      </c>
      <c r="AO62" s="5">
        <f>100*0.137</f>
        <v>13.700000000000001</v>
      </c>
      <c r="AP62" s="5">
        <v>575</v>
      </c>
      <c r="AQ62" s="5">
        <f>100*0.33</f>
        <v>33</v>
      </c>
      <c r="AR62" s="5">
        <f>100*0.499</f>
        <v>49.9</v>
      </c>
      <c r="AS62" s="5">
        <f>100*0.257</f>
        <v>25.7</v>
      </c>
      <c r="AT62" s="5">
        <f>100*0.0904</f>
        <v>9.0399999999999991</v>
      </c>
      <c r="AU62" s="5">
        <f>100*0.153</f>
        <v>15.299999999999999</v>
      </c>
      <c r="AV62" s="5">
        <f>100*0.103</f>
        <v>10.299999999999999</v>
      </c>
      <c r="AW62" s="5">
        <f>100*0.0539</f>
        <v>5.3900000000000006</v>
      </c>
      <c r="AX62" s="5">
        <f>100*0.297</f>
        <v>29.7</v>
      </c>
      <c r="AY62" s="5">
        <f>100*0.546</f>
        <v>54.6</v>
      </c>
      <c r="AZ62" s="5">
        <v>1045</v>
      </c>
      <c r="BA62" s="5">
        <f>100*0.0928</f>
        <v>9.2799999999999994</v>
      </c>
      <c r="BB62" s="5">
        <f>100*0.735</f>
        <v>73.5</v>
      </c>
      <c r="BC62" s="5">
        <f>100*0.0297</f>
        <v>2.97</v>
      </c>
      <c r="BD62" s="5">
        <v>0</v>
      </c>
      <c r="BE62" s="5">
        <f>100*0.235</f>
        <v>23.5</v>
      </c>
      <c r="BF62" s="5">
        <f>100*0.367</f>
        <v>36.700000000000003</v>
      </c>
      <c r="BG62" s="5">
        <f>100*0.0258</f>
        <v>2.58</v>
      </c>
      <c r="BH62" s="5">
        <f>100*0.0038</f>
        <v>0.38</v>
      </c>
      <c r="BI62" s="5">
        <f>100*0.603</f>
        <v>60.3</v>
      </c>
      <c r="BJ62" s="5">
        <f>100*0.917</f>
        <v>91.7</v>
      </c>
      <c r="BK62" s="5">
        <v>0</v>
      </c>
      <c r="BL62" s="5">
        <v>0</v>
      </c>
      <c r="BM62" s="5">
        <f>100*0.0833</f>
        <v>8.33</v>
      </c>
      <c r="BN62" s="5">
        <f>100*0.167</f>
        <v>16.7</v>
      </c>
      <c r="BO62" s="5">
        <v>0</v>
      </c>
      <c r="BP62" s="5">
        <v>0</v>
      </c>
      <c r="BQ62" s="5">
        <f>100*0.833</f>
        <v>83.3</v>
      </c>
      <c r="BR62" s="5">
        <f>100*0.644</f>
        <v>64.400000000000006</v>
      </c>
      <c r="BS62" s="5">
        <f>100*0.0137</f>
        <v>1.37</v>
      </c>
      <c r="BT62" s="5">
        <f>100*0.0137</f>
        <v>1.37</v>
      </c>
      <c r="BU62" s="5">
        <f>100*0.329</f>
        <v>32.9</v>
      </c>
      <c r="BV62" s="5">
        <f>100*0.233</f>
        <v>23.3</v>
      </c>
      <c r="BW62" s="5">
        <f>100*0.0137</f>
        <v>1.37</v>
      </c>
      <c r="BX62" s="5">
        <f>100*0.0137</f>
        <v>1.37</v>
      </c>
      <c r="BY62" s="5">
        <f>100*0.74</f>
        <v>74</v>
      </c>
      <c r="BZ62" s="58">
        <f>AD62/CA62</f>
        <v>7.2544046608144053E-4</v>
      </c>
      <c r="CA62" s="53">
        <v>3022991</v>
      </c>
      <c r="CB62" s="5">
        <v>138726</v>
      </c>
      <c r="CC62" s="5">
        <v>18662</v>
      </c>
      <c r="CD62" s="5">
        <v>3161</v>
      </c>
      <c r="CE62" s="5">
        <v>349</v>
      </c>
      <c r="CF62" s="5">
        <v>395</v>
      </c>
      <c r="CG62" s="5">
        <v>651</v>
      </c>
      <c r="CH62" s="5">
        <v>1928</v>
      </c>
      <c r="CI62" s="5">
        <v>2567</v>
      </c>
      <c r="CJ62" s="5">
        <v>13.5</v>
      </c>
      <c r="CK62" s="5">
        <v>2.2799999999999998</v>
      </c>
      <c r="CL62" s="5">
        <v>0.25</v>
      </c>
      <c r="CM62" s="5">
        <v>0.28000000000000003</v>
      </c>
      <c r="CN62" s="5">
        <v>0.47</v>
      </c>
      <c r="CO62" s="5">
        <v>1.39</v>
      </c>
      <c r="CP62" s="5">
        <v>1.85</v>
      </c>
      <c r="CQ62" s="5">
        <v>16.899999999999999</v>
      </c>
      <c r="CR62" s="5">
        <v>1.87</v>
      </c>
      <c r="CS62" s="5">
        <v>2.12</v>
      </c>
      <c r="CT62" s="5">
        <v>3.49</v>
      </c>
      <c r="CU62" s="5">
        <v>10.3</v>
      </c>
      <c r="CV62" s="5">
        <v>13.8</v>
      </c>
      <c r="CW62" s="5"/>
    </row>
    <row r="63" spans="1:101" s="54" customFormat="1">
      <c r="A63" s="5" t="s">
        <v>153</v>
      </c>
      <c r="B63" s="5" t="s">
        <v>108</v>
      </c>
      <c r="C63" s="5"/>
      <c r="D63" s="5" t="s">
        <v>290</v>
      </c>
      <c r="E63" s="142">
        <v>21486</v>
      </c>
      <c r="F63" s="142">
        <v>42233</v>
      </c>
      <c r="G63" s="142">
        <v>43425</v>
      </c>
      <c r="H63" s="91" t="s">
        <v>151</v>
      </c>
      <c r="I63" s="134">
        <v>60.06570841889117</v>
      </c>
      <c r="J63" s="135">
        <v>21939</v>
      </c>
      <c r="K63" s="135">
        <v>1192</v>
      </c>
      <c r="L63" s="135" t="s">
        <v>100</v>
      </c>
      <c r="M63" s="135" t="s">
        <v>100</v>
      </c>
      <c r="N63" s="136">
        <v>42957</v>
      </c>
      <c r="O63" s="84"/>
      <c r="P63" s="133" t="s">
        <v>155</v>
      </c>
      <c r="Q63" s="91" t="s">
        <v>111</v>
      </c>
      <c r="R63" s="9" t="s">
        <v>143</v>
      </c>
      <c r="S63" s="84">
        <v>11</v>
      </c>
      <c r="T63" s="137">
        <v>2189.1</v>
      </c>
      <c r="U63" s="138">
        <v>83.89</v>
      </c>
      <c r="V63" s="140">
        <f>T63-U63</f>
        <v>2105.21</v>
      </c>
      <c r="W63" s="9"/>
      <c r="X63" s="8"/>
      <c r="Y63" s="132">
        <v>8700000</v>
      </c>
      <c r="Z63" s="8"/>
      <c r="AA63" s="9"/>
      <c r="AB63" s="132">
        <v>15900000</v>
      </c>
      <c r="AC63" s="20" t="s">
        <v>307</v>
      </c>
      <c r="AD63" s="5">
        <v>3290</v>
      </c>
      <c r="AE63" s="5">
        <v>25</v>
      </c>
      <c r="AF63" s="5">
        <f>100*0.009</f>
        <v>0.89999999999999991</v>
      </c>
      <c r="AG63" s="5">
        <f>100*0.44</f>
        <v>44</v>
      </c>
      <c r="AH63" s="5">
        <v>2</v>
      </c>
      <c r="AI63" s="5">
        <f>100*0.00072</f>
        <v>7.2000000000000008E-2</v>
      </c>
      <c r="AJ63" s="5">
        <v>74</v>
      </c>
      <c r="AK63" s="5">
        <f>100*0.0269</f>
        <v>2.69</v>
      </c>
      <c r="AL63" s="5">
        <f>100*0.243</f>
        <v>24.3</v>
      </c>
      <c r="AM63" s="5">
        <f>100*0.0405</f>
        <v>4.05</v>
      </c>
      <c r="AN63" s="5">
        <f>100*0.784</f>
        <v>78.400000000000006</v>
      </c>
      <c r="AO63" s="5">
        <f>100*0.027</f>
        <v>2.7</v>
      </c>
      <c r="AP63" s="5">
        <v>1493</v>
      </c>
      <c r="AQ63" s="5">
        <f>100*0.309</f>
        <v>30.9</v>
      </c>
      <c r="AR63" s="5">
        <f>100*0.363</f>
        <v>36.299999999999997</v>
      </c>
      <c r="AS63" s="5">
        <f>100*0.241</f>
        <v>24.099999999999998</v>
      </c>
      <c r="AT63" s="5">
        <f>100*0.126</f>
        <v>12.6</v>
      </c>
      <c r="AU63" s="5">
        <f>100*0.27</f>
        <v>27</v>
      </c>
      <c r="AV63" s="5">
        <f>100*0.0549</f>
        <v>5.4899999999999993</v>
      </c>
      <c r="AW63" s="5">
        <f>100*0.0449</f>
        <v>4.49</v>
      </c>
      <c r="AX63" s="5">
        <f>100*0.386</f>
        <v>38.6</v>
      </c>
      <c r="AY63" s="5">
        <f>100*0.514</f>
        <v>51.4</v>
      </c>
      <c r="AZ63" s="5">
        <v>1050</v>
      </c>
      <c r="BA63" s="5">
        <f>100*0.241</f>
        <v>24.099999999999998</v>
      </c>
      <c r="BB63" s="5">
        <f>100*0.633</f>
        <v>63.3</v>
      </c>
      <c r="BC63" s="5">
        <f>100*0.0629</f>
        <v>6.29</v>
      </c>
      <c r="BD63" s="5">
        <f>100*0.0067</f>
        <v>0.67</v>
      </c>
      <c r="BE63" s="5">
        <f>100*0.297</f>
        <v>29.7</v>
      </c>
      <c r="BF63" s="5">
        <f>100*0.33</f>
        <v>33</v>
      </c>
      <c r="BG63" s="5">
        <f>100*0.0514</f>
        <v>5.1400000000000006</v>
      </c>
      <c r="BH63" s="5">
        <f>100*0.0181</f>
        <v>1.81</v>
      </c>
      <c r="BI63" s="5">
        <f>100*0.6</f>
        <v>60</v>
      </c>
      <c r="BJ63" s="5">
        <f>100*0.28</f>
        <v>28.000000000000004</v>
      </c>
      <c r="BK63" s="5">
        <f>100*0.36</f>
        <v>36</v>
      </c>
      <c r="BL63" s="5">
        <f>100*0.12</f>
        <v>12</v>
      </c>
      <c r="BM63" s="5">
        <f>100*0.24</f>
        <v>24</v>
      </c>
      <c r="BN63" s="5">
        <f>100*0.12</f>
        <v>12</v>
      </c>
      <c r="BO63" s="5">
        <f>100*0.04</f>
        <v>4</v>
      </c>
      <c r="BP63" s="5">
        <f>100*0.48</f>
        <v>48</v>
      </c>
      <c r="BQ63" s="5">
        <f>100*0.36</f>
        <v>36</v>
      </c>
      <c r="BR63" s="5">
        <f>100*0.486</f>
        <v>48.6</v>
      </c>
      <c r="BS63" s="5">
        <f>100*0.027</f>
        <v>2.7</v>
      </c>
      <c r="BT63" s="5">
        <f>100*0.027</f>
        <v>2.7</v>
      </c>
      <c r="BU63" s="5">
        <f>100*0.459</f>
        <v>45.9</v>
      </c>
      <c r="BV63" s="5">
        <f>100*0.0541</f>
        <v>5.41</v>
      </c>
      <c r="BW63" s="5">
        <v>0</v>
      </c>
      <c r="BX63" s="5">
        <f>100*0.0541</f>
        <v>5.41</v>
      </c>
      <c r="BY63" s="5">
        <f>100*0.892</f>
        <v>89.2</v>
      </c>
      <c r="BZ63" s="58">
        <v>2.5999999999999999E-3</v>
      </c>
      <c r="CA63" s="130">
        <f>AD63/BZ63</f>
        <v>1265384.6153846155</v>
      </c>
      <c r="CB63" s="5">
        <v>1380000</v>
      </c>
      <c r="CC63" s="5">
        <v>51069</v>
      </c>
      <c r="CD63" s="5">
        <v>47</v>
      </c>
      <c r="CE63" s="5">
        <v>1019</v>
      </c>
      <c r="CF63" s="5">
        <v>456</v>
      </c>
      <c r="CG63" s="5">
        <v>6630</v>
      </c>
      <c r="CH63" s="5">
        <v>11537</v>
      </c>
      <c r="CI63" s="5">
        <v>5635</v>
      </c>
      <c r="CJ63" s="5">
        <v>3.7</v>
      </c>
      <c r="CK63" s="5">
        <v>3.4099999999999998E-3</v>
      </c>
      <c r="CL63" s="5">
        <v>7.3999999999999996E-2</v>
      </c>
      <c r="CM63" s="5">
        <v>3.3000000000000002E-2</v>
      </c>
      <c r="CN63" s="5">
        <v>0.48</v>
      </c>
      <c r="CO63" s="5">
        <v>0.84</v>
      </c>
      <c r="CP63" s="5">
        <v>0.41</v>
      </c>
      <c r="CQ63" s="5">
        <v>9.1999999999999998E-2</v>
      </c>
      <c r="CR63" s="5">
        <v>2</v>
      </c>
      <c r="CS63" s="5">
        <v>0.89</v>
      </c>
      <c r="CT63" s="5">
        <v>13</v>
      </c>
      <c r="CU63" s="5">
        <v>22.6</v>
      </c>
      <c r="CV63" s="5">
        <v>11</v>
      </c>
      <c r="CW63" s="5"/>
    </row>
    <row r="64" spans="1:101" s="54" customFormat="1" ht="13.15" customHeight="1">
      <c r="A64" s="5" t="s">
        <v>157</v>
      </c>
      <c r="B64" s="5" t="s">
        <v>108</v>
      </c>
      <c r="C64" s="5"/>
      <c r="D64" s="5" t="s">
        <v>290</v>
      </c>
      <c r="E64" s="91">
        <v>28187</v>
      </c>
      <c r="F64" s="91">
        <v>42338</v>
      </c>
      <c r="G64" s="91">
        <v>43131</v>
      </c>
      <c r="H64" s="91" t="s">
        <v>151</v>
      </c>
      <c r="I64" s="83">
        <v>40.91444216290212</v>
      </c>
      <c r="J64" s="52">
        <v>14944</v>
      </c>
      <c r="K64" s="52">
        <v>793</v>
      </c>
      <c r="L64" s="52" t="s">
        <v>100</v>
      </c>
      <c r="M64" s="52" t="s">
        <v>100</v>
      </c>
      <c r="N64" s="92">
        <v>39299</v>
      </c>
      <c r="O64" s="84">
        <v>0</v>
      </c>
      <c r="P64" s="84">
        <v>0</v>
      </c>
      <c r="Q64" s="91" t="s">
        <v>111</v>
      </c>
      <c r="R64" s="9" t="s">
        <v>112</v>
      </c>
      <c r="S64" s="84">
        <v>10</v>
      </c>
      <c r="T64" s="89">
        <v>2121.9899999999998</v>
      </c>
      <c r="U64" s="93">
        <v>82.19</v>
      </c>
      <c r="V64" s="140">
        <v>2039.7999999999997</v>
      </c>
      <c r="W64" s="9"/>
      <c r="X64" s="8"/>
      <c r="Y64" s="90">
        <v>18000000</v>
      </c>
      <c r="Z64" s="8"/>
      <c r="AA64" s="9"/>
      <c r="AB64" s="90">
        <v>3600000</v>
      </c>
      <c r="AC64" s="5" t="s">
        <v>308</v>
      </c>
      <c r="AD64" s="5">
        <v>35690</v>
      </c>
      <c r="AE64" s="5">
        <v>351</v>
      </c>
      <c r="AF64" s="5">
        <f>100*0.0106</f>
        <v>1.06</v>
      </c>
      <c r="AG64" s="5">
        <f>100*0.348</f>
        <v>34.799999999999997</v>
      </c>
      <c r="AH64" s="5">
        <v>20</v>
      </c>
      <c r="AI64" s="5">
        <f>100*0.0006</f>
        <v>0.06</v>
      </c>
      <c r="AJ64" s="5">
        <v>306</v>
      </c>
      <c r="AK64" s="5">
        <f>100*0.0094</f>
        <v>0.94000000000000006</v>
      </c>
      <c r="AL64" s="5">
        <f>100*0.0654</f>
        <v>6.54</v>
      </c>
      <c r="AM64" s="5">
        <f>100*0.0098</f>
        <v>0.98</v>
      </c>
      <c r="AN64" s="5">
        <f>100*0.729</f>
        <v>72.899999999999991</v>
      </c>
      <c r="AO64" s="5">
        <f>100*0.0719</f>
        <v>7.19</v>
      </c>
      <c r="AP64" s="5">
        <v>11048</v>
      </c>
      <c r="AQ64" s="5">
        <f>100*0.414</f>
        <v>41.4</v>
      </c>
      <c r="AR64" s="5">
        <f>100*0.275</f>
        <v>27.500000000000004</v>
      </c>
      <c r="AS64" s="5">
        <f>100*0.0779</f>
        <v>7.79</v>
      </c>
      <c r="AT64" s="5">
        <f>100*0.155</f>
        <v>15.5</v>
      </c>
      <c r="AU64" s="5">
        <f>100*0.492</f>
        <v>49.2</v>
      </c>
      <c r="AV64" s="5">
        <f>100*0.024</f>
        <v>2.4</v>
      </c>
      <c r="AW64" s="5">
        <f>100*0.0158</f>
        <v>1.58</v>
      </c>
      <c r="AX64" s="5">
        <f>100*0.335</f>
        <v>33.5</v>
      </c>
      <c r="AY64" s="5">
        <f>100*0.625</f>
        <v>62.5</v>
      </c>
      <c r="AZ64" s="5">
        <v>11331</v>
      </c>
      <c r="BA64" s="5">
        <f>100*0.076</f>
        <v>7.6</v>
      </c>
      <c r="BB64" s="5">
        <f>100*0.452</f>
        <v>45.2</v>
      </c>
      <c r="BC64" s="5">
        <f>100*0.0337</f>
        <v>3.37</v>
      </c>
      <c r="BD64" s="5">
        <f>100*0.0335</f>
        <v>3.35</v>
      </c>
      <c r="BE64" s="5">
        <f>100*0.481</f>
        <v>48.1</v>
      </c>
      <c r="BF64" s="5">
        <f>100*0.155</f>
        <v>15.5</v>
      </c>
      <c r="BG64" s="5">
        <f>100*0.0229</f>
        <v>2.29</v>
      </c>
      <c r="BH64" s="5">
        <f>100*0.0457</f>
        <v>4.5699999999999994</v>
      </c>
      <c r="BI64" s="5">
        <f>100*0.776</f>
        <v>77.600000000000009</v>
      </c>
      <c r="BJ64" s="5">
        <f>100*0.228</f>
        <v>22.8</v>
      </c>
      <c r="BK64" s="5">
        <f>100*0.0399</f>
        <v>3.9899999999999998</v>
      </c>
      <c r="BL64" s="5">
        <f>100*0.0741</f>
        <v>7.41</v>
      </c>
      <c r="BM64" s="5">
        <f>100*0.658</f>
        <v>65.8</v>
      </c>
      <c r="BN64" s="5">
        <f>100*0.0313</f>
        <v>3.1300000000000003</v>
      </c>
      <c r="BO64" s="5">
        <f>100*0.0028</f>
        <v>0.27999999999999997</v>
      </c>
      <c r="BP64" s="5">
        <f>100*0.105</f>
        <v>10.5</v>
      </c>
      <c r="BQ64" s="5">
        <f>100*0.86</f>
        <v>86</v>
      </c>
      <c r="BR64" s="5">
        <f>100*0.18</f>
        <v>18</v>
      </c>
      <c r="BS64" s="5">
        <f>100*0.141</f>
        <v>14.099999999999998</v>
      </c>
      <c r="BT64" s="5">
        <f>100*0.317</f>
        <v>31.7</v>
      </c>
      <c r="BU64" s="5">
        <f>100*0.363</f>
        <v>36.299999999999997</v>
      </c>
      <c r="BV64" s="5">
        <f>100*0.0359</f>
        <v>3.5900000000000003</v>
      </c>
      <c r="BW64" s="5">
        <f>100*0.0229</f>
        <v>2.29</v>
      </c>
      <c r="BX64" s="5">
        <f>100*0.425</f>
        <v>42.5</v>
      </c>
      <c r="BY64" s="5">
        <f>100*0.516</f>
        <v>51.6</v>
      </c>
      <c r="BZ64" s="58">
        <f>AD64/CA64</f>
        <v>2.7886668703406642E-2</v>
      </c>
      <c r="CA64" s="53">
        <v>1279823</v>
      </c>
      <c r="CB64" s="53">
        <v>1510000</v>
      </c>
      <c r="CC64" s="6">
        <v>141836</v>
      </c>
      <c r="CD64" s="6">
        <v>22044</v>
      </c>
      <c r="CE64" s="6">
        <v>3077</v>
      </c>
      <c r="CF64" s="6">
        <v>1045</v>
      </c>
      <c r="CG64" s="6">
        <v>1264</v>
      </c>
      <c r="CH64" s="6">
        <v>50125</v>
      </c>
      <c r="CI64" s="6">
        <v>4400</v>
      </c>
      <c r="CJ64" s="6">
        <v>9.3900000000000011E-2</v>
      </c>
      <c r="CK64" s="6">
        <v>1.46E-2</v>
      </c>
      <c r="CL64" s="6">
        <v>2E-3</v>
      </c>
      <c r="CM64" s="6">
        <v>6.9000000000000008E-4</v>
      </c>
      <c r="CN64" s="6">
        <v>8.4000000000000003E-4</v>
      </c>
      <c r="CO64" s="6">
        <v>3.32E-2</v>
      </c>
      <c r="CP64" s="6">
        <v>2.8999999999999998E-3</v>
      </c>
      <c r="CQ64" s="6">
        <v>0.155</v>
      </c>
      <c r="CR64" s="6">
        <v>2.1700000000000001E-2</v>
      </c>
      <c r="CS64" s="6">
        <v>7.4000000000000003E-3</v>
      </c>
      <c r="CT64" s="6">
        <v>8.8999999999999999E-3</v>
      </c>
      <c r="CU64" s="6">
        <v>0.35299999999999998</v>
      </c>
      <c r="CV64" s="5">
        <v>3.1021743421980316E-2</v>
      </c>
      <c r="CW64" s="5"/>
    </row>
    <row r="65" spans="1:101" s="54" customFormat="1">
      <c r="A65" s="5" t="s">
        <v>159</v>
      </c>
      <c r="B65" s="5" t="s">
        <v>108</v>
      </c>
      <c r="C65" s="5"/>
      <c r="D65" s="5" t="s">
        <v>290</v>
      </c>
      <c r="E65" s="91">
        <v>28187</v>
      </c>
      <c r="F65" s="91">
        <v>42338</v>
      </c>
      <c r="G65" s="91">
        <v>43313</v>
      </c>
      <c r="H65" s="91" t="s">
        <v>151</v>
      </c>
      <c r="I65" s="83">
        <v>41.412731006160165</v>
      </c>
      <c r="J65" s="52">
        <v>15126</v>
      </c>
      <c r="K65" s="52">
        <v>975</v>
      </c>
      <c r="L65" s="52" t="s">
        <v>100</v>
      </c>
      <c r="M65" s="52" t="s">
        <v>100</v>
      </c>
      <c r="N65" s="92">
        <v>39299</v>
      </c>
      <c r="O65" s="84"/>
      <c r="P65" s="84"/>
      <c r="Q65" s="91" t="s">
        <v>111</v>
      </c>
      <c r="R65" s="9" t="s">
        <v>112</v>
      </c>
      <c r="S65" s="84">
        <v>10</v>
      </c>
      <c r="T65" s="89">
        <v>2470.34</v>
      </c>
      <c r="U65" s="93">
        <v>81.22</v>
      </c>
      <c r="V65" s="140">
        <v>2389.1200000000003</v>
      </c>
      <c r="W65" s="9"/>
      <c r="X65" s="8"/>
      <c r="Y65" s="90">
        <v>16330000</v>
      </c>
      <c r="Z65" s="8"/>
      <c r="AA65" s="9"/>
      <c r="AB65" s="132">
        <v>11500000</v>
      </c>
      <c r="AC65" s="5" t="s">
        <v>309</v>
      </c>
      <c r="AD65" s="5">
        <v>18877</v>
      </c>
      <c r="AE65" s="5">
        <v>211</v>
      </c>
      <c r="AF65" s="5">
        <f>100*0.0124</f>
        <v>1.24</v>
      </c>
      <c r="AG65" s="5">
        <f>100*0.45</f>
        <v>45</v>
      </c>
      <c r="AH65" s="5">
        <v>15</v>
      </c>
      <c r="AI65" s="5">
        <f>100*0.00088</f>
        <v>8.8000000000000009E-2</v>
      </c>
      <c r="AJ65" s="5">
        <v>556</v>
      </c>
      <c r="AK65" s="5">
        <f>100*0.0331</f>
        <v>3.3099999999999996</v>
      </c>
      <c r="AL65" s="5">
        <f>100*0.162</f>
        <v>16.2</v>
      </c>
      <c r="AM65" s="5">
        <f>100*0.018</f>
        <v>1.7999999999999998</v>
      </c>
      <c r="AN65" s="5">
        <f>100*0.613</f>
        <v>61.3</v>
      </c>
      <c r="AO65" s="5">
        <f>100*0.0594</f>
        <v>5.94</v>
      </c>
      <c r="AP65" s="5">
        <v>4988</v>
      </c>
      <c r="AQ65" s="5">
        <f>100*0.341</f>
        <v>34.1</v>
      </c>
      <c r="AR65" s="5">
        <f>100*0.529</f>
        <v>52.900000000000006</v>
      </c>
      <c r="AS65" s="5">
        <f>100*0.197</f>
        <v>19.7</v>
      </c>
      <c r="AT65" s="5">
        <f>100*0.136</f>
        <v>13.600000000000001</v>
      </c>
      <c r="AU65" s="5">
        <f>100*0.138</f>
        <v>13.8</v>
      </c>
      <c r="AV65" s="5">
        <f>100*0.0359</f>
        <v>3.5900000000000003</v>
      </c>
      <c r="AW65" s="5">
        <f>100*0.0331</f>
        <v>3.3099999999999996</v>
      </c>
      <c r="AX65" s="5">
        <f>100*0.3</f>
        <v>30</v>
      </c>
      <c r="AY65" s="5">
        <f>100*0.631</f>
        <v>63.1</v>
      </c>
      <c r="AZ65" s="5">
        <v>9777</v>
      </c>
      <c r="BA65" s="5">
        <f>100*0.115</f>
        <v>11.5</v>
      </c>
      <c r="BB65" s="5">
        <f>100*0.761</f>
        <v>76.099999999999994</v>
      </c>
      <c r="BC65" s="5">
        <f>100*0.0366</f>
        <v>3.66</v>
      </c>
      <c r="BD65" s="5">
        <f>100*0.0041</f>
        <v>0.41000000000000003</v>
      </c>
      <c r="BE65" s="5">
        <f>100*0.198</f>
        <v>19.8</v>
      </c>
      <c r="BF65" s="5">
        <f>100*0.221</f>
        <v>22.1</v>
      </c>
      <c r="BG65" s="5">
        <f>100*0.0352</f>
        <v>3.52</v>
      </c>
      <c r="BH65" s="5">
        <f>100*0.0077</f>
        <v>0.77</v>
      </c>
      <c r="BI65" s="5">
        <f>100*0.736</f>
        <v>73.599999999999994</v>
      </c>
      <c r="BJ65" s="5">
        <f>100*0.536</f>
        <v>53.6</v>
      </c>
      <c r="BK65" s="5">
        <f>100*0.171</f>
        <v>17.100000000000001</v>
      </c>
      <c r="BL65" s="5">
        <f>100*0.0379</f>
        <v>3.7900000000000005</v>
      </c>
      <c r="BM65" s="5">
        <f>100*0.256</f>
        <v>25.6</v>
      </c>
      <c r="BN65" s="5">
        <f>100*0.0332</f>
        <v>3.32</v>
      </c>
      <c r="BO65" s="5">
        <f>100*0.0142</f>
        <v>1.4200000000000002</v>
      </c>
      <c r="BP65" s="5">
        <f>100*0.194</f>
        <v>19.400000000000002</v>
      </c>
      <c r="BQ65" s="5">
        <f>100*0.758</f>
        <v>75.8</v>
      </c>
      <c r="BR65" s="5">
        <f>100*0.32</f>
        <v>32</v>
      </c>
      <c r="BS65" s="5">
        <f>100*0.0306</f>
        <v>3.06</v>
      </c>
      <c r="BT65" s="5">
        <f>100*0.0594</f>
        <v>5.94</v>
      </c>
      <c r="BU65" s="5">
        <f>100*0.59</f>
        <v>59</v>
      </c>
      <c r="BV65" s="5">
        <f>100*0.478</f>
        <v>47.8</v>
      </c>
      <c r="BW65" s="5">
        <f>100*0.0719</f>
        <v>7.19</v>
      </c>
      <c r="BX65" s="5">
        <f>100*0.018</f>
        <v>1.7999999999999998</v>
      </c>
      <c r="BY65" s="5">
        <f>100*0.432</f>
        <v>43.2</v>
      </c>
      <c r="BZ65" s="58">
        <v>1.09E-2</v>
      </c>
      <c r="CA65" s="53"/>
      <c r="CB65" s="53">
        <v>2600000</v>
      </c>
      <c r="CC65" s="6">
        <v>49929</v>
      </c>
      <c r="CD65" s="6">
        <v>1793</v>
      </c>
      <c r="CE65" s="6">
        <v>870</v>
      </c>
      <c r="CF65" s="6">
        <v>500</v>
      </c>
      <c r="CG65" s="6">
        <v>320</v>
      </c>
      <c r="CH65" s="6">
        <v>4173</v>
      </c>
      <c r="CI65" s="6">
        <v>3004</v>
      </c>
      <c r="CJ65" s="6">
        <v>1.92</v>
      </c>
      <c r="CK65" s="6">
        <v>6.9000000000000006E-2</v>
      </c>
      <c r="CL65" s="6">
        <v>3.3000000000000002E-2</v>
      </c>
      <c r="CM65" s="6">
        <v>1.9E-2</v>
      </c>
      <c r="CN65" s="6">
        <v>1.2E-2</v>
      </c>
      <c r="CO65" s="6">
        <v>0.16</v>
      </c>
      <c r="CP65" s="6">
        <v>0.12</v>
      </c>
      <c r="CQ65" s="6">
        <v>3.59</v>
      </c>
      <c r="CR65" s="6">
        <v>1.74</v>
      </c>
      <c r="CS65" s="6">
        <v>1</v>
      </c>
      <c r="CT65" s="6">
        <v>0.64</v>
      </c>
      <c r="CU65" s="6">
        <v>8.36</v>
      </c>
      <c r="CV65" s="5">
        <v>6.02</v>
      </c>
      <c r="CW65" s="5"/>
    </row>
    <row r="66" spans="1:101" s="54" customFormat="1">
      <c r="A66" s="54" t="s">
        <v>161</v>
      </c>
      <c r="B66" s="54" t="s">
        <v>97</v>
      </c>
      <c r="D66" s="54" t="s">
        <v>290</v>
      </c>
      <c r="E66" s="97">
        <v>26622</v>
      </c>
      <c r="F66" s="97">
        <v>42430</v>
      </c>
      <c r="G66" s="97">
        <v>42997</v>
      </c>
      <c r="H66" s="97" t="s">
        <v>99</v>
      </c>
      <c r="I66" s="68">
        <f>(G66-E66)/365.25</f>
        <v>44.832306639288156</v>
      </c>
      <c r="J66" s="74">
        <f>G66-E66</f>
        <v>16375</v>
      </c>
      <c r="K66" s="74">
        <f>G66-F66</f>
        <v>567</v>
      </c>
      <c r="L66" s="76" t="s">
        <v>109</v>
      </c>
      <c r="M66" s="76" t="s">
        <v>109</v>
      </c>
      <c r="N66" s="70" t="s">
        <v>162</v>
      </c>
      <c r="O66" s="71"/>
      <c r="P66" s="71"/>
      <c r="Q66" s="155" t="s">
        <v>163</v>
      </c>
      <c r="R66" s="77" t="s">
        <v>102</v>
      </c>
      <c r="S66" s="159" t="s">
        <v>164</v>
      </c>
      <c r="T66" s="160">
        <v>194</v>
      </c>
      <c r="U66" s="160">
        <v>92.6</v>
      </c>
      <c r="V66" s="72">
        <f>T66-U66</f>
        <v>101.4</v>
      </c>
      <c r="W66" s="187" t="s">
        <v>104</v>
      </c>
      <c r="X66" s="73">
        <v>61400000</v>
      </c>
      <c r="Y66" s="177">
        <f>X66*V66</f>
        <v>6225960000</v>
      </c>
      <c r="Z66" s="73">
        <v>122800000</v>
      </c>
      <c r="AA66" s="77" t="s">
        <v>165</v>
      </c>
      <c r="AB66" s="176">
        <v>16400000</v>
      </c>
      <c r="AC66" s="54" t="s">
        <v>310</v>
      </c>
      <c r="AD66" s="54">
        <v>2204</v>
      </c>
      <c r="AE66" s="54">
        <v>322</v>
      </c>
      <c r="AF66" s="54">
        <f>100*0.157</f>
        <v>15.7</v>
      </c>
      <c r="AG66" s="54">
        <v>0</v>
      </c>
      <c r="AH66" s="54">
        <v>0</v>
      </c>
      <c r="AI66" s="54">
        <v>0</v>
      </c>
      <c r="AJ66" s="54">
        <v>28</v>
      </c>
      <c r="AK66" s="54">
        <f>10*0.0162</f>
        <v>0.16199999999999998</v>
      </c>
      <c r="AL66" s="54">
        <v>0</v>
      </c>
      <c r="AM66" s="54">
        <v>0</v>
      </c>
      <c r="AN66" s="54">
        <v>0</v>
      </c>
      <c r="AO66" s="54">
        <v>0</v>
      </c>
      <c r="AP66" s="54">
        <v>0</v>
      </c>
      <c r="AQ66" s="54">
        <v>0</v>
      </c>
      <c r="AR66" s="54">
        <v>0</v>
      </c>
      <c r="AS66" s="54">
        <v>0</v>
      </c>
      <c r="AT66" s="54">
        <v>0</v>
      </c>
      <c r="AU66" s="54">
        <v>0</v>
      </c>
      <c r="AV66" s="54">
        <v>0</v>
      </c>
      <c r="AW66" s="54">
        <v>0</v>
      </c>
      <c r="AX66" s="54">
        <v>0</v>
      </c>
      <c r="AY66" s="54">
        <v>0</v>
      </c>
      <c r="AZ66" s="54">
        <v>1</v>
      </c>
      <c r="BA66" s="54">
        <v>0</v>
      </c>
      <c r="BB66" s="54">
        <v>0</v>
      </c>
      <c r="BC66" s="54">
        <v>0</v>
      </c>
      <c r="BD66" s="54">
        <v>0</v>
      </c>
      <c r="BE66" s="54">
        <f>100*1</f>
        <v>100</v>
      </c>
      <c r="BF66" s="54">
        <v>0</v>
      </c>
      <c r="BG66" s="54">
        <v>0</v>
      </c>
      <c r="BH66" s="54">
        <v>0</v>
      </c>
      <c r="BI66" s="54">
        <f>100*1</f>
        <v>100</v>
      </c>
      <c r="BJ66" s="54">
        <f>100*0.134</f>
        <v>13.4</v>
      </c>
      <c r="BK66" s="54">
        <v>0</v>
      </c>
      <c r="BL66" s="54">
        <v>0</v>
      </c>
      <c r="BM66" s="54">
        <f>100*0.866</f>
        <v>86.6</v>
      </c>
      <c r="BN66" s="54">
        <v>0</v>
      </c>
      <c r="BO66" s="54">
        <v>0</v>
      </c>
      <c r="BP66" s="54">
        <v>0</v>
      </c>
      <c r="BQ66" s="54">
        <f>100*1</f>
        <v>100</v>
      </c>
      <c r="BR66" s="54">
        <v>0</v>
      </c>
      <c r="BS66" s="54">
        <v>0</v>
      </c>
      <c r="BT66" s="54">
        <v>0</v>
      </c>
      <c r="BU66" s="54">
        <f>100*1</f>
        <v>100</v>
      </c>
      <c r="BV66" s="54">
        <v>0</v>
      </c>
      <c r="BW66" s="54">
        <v>0</v>
      </c>
      <c r="BX66" s="54">
        <v>0</v>
      </c>
      <c r="BY66" s="54">
        <f>100*1</f>
        <v>100</v>
      </c>
      <c r="BZ66" s="121">
        <f>AD66/CA66</f>
        <v>3.6731251895725907E-4</v>
      </c>
      <c r="CA66" s="81">
        <v>6000340</v>
      </c>
      <c r="CB66" s="81"/>
    </row>
    <row r="67" spans="1:101" s="54" customFormat="1">
      <c r="A67" s="5" t="s">
        <v>167</v>
      </c>
      <c r="B67" s="5" t="s">
        <v>108</v>
      </c>
      <c r="C67" s="5"/>
      <c r="D67" s="5" t="s">
        <v>290</v>
      </c>
      <c r="E67" s="91">
        <v>14351</v>
      </c>
      <c r="F67" s="91">
        <v>42355</v>
      </c>
      <c r="G67" s="91">
        <v>43110</v>
      </c>
      <c r="H67" s="91" t="s">
        <v>151</v>
      </c>
      <c r="I67" s="83">
        <f>(G67-E67)/365.25</f>
        <v>78.737850787132103</v>
      </c>
      <c r="J67" s="52">
        <f>G67-E67</f>
        <v>28759</v>
      </c>
      <c r="K67" s="52">
        <f>G67-F67</f>
        <v>755</v>
      </c>
      <c r="L67" s="52" t="s">
        <v>109</v>
      </c>
      <c r="M67" s="52" t="s">
        <v>100</v>
      </c>
      <c r="N67" s="92" t="s">
        <v>110</v>
      </c>
      <c r="O67" s="84">
        <v>0</v>
      </c>
      <c r="P67" s="84">
        <v>0</v>
      </c>
      <c r="Q67" s="91" t="s">
        <v>111</v>
      </c>
      <c r="R67" s="9" t="s">
        <v>112</v>
      </c>
      <c r="S67" s="84">
        <v>10</v>
      </c>
      <c r="T67" s="89">
        <v>2591.63</v>
      </c>
      <c r="U67" s="93">
        <v>62.39</v>
      </c>
      <c r="V67" s="140">
        <f>T67-U67</f>
        <v>2529.2400000000002</v>
      </c>
      <c r="W67" s="9"/>
      <c r="X67" s="8"/>
      <c r="Y67" s="90">
        <v>47500000</v>
      </c>
      <c r="Z67" s="8"/>
      <c r="AA67" s="9"/>
      <c r="AB67" s="90">
        <v>42400000</v>
      </c>
      <c r="AC67" s="5" t="s">
        <v>311</v>
      </c>
      <c r="AD67" s="5">
        <v>50581</v>
      </c>
      <c r="AE67" s="5">
        <v>7816</v>
      </c>
      <c r="AF67" s="5">
        <v>0.16600000000000001</v>
      </c>
      <c r="AG67" s="5">
        <v>0.193</v>
      </c>
      <c r="AH67" s="5">
        <v>317</v>
      </c>
      <c r="AI67" s="5">
        <v>8.0499999999999999E-3</v>
      </c>
      <c r="AJ67" s="5">
        <v>1103</v>
      </c>
      <c r="AK67" s="5">
        <v>2.9600000000000001E-2</v>
      </c>
      <c r="AL67" s="5">
        <v>0.10885</v>
      </c>
      <c r="AM67" s="5">
        <v>1.729E-2</v>
      </c>
      <c r="AN67" s="5">
        <v>0.81200000000000006</v>
      </c>
      <c r="AO67" s="5">
        <v>1.9900000000000001E-2</v>
      </c>
      <c r="AP67" s="5">
        <v>18533</v>
      </c>
      <c r="AQ67" s="5">
        <v>0.1076</v>
      </c>
      <c r="AR67" s="5">
        <v>0.19520000000000001</v>
      </c>
      <c r="AS67" s="5">
        <v>0.31645000000000001</v>
      </c>
      <c r="AT67" s="5">
        <v>0.19600000000000001</v>
      </c>
      <c r="AU67" s="5">
        <v>0.11</v>
      </c>
      <c r="AV67" s="5">
        <v>0.1326</v>
      </c>
      <c r="AW67" s="5">
        <v>0.24949999999999997</v>
      </c>
      <c r="AX67" s="5">
        <v>0.22700000000000001</v>
      </c>
      <c r="AY67" s="5">
        <v>0.19400000000000001</v>
      </c>
      <c r="AZ67" s="5">
        <v>11014</v>
      </c>
      <c r="BA67" s="5">
        <v>4.7899999999999998E-2</v>
      </c>
      <c r="BB67" s="5">
        <v>0.37569999999999998</v>
      </c>
      <c r="BC67" s="5">
        <v>9.5649999999999999E-2</v>
      </c>
      <c r="BD67" s="5">
        <v>6.7000000000000004E-2</v>
      </c>
      <c r="BE67" s="5">
        <v>0.44500000000000001</v>
      </c>
      <c r="BF67" s="5">
        <v>0.21540000000000001</v>
      </c>
      <c r="BG67" s="5">
        <v>7.9000000000000001E-2</v>
      </c>
      <c r="BH67" s="5">
        <v>8.6400000000000005E-2</v>
      </c>
      <c r="BI67" s="5">
        <v>0.57799999999999996</v>
      </c>
      <c r="BJ67" s="5">
        <v>0.15900000000000003</v>
      </c>
      <c r="BK67" s="5">
        <v>0.17214999999999997</v>
      </c>
      <c r="BL67" s="5">
        <v>6.1199999999999996E-3</v>
      </c>
      <c r="BM67" s="5">
        <v>5.21E-2</v>
      </c>
      <c r="BN67" s="5">
        <v>0.31640000000000001</v>
      </c>
      <c r="BO67" s="5">
        <v>0.21995000000000001</v>
      </c>
      <c r="BP67" s="5">
        <v>0.11260000000000001</v>
      </c>
      <c r="BQ67" s="5">
        <v>0.32300000000000001</v>
      </c>
      <c r="BR67" s="5">
        <v>0.22700000000000001</v>
      </c>
      <c r="BS67" s="5">
        <v>0.34499999999999997</v>
      </c>
      <c r="BT67" s="5">
        <v>0.22499999999999998</v>
      </c>
      <c r="BU67" s="5">
        <v>0.17199999999999999</v>
      </c>
      <c r="BV67" s="5">
        <v>0.29670000000000002</v>
      </c>
      <c r="BW67" s="5">
        <v>0.3508</v>
      </c>
      <c r="BX67" s="5">
        <v>0.127</v>
      </c>
      <c r="BY67" s="5">
        <v>0.29199999999999998</v>
      </c>
      <c r="BZ67" s="58">
        <f>AD67/CA67</f>
        <v>0.16348832849579489</v>
      </c>
      <c r="CA67" s="53">
        <v>309386</v>
      </c>
      <c r="CB67" s="53">
        <v>807000</v>
      </c>
      <c r="CC67" s="6">
        <v>675000</v>
      </c>
      <c r="CD67" s="6">
        <v>75126</v>
      </c>
      <c r="CE67" s="6">
        <v>10553</v>
      </c>
      <c r="CF67" s="6">
        <v>4760</v>
      </c>
      <c r="CG67" s="6">
        <v>24355</v>
      </c>
      <c r="CH67" s="6">
        <v>268806</v>
      </c>
      <c r="CI67" s="6">
        <v>101450</v>
      </c>
      <c r="CJ67" s="6">
        <v>0.83599999999999997</v>
      </c>
      <c r="CK67" s="6">
        <v>9.3100000000000002E-2</v>
      </c>
      <c r="CL67" s="6">
        <v>1.3100000000000001E-2</v>
      </c>
      <c r="CM67" s="6">
        <v>5.8999999999999999E-3</v>
      </c>
      <c r="CN67" s="6">
        <v>3.0200000000000001E-2</v>
      </c>
      <c r="CO67" s="6">
        <v>0.33299999999999996</v>
      </c>
      <c r="CP67" s="6">
        <v>0.126</v>
      </c>
      <c r="CQ67" s="6">
        <v>0.111</v>
      </c>
      <c r="CR67" s="6">
        <v>1.5600000000000001E-2</v>
      </c>
      <c r="CS67" s="6">
        <v>7.0999999999999995E-3</v>
      </c>
      <c r="CT67" s="6">
        <v>3.61E-2</v>
      </c>
      <c r="CU67" s="6">
        <v>0.39799999999999996</v>
      </c>
      <c r="CV67" s="5">
        <v>0.15029629629629629</v>
      </c>
      <c r="CW67" s="5"/>
    </row>
    <row r="68" spans="1:101" s="228" customFormat="1">
      <c r="A68" s="228" t="s">
        <v>312</v>
      </c>
      <c r="B68" s="228" t="s">
        <v>108</v>
      </c>
      <c r="D68" s="228" t="s">
        <v>290</v>
      </c>
      <c r="E68" s="243">
        <v>21225</v>
      </c>
      <c r="F68" s="243">
        <v>42514</v>
      </c>
      <c r="G68" s="243">
        <v>43110</v>
      </c>
      <c r="H68" s="243" t="s">
        <v>99</v>
      </c>
      <c r="I68" s="231">
        <f>(G68-E68)/365.25</f>
        <v>59.917864476386036</v>
      </c>
      <c r="J68" s="232">
        <f>G68-E68</f>
        <v>21885</v>
      </c>
      <c r="K68" s="232">
        <f>G68-F68</f>
        <v>596</v>
      </c>
      <c r="L68" s="232" t="s">
        <v>109</v>
      </c>
      <c r="M68" s="232" t="s">
        <v>100</v>
      </c>
      <c r="N68" s="233" t="s">
        <v>110</v>
      </c>
      <c r="O68" s="245">
        <v>0</v>
      </c>
      <c r="P68" s="245">
        <v>0</v>
      </c>
      <c r="Q68" s="243" t="s">
        <v>111</v>
      </c>
      <c r="R68" s="235" t="s">
        <v>112</v>
      </c>
      <c r="S68" s="245">
        <v>10</v>
      </c>
      <c r="T68" s="244">
        <v>2109.7199999999998</v>
      </c>
      <c r="U68" s="246">
        <v>76.849999999999994</v>
      </c>
      <c r="V68" s="247">
        <f>T68-U68</f>
        <v>2032.87</v>
      </c>
      <c r="W68" s="235"/>
      <c r="X68" s="248"/>
      <c r="Y68" s="249">
        <v>6400000</v>
      </c>
      <c r="Z68" s="248"/>
      <c r="AA68" s="235"/>
      <c r="AB68" s="249" t="s">
        <v>313</v>
      </c>
      <c r="AC68" s="228" t="s">
        <v>314</v>
      </c>
      <c r="AD68" s="228">
        <v>24462</v>
      </c>
      <c r="AE68" s="228">
        <v>557</v>
      </c>
      <c r="AF68" s="228">
        <f>100*0.0233</f>
        <v>2.33</v>
      </c>
      <c r="AG68" s="228">
        <f>100*0.467</f>
        <v>46.7</v>
      </c>
      <c r="AH68" s="228">
        <v>2</v>
      </c>
      <c r="AI68" s="228">
        <f>100*0.0000837</f>
        <v>8.3700000000000007E-3</v>
      </c>
      <c r="AJ68" s="228">
        <v>344</v>
      </c>
      <c r="AK68" s="228">
        <f>100*0.0149</f>
        <v>1.49</v>
      </c>
      <c r="AL68" s="228">
        <f>100*0.32</f>
        <v>32</v>
      </c>
      <c r="AM68" s="228">
        <f>100*0.0465</f>
        <v>4.6500000000000004</v>
      </c>
      <c r="AN68" s="228">
        <f>100*0.84</f>
        <v>84</v>
      </c>
      <c r="AO68" s="228">
        <f>100*0.0581</f>
        <v>5.81</v>
      </c>
      <c r="AP68" s="228">
        <v>5480</v>
      </c>
      <c r="AQ68" s="228">
        <f>100*0.323</f>
        <v>32.300000000000004</v>
      </c>
      <c r="AR68" s="228">
        <f>100*0.21</f>
        <v>21</v>
      </c>
      <c r="AS68" s="228">
        <f>100*0.361</f>
        <v>36.1</v>
      </c>
      <c r="AT68" s="228">
        <f>100*0.201</f>
        <v>20.100000000000001</v>
      </c>
      <c r="AU68" s="228">
        <f>100*0.227</f>
        <v>22.7</v>
      </c>
      <c r="AV68" s="228">
        <f>100*0.159</f>
        <v>15.9</v>
      </c>
      <c r="AW68" s="228">
        <f>100*0.382</f>
        <v>38.200000000000003</v>
      </c>
      <c r="AX68" s="228">
        <f>100*0.296</f>
        <v>29.599999999999998</v>
      </c>
      <c r="AY68" s="228">
        <f>100*0.163</f>
        <v>16.3</v>
      </c>
      <c r="AZ68" s="228">
        <v>16157</v>
      </c>
      <c r="BA68" s="228">
        <f>100*0.125</f>
        <v>12.5</v>
      </c>
      <c r="BB68" s="228">
        <f>100*0.42</f>
        <v>42</v>
      </c>
      <c r="BC68" s="228">
        <f>100*0.086</f>
        <v>8.6</v>
      </c>
      <c r="BD68" s="228">
        <f>100*0.0104</f>
        <v>1.04</v>
      </c>
      <c r="BE68" s="228">
        <f>100*0.484</f>
        <v>48.4</v>
      </c>
      <c r="BF68" s="228">
        <f>100*0.345</f>
        <v>34.5</v>
      </c>
      <c r="BG68" s="228">
        <f>100*0.0853</f>
        <v>8.5299999999999994</v>
      </c>
      <c r="BH68" s="228">
        <f>100*0.0268</f>
        <v>2.68</v>
      </c>
      <c r="BI68" s="228">
        <f>100*0.543</f>
        <v>54.300000000000004</v>
      </c>
      <c r="BJ68" s="228">
        <v>30.9</v>
      </c>
      <c r="BK68" s="228">
        <v>58</v>
      </c>
      <c r="BL68" s="228">
        <v>6.46</v>
      </c>
      <c r="BM68" s="228">
        <v>4.67</v>
      </c>
      <c r="BN68" s="228">
        <f>100*0.111</f>
        <v>11.1</v>
      </c>
      <c r="BO68" s="228">
        <f>100*0.192</f>
        <v>19.2</v>
      </c>
      <c r="BP68" s="228">
        <f>100*0.456</f>
        <v>45.6</v>
      </c>
      <c r="BQ68" s="228">
        <f>100*0.241</f>
        <v>24.099999999999998</v>
      </c>
      <c r="BR68" s="228">
        <f>100*0.387</f>
        <v>38.700000000000003</v>
      </c>
      <c r="BS68" s="228">
        <f>100*0.282</f>
        <v>28.199999999999996</v>
      </c>
      <c r="BT68" s="228">
        <f>100*0.0669</f>
        <v>6.69</v>
      </c>
      <c r="BU68" s="228">
        <f>100*0.265</f>
        <v>26.5</v>
      </c>
      <c r="BV68" s="228">
        <f>100*0.328</f>
        <v>32.800000000000004</v>
      </c>
      <c r="BW68" s="228">
        <f>100*0.192</f>
        <v>19.2</v>
      </c>
      <c r="BX68" s="228">
        <f>100*0.16</f>
        <v>16</v>
      </c>
      <c r="BY68" s="228">
        <f>100*0.32</f>
        <v>32</v>
      </c>
      <c r="BZ68" s="240">
        <f>AD68/CA68</f>
        <v>7.256624094590638E-3</v>
      </c>
      <c r="CA68" s="241">
        <v>3370989</v>
      </c>
      <c r="CB68" s="241">
        <v>490000</v>
      </c>
      <c r="CC68" s="250">
        <v>402000</v>
      </c>
      <c r="CD68" s="250">
        <v>127370</v>
      </c>
      <c r="CE68" s="250">
        <v>21617</v>
      </c>
      <c r="CF68" s="250">
        <v>7119</v>
      </c>
      <c r="CG68" s="250">
        <v>11161</v>
      </c>
      <c r="CH68" s="250">
        <v>107025</v>
      </c>
      <c r="CI68" s="250">
        <v>33512</v>
      </c>
      <c r="CJ68" s="250">
        <v>0.82</v>
      </c>
      <c r="CK68" s="250">
        <v>0.26</v>
      </c>
      <c r="CL68" s="250">
        <v>4.41E-2</v>
      </c>
      <c r="CM68" s="250">
        <v>1.4499999999999999E-2</v>
      </c>
      <c r="CN68" s="250">
        <v>2.2799999999999997E-2</v>
      </c>
      <c r="CO68" s="250">
        <v>0.218</v>
      </c>
      <c r="CP68" s="250">
        <v>6.8400000000000002E-2</v>
      </c>
      <c r="CQ68" s="250">
        <v>0.317</v>
      </c>
      <c r="CR68" s="250">
        <v>5.3800000000000001E-2</v>
      </c>
      <c r="CS68" s="250">
        <v>1.77E-2</v>
      </c>
      <c r="CT68" s="250">
        <v>2.7799999999999998E-2</v>
      </c>
      <c r="CU68" s="250">
        <v>0.26600000000000001</v>
      </c>
      <c r="CV68" s="228">
        <v>8.3363184079601985E-2</v>
      </c>
    </row>
    <row r="69" spans="1:101" s="228" customFormat="1">
      <c r="A69" s="228" t="s">
        <v>169</v>
      </c>
      <c r="B69" s="228" t="s">
        <v>97</v>
      </c>
      <c r="D69" s="228" t="s">
        <v>290</v>
      </c>
      <c r="E69" s="229">
        <v>21225</v>
      </c>
      <c r="F69" s="229">
        <v>42514</v>
      </c>
      <c r="G69" s="229">
        <v>43222</v>
      </c>
      <c r="H69" s="229" t="s">
        <v>99</v>
      </c>
      <c r="I69" s="251">
        <v>60.224503764544835</v>
      </c>
      <c r="J69" s="251">
        <v>21997</v>
      </c>
      <c r="K69" s="251">
        <v>708</v>
      </c>
      <c r="L69" s="232" t="s">
        <v>109</v>
      </c>
      <c r="M69" s="232" t="s">
        <v>100</v>
      </c>
      <c r="N69" s="233" t="s">
        <v>170</v>
      </c>
      <c r="O69" s="234"/>
      <c r="P69" s="234"/>
      <c r="Q69" s="252" t="s">
        <v>171</v>
      </c>
      <c r="R69" s="253" t="s">
        <v>102</v>
      </c>
      <c r="S69" s="254" t="s">
        <v>172</v>
      </c>
      <c r="T69" s="236">
        <v>1941.87</v>
      </c>
      <c r="U69" s="236">
        <v>75.28</v>
      </c>
      <c r="V69" s="237">
        <v>1866.59</v>
      </c>
      <c r="W69" s="255" t="s">
        <v>104</v>
      </c>
      <c r="X69" s="238">
        <v>8500000</v>
      </c>
      <c r="Y69" s="239">
        <v>15866015000</v>
      </c>
      <c r="Z69" s="238">
        <v>111600000</v>
      </c>
      <c r="AA69" s="253" t="s">
        <v>173</v>
      </c>
      <c r="AB69" s="256">
        <v>76800000</v>
      </c>
      <c r="AC69" s="257" t="s">
        <v>315</v>
      </c>
      <c r="AD69" s="228">
        <v>161201</v>
      </c>
      <c r="AE69" s="228">
        <v>2136</v>
      </c>
      <c r="AF69" s="228">
        <f>100*0.0137</f>
        <v>1.37</v>
      </c>
      <c r="AG69" s="228">
        <f>100*0.01983</f>
        <v>1.9830000000000001</v>
      </c>
      <c r="AH69" s="228">
        <v>1037</v>
      </c>
      <c r="AI69" s="228">
        <f>100*0.00645</f>
        <v>0.64500000000000002</v>
      </c>
      <c r="AJ69" s="228">
        <v>5267</v>
      </c>
      <c r="AK69" s="228">
        <f>100*0.0372</f>
        <v>3.7199999999999998</v>
      </c>
      <c r="AL69" s="228">
        <f>100*0.00455</f>
        <v>0.45500000000000002</v>
      </c>
      <c r="AM69" s="228">
        <f>100*0.000955</f>
        <v>9.5500000000000002E-2</v>
      </c>
      <c r="AN69" s="228">
        <f>100*0.813</f>
        <v>81.3</v>
      </c>
      <c r="AO69" s="228">
        <f>100*0.0475</f>
        <v>4.75</v>
      </c>
      <c r="AP69" s="228">
        <v>33537</v>
      </c>
      <c r="AQ69" s="228">
        <f>100*0.017812</f>
        <v>1.7812000000000001</v>
      </c>
      <c r="AR69" s="228">
        <f>100*0.21437</f>
        <v>21.437000000000001</v>
      </c>
      <c r="AS69" s="228">
        <f>100*0.2308</f>
        <v>23.080000000000002</v>
      </c>
      <c r="AT69" s="228">
        <f>100*0.31882</f>
        <v>31.881999999999998</v>
      </c>
      <c r="AU69" s="228">
        <f>100*0.235</f>
        <v>23.5</v>
      </c>
      <c r="AV69" s="228">
        <f>100*0.07929</f>
        <v>7.9290000000000003</v>
      </c>
      <c r="AW69" s="228">
        <f>100*0.157835</f>
        <v>15.7835</v>
      </c>
      <c r="AX69" s="228">
        <f>100*0.41773</f>
        <v>41.772999999999996</v>
      </c>
      <c r="AY69" s="228">
        <f>100*0.347</f>
        <v>34.699999999999996</v>
      </c>
      <c r="AZ69" s="228">
        <v>101757</v>
      </c>
      <c r="BA69" s="228">
        <f>100*0.0283678</f>
        <v>2.8367800000000001</v>
      </c>
      <c r="BB69" s="228">
        <f>100*0.38142</f>
        <v>38.141999999999996</v>
      </c>
      <c r="BC69" s="228">
        <f>100*0.0308651</f>
        <v>3.0865100000000001</v>
      </c>
      <c r="BD69" s="228">
        <f>100*0.0255799</f>
        <v>2.5579899999999998</v>
      </c>
      <c r="BE69" s="228">
        <f>100*0.564</f>
        <v>56.399999999999991</v>
      </c>
      <c r="BF69" s="228">
        <f>100*0.28776</f>
        <v>28.776000000000003</v>
      </c>
      <c r="BG69" s="228">
        <f>100*0.034146</f>
        <v>3.4146000000000001</v>
      </c>
      <c r="BH69" s="228">
        <f>100*0.0219499</f>
        <v>2.1949900000000002</v>
      </c>
      <c r="BI69" s="228">
        <f>100*0.658</f>
        <v>65.8</v>
      </c>
      <c r="BJ69" s="228">
        <f>100*0.335</f>
        <v>33.5</v>
      </c>
      <c r="BK69" s="228">
        <f>100*0.1872</f>
        <v>18.72</v>
      </c>
      <c r="BL69" s="228">
        <f>100*0.05002</f>
        <v>5.0019999999999998</v>
      </c>
      <c r="BM69" s="228">
        <f>100*0.177</f>
        <v>17.7</v>
      </c>
      <c r="BN69" s="228">
        <f>100*0.0337</f>
        <v>3.37</v>
      </c>
      <c r="BO69" s="228">
        <f>100*0.02546</f>
        <v>2.5459999999999998</v>
      </c>
      <c r="BP69" s="228">
        <f>100*0.3371</f>
        <v>33.71</v>
      </c>
      <c r="BQ69" s="228">
        <f>100*0.6</f>
        <v>60</v>
      </c>
      <c r="BR69" s="228">
        <f>100*0.336</f>
        <v>33.6</v>
      </c>
      <c r="BS69" s="228">
        <f>100*0.145905</f>
        <v>14.5905</v>
      </c>
      <c r="BT69" s="228">
        <f>100*0.0704</f>
        <v>7.04</v>
      </c>
      <c r="BU69" s="228">
        <f>100*0.464</f>
        <v>46.400000000000006</v>
      </c>
      <c r="BV69" s="228">
        <f>100*0.0477</f>
        <v>4.7699999999999996</v>
      </c>
      <c r="BW69" s="228">
        <f>100*0.01974</f>
        <v>1.974</v>
      </c>
      <c r="BX69" s="228">
        <f>100*0.18581</f>
        <v>18.581</v>
      </c>
      <c r="BY69" s="228">
        <f>100*0.745</f>
        <v>74.5</v>
      </c>
      <c r="BZ69" s="240">
        <f>100*0.0797</f>
        <v>7.9699999999999989</v>
      </c>
      <c r="CA69" s="241">
        <f>AD69/BZ69</f>
        <v>20225.972396486828</v>
      </c>
      <c r="CB69" s="250">
        <v>678000</v>
      </c>
      <c r="CC69" s="250">
        <v>581000</v>
      </c>
      <c r="CD69" s="250">
        <v>104717</v>
      </c>
      <c r="CE69" s="250">
        <v>1040</v>
      </c>
      <c r="CF69" s="250">
        <v>23353</v>
      </c>
      <c r="CG69" s="250">
        <v>256053</v>
      </c>
      <c r="CH69" s="250">
        <v>26849</v>
      </c>
      <c r="CI69" s="250">
        <v>4980</v>
      </c>
      <c r="CJ69" s="250">
        <v>85.7</v>
      </c>
      <c r="CK69" s="250">
        <v>15.4</v>
      </c>
      <c r="CL69" s="250">
        <v>0.15</v>
      </c>
      <c r="CM69" s="250">
        <v>3.44</v>
      </c>
      <c r="CN69" s="250">
        <v>37.799999999999997</v>
      </c>
      <c r="CO69" s="250">
        <v>3.96</v>
      </c>
      <c r="CP69" s="250">
        <v>0.73</v>
      </c>
      <c r="CQ69" s="250">
        <v>18</v>
      </c>
      <c r="CR69" s="250">
        <v>0.18</v>
      </c>
      <c r="CS69" s="250">
        <v>4.0199999999999996</v>
      </c>
      <c r="CT69" s="250">
        <v>44.1</v>
      </c>
      <c r="CU69" s="228">
        <v>4.62</v>
      </c>
      <c r="CV69" s="228">
        <v>0.86</v>
      </c>
    </row>
    <row r="70" spans="1:101" s="54" customFormat="1">
      <c r="A70" s="5" t="s">
        <v>175</v>
      </c>
      <c r="B70" s="5" t="s">
        <v>108</v>
      </c>
      <c r="C70" s="5"/>
      <c r="D70" s="5" t="s">
        <v>290</v>
      </c>
      <c r="E70" s="91">
        <v>21274</v>
      </c>
      <c r="F70" s="91">
        <v>42543</v>
      </c>
      <c r="G70" s="91">
        <v>43194</v>
      </c>
      <c r="H70" s="91" t="s">
        <v>151</v>
      </c>
      <c r="I70" s="83">
        <f t="shared" ref="I70:I75" si="9">(G70-E70)/365.25</f>
        <v>60.013689253935659</v>
      </c>
      <c r="J70" s="52">
        <f t="shared" ref="J70:J75" si="10">G70-E70</f>
        <v>21920</v>
      </c>
      <c r="K70" s="52">
        <f t="shared" ref="K70:K75" si="11">G70-F70</f>
        <v>651</v>
      </c>
      <c r="L70" s="52" t="s">
        <v>109</v>
      </c>
      <c r="M70" s="52" t="s">
        <v>100</v>
      </c>
      <c r="N70" s="92" t="s">
        <v>110</v>
      </c>
      <c r="O70" s="84">
        <v>0</v>
      </c>
      <c r="P70" s="84">
        <v>0</v>
      </c>
      <c r="Q70" s="91" t="s">
        <v>111</v>
      </c>
      <c r="R70" s="9" t="s">
        <v>112</v>
      </c>
      <c r="S70" s="84">
        <v>10</v>
      </c>
      <c r="T70" s="89">
        <v>2108.48</v>
      </c>
      <c r="U70" s="93">
        <v>89.33</v>
      </c>
      <c r="V70" s="140">
        <f t="shared" ref="V70:V75" si="12">T70-U70</f>
        <v>2019.15</v>
      </c>
      <c r="W70" s="9"/>
      <c r="X70" s="8"/>
      <c r="Y70" s="90">
        <v>26300000</v>
      </c>
      <c r="Z70" s="8"/>
      <c r="AA70" s="9"/>
      <c r="AB70" s="90">
        <v>53800000</v>
      </c>
      <c r="AC70" s="5" t="s">
        <v>176</v>
      </c>
      <c r="AD70" s="5">
        <v>201509</v>
      </c>
      <c r="AE70" s="5">
        <v>300</v>
      </c>
      <c r="AF70" s="5">
        <f>100*0.0016</f>
        <v>0.16</v>
      </c>
      <c r="AG70" s="5">
        <f>100*0.05445</f>
        <v>5.4450000000000003</v>
      </c>
      <c r="AH70" s="5">
        <v>177</v>
      </c>
      <c r="AI70" s="5">
        <f>100*0.00092</f>
        <v>9.1999999999999998E-2</v>
      </c>
      <c r="AJ70" s="5">
        <v>1563</v>
      </c>
      <c r="AK70" s="5">
        <f>100*0.0082</f>
        <v>0.82000000000000006</v>
      </c>
      <c r="AL70" s="5">
        <f>100*0.000335</f>
        <v>3.3500000000000002E-2</v>
      </c>
      <c r="AM70" s="5">
        <f>100*0.000625</f>
        <v>6.25E-2</v>
      </c>
      <c r="AN70" s="5">
        <f>100*0.97</f>
        <v>97</v>
      </c>
      <c r="AO70" s="5">
        <f>100*0.0087</f>
        <v>0.86999999999999988</v>
      </c>
      <c r="AP70" s="5">
        <v>53804</v>
      </c>
      <c r="AQ70" s="5">
        <f>100*0.1654794</f>
        <v>16.547940000000001</v>
      </c>
      <c r="AR70" s="5">
        <f>100*0.0695814</f>
        <v>6.9581400000000002</v>
      </c>
      <c r="AS70" s="5">
        <f>100*0.62098155</f>
        <v>62.098154999999998</v>
      </c>
      <c r="AT70" s="5">
        <f>100*0.2739816</f>
        <v>27.398160000000001</v>
      </c>
      <c r="AU70" s="5">
        <f>100*0.0435</f>
        <v>4.3499999999999996</v>
      </c>
      <c r="AV70" s="5">
        <f>100*0.0238</f>
        <v>2.3800000000000003</v>
      </c>
      <c r="AW70" s="5">
        <f>100*0.47692335</f>
        <v>47.692335</v>
      </c>
      <c r="AX70" s="5">
        <f>100*0.4119816</f>
        <v>41.198160000000001</v>
      </c>
      <c r="AY70" s="5">
        <f>100*0.087</f>
        <v>8.6999999999999993</v>
      </c>
      <c r="AZ70" s="5">
        <v>123333</v>
      </c>
      <c r="BA70" s="5">
        <f>100*0.0775231</f>
        <v>7.7523099999999996</v>
      </c>
      <c r="BB70" s="5">
        <f>100*0.34196</f>
        <v>34.195999999999998</v>
      </c>
      <c r="BC70" s="5">
        <f>100*0.5109555</f>
        <v>51.095550000000003</v>
      </c>
      <c r="BD70" s="5">
        <f>100*0.0259</f>
        <v>2.59</v>
      </c>
      <c r="BE70" s="5">
        <f>100*0.122</f>
        <v>12.2</v>
      </c>
      <c r="BF70" s="5">
        <f>100*0.331955</f>
        <v>33.195500000000003</v>
      </c>
      <c r="BG70" s="5">
        <f>100*0.463973445</f>
        <v>46.397344499999996</v>
      </c>
      <c r="BH70" s="5">
        <f>100*0.0220838</f>
        <v>2.20838</v>
      </c>
      <c r="BI70" s="5">
        <f>100*0.183</f>
        <v>18.3</v>
      </c>
      <c r="BJ70" s="5">
        <f>100*0.385</f>
        <v>38.5</v>
      </c>
      <c r="BK70" s="5">
        <f>100*0.2293</f>
        <v>22.93</v>
      </c>
      <c r="BL70" s="5">
        <f>100*0.182</f>
        <v>18.2</v>
      </c>
      <c r="BM70" s="5">
        <f>100*0.238</f>
        <v>23.799999999999997</v>
      </c>
      <c r="BN70" s="5">
        <f>100*0.062</f>
        <v>6.2</v>
      </c>
      <c r="BO70" s="5">
        <f>100*0.07</f>
        <v>7.0000000000000009</v>
      </c>
      <c r="BP70" s="5">
        <f>100*0.3257</f>
        <v>32.57</v>
      </c>
      <c r="BQ70" s="5">
        <f>100*0.546</f>
        <v>54.6</v>
      </c>
      <c r="BR70" s="5">
        <f>100*0.464</f>
        <v>46.400000000000006</v>
      </c>
      <c r="BS70" s="5">
        <f>100*0.38068</f>
        <v>38.068000000000005</v>
      </c>
      <c r="BT70" s="5">
        <f>100*0.0946</f>
        <v>9.4600000000000009</v>
      </c>
      <c r="BU70" s="5">
        <f>100*0.0604</f>
        <v>6.04</v>
      </c>
      <c r="BV70" s="5">
        <f>100*0.008</f>
        <v>0.8</v>
      </c>
      <c r="BW70" s="5">
        <f>100*0.0018</f>
        <v>0.18</v>
      </c>
      <c r="BX70" s="5">
        <f>100*0.42836</f>
        <v>42.835999999999999</v>
      </c>
      <c r="BY70" s="5">
        <f>100*0.564</f>
        <v>56.399999999999991</v>
      </c>
      <c r="BZ70" s="58">
        <f t="shared" ref="BZ70:BZ75" si="13">AD70/CA70</f>
        <v>0.16044655497218785</v>
      </c>
      <c r="CA70" s="53">
        <v>1255926</v>
      </c>
      <c r="CB70" s="53">
        <v>5580000</v>
      </c>
      <c r="CC70" s="5">
        <v>90558</v>
      </c>
      <c r="CD70" s="5">
        <v>22730</v>
      </c>
      <c r="CE70" s="5">
        <v>4340</v>
      </c>
      <c r="CF70" s="5">
        <v>254</v>
      </c>
      <c r="CG70" s="5">
        <v>14391</v>
      </c>
      <c r="CH70" s="5">
        <v>2371</v>
      </c>
      <c r="CI70" s="5">
        <v>158</v>
      </c>
      <c r="CJ70" s="5">
        <v>1.62</v>
      </c>
      <c r="CK70" s="5">
        <v>0.41</v>
      </c>
      <c r="CL70" s="5">
        <v>7.8E-2</v>
      </c>
      <c r="CM70" s="5">
        <v>4.5500000000000002E-3</v>
      </c>
      <c r="CN70" s="5">
        <v>0.26</v>
      </c>
      <c r="CO70" s="5">
        <v>4.2000000000000003E-2</v>
      </c>
      <c r="CP70" s="5">
        <v>2.8300000000000001E-3</v>
      </c>
      <c r="CQ70" s="5">
        <v>25.1</v>
      </c>
      <c r="CR70" s="5">
        <v>4.79</v>
      </c>
      <c r="CS70" s="5">
        <v>0.28000000000000003</v>
      </c>
      <c r="CT70" s="5">
        <v>15.9</v>
      </c>
      <c r="CU70" s="5">
        <v>2.62</v>
      </c>
      <c r="CV70" s="5">
        <v>0.17</v>
      </c>
      <c r="CW70" s="5"/>
    </row>
    <row r="71" spans="1:101" s="54" customFormat="1">
      <c r="A71" s="54" t="s">
        <v>177</v>
      </c>
      <c r="B71" s="54" t="s">
        <v>97</v>
      </c>
      <c r="D71" s="54" t="s">
        <v>290</v>
      </c>
      <c r="E71" s="97">
        <v>15290</v>
      </c>
      <c r="F71" s="97">
        <v>42586</v>
      </c>
      <c r="G71" s="97">
        <v>43111</v>
      </c>
      <c r="H71" s="97" t="s">
        <v>99</v>
      </c>
      <c r="I71" s="74">
        <f t="shared" si="9"/>
        <v>76.169746748802197</v>
      </c>
      <c r="J71" s="74">
        <f t="shared" si="10"/>
        <v>27821</v>
      </c>
      <c r="K71" s="74">
        <f t="shared" si="11"/>
        <v>525</v>
      </c>
      <c r="L71" s="76" t="s">
        <v>109</v>
      </c>
      <c r="M71" s="76" t="s">
        <v>100</v>
      </c>
      <c r="N71" s="70" t="s">
        <v>178</v>
      </c>
      <c r="O71" s="71"/>
      <c r="P71" s="71"/>
      <c r="Q71" s="155" t="s">
        <v>179</v>
      </c>
      <c r="R71" s="77" t="s">
        <v>102</v>
      </c>
      <c r="S71" s="159">
        <v>36</v>
      </c>
      <c r="T71" s="160">
        <v>1087.4100000000001</v>
      </c>
      <c r="U71" s="160">
        <v>98.39</v>
      </c>
      <c r="V71" s="72">
        <f t="shared" si="12"/>
        <v>989.0200000000001</v>
      </c>
      <c r="W71" s="187" t="s">
        <v>104</v>
      </c>
      <c r="X71" s="73">
        <v>60200000</v>
      </c>
      <c r="Y71" s="177">
        <f>X71*V71</f>
        <v>59539004000.000008</v>
      </c>
      <c r="Z71" s="73">
        <v>80400000</v>
      </c>
      <c r="AA71" s="77" t="s">
        <v>180</v>
      </c>
      <c r="AB71" s="177">
        <v>84000000</v>
      </c>
      <c r="AC71" s="54" t="s">
        <v>316</v>
      </c>
      <c r="AD71" s="54">
        <v>1921</v>
      </c>
      <c r="AE71" s="54">
        <v>24</v>
      </c>
      <c r="AF71" s="54">
        <f>100*0.01035</f>
        <v>1.0349999999999999</v>
      </c>
      <c r="AG71" s="54">
        <v>0</v>
      </c>
      <c r="AH71" s="54">
        <v>0</v>
      </c>
      <c r="AI71" s="54">
        <v>0</v>
      </c>
      <c r="AJ71" s="54">
        <v>16.5</v>
      </c>
      <c r="AK71" s="54">
        <f>100*0.00635</f>
        <v>0.63500000000000001</v>
      </c>
      <c r="AL71" s="54">
        <v>0</v>
      </c>
      <c r="AM71" s="54">
        <v>0</v>
      </c>
      <c r="AN71" s="54">
        <f>100*0.866</f>
        <v>86.6</v>
      </c>
      <c r="AO71" s="54">
        <v>0</v>
      </c>
      <c r="AP71" s="54">
        <v>651</v>
      </c>
      <c r="AQ71" s="54">
        <f>100*0.01595</f>
        <v>1.595</v>
      </c>
      <c r="AR71" s="54">
        <f>100*0.41</f>
        <v>41</v>
      </c>
      <c r="AS71" s="54">
        <f>100*0.27465</f>
        <v>27.465</v>
      </c>
      <c r="AT71" s="54">
        <f>100*0.1531</f>
        <v>15.310000000000002</v>
      </c>
      <c r="AU71" s="54">
        <f>100*0.144</f>
        <v>14.399999999999999</v>
      </c>
      <c r="AV71" s="54">
        <f>100*0.1508</f>
        <v>15.079999999999998</v>
      </c>
      <c r="AW71" s="54">
        <f>100*0.203</f>
        <v>20.3</v>
      </c>
      <c r="AX71" s="54">
        <f>100*0.2152</f>
        <v>21.52</v>
      </c>
      <c r="AY71" s="54">
        <f>100*0.41</f>
        <v>41</v>
      </c>
      <c r="AZ71" s="54">
        <v>800</v>
      </c>
      <c r="BA71" s="54">
        <f>100*0.03105</f>
        <v>3.105</v>
      </c>
      <c r="BB71" s="54">
        <f>100*0.501</f>
        <v>50.1</v>
      </c>
      <c r="BC71" s="54">
        <f>100*0.08455</f>
        <v>8.4550000000000001</v>
      </c>
      <c r="BD71" s="54">
        <f>100*0.0561</f>
        <v>5.6099999999999994</v>
      </c>
      <c r="BE71" s="54">
        <f>100*0.343</f>
        <v>34.300000000000004</v>
      </c>
      <c r="BF71" s="54">
        <f>100*0.3733</f>
        <v>37.330000000000005</v>
      </c>
      <c r="BG71" s="54">
        <f>100*0.07695</f>
        <v>7.6950000000000003</v>
      </c>
      <c r="BH71" s="54">
        <f>100*0.0396</f>
        <v>3.9600000000000004</v>
      </c>
      <c r="BI71" s="54">
        <f>100*0.465</f>
        <v>46.5</v>
      </c>
      <c r="BJ71" s="54">
        <f>100*0.118</f>
        <v>11.799999999999999</v>
      </c>
      <c r="BK71" s="54">
        <f>100*0.273</f>
        <v>27.3</v>
      </c>
      <c r="BL71" s="54">
        <f>100*0.545</f>
        <v>54.500000000000007</v>
      </c>
      <c r="BM71" s="54">
        <f>100*0.118</f>
        <v>11.799999999999999</v>
      </c>
      <c r="BN71" s="54">
        <f>100*0.118</f>
        <v>11.799999999999999</v>
      </c>
      <c r="BO71" s="54">
        <f>100*0.32825</f>
        <v>32.824999999999996</v>
      </c>
      <c r="BP71" s="54">
        <f>100*0.568</f>
        <v>56.8</v>
      </c>
      <c r="BQ71" s="54">
        <f>100*0.0811</f>
        <v>8.1100000000000012</v>
      </c>
      <c r="BR71" s="54">
        <f>100*0.273</f>
        <v>27.3</v>
      </c>
      <c r="BS71" s="54">
        <f>100*0.636</f>
        <v>63.6</v>
      </c>
      <c r="BT71" s="54">
        <f>100*0.0588</f>
        <v>5.88</v>
      </c>
      <c r="BU71" s="54">
        <f>100*0.118</f>
        <v>11.799999999999999</v>
      </c>
      <c r="BV71" s="54">
        <f>100*0.1232</f>
        <v>12.32</v>
      </c>
      <c r="BW71" s="54">
        <f>100*0.3346</f>
        <v>33.46</v>
      </c>
      <c r="BX71" s="54">
        <f>100*0.333</f>
        <v>33.300000000000004</v>
      </c>
      <c r="BY71" s="54">
        <f>100*0.143</f>
        <v>14.299999999999999</v>
      </c>
      <c r="BZ71" s="121">
        <f>AD71/CA71</f>
        <v>5.5786749993465895E-3</v>
      </c>
      <c r="CA71" s="81">
        <v>344347</v>
      </c>
      <c r="CB71" s="81">
        <v>1110000</v>
      </c>
      <c r="CC71" s="56">
        <v>1060000</v>
      </c>
      <c r="CD71" s="56">
        <v>724</v>
      </c>
      <c r="CE71" s="56">
        <v>33</v>
      </c>
      <c r="CF71" s="56">
        <v>6378</v>
      </c>
      <c r="CG71" s="56">
        <v>288609</v>
      </c>
      <c r="CH71" s="56">
        <v>10115</v>
      </c>
      <c r="CI71" s="56">
        <v>155</v>
      </c>
      <c r="CJ71" s="56">
        <v>0.95499999999999996</v>
      </c>
      <c r="CK71" s="56">
        <v>6.4999999999999997E-4</v>
      </c>
      <c r="CL71" s="56">
        <v>2.97E-5</v>
      </c>
      <c r="CM71" s="56">
        <v>5.6999999999999993E-3</v>
      </c>
      <c r="CN71" s="56">
        <v>0.26</v>
      </c>
      <c r="CO71" s="56">
        <v>9.1000000000000004E-3</v>
      </c>
      <c r="CP71" s="56">
        <v>1.4000000000000001E-4</v>
      </c>
      <c r="CQ71" s="56">
        <v>6.8000000000000005E-4</v>
      </c>
      <c r="CR71" s="56">
        <v>3.1099999999999997E-5</v>
      </c>
      <c r="CS71" s="56">
        <v>6.0000000000000001E-3</v>
      </c>
      <c r="CT71" s="56">
        <v>0.27200000000000002</v>
      </c>
      <c r="CU71" s="56">
        <v>9.4999999999999998E-3</v>
      </c>
      <c r="CV71" s="54">
        <v>1.4622641509433963E-4</v>
      </c>
    </row>
    <row r="72" spans="1:101" s="5" customFormat="1">
      <c r="A72" s="54" t="s">
        <v>182</v>
      </c>
      <c r="B72" s="54" t="s">
        <v>97</v>
      </c>
      <c r="C72" s="54"/>
      <c r="D72" s="54" t="s">
        <v>290</v>
      </c>
      <c r="E72" s="98">
        <v>15290</v>
      </c>
      <c r="F72" s="98">
        <v>20620</v>
      </c>
      <c r="G72" s="98">
        <v>43071</v>
      </c>
      <c r="H72" s="98" t="s">
        <v>99</v>
      </c>
      <c r="I72" s="78">
        <f t="shared" si="9"/>
        <v>76.060232717316907</v>
      </c>
      <c r="J72" s="78">
        <f t="shared" si="10"/>
        <v>27781</v>
      </c>
      <c r="K72" s="78">
        <f t="shared" si="11"/>
        <v>22451</v>
      </c>
      <c r="L72" s="79" t="s">
        <v>109</v>
      </c>
      <c r="M72" s="79" t="s">
        <v>100</v>
      </c>
      <c r="N72" s="80" t="s">
        <v>183</v>
      </c>
      <c r="O72" s="54"/>
      <c r="P72" s="54"/>
      <c r="Q72" s="156" t="s">
        <v>212</v>
      </c>
      <c r="R72" s="54"/>
      <c r="S72" s="157" t="s">
        <v>184</v>
      </c>
      <c r="T72" s="161">
        <v>2624.62</v>
      </c>
      <c r="U72" s="122">
        <v>74.39</v>
      </c>
      <c r="V72" s="123">
        <f t="shared" si="12"/>
        <v>2550.23</v>
      </c>
      <c r="W72" s="124" t="s">
        <v>185</v>
      </c>
      <c r="X72" s="124">
        <v>28000000</v>
      </c>
      <c r="Y72" s="178">
        <f>X72*V72</f>
        <v>71406440000</v>
      </c>
      <c r="Z72" s="75">
        <v>3540000</v>
      </c>
      <c r="AA72" s="182" t="s">
        <v>137</v>
      </c>
      <c r="AB72" s="178">
        <v>740000000</v>
      </c>
      <c r="AC72" s="54" t="s">
        <v>317</v>
      </c>
      <c r="AD72" s="54">
        <v>18225</v>
      </c>
      <c r="AE72" s="54">
        <v>413</v>
      </c>
      <c r="AF72" s="54">
        <f>100*0.0246</f>
        <v>2.46</v>
      </c>
      <c r="AG72" s="54">
        <f>100*0.0578</f>
        <v>5.7799999999999994</v>
      </c>
      <c r="AH72" s="54">
        <v>89</v>
      </c>
      <c r="AI72" s="54">
        <f>100*0.0055</f>
        <v>0.54999999999999993</v>
      </c>
      <c r="AJ72" s="54">
        <v>705</v>
      </c>
      <c r="AK72" s="54">
        <f>100*0.0407</f>
        <v>4.07</v>
      </c>
      <c r="AL72" s="54">
        <f>100*0.03745</f>
        <v>3.7449999999999997</v>
      </c>
      <c r="AM72" s="54">
        <f>100*0.0256</f>
        <v>2.56</v>
      </c>
      <c r="AN72" s="54">
        <f>100*0.645</f>
        <v>64.5</v>
      </c>
      <c r="AO72" s="54">
        <f>100*0.0986</f>
        <v>9.86</v>
      </c>
      <c r="AP72" s="54">
        <v>2966</v>
      </c>
      <c r="AQ72" s="54">
        <f>100*0.04585</f>
        <v>4.585</v>
      </c>
      <c r="AR72" s="54">
        <f>100*0.1815</f>
        <v>18.149999999999999</v>
      </c>
      <c r="AS72" s="54">
        <f>100*0.171</f>
        <v>17.100000000000001</v>
      </c>
      <c r="AT72" s="54">
        <f>100*0.47</f>
        <v>47</v>
      </c>
      <c r="AU72" s="54">
        <f>100*0.178</f>
        <v>17.8</v>
      </c>
      <c r="AV72" s="54">
        <f>100*0.4</f>
        <v>40</v>
      </c>
      <c r="AW72" s="54">
        <f>100*0.489835</f>
        <v>48.983499999999999</v>
      </c>
      <c r="AX72" s="54">
        <f>100*0.0695</f>
        <v>6.9500000000000011</v>
      </c>
      <c r="AY72" s="54">
        <f>100*0.0408</f>
        <v>4.08</v>
      </c>
      <c r="AZ72" s="54">
        <v>12817</v>
      </c>
      <c r="BA72" s="54">
        <f>100*0.06618</f>
        <v>6.6180000000000003</v>
      </c>
      <c r="BB72" s="54">
        <f>100*0.435922</f>
        <v>43.592199999999998</v>
      </c>
      <c r="BC72" s="54">
        <f>100*0.0285</f>
        <v>2.85</v>
      </c>
      <c r="BD72" s="54">
        <f>100*0.0263</f>
        <v>2.63</v>
      </c>
      <c r="BE72" s="54">
        <f>100*0.509</f>
        <v>50.9</v>
      </c>
      <c r="BF72" s="54">
        <f>100*0.319</f>
        <v>31.900000000000002</v>
      </c>
      <c r="BG72" s="54">
        <f>100*0.0162</f>
        <v>1.6199999999999999</v>
      </c>
      <c r="BH72" s="54">
        <f>100*0.0337</f>
        <v>3.37</v>
      </c>
      <c r="BI72" s="54">
        <f>100*0.6305</f>
        <v>63.05</v>
      </c>
      <c r="BJ72" s="54">
        <f>100*0.245</f>
        <v>24.5</v>
      </c>
      <c r="BK72" s="54">
        <f>100*0.065</f>
        <v>6.5</v>
      </c>
      <c r="BL72" s="54">
        <f>100*0.0726</f>
        <v>7.26</v>
      </c>
      <c r="BM72" s="54">
        <f>100*0.317</f>
        <v>31.7</v>
      </c>
      <c r="BN72" s="54">
        <f>100*0.1566</f>
        <v>15.659999999999998</v>
      </c>
      <c r="BO72" s="54">
        <f>100*0.2562</f>
        <v>25.619999999999997</v>
      </c>
      <c r="BP72" s="54">
        <f>100*0.3058</f>
        <v>30.580000000000002</v>
      </c>
      <c r="BQ72" s="54">
        <f>100*0.239</f>
        <v>23.9</v>
      </c>
      <c r="BR72" s="54">
        <f>100*0.095</f>
        <v>9.5</v>
      </c>
      <c r="BS72" s="54">
        <f>100*0.229</f>
        <v>22.900000000000002</v>
      </c>
      <c r="BT72" s="54">
        <f>100*0.46</f>
        <v>46</v>
      </c>
      <c r="BU72" s="54">
        <f>100*0.247</f>
        <v>24.7</v>
      </c>
      <c r="BV72" s="54">
        <f>100*0.262</f>
        <v>26.200000000000003</v>
      </c>
      <c r="BW72" s="54">
        <f>100*0.325</f>
        <v>32.5</v>
      </c>
      <c r="BX72" s="54">
        <f>100*0.186</f>
        <v>18.600000000000001</v>
      </c>
      <c r="BY72" s="54">
        <f>100*0.206</f>
        <v>20.599999999999998</v>
      </c>
      <c r="BZ72" s="125" t="e">
        <f t="shared" si="13"/>
        <v>#DIV/0!</v>
      </c>
      <c r="CA72" s="81"/>
      <c r="CB72" s="81">
        <v>1680000</v>
      </c>
      <c r="CC72" s="56">
        <v>1640000</v>
      </c>
      <c r="CD72" s="56">
        <v>13426</v>
      </c>
      <c r="CE72" s="56">
        <v>256</v>
      </c>
      <c r="CF72" s="56">
        <v>178</v>
      </c>
      <c r="CG72" s="56">
        <v>1490000</v>
      </c>
      <c r="CH72" s="56">
        <v>88506</v>
      </c>
      <c r="CI72" s="56">
        <v>4213</v>
      </c>
      <c r="CJ72" s="56">
        <v>0.97599999999999998</v>
      </c>
      <c r="CK72" s="56">
        <v>8.0000000000000002E-3</v>
      </c>
      <c r="CL72" s="56">
        <v>1.4999999999999999E-4</v>
      </c>
      <c r="CM72" s="56">
        <v>1.0999999999999999E-4</v>
      </c>
      <c r="CN72" s="56">
        <v>0.88700000000000001</v>
      </c>
      <c r="CO72" s="56">
        <v>5.2699999999999997E-2</v>
      </c>
      <c r="CP72" s="56">
        <v>2.5000000000000001E-3</v>
      </c>
      <c r="CQ72" s="56">
        <v>8.199999999999999E-3</v>
      </c>
      <c r="CR72" s="56">
        <v>1.6000000000000001E-4</v>
      </c>
      <c r="CS72" s="56">
        <v>1.0999999999999999E-4</v>
      </c>
      <c r="CT72" s="56">
        <v>0.90900000000000003</v>
      </c>
      <c r="CU72" s="56">
        <v>5.4000000000000006E-2</v>
      </c>
      <c r="CV72" s="54">
        <v>2.5689024390243903E-3</v>
      </c>
      <c r="CW72" s="54"/>
    </row>
    <row r="73" spans="1:101" s="5" customFormat="1">
      <c r="A73" s="5" t="s">
        <v>318</v>
      </c>
      <c r="B73" s="5" t="s">
        <v>108</v>
      </c>
      <c r="D73" s="5" t="s">
        <v>290</v>
      </c>
      <c r="E73" s="91">
        <v>16243</v>
      </c>
      <c r="F73" s="91">
        <v>42662</v>
      </c>
      <c r="G73" s="91">
        <v>43131</v>
      </c>
      <c r="H73" s="91" t="s">
        <v>99</v>
      </c>
      <c r="I73" s="83">
        <f t="shared" si="9"/>
        <v>73.615331964407943</v>
      </c>
      <c r="J73" s="52">
        <f t="shared" si="10"/>
        <v>26888</v>
      </c>
      <c r="K73" s="52">
        <f t="shared" si="11"/>
        <v>469</v>
      </c>
      <c r="L73" s="52" t="s">
        <v>109</v>
      </c>
      <c r="M73" s="52" t="s">
        <v>109</v>
      </c>
      <c r="N73" s="92" t="s">
        <v>319</v>
      </c>
      <c r="O73" s="84">
        <v>0</v>
      </c>
      <c r="P73" s="84">
        <v>0</v>
      </c>
      <c r="Q73" s="91" t="s">
        <v>111</v>
      </c>
      <c r="R73" s="9" t="s">
        <v>112</v>
      </c>
      <c r="S73" s="84">
        <v>10</v>
      </c>
      <c r="T73" s="89">
        <v>2570.81</v>
      </c>
      <c r="U73" s="93">
        <v>65.2</v>
      </c>
      <c r="V73" s="140">
        <f t="shared" si="12"/>
        <v>2505.61</v>
      </c>
      <c r="W73" s="9"/>
      <c r="X73" s="8"/>
      <c r="Y73" s="90">
        <v>58000000</v>
      </c>
      <c r="Z73" s="8"/>
      <c r="AA73" s="9"/>
      <c r="AB73" s="90" t="s">
        <v>313</v>
      </c>
      <c r="AC73" s="5" t="s">
        <v>320</v>
      </c>
      <c r="AD73" s="5">
        <v>130023</v>
      </c>
      <c r="AE73" s="5">
        <v>730</v>
      </c>
      <c r="AF73" s="5">
        <f>100*0.0054</f>
        <v>0.54</v>
      </c>
      <c r="AG73" s="5">
        <f>100*0.7466</f>
        <v>74.660000000000011</v>
      </c>
      <c r="AH73" s="5">
        <v>67</v>
      </c>
      <c r="AI73" s="5">
        <f>100*0.00057</f>
        <v>5.6999999999999995E-2</v>
      </c>
      <c r="AJ73" s="5">
        <v>271</v>
      </c>
      <c r="AK73" s="5">
        <f>100*0.0022</f>
        <v>0.22</v>
      </c>
      <c r="AL73" s="5">
        <f>100*0.375</f>
        <v>37.5</v>
      </c>
      <c r="AM73" s="5">
        <f>100*0.0424</f>
        <v>4.24</v>
      </c>
      <c r="AN73" s="5">
        <f>100*0.899</f>
        <v>89.9</v>
      </c>
      <c r="AO73" s="5">
        <f>100*0.0177</f>
        <v>1.77</v>
      </c>
      <c r="AP73" s="5">
        <f>100*51358</f>
        <v>5135800</v>
      </c>
      <c r="AQ73" s="5">
        <f>100*0.35715</f>
        <v>35.715000000000003</v>
      </c>
      <c r="AR73" s="5">
        <f>100*0.1849805</f>
        <v>18.498049999999999</v>
      </c>
      <c r="AS73" s="5">
        <f>100*0.27557</f>
        <v>27.556999999999999</v>
      </c>
      <c r="AT73" s="5">
        <f>100*0.31546</f>
        <v>31.546000000000003</v>
      </c>
      <c r="AU73" s="5">
        <f>100*0.23</f>
        <v>23</v>
      </c>
      <c r="AV73" s="5">
        <f>100*0.02645</f>
        <v>2.645</v>
      </c>
      <c r="AW73" s="5">
        <f>100*0.03735495</f>
        <v>3.7354949999999998</v>
      </c>
      <c r="AX73" s="5">
        <f>100*0.5289</f>
        <v>52.89</v>
      </c>
      <c r="AY73" s="5">
        <f>100*0.413</f>
        <v>41.3</v>
      </c>
      <c r="AZ73" s="5">
        <v>26132</v>
      </c>
      <c r="BA73" s="5">
        <f>100*0.0976</f>
        <v>9.76</v>
      </c>
      <c r="BB73" s="5">
        <f>100*0.1649611</f>
        <v>16.496110000000002</v>
      </c>
      <c r="BC73" s="5">
        <f>100*0.03651115</f>
        <v>3.6511149999999999</v>
      </c>
      <c r="BD73" s="5">
        <f>100*0.0495235</f>
        <v>4.95235</v>
      </c>
      <c r="BE73" s="5">
        <f>100*0.741</f>
        <v>74.099999999999994</v>
      </c>
      <c r="BF73" s="5">
        <f>100*0.0946</f>
        <v>9.4600000000000009</v>
      </c>
      <c r="BG73" s="5">
        <f>100*0.03111</f>
        <v>3.1109999999999998</v>
      </c>
      <c r="BH73" s="5">
        <f>100*0.04835</f>
        <v>4.835</v>
      </c>
      <c r="BI73" s="5">
        <f>100*0.822</f>
        <v>82.199999999999989</v>
      </c>
      <c r="BJ73" s="5">
        <f>100*0.3395</f>
        <v>33.950000000000003</v>
      </c>
      <c r="BK73" s="5">
        <f>100*0.1113</f>
        <v>11.129999999999999</v>
      </c>
      <c r="BL73" s="5">
        <f>100*0.0817</f>
        <v>8.17</v>
      </c>
      <c r="BM73" s="5">
        <f>100*0.454</f>
        <v>45.4</v>
      </c>
      <c r="BN73" s="5">
        <f>100*0.4218</f>
        <v>42.18</v>
      </c>
      <c r="BO73" s="5">
        <f>100*0.0329</f>
        <v>3.29</v>
      </c>
      <c r="BP73" s="5">
        <f>100*0.0219</f>
        <v>2.19</v>
      </c>
      <c r="BQ73" s="5">
        <f>100*0.488</f>
        <v>48.8</v>
      </c>
      <c r="BR73" s="5">
        <f>100*0.26</f>
        <v>26</v>
      </c>
      <c r="BS73" s="5">
        <f>100*0.281</f>
        <v>28.1</v>
      </c>
      <c r="BT73" s="5">
        <f>100*0.177</f>
        <v>17.7</v>
      </c>
      <c r="BU73" s="5">
        <f>100*0.254</f>
        <v>25.4</v>
      </c>
      <c r="BV73" s="5">
        <f>100*0.1851</f>
        <v>18.509999999999998</v>
      </c>
      <c r="BW73" s="5">
        <f>100*0.2256</f>
        <v>22.56</v>
      </c>
      <c r="BX73" s="5">
        <f>100*0.208</f>
        <v>20.8</v>
      </c>
      <c r="BY73" s="5">
        <f>100*0.376</f>
        <v>37.6</v>
      </c>
      <c r="BZ73" s="58">
        <f t="shared" si="13"/>
        <v>7.2720124027400565E-2</v>
      </c>
      <c r="CA73" s="53">
        <v>1787992</v>
      </c>
      <c r="CB73" s="53">
        <v>1190000</v>
      </c>
      <c r="CC73" s="6">
        <v>1180000</v>
      </c>
      <c r="CD73" s="6">
        <v>169881</v>
      </c>
      <c r="CE73" s="6">
        <v>8497</v>
      </c>
      <c r="CF73" s="6">
        <v>8402</v>
      </c>
      <c r="CG73" s="6">
        <v>2742</v>
      </c>
      <c r="CH73" s="6">
        <v>178784</v>
      </c>
      <c r="CI73" s="6">
        <v>38505</v>
      </c>
      <c r="CJ73" s="6">
        <v>0.99199999999999999</v>
      </c>
      <c r="CK73" s="6">
        <v>0.14300000000000002</v>
      </c>
      <c r="CL73" s="6">
        <v>7.0999999999999995E-3</v>
      </c>
      <c r="CM73" s="6">
        <v>7.0999999999999995E-3</v>
      </c>
      <c r="CN73" s="6">
        <v>2.3E-3</v>
      </c>
      <c r="CO73" s="6">
        <v>0.15</v>
      </c>
      <c r="CP73" s="6">
        <v>3.2400000000000005E-2</v>
      </c>
      <c r="CQ73" s="6">
        <v>0.14400000000000002</v>
      </c>
      <c r="CR73" s="6">
        <v>7.1999999999999998E-3</v>
      </c>
      <c r="CS73" s="6">
        <v>7.0999999999999995E-3</v>
      </c>
      <c r="CT73" s="6">
        <v>2.3E-3</v>
      </c>
      <c r="CU73" s="6">
        <v>0.152</v>
      </c>
      <c r="CV73" s="5">
        <v>3.2631355932203392E-2</v>
      </c>
    </row>
    <row r="74" spans="1:101" s="228" customFormat="1">
      <c r="A74" s="228" t="s">
        <v>321</v>
      </c>
      <c r="B74" s="228" t="s">
        <v>97</v>
      </c>
      <c r="D74" s="228" t="s">
        <v>290</v>
      </c>
      <c r="E74" s="229">
        <v>15414</v>
      </c>
      <c r="F74" s="229">
        <v>42436</v>
      </c>
      <c r="G74" s="229">
        <v>43159</v>
      </c>
      <c r="H74" s="229" t="s">
        <v>99</v>
      </c>
      <c r="I74" s="251">
        <f t="shared" si="9"/>
        <v>75.961670088980156</v>
      </c>
      <c r="J74" s="251">
        <f t="shared" si="10"/>
        <v>27745</v>
      </c>
      <c r="K74" s="251">
        <f t="shared" si="11"/>
        <v>723</v>
      </c>
      <c r="L74" s="258" t="s">
        <v>297</v>
      </c>
      <c r="M74" s="258" t="s">
        <v>297</v>
      </c>
      <c r="N74" s="233" t="s">
        <v>189</v>
      </c>
      <c r="O74" s="234"/>
      <c r="P74" s="234"/>
      <c r="Q74" s="252" t="s">
        <v>322</v>
      </c>
      <c r="R74" s="253" t="s">
        <v>102</v>
      </c>
      <c r="S74" s="254" t="s">
        <v>172</v>
      </c>
      <c r="T74" s="236">
        <v>2445.15</v>
      </c>
      <c r="U74" s="236">
        <v>98.44</v>
      </c>
      <c r="V74" s="237">
        <f t="shared" si="12"/>
        <v>2346.71</v>
      </c>
      <c r="W74" s="253" t="s">
        <v>104</v>
      </c>
      <c r="X74" s="238">
        <v>2830000</v>
      </c>
      <c r="Y74" s="239">
        <f>X74*V74</f>
        <v>6641189300</v>
      </c>
      <c r="Z74" s="238">
        <v>92000000</v>
      </c>
      <c r="AA74" s="235" t="s">
        <v>137</v>
      </c>
      <c r="AB74" s="239">
        <v>14500000</v>
      </c>
      <c r="AC74" s="228" t="s">
        <v>323</v>
      </c>
      <c r="AD74" s="228">
        <v>34498</v>
      </c>
      <c r="AE74" s="228">
        <v>164</v>
      </c>
      <c r="AF74" s="228">
        <f>100*0.0044</f>
        <v>0.44</v>
      </c>
      <c r="AG74" s="228">
        <f>100*0.0056</f>
        <v>0.55999999999999994</v>
      </c>
      <c r="AH74" s="228">
        <v>4</v>
      </c>
      <c r="AI74" s="228">
        <f>100*0.00016</f>
        <v>1.6E-2</v>
      </c>
      <c r="AJ74" s="228">
        <v>345</v>
      </c>
      <c r="AK74" s="228">
        <f>100*0.0106</f>
        <v>1.06</v>
      </c>
      <c r="AL74" s="228">
        <f>100*0.0068</f>
        <v>0.67999999999999994</v>
      </c>
      <c r="AM74" s="228">
        <f>100*0.00145</f>
        <v>0.14499999999999999</v>
      </c>
      <c r="AN74" s="228">
        <f>100*0.771</f>
        <v>77.100000000000009</v>
      </c>
      <c r="AO74" s="228">
        <f>100*0.167</f>
        <v>16.7</v>
      </c>
      <c r="AP74" s="228">
        <v>18029</v>
      </c>
      <c r="AQ74" s="228">
        <f>100*0.0156</f>
        <v>1.5599999999999998</v>
      </c>
      <c r="AR74" s="228">
        <f>100*0.168</f>
        <v>16.8</v>
      </c>
      <c r="AS74" s="228">
        <f>100*0.109</f>
        <v>10.9</v>
      </c>
      <c r="AT74" s="228">
        <f>100*0.279</f>
        <v>27.900000000000002</v>
      </c>
      <c r="AU74" s="228">
        <f>100*0.441</f>
        <v>44.1</v>
      </c>
      <c r="AV74" s="228">
        <f>100*0.1019413</f>
        <v>10.194129999999999</v>
      </c>
      <c r="AW74" s="228">
        <f>100*0.093385</f>
        <v>9.3384999999999998</v>
      </c>
      <c r="AX74" s="228">
        <f>100*0.29</f>
        <v>28.999999999999996</v>
      </c>
      <c r="AY74" s="228">
        <f>100*0.514</f>
        <v>51.4</v>
      </c>
      <c r="AZ74" s="228">
        <v>14385</v>
      </c>
      <c r="BA74" s="228">
        <f>100*0.0142305</f>
        <v>1.4230499999999999</v>
      </c>
      <c r="BB74" s="228">
        <f>100*0.564</f>
        <v>56.399999999999991</v>
      </c>
      <c r="BC74" s="228">
        <f>100*0.194</f>
        <v>19.400000000000002</v>
      </c>
      <c r="BD74" s="228">
        <f>100*0.0183417</f>
        <v>1.8341699999999999</v>
      </c>
      <c r="BE74" s="228">
        <f>100*0.235</f>
        <v>23.5</v>
      </c>
      <c r="BF74" s="228">
        <f>100*0.521925</f>
        <v>52.192499999999995</v>
      </c>
      <c r="BG74" s="228">
        <f>100*0.187</f>
        <v>18.7</v>
      </c>
      <c r="BH74" s="228">
        <f>100*0.0201417</f>
        <v>2.01417</v>
      </c>
      <c r="BI74" s="228">
        <f>100*0.273</f>
        <v>27.3</v>
      </c>
      <c r="BJ74" s="228">
        <f>100*0.454</f>
        <v>45.4</v>
      </c>
      <c r="BK74" s="228">
        <f>100*0.0186</f>
        <v>1.8599999999999999</v>
      </c>
      <c r="BL74" s="228">
        <f>100*0.0366</f>
        <v>3.66</v>
      </c>
      <c r="BM74" s="228">
        <f>100*0.472</f>
        <v>47.199999999999996</v>
      </c>
      <c r="BN74" s="228">
        <f>100*0.325</f>
        <v>32.5</v>
      </c>
      <c r="BO74" s="228">
        <f>100*0.026</f>
        <v>2.6</v>
      </c>
      <c r="BP74" s="228">
        <f>100*0.0305</f>
        <v>3.05</v>
      </c>
      <c r="BQ74" s="228">
        <f>100*0.628</f>
        <v>62.8</v>
      </c>
      <c r="BR74" s="228">
        <f>100*0.29</f>
        <v>28.999999999999996</v>
      </c>
      <c r="BS74" s="228">
        <f>100*0.128</f>
        <v>12.8</v>
      </c>
      <c r="BT74" s="228">
        <f>100*0.226</f>
        <v>22.6</v>
      </c>
      <c r="BU74" s="228">
        <f>100*0.321</f>
        <v>32.1</v>
      </c>
      <c r="BV74" s="228">
        <f>100*0.3291</f>
        <v>32.910000000000004</v>
      </c>
      <c r="BW74" s="228">
        <f>100*0.262</f>
        <v>26.200000000000003</v>
      </c>
      <c r="BX74" s="228">
        <f>100*0.162</f>
        <v>16.2</v>
      </c>
      <c r="BY74" s="228">
        <f>100*0.253</f>
        <v>25.3</v>
      </c>
      <c r="BZ74" s="240">
        <f t="shared" si="13"/>
        <v>1.6907154248254543E-2</v>
      </c>
      <c r="CA74" s="241">
        <v>2040438</v>
      </c>
      <c r="CB74" s="241">
        <v>1150000</v>
      </c>
      <c r="CC74" s="250">
        <v>1110000</v>
      </c>
      <c r="CD74" s="250">
        <v>33980</v>
      </c>
      <c r="CE74" s="250">
        <v>3822</v>
      </c>
      <c r="CF74" s="250">
        <v>4414</v>
      </c>
      <c r="CG74" s="250">
        <v>704000</v>
      </c>
      <c r="CH74" s="250">
        <v>120158</v>
      </c>
      <c r="CI74" s="250">
        <v>2489</v>
      </c>
      <c r="CJ74" s="250">
        <v>96.5</v>
      </c>
      <c r="CK74" s="250">
        <v>2.95</v>
      </c>
      <c r="CL74" s="250">
        <v>0.28999999999999998</v>
      </c>
      <c r="CM74" s="250">
        <v>0.38</v>
      </c>
      <c r="CN74" s="250">
        <v>61.4</v>
      </c>
      <c r="CO74" s="250">
        <v>10.4</v>
      </c>
      <c r="CP74" s="250">
        <v>0.23334999999999997</v>
      </c>
      <c r="CQ74" s="250">
        <v>3.03</v>
      </c>
      <c r="CR74" s="250">
        <v>0.31</v>
      </c>
      <c r="CS74" s="250">
        <v>0.4</v>
      </c>
      <c r="CT74" s="250">
        <v>63.4</v>
      </c>
      <c r="CU74" s="250">
        <v>10.8</v>
      </c>
      <c r="CV74" s="228">
        <v>0.24329000000000001</v>
      </c>
    </row>
    <row r="75" spans="1:101" s="228" customFormat="1">
      <c r="A75" s="228" t="s">
        <v>188</v>
      </c>
      <c r="B75" s="228" t="s">
        <v>97</v>
      </c>
      <c r="D75" s="228" t="s">
        <v>290</v>
      </c>
      <c r="E75" s="229">
        <v>15414</v>
      </c>
      <c r="F75" s="229">
        <v>42436</v>
      </c>
      <c r="G75" s="229">
        <v>43213</v>
      </c>
      <c r="H75" s="229" t="s">
        <v>99</v>
      </c>
      <c r="I75" s="251">
        <f t="shared" si="9"/>
        <v>76.10951403148529</v>
      </c>
      <c r="J75" s="251">
        <f t="shared" si="10"/>
        <v>27799</v>
      </c>
      <c r="K75" s="251">
        <f t="shared" si="11"/>
        <v>777</v>
      </c>
      <c r="L75" s="258" t="s">
        <v>109</v>
      </c>
      <c r="M75" s="258" t="s">
        <v>109</v>
      </c>
      <c r="N75" s="233" t="s">
        <v>189</v>
      </c>
      <c r="O75" s="234"/>
      <c r="P75" s="234"/>
      <c r="Q75" s="252" t="s">
        <v>190</v>
      </c>
      <c r="R75" s="253" t="s">
        <v>102</v>
      </c>
      <c r="S75" s="254" t="s">
        <v>191</v>
      </c>
      <c r="T75" s="236">
        <v>1758.87</v>
      </c>
      <c r="U75" s="236">
        <v>83.02</v>
      </c>
      <c r="V75" s="237">
        <f t="shared" si="12"/>
        <v>1675.85</v>
      </c>
      <c r="W75" s="255" t="s">
        <v>104</v>
      </c>
      <c r="X75" s="238">
        <v>2800000</v>
      </c>
      <c r="Y75" s="239">
        <f>X75*V75</f>
        <v>4692380000</v>
      </c>
      <c r="Z75" s="238">
        <v>122000000</v>
      </c>
      <c r="AA75" s="253" t="s">
        <v>192</v>
      </c>
      <c r="AB75" s="239">
        <v>1000000</v>
      </c>
      <c r="AC75" s="228" t="s">
        <v>324</v>
      </c>
      <c r="AD75" s="228">
        <v>44196</v>
      </c>
      <c r="AE75" s="228">
        <v>383</v>
      </c>
      <c r="AF75" s="228">
        <f>100*0.0087</f>
        <v>0.86999999999999988</v>
      </c>
      <c r="AG75" s="228">
        <f>100*0.0145</f>
        <v>1.4500000000000002</v>
      </c>
      <c r="AH75" s="228">
        <v>8</v>
      </c>
      <c r="AI75" s="228">
        <f>100*0.000175</f>
        <v>1.7499999999999998E-2</v>
      </c>
      <c r="AJ75" s="228">
        <v>229</v>
      </c>
      <c r="AK75" s="228">
        <f>100*0.0051</f>
        <v>0.51</v>
      </c>
      <c r="AL75" s="228">
        <v>0</v>
      </c>
      <c r="AM75" s="228">
        <v>0</v>
      </c>
      <c r="AN75" s="228">
        <f>100*0.922</f>
        <v>92.2</v>
      </c>
      <c r="AO75" s="228">
        <f>100*0.0483</f>
        <v>4.83</v>
      </c>
      <c r="AP75" s="228">
        <v>17656</v>
      </c>
      <c r="AQ75" s="228">
        <f>100*0.00754</f>
        <v>0.754</v>
      </c>
      <c r="AR75" s="228">
        <f>100*0.50951</f>
        <v>50.951000000000001</v>
      </c>
      <c r="AS75" s="228">
        <f>100*0.06755</f>
        <v>6.7549999999999999</v>
      </c>
      <c r="AT75" s="228">
        <f>100*0.1902</f>
        <v>19.02</v>
      </c>
      <c r="AU75" s="228">
        <f>100*0.229</f>
        <v>22.900000000000002</v>
      </c>
      <c r="AV75" s="228">
        <f>100*0.0363</f>
        <v>3.63</v>
      </c>
      <c r="AW75" s="228">
        <f>100*0.010925</f>
        <v>1.0925</v>
      </c>
      <c r="AX75" s="228">
        <f>100*0.2361</f>
        <v>23.61</v>
      </c>
      <c r="AY75" s="228">
        <f>100*0.709</f>
        <v>70.899999999999991</v>
      </c>
      <c r="AZ75" s="228">
        <v>24187</v>
      </c>
      <c r="BA75" s="228">
        <f>100*0.0167596</f>
        <v>1.6759599999999999</v>
      </c>
      <c r="BB75" s="228">
        <f>100*0.54571</f>
        <v>54.571000000000005</v>
      </c>
      <c r="BC75" s="228">
        <f>100*0.02157935</f>
        <v>2.1579350000000002</v>
      </c>
      <c r="BD75" s="228">
        <f>100*0.0025</f>
        <v>0.25</v>
      </c>
      <c r="BE75" s="228">
        <f>100*0.43</f>
        <v>43</v>
      </c>
      <c r="BF75" s="228">
        <f>100*0.3829549</f>
        <v>38.295490000000001</v>
      </c>
      <c r="BG75" s="228">
        <f>100*0.0248</f>
        <v>2.48</v>
      </c>
      <c r="BH75" s="228">
        <f>100*0.00599</f>
        <v>0.59899999999999998</v>
      </c>
      <c r="BI75" s="228">
        <f>100*0.586</f>
        <v>58.599999999999994</v>
      </c>
      <c r="BJ75" s="228">
        <f>100*0.4024</f>
        <v>40.239999999999995</v>
      </c>
      <c r="BK75" s="228">
        <f>100*0.0261</f>
        <v>2.6100000000000003</v>
      </c>
      <c r="BL75" s="228">
        <f>100*0.0247</f>
        <v>2.4699999999999998</v>
      </c>
      <c r="BM75" s="228">
        <f>100*0.538</f>
        <v>53.800000000000004</v>
      </c>
      <c r="BN75" s="228">
        <f>100*0.0862</f>
        <v>8.6199999999999992</v>
      </c>
      <c r="BO75" s="228">
        <f>100*0.02815</f>
        <v>2.8149999999999999</v>
      </c>
      <c r="BP75" s="228">
        <f>100*0.0827</f>
        <v>8.27</v>
      </c>
      <c r="BQ75" s="228">
        <f>100*0.791</f>
        <v>79.100000000000009</v>
      </c>
      <c r="BR75" s="228">
        <f>100*0.269</f>
        <v>26.900000000000002</v>
      </c>
      <c r="BS75" s="228">
        <f>100*0.0699</f>
        <v>6.99</v>
      </c>
      <c r="BT75" s="228">
        <f>100*0.278</f>
        <v>27.800000000000004</v>
      </c>
      <c r="BU75" s="228">
        <f>100*0.362</f>
        <v>36.199999999999996</v>
      </c>
      <c r="BV75" s="228">
        <f>100*0.105</f>
        <v>10.5</v>
      </c>
      <c r="BW75" s="228">
        <f>100*0.0179</f>
        <v>1.79</v>
      </c>
      <c r="BX75" s="228">
        <f>100*0.184</f>
        <v>18.399999999999999</v>
      </c>
      <c r="BY75" s="228">
        <f>100*0.69</f>
        <v>69</v>
      </c>
      <c r="BZ75" s="240">
        <f t="shared" si="13"/>
        <v>2.347565720526221E-2</v>
      </c>
      <c r="CA75" s="241">
        <v>1882631</v>
      </c>
      <c r="CB75" s="241">
        <v>436000</v>
      </c>
      <c r="CC75" s="228">
        <v>432000</v>
      </c>
      <c r="CD75" s="228">
        <v>8840</v>
      </c>
      <c r="CE75" s="228">
        <v>927</v>
      </c>
      <c r="CF75" s="228">
        <v>418</v>
      </c>
      <c r="CG75" s="228">
        <v>312297</v>
      </c>
      <c r="CH75" s="228">
        <v>56343</v>
      </c>
      <c r="CI75" s="228">
        <v>228</v>
      </c>
      <c r="CJ75" s="228">
        <v>99.6</v>
      </c>
      <c r="CK75" s="228">
        <v>2.27</v>
      </c>
      <c r="CL75" s="228">
        <v>0.24</v>
      </c>
      <c r="CM75" s="228">
        <v>0.11</v>
      </c>
      <c r="CN75" s="228">
        <v>76</v>
      </c>
      <c r="CO75" s="228">
        <v>12.9</v>
      </c>
      <c r="CP75" s="228">
        <v>5.1999999999999998E-2</v>
      </c>
      <c r="CQ75" s="228">
        <v>2.2799999999999998</v>
      </c>
      <c r="CR75" s="228">
        <v>0.24</v>
      </c>
      <c r="CS75" s="228">
        <v>0.11</v>
      </c>
      <c r="CT75" s="228">
        <v>76.3</v>
      </c>
      <c r="CU75" s="228">
        <v>13</v>
      </c>
      <c r="CV75" s="228">
        <v>5.1999999999999998E-2</v>
      </c>
    </row>
    <row r="76" spans="1:101" s="228" customFormat="1">
      <c r="A76" s="228" t="s">
        <v>194</v>
      </c>
      <c r="B76" s="228" t="s">
        <v>108</v>
      </c>
      <c r="D76" s="228" t="s">
        <v>290</v>
      </c>
      <c r="E76" s="243">
        <v>15414</v>
      </c>
      <c r="F76" s="243">
        <v>42436</v>
      </c>
      <c r="G76" s="243">
        <v>43369</v>
      </c>
      <c r="H76" s="243" t="s">
        <v>99</v>
      </c>
      <c r="I76" s="231">
        <v>76.536618754277896</v>
      </c>
      <c r="J76" s="232">
        <v>27955</v>
      </c>
      <c r="K76" s="232">
        <v>933</v>
      </c>
      <c r="L76" s="232" t="s">
        <v>109</v>
      </c>
      <c r="M76" s="232" t="s">
        <v>109</v>
      </c>
      <c r="N76" s="233">
        <v>43159</v>
      </c>
      <c r="O76" s="245"/>
      <c r="P76" s="245"/>
      <c r="Q76" s="243" t="s">
        <v>111</v>
      </c>
      <c r="R76" s="235" t="s">
        <v>112</v>
      </c>
      <c r="S76" s="245">
        <v>10</v>
      </c>
      <c r="T76" s="244">
        <v>2186.34</v>
      </c>
      <c r="U76" s="246">
        <v>72.12</v>
      </c>
      <c r="V76" s="247">
        <v>2114.2200000000003</v>
      </c>
      <c r="W76" s="235"/>
      <c r="X76" s="248"/>
      <c r="Y76" s="249">
        <v>6750000</v>
      </c>
      <c r="Z76" s="248"/>
      <c r="AA76" s="235"/>
      <c r="AB76" s="259">
        <v>10660000</v>
      </c>
      <c r="AC76" s="228" t="s">
        <v>325</v>
      </c>
      <c r="AD76" s="228">
        <v>365344</v>
      </c>
      <c r="AE76" s="228">
        <v>4107</v>
      </c>
      <c r="AF76" s="228">
        <f>100*0.0114</f>
        <v>1.1400000000000001</v>
      </c>
      <c r="AG76" s="228">
        <f>100*0.112</f>
        <v>11.200000000000001</v>
      </c>
      <c r="AH76" s="228">
        <v>19</v>
      </c>
      <c r="AI76" s="228">
        <f>100*0.0000528</f>
        <v>5.28E-3</v>
      </c>
      <c r="AJ76" s="228">
        <v>2122</v>
      </c>
      <c r="AK76" s="228">
        <f>100*0.006</f>
        <v>0.6</v>
      </c>
      <c r="AL76" s="228">
        <f>100*0.0113</f>
        <v>1.1299999999999999</v>
      </c>
      <c r="AM76" s="228">
        <f>100*0.00047</f>
        <v>4.7E-2</v>
      </c>
      <c r="AN76" s="228">
        <f>100*0.899</f>
        <v>89.9</v>
      </c>
      <c r="AO76" s="228">
        <f>100*0.0509</f>
        <v>5.09</v>
      </c>
      <c r="AP76" s="228">
        <v>140446</v>
      </c>
      <c r="AQ76" s="228">
        <f>100*0.0513</f>
        <v>5.13</v>
      </c>
      <c r="AR76" s="228">
        <f>100*0.379</f>
        <v>37.9</v>
      </c>
      <c r="AS76" s="228">
        <f>100*0.0952</f>
        <v>9.5200000000000014</v>
      </c>
      <c r="AT76" s="228">
        <f>100*0.12</f>
        <v>12</v>
      </c>
      <c r="AU76" s="228">
        <f>100*0.406</f>
        <v>40.6</v>
      </c>
      <c r="AV76" s="228">
        <f>100*0.0533</f>
        <v>5.33</v>
      </c>
      <c r="AW76" s="228">
        <f>100*0.0382</f>
        <v>3.82</v>
      </c>
      <c r="AX76" s="228">
        <f>100*0.19</f>
        <v>19</v>
      </c>
      <c r="AY76" s="228">
        <f>100*0.719</f>
        <v>71.899999999999991</v>
      </c>
      <c r="AZ76" s="228">
        <v>199218</v>
      </c>
      <c r="BA76" s="228">
        <f>100*0.0419</f>
        <v>4.1900000000000004</v>
      </c>
      <c r="BB76" s="228">
        <f>100*0.469</f>
        <v>46.9</v>
      </c>
      <c r="BC76" s="228">
        <f>100*0.0393</f>
        <v>3.93</v>
      </c>
      <c r="BD76" s="228">
        <f>100*0.0016</f>
        <v>0.16</v>
      </c>
      <c r="BE76" s="228">
        <f>100*0.49</f>
        <v>49</v>
      </c>
      <c r="BF76" s="228">
        <f>100*0.343</f>
        <v>34.300000000000004</v>
      </c>
      <c r="BG76" s="228">
        <f>100*0.0373</f>
        <v>3.73</v>
      </c>
      <c r="BH76" s="228">
        <f>100*0.0036</f>
        <v>0.36</v>
      </c>
      <c r="BI76" s="228">
        <f>100*0.616</f>
        <v>61.6</v>
      </c>
      <c r="BJ76" s="228">
        <f>100*0.333</f>
        <v>33.300000000000004</v>
      </c>
      <c r="BK76" s="228">
        <f>100*0.0285</f>
        <v>2.85</v>
      </c>
      <c r="BL76" s="228">
        <f>100*0.0282</f>
        <v>2.82</v>
      </c>
      <c r="BM76" s="228">
        <f>100*0.61</f>
        <v>61</v>
      </c>
      <c r="BN76" s="228">
        <f>100*0.199</f>
        <v>19.900000000000002</v>
      </c>
      <c r="BO76" s="228">
        <f>100*0.0209</f>
        <v>2.09</v>
      </c>
      <c r="BP76" s="228">
        <f>100*0.0358</f>
        <v>3.58</v>
      </c>
      <c r="BQ76" s="228">
        <f>100*0.744</f>
        <v>74.400000000000006</v>
      </c>
      <c r="BR76" s="228">
        <f>100*0.286</f>
        <v>28.599999999999998</v>
      </c>
      <c r="BS76" s="228">
        <f>100*0.0679</f>
        <v>6.79</v>
      </c>
      <c r="BT76" s="228">
        <f>100*0.256</f>
        <v>25.6</v>
      </c>
      <c r="BU76" s="228">
        <f>100*0.391</f>
        <v>39.1</v>
      </c>
      <c r="BV76" s="228">
        <f>100*0.0283</f>
        <v>2.83</v>
      </c>
      <c r="BW76" s="228">
        <f>100*0.0028</f>
        <v>0.27999999999999997</v>
      </c>
      <c r="BX76" s="228">
        <f>100*0.173</f>
        <v>17.299999999999997</v>
      </c>
      <c r="BY76" s="228">
        <f>100*0.796</f>
        <v>79.600000000000009</v>
      </c>
      <c r="BZ76" s="240">
        <v>1</v>
      </c>
      <c r="CA76" s="241">
        <v>889000</v>
      </c>
      <c r="CB76" s="241">
        <v>871000</v>
      </c>
      <c r="CC76" s="250">
        <v>2780</v>
      </c>
      <c r="CD76" s="250">
        <v>13558</v>
      </c>
      <c r="CE76" s="250">
        <v>10597</v>
      </c>
      <c r="CF76" s="250">
        <v>17630</v>
      </c>
      <c r="CG76" s="250">
        <v>211400</v>
      </c>
      <c r="CH76" s="250">
        <v>25545</v>
      </c>
      <c r="CI76" s="250">
        <v>98</v>
      </c>
      <c r="CJ76" s="250">
        <v>0.31</v>
      </c>
      <c r="CK76" s="250">
        <v>1.53</v>
      </c>
      <c r="CL76" s="250">
        <v>1.19</v>
      </c>
      <c r="CM76" s="250">
        <v>1.98</v>
      </c>
      <c r="CN76" s="250">
        <v>23.8</v>
      </c>
      <c r="CO76" s="250">
        <v>2.87</v>
      </c>
      <c r="CP76" s="250">
        <v>0.32</v>
      </c>
      <c r="CQ76" s="250">
        <v>1.56</v>
      </c>
      <c r="CR76" s="250">
        <v>1.22</v>
      </c>
      <c r="CS76" s="250">
        <v>2.02</v>
      </c>
      <c r="CT76" s="250">
        <v>24.3</v>
      </c>
      <c r="CU76" s="250">
        <v>2.93</v>
      </c>
    </row>
    <row r="77" spans="1:101" s="5" customFormat="1">
      <c r="A77" s="54" t="s">
        <v>326</v>
      </c>
      <c r="B77" s="54" t="s">
        <v>97</v>
      </c>
      <c r="C77" s="54"/>
      <c r="D77" s="54" t="s">
        <v>290</v>
      </c>
      <c r="E77" s="97">
        <v>32066</v>
      </c>
      <c r="F77" s="97">
        <v>42780</v>
      </c>
      <c r="G77" s="97">
        <v>43112</v>
      </c>
      <c r="H77" s="97" t="s">
        <v>151</v>
      </c>
      <c r="I77" s="74">
        <f t="shared" ref="I77:I86" si="14">(G77-E77)/365.25</f>
        <v>30.242299794661189</v>
      </c>
      <c r="J77" s="74">
        <f t="shared" ref="J77:J86" si="15">G77-E77</f>
        <v>11046</v>
      </c>
      <c r="K77" s="74">
        <f t="shared" ref="K77:K86" si="16">G77-F77</f>
        <v>332</v>
      </c>
      <c r="L77" s="76" t="s">
        <v>109</v>
      </c>
      <c r="M77" s="76" t="s">
        <v>109</v>
      </c>
      <c r="N77" s="70" t="s">
        <v>225</v>
      </c>
      <c r="O77" s="71"/>
      <c r="P77" s="71"/>
      <c r="Q77" s="155" t="s">
        <v>327</v>
      </c>
      <c r="R77" s="77" t="s">
        <v>328</v>
      </c>
      <c r="S77" s="159" t="s">
        <v>137</v>
      </c>
      <c r="T77" s="160">
        <v>1494.16</v>
      </c>
      <c r="U77" s="160">
        <v>77.17</v>
      </c>
      <c r="V77" s="72">
        <f t="shared" ref="V77:V86" si="17">T77-U77</f>
        <v>1416.99</v>
      </c>
      <c r="W77" s="77" t="s">
        <v>228</v>
      </c>
      <c r="X77" s="73">
        <v>7025000</v>
      </c>
      <c r="Y77" s="177">
        <f>X77*V77</f>
        <v>9954354750</v>
      </c>
      <c r="Z77" s="73">
        <v>5680000</v>
      </c>
      <c r="AA77" s="77" t="s">
        <v>327</v>
      </c>
      <c r="AB77" s="177" t="s">
        <v>301</v>
      </c>
      <c r="AC77" s="54" t="s">
        <v>329</v>
      </c>
      <c r="AD77" s="54">
        <v>47913</v>
      </c>
      <c r="AE77" s="54">
        <v>7362</v>
      </c>
      <c r="AF77" s="54">
        <f>100*0.155</f>
        <v>15.5</v>
      </c>
      <c r="AG77" s="54">
        <f>100*0.05015</f>
        <v>5.0149999999999997</v>
      </c>
      <c r="AH77" s="54">
        <v>162</v>
      </c>
      <c r="AI77" s="54">
        <f>100*0.0035</f>
        <v>0.35000000000000003</v>
      </c>
      <c r="AJ77" s="54">
        <v>6305</v>
      </c>
      <c r="AK77" s="54">
        <f>100*0.163</f>
        <v>16.3</v>
      </c>
      <c r="AL77" s="54">
        <f>100*0.0171</f>
        <v>1.71</v>
      </c>
      <c r="AM77" s="54">
        <f>100*0.00245</f>
        <v>0.245</v>
      </c>
      <c r="AN77" s="54">
        <f>100*0.826</f>
        <v>82.6</v>
      </c>
      <c r="AO77" s="54">
        <f>100*0.0178</f>
        <v>1.78</v>
      </c>
      <c r="AP77" s="54">
        <v>10236</v>
      </c>
      <c r="AQ77" s="54">
        <f>100*0.1554023</f>
        <v>15.540229999999999</v>
      </c>
      <c r="AR77" s="54">
        <f>100*0.433</f>
        <v>43.3</v>
      </c>
      <c r="AS77" s="54">
        <f>100*0.242</f>
        <v>24.2</v>
      </c>
      <c r="AT77" s="54">
        <f>100*0.2239</f>
        <v>22.39</v>
      </c>
      <c r="AU77" s="54">
        <f>100*0.0996</f>
        <v>9.9599999999999991</v>
      </c>
      <c r="AV77" s="54">
        <f>100*0.102</f>
        <v>10.199999999999999</v>
      </c>
      <c r="AW77" s="54">
        <f>100*0.0909</f>
        <v>9.09</v>
      </c>
      <c r="AX77" s="54">
        <f>100*0.3489</f>
        <v>34.89</v>
      </c>
      <c r="AY77" s="54">
        <f>100*0.455</f>
        <v>45.5</v>
      </c>
      <c r="AZ77" s="54">
        <v>21756</v>
      </c>
      <c r="BA77" s="54">
        <f>100*0.08065</f>
        <v>8.0649999999999995</v>
      </c>
      <c r="BB77" s="54">
        <f>100*0.6759508</f>
        <v>67.595079999999996</v>
      </c>
      <c r="BC77" s="54">
        <f>100*0.0708764</f>
        <v>7.0876400000000004</v>
      </c>
      <c r="BD77" s="54">
        <f>100*0.0303528</f>
        <v>3.0352799999999998</v>
      </c>
      <c r="BE77" s="54">
        <f>100*0.223</f>
        <v>22.3</v>
      </c>
      <c r="BF77" s="54">
        <f>100*0.53474</f>
        <v>53.473999999999997</v>
      </c>
      <c r="BG77" s="54">
        <f>100*0.049155</f>
        <v>4.9154999999999998</v>
      </c>
      <c r="BH77" s="54">
        <f>100*0.0444528</f>
        <v>4.4452800000000003</v>
      </c>
      <c r="BI77" s="54">
        <f>100*0.371</f>
        <v>37.1</v>
      </c>
      <c r="BJ77" s="54">
        <f>100*0.10086</f>
        <v>10.086</v>
      </c>
      <c r="BK77" s="54">
        <f>100*0.0382</f>
        <v>3.82</v>
      </c>
      <c r="BL77" s="54">
        <f>100*0.173</f>
        <v>17.299999999999997</v>
      </c>
      <c r="BM77" s="54">
        <f>100*0.685</f>
        <v>68.5</v>
      </c>
      <c r="BN77" s="54">
        <f>100*0.38462</f>
        <v>38.462000000000003</v>
      </c>
      <c r="BO77" s="54">
        <f>100*0.106</f>
        <v>10.6</v>
      </c>
      <c r="BP77" s="54">
        <f>100*0.102</f>
        <v>10.199999999999999</v>
      </c>
      <c r="BQ77" s="54">
        <f>100*0.407</f>
        <v>40.699999999999996</v>
      </c>
      <c r="BR77" s="54">
        <f>100*0.32484</f>
        <v>32.484000000000002</v>
      </c>
      <c r="BS77" s="54">
        <f>100*0.56892</f>
        <v>56.891999999999996</v>
      </c>
      <c r="BT77" s="54">
        <f>100*0.0615</f>
        <v>6.15</v>
      </c>
      <c r="BU77" s="54">
        <f>100*0.0455</f>
        <v>4.55</v>
      </c>
      <c r="BV77" s="54">
        <f>100*0.235</f>
        <v>23.5</v>
      </c>
      <c r="BW77" s="54">
        <f>100*0.389855</f>
        <v>38.985500000000002</v>
      </c>
      <c r="BX77" s="54">
        <f>100*0.209</f>
        <v>20.9</v>
      </c>
      <c r="BY77" s="54">
        <f>100*0.173</f>
        <v>17.299999999999997</v>
      </c>
      <c r="BZ77" s="121">
        <f t="shared" ref="BZ77:BZ86" si="18">AD77/CA77</f>
        <v>1.2942802661225862E-2</v>
      </c>
      <c r="CA77" s="81">
        <v>3701903</v>
      </c>
      <c r="CB77" s="81">
        <v>1430000</v>
      </c>
      <c r="CC77" s="56">
        <v>1410000</v>
      </c>
      <c r="CD77" s="56">
        <v>29761</v>
      </c>
      <c r="CE77" s="56">
        <v>157</v>
      </c>
      <c r="CF77" s="56">
        <v>2323</v>
      </c>
      <c r="CG77" s="56">
        <v>795000</v>
      </c>
      <c r="CH77" s="56">
        <v>41935</v>
      </c>
      <c r="CI77" s="56">
        <v>2954</v>
      </c>
      <c r="CJ77" s="56">
        <v>0.98599999999999999</v>
      </c>
      <c r="CK77" s="56">
        <v>2.0799999999999999E-2</v>
      </c>
      <c r="CL77" s="56">
        <v>1.0999999999999999E-4</v>
      </c>
      <c r="CM77" s="56">
        <v>1.6000000000000001E-3</v>
      </c>
      <c r="CN77" s="56">
        <v>0.55600000000000005</v>
      </c>
      <c r="CO77" s="56">
        <v>2.9300000000000003E-2</v>
      </c>
      <c r="CP77" s="56">
        <v>2.0999999999999999E-3</v>
      </c>
      <c r="CQ77" s="56">
        <v>2.1099999999999997E-2</v>
      </c>
      <c r="CR77" s="56">
        <v>1.0999999999999999E-4</v>
      </c>
      <c r="CS77" s="56">
        <v>1.6000000000000001E-3</v>
      </c>
      <c r="CT77" s="56">
        <v>0.56399999999999995</v>
      </c>
      <c r="CU77" s="56">
        <v>2.9700000000000001E-2</v>
      </c>
      <c r="CV77" s="54">
        <v>2.0950354609929078E-3</v>
      </c>
      <c r="CW77" s="54"/>
    </row>
    <row r="78" spans="1:101" s="5" customFormat="1" ht="36">
      <c r="A78" s="54" t="s">
        <v>330</v>
      </c>
      <c r="B78" s="54" t="s">
        <v>97</v>
      </c>
      <c r="C78" s="54"/>
      <c r="D78" s="54" t="s">
        <v>290</v>
      </c>
      <c r="E78" s="97">
        <v>26089</v>
      </c>
      <c r="F78" s="97">
        <v>42198</v>
      </c>
      <c r="G78" s="97">
        <v>42898</v>
      </c>
      <c r="H78" s="97" t="s">
        <v>151</v>
      </c>
      <c r="I78" s="68">
        <f t="shared" si="14"/>
        <v>46.020533880903493</v>
      </c>
      <c r="J78" s="74">
        <f t="shared" si="15"/>
        <v>16809</v>
      </c>
      <c r="K78" s="74">
        <f t="shared" si="16"/>
        <v>700</v>
      </c>
      <c r="L78" s="69" t="s">
        <v>109</v>
      </c>
      <c r="M78" s="69" t="s">
        <v>100</v>
      </c>
      <c r="N78" s="70" t="s">
        <v>331</v>
      </c>
      <c r="O78" s="71"/>
      <c r="P78" s="71"/>
      <c r="Q78" s="155"/>
      <c r="R78" s="77" t="s">
        <v>332</v>
      </c>
      <c r="S78" s="159" t="s">
        <v>333</v>
      </c>
      <c r="T78" s="160">
        <v>1768.52</v>
      </c>
      <c r="U78" s="160">
        <v>91.88</v>
      </c>
      <c r="V78" s="72">
        <f t="shared" si="17"/>
        <v>1676.6399999999999</v>
      </c>
      <c r="W78" s="187" t="s">
        <v>334</v>
      </c>
      <c r="X78" s="73">
        <v>1927000</v>
      </c>
      <c r="Y78" s="177">
        <f>X78*V78</f>
        <v>3230885279.9999995</v>
      </c>
      <c r="Z78" s="73" t="s">
        <v>335</v>
      </c>
      <c r="AA78" s="77" t="s">
        <v>336</v>
      </c>
      <c r="AB78" s="177" t="s">
        <v>337</v>
      </c>
      <c r="AC78" s="54" t="s">
        <v>338</v>
      </c>
      <c r="AD78" s="54">
        <v>1339</v>
      </c>
      <c r="AE78" s="54">
        <v>14</v>
      </c>
      <c r="AF78" s="54">
        <f>100*0.0118</f>
        <v>1.18</v>
      </c>
      <c r="AG78" s="54">
        <v>0</v>
      </c>
      <c r="AH78" s="54">
        <v>0</v>
      </c>
      <c r="AI78" s="54">
        <v>0</v>
      </c>
      <c r="AJ78" s="54">
        <v>38</v>
      </c>
      <c r="AK78" s="54">
        <f>100*0.031</f>
        <v>3.1</v>
      </c>
      <c r="AL78" s="54">
        <v>0</v>
      </c>
      <c r="AM78" s="54">
        <v>0</v>
      </c>
      <c r="AN78" s="54">
        <f>100*0.842</f>
        <v>84.2</v>
      </c>
      <c r="AO78" s="54">
        <f>100*0.087</f>
        <v>8.6999999999999993</v>
      </c>
      <c r="AP78" s="54">
        <v>405</v>
      </c>
      <c r="AQ78" s="54">
        <v>0</v>
      </c>
      <c r="AR78" s="54">
        <f>100*0.5213</f>
        <v>52.129999999999995</v>
      </c>
      <c r="AS78" s="54">
        <f>100*0.136</f>
        <v>13.600000000000001</v>
      </c>
      <c r="AT78" s="54">
        <f>100*0.0764</f>
        <v>7.64</v>
      </c>
      <c r="AU78" s="54">
        <f>100*0.2545</f>
        <v>25.45</v>
      </c>
      <c r="AV78" s="54">
        <v>0</v>
      </c>
      <c r="AW78" s="54">
        <f>100*0.0123</f>
        <v>1.23</v>
      </c>
      <c r="AX78" s="54">
        <f>100*0.212</f>
        <v>21.2</v>
      </c>
      <c r="AY78" s="54">
        <f>100*0.781</f>
        <v>78.100000000000009</v>
      </c>
      <c r="AZ78" s="54">
        <v>770</v>
      </c>
      <c r="BA78" s="54">
        <v>0</v>
      </c>
      <c r="BB78" s="54">
        <f>100*0.603</f>
        <v>60.3</v>
      </c>
      <c r="BC78" s="54">
        <f>100*0.069</f>
        <v>6.9</v>
      </c>
      <c r="BD78" s="54">
        <f>100*0.00105</f>
        <v>0.105</v>
      </c>
      <c r="BE78" s="54">
        <f>100*0.3195</f>
        <v>31.95</v>
      </c>
      <c r="BF78" s="54">
        <f>100*0.0076</f>
        <v>0.76</v>
      </c>
      <c r="BG78" s="54">
        <f>100*0.0252</f>
        <v>2.52</v>
      </c>
      <c r="BH78" s="54">
        <f>100*0.0455</f>
        <v>4.55</v>
      </c>
      <c r="BI78" s="54">
        <f>100*0.917</f>
        <v>91.7</v>
      </c>
      <c r="BJ78" s="54">
        <f>100*0.6235</f>
        <v>62.350000000000009</v>
      </c>
      <c r="BK78" s="54">
        <f>100*0.0665</f>
        <v>6.65</v>
      </c>
      <c r="BL78" s="54">
        <v>0</v>
      </c>
      <c r="BM78" s="54">
        <f>100*0.3095</f>
        <v>30.95</v>
      </c>
      <c r="BN78" s="54">
        <f>100*0.733</f>
        <v>73.3</v>
      </c>
      <c r="BO78" s="54">
        <f>100*0.1</f>
        <v>10</v>
      </c>
      <c r="BP78" s="54">
        <v>0</v>
      </c>
      <c r="BQ78" s="54">
        <f>100*0.2</f>
        <v>20</v>
      </c>
      <c r="BR78" s="54">
        <f>100*0.5245</f>
        <v>52.449999999999996</v>
      </c>
      <c r="BS78" s="54">
        <f>100*0.0729</f>
        <v>7.2900000000000009</v>
      </c>
      <c r="BT78" s="54">
        <f>100*0.0102</f>
        <v>1.02</v>
      </c>
      <c r="BU78" s="54">
        <f>100*0.3485</f>
        <v>34.849999999999994</v>
      </c>
      <c r="BV78" s="54">
        <v>0</v>
      </c>
      <c r="BW78" s="54">
        <v>0</v>
      </c>
      <c r="BX78" s="54">
        <f>100*0.0612</f>
        <v>6.12</v>
      </c>
      <c r="BY78" s="54">
        <f>100*0.939</f>
        <v>93.899999999999991</v>
      </c>
      <c r="BZ78" s="121">
        <f t="shared" si="18"/>
        <v>5.3691006054773643E-3</v>
      </c>
      <c r="CA78" s="81">
        <v>249390</v>
      </c>
      <c r="CB78" s="81">
        <v>496000</v>
      </c>
      <c r="CC78" s="56">
        <v>483000</v>
      </c>
      <c r="CD78" s="56">
        <v>1239</v>
      </c>
      <c r="CE78" s="56">
        <v>247</v>
      </c>
      <c r="CF78" s="56">
        <v>46</v>
      </c>
      <c r="CG78" s="56">
        <v>372815</v>
      </c>
      <c r="CH78" s="56">
        <v>83181</v>
      </c>
      <c r="CI78" s="56">
        <v>2029</v>
      </c>
      <c r="CJ78" s="56">
        <v>0.97400000000000009</v>
      </c>
      <c r="CK78" s="56">
        <v>2.5000000000000001E-3</v>
      </c>
      <c r="CL78" s="56">
        <v>5.0000000000000001E-4</v>
      </c>
      <c r="CM78" s="56">
        <v>9.2700000000000004E-5</v>
      </c>
      <c r="CN78" s="56">
        <v>0.752</v>
      </c>
      <c r="CO78" s="56">
        <v>0.16800000000000001</v>
      </c>
      <c r="CP78" s="56">
        <v>4.0999999999999995E-3</v>
      </c>
      <c r="CQ78" s="56">
        <v>2.5999999999999999E-3</v>
      </c>
      <c r="CR78" s="56">
        <v>5.0999999999999993E-4</v>
      </c>
      <c r="CS78" s="56">
        <v>9.520000000000001E-5</v>
      </c>
      <c r="CT78" s="56">
        <v>0.77200000000000002</v>
      </c>
      <c r="CU78" s="56">
        <v>0.17199999999999999</v>
      </c>
      <c r="CV78" s="54">
        <v>4.2008281573498963E-3</v>
      </c>
      <c r="CW78" s="54"/>
    </row>
    <row r="79" spans="1:101" s="228" customFormat="1" ht="24">
      <c r="A79" s="228" t="s">
        <v>339</v>
      </c>
      <c r="B79" s="228" t="s">
        <v>97</v>
      </c>
      <c r="D79" s="228" t="s">
        <v>290</v>
      </c>
      <c r="E79" s="229">
        <v>27389</v>
      </c>
      <c r="F79" s="229">
        <v>42605</v>
      </c>
      <c r="G79" s="229">
        <v>42896</v>
      </c>
      <c r="H79" s="229" t="s">
        <v>151</v>
      </c>
      <c r="I79" s="231">
        <f t="shared" si="14"/>
        <v>42.455852156057496</v>
      </c>
      <c r="J79" s="251">
        <f t="shared" si="15"/>
        <v>15507</v>
      </c>
      <c r="K79" s="251">
        <f t="shared" si="16"/>
        <v>291</v>
      </c>
      <c r="L79" s="232" t="s">
        <v>100</v>
      </c>
      <c r="M79" s="232" t="s">
        <v>109</v>
      </c>
      <c r="N79" s="233" t="s">
        <v>201</v>
      </c>
      <c r="O79" s="234"/>
      <c r="P79" s="234"/>
      <c r="Q79" s="230"/>
      <c r="R79" s="253" t="s">
        <v>102</v>
      </c>
      <c r="S79" s="260"/>
      <c r="T79" s="236">
        <v>2949.69</v>
      </c>
      <c r="U79" s="236">
        <v>71.95</v>
      </c>
      <c r="V79" s="237">
        <f t="shared" si="17"/>
        <v>2877.7400000000002</v>
      </c>
      <c r="W79" s="255" t="s">
        <v>334</v>
      </c>
      <c r="X79" s="238">
        <v>9780000</v>
      </c>
      <c r="Y79" s="239">
        <f>X79*V79</f>
        <v>28144297200.000004</v>
      </c>
      <c r="Z79" s="238">
        <v>1500000000</v>
      </c>
      <c r="AA79" s="253" t="s">
        <v>340</v>
      </c>
      <c r="AB79" s="239" t="s">
        <v>301</v>
      </c>
      <c r="AC79" s="228" t="s">
        <v>341</v>
      </c>
      <c r="AD79" s="228">
        <v>3325</v>
      </c>
      <c r="AE79" s="228">
        <v>70</v>
      </c>
      <c r="AF79" s="228">
        <f>100*0.0218</f>
        <v>2.1800000000000002</v>
      </c>
      <c r="AG79" s="228">
        <v>0</v>
      </c>
      <c r="AH79" s="228">
        <v>0</v>
      </c>
      <c r="AI79" s="228">
        <v>0</v>
      </c>
      <c r="AJ79" s="228">
        <v>284</v>
      </c>
      <c r="AK79" s="228">
        <f>100*0.0878</f>
        <v>8.7800000000000011</v>
      </c>
      <c r="AL79" s="228">
        <v>0</v>
      </c>
      <c r="AM79" s="228">
        <v>0</v>
      </c>
      <c r="AN79" s="228">
        <f>100*0.917</f>
        <v>91.7</v>
      </c>
      <c r="AO79" s="228">
        <f>100*0.0038</f>
        <v>0.38</v>
      </c>
      <c r="AP79" s="228">
        <v>506</v>
      </c>
      <c r="AQ79" s="228">
        <f>100*0.00195</f>
        <v>0.19499999999999998</v>
      </c>
      <c r="AR79" s="228">
        <f>100*0.549</f>
        <v>54.900000000000006</v>
      </c>
      <c r="AS79" s="228">
        <f>100*0.287</f>
        <v>28.7</v>
      </c>
      <c r="AT79" s="228">
        <f>100*0.03895</f>
        <v>3.895</v>
      </c>
      <c r="AU79" s="228">
        <f>100*0.12</f>
        <v>12</v>
      </c>
      <c r="AV79" s="228">
        <f>100*0.00635</f>
        <v>0.63500000000000001</v>
      </c>
      <c r="AW79" s="228">
        <f>100*0.0309</f>
        <v>3.09</v>
      </c>
      <c r="AX79" s="228">
        <f>100*0.3195</f>
        <v>31.95</v>
      </c>
      <c r="AY79" s="228">
        <f>100*0.672</f>
        <v>67.2</v>
      </c>
      <c r="AZ79" s="228">
        <v>2292</v>
      </c>
      <c r="BA79" s="228">
        <v>0</v>
      </c>
      <c r="BB79" s="228">
        <f>100*0.7725</f>
        <v>77.25</v>
      </c>
      <c r="BC79" s="228">
        <f>100*0.0336</f>
        <v>3.36</v>
      </c>
      <c r="BD79" s="228">
        <f>100*0.0014</f>
        <v>0.13999999999999999</v>
      </c>
      <c r="BE79" s="228">
        <f>100*0.195</f>
        <v>19.5</v>
      </c>
      <c r="BF79" s="228">
        <f>100*0.0666</f>
        <v>6.660000000000001</v>
      </c>
      <c r="BG79" s="228">
        <f>100*0.0117</f>
        <v>1.17</v>
      </c>
      <c r="BH79" s="228">
        <f>100*0.02995</f>
        <v>2.9950000000000001</v>
      </c>
      <c r="BI79" s="228">
        <f>100*0.898</f>
        <v>89.8</v>
      </c>
      <c r="BJ79" s="228">
        <f>100*0.58</f>
        <v>57.999999999999993</v>
      </c>
      <c r="BK79" s="228">
        <f>100*0.4292</f>
        <v>42.92</v>
      </c>
      <c r="BL79" s="228">
        <f>100*0.0098</f>
        <v>0.98</v>
      </c>
      <c r="BM79" s="228">
        <v>0</v>
      </c>
      <c r="BN79" s="228">
        <f>100*0.0870000000000001</f>
        <v>8.7000000000000099</v>
      </c>
      <c r="BO79" s="228">
        <f>100*0.1647</f>
        <v>16.470000000000002</v>
      </c>
      <c r="BP79" s="228">
        <v>0</v>
      </c>
      <c r="BQ79" s="228">
        <f>100*0.0143</f>
        <v>1.43</v>
      </c>
      <c r="BR79" s="228">
        <f>100*0.6015</f>
        <v>60.150000000000006</v>
      </c>
      <c r="BS79" s="228">
        <f>100*0.377</f>
        <v>37.700000000000003</v>
      </c>
      <c r="BT79" s="228">
        <f>100*0.0173</f>
        <v>1.73</v>
      </c>
      <c r="BU79" s="228">
        <f>100*0.0387</f>
        <v>3.8699999999999997</v>
      </c>
      <c r="BV79" s="228">
        <f>100*0.00155</f>
        <v>0.155</v>
      </c>
      <c r="BW79" s="228">
        <v>0</v>
      </c>
      <c r="BX79" s="228">
        <f>100*0.405</f>
        <v>40.5</v>
      </c>
      <c r="BY79" s="228">
        <f>100*0.613</f>
        <v>61.3</v>
      </c>
      <c r="BZ79" s="240">
        <f>AD79/CA79</f>
        <v>5.3346605006013325E-4</v>
      </c>
      <c r="CA79" s="241">
        <v>6232824</v>
      </c>
      <c r="CB79" s="241">
        <v>445000</v>
      </c>
      <c r="CC79" s="250">
        <v>435000</v>
      </c>
      <c r="CD79" s="250">
        <v>685</v>
      </c>
      <c r="CE79" s="250">
        <v>8</v>
      </c>
      <c r="CF79" s="250">
        <v>238</v>
      </c>
      <c r="CG79" s="250">
        <v>388901</v>
      </c>
      <c r="CH79" s="250">
        <v>28097</v>
      </c>
      <c r="CI79" s="250">
        <v>745</v>
      </c>
      <c r="CJ79" s="250">
        <v>0.97799999999999998</v>
      </c>
      <c r="CK79" s="250">
        <v>1.5E-3</v>
      </c>
      <c r="CL79" s="250">
        <v>1.8E-5</v>
      </c>
      <c r="CM79" s="250">
        <v>5.2999999999999998E-4</v>
      </c>
      <c r="CN79" s="250">
        <v>0.87400000000000011</v>
      </c>
      <c r="CO79" s="250">
        <v>6.3099999999999989E-2</v>
      </c>
      <c r="CP79" s="250">
        <v>1.7000000000000001E-3</v>
      </c>
      <c r="CQ79" s="250">
        <v>1.6000000000000001E-3</v>
      </c>
      <c r="CR79" s="250">
        <v>1.84E-5</v>
      </c>
      <c r="CS79" s="250">
        <v>5.5000000000000003E-4</v>
      </c>
      <c r="CT79" s="250">
        <v>0.89400000000000002</v>
      </c>
      <c r="CU79" s="250">
        <v>6.4600000000000005E-2</v>
      </c>
      <c r="CV79" s="228">
        <v>1.7126436781609196E-3</v>
      </c>
    </row>
    <row r="80" spans="1:101" s="317" customFormat="1">
      <c r="A80" s="228" t="s">
        <v>196</v>
      </c>
      <c r="B80" s="228" t="s">
        <v>108</v>
      </c>
      <c r="C80" s="228"/>
      <c r="D80" s="228" t="s">
        <v>290</v>
      </c>
      <c r="E80" s="229">
        <v>27389</v>
      </c>
      <c r="F80" s="229">
        <v>42605</v>
      </c>
      <c r="G80" s="229">
        <v>43012</v>
      </c>
      <c r="H80" s="229" t="s">
        <v>151</v>
      </c>
      <c r="I80" s="231">
        <v>42.773442847364819</v>
      </c>
      <c r="J80" s="251">
        <v>15623</v>
      </c>
      <c r="K80" s="251">
        <v>407</v>
      </c>
      <c r="L80" s="232" t="s">
        <v>100</v>
      </c>
      <c r="M80" s="258" t="s">
        <v>109</v>
      </c>
      <c r="N80" s="315">
        <v>42895</v>
      </c>
      <c r="O80" s="253">
        <v>1</v>
      </c>
      <c r="P80" s="253" t="s">
        <v>197</v>
      </c>
      <c r="Q80" s="252" t="s">
        <v>111</v>
      </c>
      <c r="R80" s="253" t="s">
        <v>112</v>
      </c>
      <c r="S80" s="254">
        <v>10</v>
      </c>
      <c r="T80" s="236">
        <v>1290.0899999999999</v>
      </c>
      <c r="U80" s="236">
        <v>83.6</v>
      </c>
      <c r="V80" s="237">
        <v>1206.49</v>
      </c>
      <c r="W80" s="255" t="s">
        <v>104</v>
      </c>
      <c r="X80" s="238">
        <v>135000</v>
      </c>
      <c r="Y80" s="239">
        <v>6600000</v>
      </c>
      <c r="Z80" s="238"/>
      <c r="AA80" s="253"/>
      <c r="AB80" s="256">
        <v>19800000</v>
      </c>
      <c r="AC80" s="228" t="s">
        <v>342</v>
      </c>
      <c r="AD80" s="228">
        <v>6637</v>
      </c>
      <c r="AE80" s="228">
        <v>190</v>
      </c>
      <c r="AF80" s="228">
        <f>100*0.0288</f>
        <v>2.88</v>
      </c>
      <c r="AG80" s="228">
        <v>4.2099999999999999E-2</v>
      </c>
      <c r="AH80" s="228">
        <v>57</v>
      </c>
      <c r="AI80" s="228">
        <f>100*0.0086</f>
        <v>0.86</v>
      </c>
      <c r="AJ80" s="228">
        <v>242</v>
      </c>
      <c r="AK80" s="228">
        <f>100*0.0382</f>
        <v>3.82</v>
      </c>
      <c r="AL80" s="228">
        <f>100*0.0083</f>
        <v>0.83</v>
      </c>
      <c r="AM80" s="228">
        <v>0</v>
      </c>
      <c r="AN80" s="228">
        <f>100*0.921</f>
        <v>92.100000000000009</v>
      </c>
      <c r="AO80" s="228">
        <f>100*0.0289</f>
        <v>2.8899999999999997</v>
      </c>
      <c r="AP80" s="228">
        <v>2084</v>
      </c>
      <c r="AQ80" s="228">
        <f>100*0.0657</f>
        <v>6.5699999999999994</v>
      </c>
      <c r="AR80" s="228">
        <f>100*0.437</f>
        <v>43.7</v>
      </c>
      <c r="AS80" s="228">
        <f>100*0.44</f>
        <v>44</v>
      </c>
      <c r="AT80" s="228">
        <f>100*0.0422</f>
        <v>4.22</v>
      </c>
      <c r="AU80" s="228">
        <f>100*0.0801</f>
        <v>8.01</v>
      </c>
      <c r="AV80" s="228">
        <f>100*0.0312</f>
        <v>3.1199999999999997</v>
      </c>
      <c r="AW80" s="228">
        <f>100*0.181</f>
        <v>18.099999999999998</v>
      </c>
      <c r="AX80" s="228">
        <f>100*0.31</f>
        <v>31</v>
      </c>
      <c r="AY80" s="228">
        <f>100*0.477</f>
        <v>47.699999999999996</v>
      </c>
      <c r="AZ80" s="228">
        <v>3598</v>
      </c>
      <c r="BA80" s="228">
        <f>100*0.0072</f>
        <v>0.72</v>
      </c>
      <c r="BB80" s="228">
        <f>100*0.523</f>
        <v>52.300000000000004</v>
      </c>
      <c r="BC80" s="228">
        <f>100*0.324</f>
        <v>32.4</v>
      </c>
      <c r="BD80" s="228">
        <f>100*0.0103</f>
        <v>1.03</v>
      </c>
      <c r="BE80" s="228">
        <f>100*0.143</f>
        <v>14.299999999999999</v>
      </c>
      <c r="BF80" s="228">
        <f>100*0.179</f>
        <v>17.899999999999999</v>
      </c>
      <c r="BG80" s="228">
        <f>100*0.299</f>
        <v>29.9</v>
      </c>
      <c r="BH80" s="228">
        <f>100*0.0353</f>
        <v>3.53</v>
      </c>
      <c r="BI80" s="228">
        <f>100*0.487</f>
        <v>48.699999999999996</v>
      </c>
      <c r="BJ80" s="228">
        <f>100*0.558</f>
        <v>55.800000000000004</v>
      </c>
      <c r="BK80" s="228">
        <f>100*0.437</f>
        <v>43.7</v>
      </c>
      <c r="BL80" s="228">
        <v>0</v>
      </c>
      <c r="BM80" s="228">
        <f>100*0.0053</f>
        <v>0.53</v>
      </c>
      <c r="BN80" s="228">
        <f>100*0.0684</f>
        <v>6.84</v>
      </c>
      <c r="BO80" s="228">
        <f>100*0.0579</f>
        <v>5.79</v>
      </c>
      <c r="BP80" s="228">
        <f>100*0.342</f>
        <v>34.200000000000003</v>
      </c>
      <c r="BQ80" s="228">
        <f>100*0.532</f>
        <v>53.2</v>
      </c>
      <c r="BR80" s="228">
        <f>100*0.504</f>
        <v>50.4</v>
      </c>
      <c r="BS80" s="228">
        <f>100*0.364</f>
        <v>36.4</v>
      </c>
      <c r="BT80" s="228">
        <f>100*0.0413</f>
        <v>4.1300000000000008</v>
      </c>
      <c r="BU80" s="228">
        <f>100*0.0909</f>
        <v>9.09</v>
      </c>
      <c r="BV80" s="228">
        <f>100*0.0041</f>
        <v>0.41000000000000003</v>
      </c>
      <c r="BW80" s="228">
        <f>100*0.0331</f>
        <v>3.3099999999999996</v>
      </c>
      <c r="BX80" s="228">
        <f>100*0.393</f>
        <v>39.300000000000004</v>
      </c>
      <c r="BY80" s="228">
        <f>100*0.57</f>
        <v>56.999999999999993</v>
      </c>
      <c r="BZ80" s="316"/>
      <c r="CA80" s="241"/>
      <c r="CB80" s="241">
        <v>54935</v>
      </c>
      <c r="CC80" s="250">
        <v>42681</v>
      </c>
      <c r="CD80" s="250">
        <v>4990</v>
      </c>
      <c r="CE80" s="250">
        <v>56</v>
      </c>
      <c r="CF80" s="250">
        <v>91</v>
      </c>
      <c r="CG80" s="250">
        <v>1302</v>
      </c>
      <c r="CH80" s="250">
        <v>9021</v>
      </c>
      <c r="CI80" s="250">
        <v>8797</v>
      </c>
      <c r="CJ80" s="250">
        <v>0.77700000000000002</v>
      </c>
      <c r="CK80" s="250">
        <v>9.0800000000000006E-2</v>
      </c>
      <c r="CL80" s="250">
        <v>1E-3</v>
      </c>
      <c r="CM80" s="250">
        <v>1.7000000000000001E-3</v>
      </c>
      <c r="CN80" s="250">
        <v>2.3700000000000002E-2</v>
      </c>
      <c r="CO80" s="250">
        <v>0.16399999999999998</v>
      </c>
      <c r="CP80" s="250">
        <v>0.16</v>
      </c>
      <c r="CQ80" s="250">
        <v>0.11699999999999999</v>
      </c>
      <c r="CR80" s="250">
        <v>1.2999999999999999E-3</v>
      </c>
      <c r="CS80" s="250">
        <v>2.0999999999999999E-3</v>
      </c>
      <c r="CT80" s="250">
        <v>3.0499999999999999E-2</v>
      </c>
      <c r="CU80" s="250">
        <v>0.21100000000000002</v>
      </c>
      <c r="CV80" s="228">
        <v>0.2061104472716197</v>
      </c>
      <c r="CW80" s="228"/>
    </row>
    <row r="81" spans="1:101" s="228" customFormat="1" ht="24">
      <c r="A81" s="228" t="s">
        <v>199</v>
      </c>
      <c r="B81" s="228" t="s">
        <v>108</v>
      </c>
      <c r="D81" s="228" t="s">
        <v>290</v>
      </c>
      <c r="E81" s="243">
        <v>27389</v>
      </c>
      <c r="F81" s="243">
        <v>42605</v>
      </c>
      <c r="G81" s="243">
        <v>43110</v>
      </c>
      <c r="H81" s="243" t="s">
        <v>151</v>
      </c>
      <c r="I81" s="231">
        <f t="shared" si="14"/>
        <v>43.041752224503767</v>
      </c>
      <c r="J81" s="232">
        <f t="shared" si="15"/>
        <v>15721</v>
      </c>
      <c r="K81" s="232">
        <f t="shared" si="16"/>
        <v>505</v>
      </c>
      <c r="L81" s="232" t="s">
        <v>100</v>
      </c>
      <c r="M81" s="232" t="s">
        <v>109</v>
      </c>
      <c r="N81" s="233" t="s">
        <v>200</v>
      </c>
      <c r="O81" s="244" t="e">
        <f>N81-G81</f>
        <v>#VALUE!</v>
      </c>
      <c r="P81" s="234" t="s">
        <v>201</v>
      </c>
      <c r="Q81" s="243" t="s">
        <v>111</v>
      </c>
      <c r="R81" s="235" t="s">
        <v>112</v>
      </c>
      <c r="S81" s="245">
        <v>10</v>
      </c>
      <c r="T81" s="244">
        <v>2902.66</v>
      </c>
      <c r="U81" s="246">
        <v>68.77</v>
      </c>
      <c r="V81" s="247">
        <f t="shared" si="17"/>
        <v>2833.89</v>
      </c>
      <c r="W81" s="235"/>
      <c r="X81" s="248"/>
      <c r="Y81" s="249">
        <v>13000000</v>
      </c>
      <c r="Z81" s="248"/>
      <c r="AA81" s="235"/>
      <c r="AB81" s="249">
        <v>50900000</v>
      </c>
      <c r="AC81" s="228" t="s">
        <v>343</v>
      </c>
      <c r="AD81" s="228">
        <v>105665</v>
      </c>
      <c r="AE81" s="228">
        <v>867</v>
      </c>
      <c r="AF81" s="228">
        <f>100*0.0086</f>
        <v>0.86</v>
      </c>
      <c r="AG81" s="228">
        <f>100*0.0565</f>
        <v>5.65</v>
      </c>
      <c r="AH81" s="228">
        <v>360</v>
      </c>
      <c r="AI81" s="228">
        <f>100*0.0036</f>
        <v>0.36</v>
      </c>
      <c r="AJ81" s="228">
        <v>1744</v>
      </c>
      <c r="AK81" s="228">
        <f>100*0.0175</f>
        <v>1.7500000000000002</v>
      </c>
      <c r="AL81" s="228">
        <f>100*0.0722</f>
        <v>7.22</v>
      </c>
      <c r="AM81" s="228">
        <f>100*0.0126</f>
        <v>1.26</v>
      </c>
      <c r="AN81" s="228">
        <f>100*0.889</f>
        <v>88.9</v>
      </c>
      <c r="AO81" s="228">
        <f>100*0.0206</f>
        <v>2.06</v>
      </c>
      <c r="AP81" s="228">
        <v>25417</v>
      </c>
      <c r="AQ81" s="228">
        <f>100*0.041</f>
        <v>4.1000000000000005</v>
      </c>
      <c r="AR81" s="228">
        <f>100*0.342</f>
        <v>34.200000000000003</v>
      </c>
      <c r="AS81" s="228">
        <f>100*0.403</f>
        <v>40.300000000000004</v>
      </c>
      <c r="AT81" s="228">
        <f>100*0.0668</f>
        <v>6.68</v>
      </c>
      <c r="AU81" s="228">
        <f>100*0.189</f>
        <v>18.899999999999999</v>
      </c>
      <c r="AV81" s="228">
        <f>100*0.105</f>
        <v>10.5</v>
      </c>
      <c r="AW81" s="228">
        <f>100*0.299</f>
        <v>29.9</v>
      </c>
      <c r="AX81" s="228">
        <f>100*0.177</f>
        <v>17.7</v>
      </c>
      <c r="AY81" s="228">
        <f>100*0.419</f>
        <v>41.9</v>
      </c>
      <c r="AZ81" s="228">
        <v>60113</v>
      </c>
      <c r="BA81" s="228">
        <f>100*0.0046</f>
        <v>0.45999999999999996</v>
      </c>
      <c r="BB81" s="228">
        <f>100*0.554</f>
        <v>55.400000000000006</v>
      </c>
      <c r="BC81" s="228">
        <f>100*0.221</f>
        <v>22.1</v>
      </c>
      <c r="BD81" s="228">
        <f>100*0.0117</f>
        <v>1.17</v>
      </c>
      <c r="BE81" s="228">
        <f>100*0.213</f>
        <v>21.3</v>
      </c>
      <c r="BF81" s="228">
        <f>100*0.234</f>
        <v>23.400000000000002</v>
      </c>
      <c r="BG81" s="228">
        <f>100*0.201</f>
        <v>20.100000000000001</v>
      </c>
      <c r="BH81" s="228">
        <f>100*0.0196</f>
        <v>1.96</v>
      </c>
      <c r="BI81" s="228">
        <f>100*0.545</f>
        <v>54.500000000000007</v>
      </c>
      <c r="BJ81" s="228">
        <f>100*0.606</f>
        <v>60.6</v>
      </c>
      <c r="BK81" s="228">
        <f>100*0.201</f>
        <v>20.100000000000001</v>
      </c>
      <c r="BL81" s="228">
        <f>100*0.0358</f>
        <v>3.58</v>
      </c>
      <c r="BM81" s="228">
        <f>100*0.158</f>
        <v>15.8</v>
      </c>
      <c r="BN81" s="228">
        <f>100*0.271</f>
        <v>27.1</v>
      </c>
      <c r="BO81" s="228">
        <f>100*0.187</f>
        <v>18.7</v>
      </c>
      <c r="BP81" s="228">
        <f>100*0.185</f>
        <v>18.5</v>
      </c>
      <c r="BQ81" s="228">
        <f>100*0.358</f>
        <v>35.799999999999997</v>
      </c>
      <c r="BR81" s="228">
        <f>100*0.481</f>
        <v>48.1</v>
      </c>
      <c r="BS81" s="228">
        <f>100*0.232</f>
        <v>23.200000000000003</v>
      </c>
      <c r="BT81" s="228">
        <f>100*0.0671</f>
        <v>6.7100000000000009</v>
      </c>
      <c r="BU81" s="228">
        <f>100*0.22</f>
        <v>22</v>
      </c>
      <c r="BV81" s="228">
        <f>100*0.121</f>
        <v>12.1</v>
      </c>
      <c r="BW81" s="228">
        <f>100*0.055</f>
        <v>5.5</v>
      </c>
      <c r="BX81" s="228">
        <f>100*0.247</f>
        <v>24.7</v>
      </c>
      <c r="BY81" s="228">
        <f>100*0.577</f>
        <v>57.699999999999996</v>
      </c>
      <c r="BZ81" s="240">
        <f>AD81/CA81</f>
        <v>0.42933356087016583</v>
      </c>
      <c r="CA81" s="241">
        <v>246114</v>
      </c>
      <c r="CB81" s="241">
        <v>1330000</v>
      </c>
      <c r="CC81" s="250">
        <v>1280000</v>
      </c>
      <c r="CD81" s="250">
        <v>218589</v>
      </c>
      <c r="CE81" s="250">
        <v>2736</v>
      </c>
      <c r="CF81" s="250">
        <v>9620</v>
      </c>
      <c r="CG81" s="250">
        <v>33823</v>
      </c>
      <c r="CH81" s="250">
        <v>377507</v>
      </c>
      <c r="CI81" s="250">
        <v>126520</v>
      </c>
      <c r="CJ81" s="250">
        <v>0.96200000000000008</v>
      </c>
      <c r="CK81" s="250">
        <v>0.16399999999999998</v>
      </c>
      <c r="CL81" s="250">
        <v>2.0999999999999999E-3</v>
      </c>
      <c r="CM81" s="250">
        <v>7.1999999999999998E-3</v>
      </c>
      <c r="CN81" s="250">
        <v>2.5399999999999999E-2</v>
      </c>
      <c r="CO81" s="250">
        <v>0.28399999999999997</v>
      </c>
      <c r="CP81" s="250">
        <v>9.5100000000000004E-2</v>
      </c>
      <c r="CQ81" s="250">
        <v>0.17100000000000001</v>
      </c>
      <c r="CR81" s="250">
        <v>2.0999999999999999E-3</v>
      </c>
      <c r="CS81" s="250">
        <v>7.4999999999999997E-3</v>
      </c>
      <c r="CT81" s="250">
        <v>2.64E-2</v>
      </c>
      <c r="CU81" s="250">
        <v>0.29499999999999998</v>
      </c>
      <c r="CV81" s="228">
        <v>9.8843749999999994E-2</v>
      </c>
    </row>
    <row r="82" spans="1:101" s="5" customFormat="1">
      <c r="A82" s="54" t="s">
        <v>203</v>
      </c>
      <c r="B82" s="54" t="s">
        <v>97</v>
      </c>
      <c r="C82" s="54"/>
      <c r="D82" s="54" t="s">
        <v>290</v>
      </c>
      <c r="E82" s="97">
        <v>25572</v>
      </c>
      <c r="F82" s="97">
        <v>42826</v>
      </c>
      <c r="G82" s="97">
        <v>42947</v>
      </c>
      <c r="H82" s="97" t="s">
        <v>99</v>
      </c>
      <c r="I82" s="68">
        <f t="shared" si="14"/>
        <v>47.570157426420259</v>
      </c>
      <c r="J82" s="74">
        <f t="shared" si="15"/>
        <v>17375</v>
      </c>
      <c r="K82" s="74">
        <f t="shared" si="16"/>
        <v>121</v>
      </c>
      <c r="L82" s="69" t="s">
        <v>109</v>
      </c>
      <c r="M82" s="76" t="s">
        <v>109</v>
      </c>
      <c r="N82" s="77" t="s">
        <v>204</v>
      </c>
      <c r="O82" s="77"/>
      <c r="P82" s="77"/>
      <c r="Q82" s="155" t="s">
        <v>205</v>
      </c>
      <c r="R82" s="77" t="s">
        <v>102</v>
      </c>
      <c r="S82" s="159" t="s">
        <v>206</v>
      </c>
      <c r="T82" s="160">
        <v>2331.34</v>
      </c>
      <c r="U82" s="160">
        <v>72.08</v>
      </c>
      <c r="V82" s="72">
        <f t="shared" si="17"/>
        <v>2259.2600000000002</v>
      </c>
      <c r="W82" s="187" t="s">
        <v>104</v>
      </c>
      <c r="X82" s="73">
        <v>135000</v>
      </c>
      <c r="Y82" s="177">
        <f>X82*V82</f>
        <v>305000100</v>
      </c>
      <c r="Z82" s="73">
        <v>12000000</v>
      </c>
      <c r="AA82" s="77" t="s">
        <v>207</v>
      </c>
      <c r="AB82" s="176">
        <v>2250000</v>
      </c>
      <c r="AC82" s="54" t="s">
        <v>344</v>
      </c>
      <c r="AD82" s="54">
        <v>3017</v>
      </c>
      <c r="AE82" s="54">
        <v>69</v>
      </c>
      <c r="AF82" s="54">
        <f>100*0.0289</f>
        <v>2.8899999999999997</v>
      </c>
      <c r="AG82" s="54">
        <v>0.48880000000000001</v>
      </c>
      <c r="AH82" s="54">
        <v>0.5</v>
      </c>
      <c r="AI82" s="54">
        <f>100*0.000165</f>
        <v>1.6500000000000001E-2</v>
      </c>
      <c r="AJ82" s="54">
        <v>27.5</v>
      </c>
      <c r="AK82" s="54">
        <f>100*0.0123</f>
        <v>1.23</v>
      </c>
      <c r="AL82" s="54">
        <f>100*0.429</f>
        <v>42.9</v>
      </c>
      <c r="AM82" s="54">
        <f>100*0.0238</f>
        <v>2.3800000000000003</v>
      </c>
      <c r="AN82" s="54">
        <f>100*0.737</f>
        <v>73.7</v>
      </c>
      <c r="AO82" s="54">
        <f>100*0.0526</f>
        <v>5.26</v>
      </c>
      <c r="AP82" s="54">
        <v>484</v>
      </c>
      <c r="AQ82" s="54">
        <f>100*0.5324</f>
        <v>53.239999999999995</v>
      </c>
      <c r="AR82" s="54">
        <f>100*0.3669</f>
        <v>36.69</v>
      </c>
      <c r="AS82" s="54">
        <f>100*0.55345</f>
        <v>55.344999999999999</v>
      </c>
      <c r="AT82" s="54">
        <f>100*0.0158</f>
        <v>1.58</v>
      </c>
      <c r="AU82" s="54">
        <f>100*0.059</f>
        <v>5.8999999999999995</v>
      </c>
      <c r="AV82" s="54">
        <f>100*0.00255</f>
        <v>0.255</v>
      </c>
      <c r="AW82" s="54">
        <f>100*0.00825</f>
        <v>0.82500000000000007</v>
      </c>
      <c r="AX82" s="54">
        <f>100*0.378</f>
        <v>37.799999999999997</v>
      </c>
      <c r="AY82" s="54">
        <f>100*0.435</f>
        <v>43.5</v>
      </c>
      <c r="AZ82" s="54">
        <v>1342</v>
      </c>
      <c r="BA82" s="54">
        <f>100*0.5154</f>
        <v>51.54</v>
      </c>
      <c r="BB82" s="54">
        <f>100*0.8111</f>
        <v>81.11</v>
      </c>
      <c r="BC82" s="54">
        <f>100*0.09065</f>
        <v>9.0649999999999995</v>
      </c>
      <c r="BD82" s="54">
        <f>100*0.00335</f>
        <v>0.33500000000000002</v>
      </c>
      <c r="BE82" s="54">
        <f>100*0.09125</f>
        <v>9.125</v>
      </c>
      <c r="BF82" s="54">
        <f>100*0.0147</f>
        <v>1.47</v>
      </c>
      <c r="BG82" s="54">
        <f>100*0.0026</f>
        <v>0.26</v>
      </c>
      <c r="BH82" s="54">
        <f>100*0.0653</f>
        <v>6.5299999999999994</v>
      </c>
      <c r="BI82" s="54">
        <f>100*0.892</f>
        <v>89.2</v>
      </c>
      <c r="BJ82" s="54">
        <f>100*0.322</f>
        <v>32.200000000000003</v>
      </c>
      <c r="BK82" s="54">
        <f>100*0.5215</f>
        <v>52.15</v>
      </c>
      <c r="BL82" s="54">
        <f>100*0.10045</f>
        <v>10.045</v>
      </c>
      <c r="BM82" s="54">
        <f>100*0.0557</f>
        <v>5.57</v>
      </c>
      <c r="BN82" s="54">
        <f>100*0.0899</f>
        <v>8.99</v>
      </c>
      <c r="BO82" s="54">
        <f>100*0.16</f>
        <v>16</v>
      </c>
      <c r="BP82" s="54">
        <f>100*0.2837</f>
        <v>28.37</v>
      </c>
      <c r="BQ82" s="54">
        <f>100*0.247</f>
        <v>24.7</v>
      </c>
      <c r="BR82" s="54">
        <f>100*0.6765</f>
        <v>67.650000000000006</v>
      </c>
      <c r="BS82" s="54">
        <f>100*0.2225</f>
        <v>22.25</v>
      </c>
      <c r="BT82" s="54">
        <f>100*0.0496</f>
        <v>4.96</v>
      </c>
      <c r="BU82" s="54">
        <f>100*0.0516</f>
        <v>5.16</v>
      </c>
      <c r="BV82" s="54">
        <v>0</v>
      </c>
      <c r="BW82" s="54">
        <v>0</v>
      </c>
      <c r="BX82" s="54">
        <f>100*0.272</f>
        <v>27.200000000000003</v>
      </c>
      <c r="BY82" s="54">
        <f>100*0.728</f>
        <v>72.8</v>
      </c>
      <c r="BZ82" s="121">
        <f t="shared" si="18"/>
        <v>5.7526932977404903E-2</v>
      </c>
      <c r="CA82" s="81">
        <v>52445</v>
      </c>
      <c r="CB82" s="81">
        <v>26966</v>
      </c>
      <c r="CC82" s="56">
        <v>14301</v>
      </c>
      <c r="CD82" s="56">
        <v>654</v>
      </c>
      <c r="CE82" s="56">
        <v>3</v>
      </c>
      <c r="CF82" s="56">
        <v>0</v>
      </c>
      <c r="CG82" s="56">
        <v>115</v>
      </c>
      <c r="CH82" s="56">
        <v>2998</v>
      </c>
      <c r="CI82" s="56">
        <v>176</v>
      </c>
      <c r="CJ82" s="56">
        <v>0.53</v>
      </c>
      <c r="CK82" s="56">
        <v>2.4300000000000002E-2</v>
      </c>
      <c r="CL82" s="56">
        <v>1.0999999999999999E-4</v>
      </c>
      <c r="CM82" s="56">
        <v>0</v>
      </c>
      <c r="CN82" s="56">
        <v>4.3E-3</v>
      </c>
      <c r="CO82" s="56">
        <v>0.111</v>
      </c>
      <c r="CP82" s="56">
        <v>6.5000000000000006E-3</v>
      </c>
      <c r="CQ82" s="56">
        <v>4.5700000000000005E-2</v>
      </c>
      <c r="CR82" s="56">
        <v>2.1000000000000001E-4</v>
      </c>
      <c r="CS82" s="56">
        <v>0</v>
      </c>
      <c r="CT82" s="56">
        <v>8.0000000000000002E-3</v>
      </c>
      <c r="CU82" s="56">
        <v>0.21</v>
      </c>
      <c r="CV82" s="54">
        <v>1.2306831690091603E-2</v>
      </c>
      <c r="CW82" s="54"/>
    </row>
    <row r="83" spans="1:101" s="5" customFormat="1">
      <c r="A83" s="5" t="s">
        <v>209</v>
      </c>
      <c r="B83" s="5" t="s">
        <v>108</v>
      </c>
      <c r="D83" s="5" t="s">
        <v>290</v>
      </c>
      <c r="E83" s="91">
        <v>27991</v>
      </c>
      <c r="F83" s="91">
        <v>42725</v>
      </c>
      <c r="G83" s="91">
        <v>43132</v>
      </c>
      <c r="H83" s="91" t="s">
        <v>151</v>
      </c>
      <c r="I83" s="83">
        <f t="shared" si="14"/>
        <v>41.453798767967143</v>
      </c>
      <c r="J83" s="52">
        <f t="shared" si="15"/>
        <v>15141</v>
      </c>
      <c r="K83" s="52">
        <f t="shared" si="16"/>
        <v>407</v>
      </c>
      <c r="L83" s="52" t="s">
        <v>109</v>
      </c>
      <c r="M83" s="52" t="s">
        <v>100</v>
      </c>
      <c r="N83" s="92" t="s">
        <v>110</v>
      </c>
      <c r="O83" s="84">
        <v>0</v>
      </c>
      <c r="P83" s="84">
        <v>0</v>
      </c>
      <c r="Q83" s="91" t="s">
        <v>111</v>
      </c>
      <c r="R83" s="9" t="s">
        <v>112</v>
      </c>
      <c r="S83" s="84">
        <v>10</v>
      </c>
      <c r="T83" s="89">
        <v>1839.74</v>
      </c>
      <c r="U83" s="93">
        <v>70.650000000000006</v>
      </c>
      <c r="V83" s="140">
        <f t="shared" si="17"/>
        <v>1769.09</v>
      </c>
      <c r="W83" s="9"/>
      <c r="X83" s="8"/>
      <c r="Y83" s="90">
        <v>8500000</v>
      </c>
      <c r="Z83" s="8"/>
      <c r="AA83" s="9"/>
      <c r="AB83" s="90">
        <v>1300000</v>
      </c>
      <c r="AC83" s="5" t="s">
        <v>345</v>
      </c>
      <c r="AD83" s="5">
        <v>19611</v>
      </c>
      <c r="AE83" s="5">
        <v>158</v>
      </c>
      <c r="AF83" s="5">
        <f>100*0.0079</f>
        <v>0.79</v>
      </c>
      <c r="AG83" s="5">
        <f>100*0.944</f>
        <v>94.399999999999991</v>
      </c>
      <c r="AH83" s="5">
        <v>49</v>
      </c>
      <c r="AI83" s="5">
        <f>100*0.00255</f>
        <v>0.255</v>
      </c>
      <c r="AJ83" s="5">
        <v>192</v>
      </c>
      <c r="AK83" s="5">
        <f>100*0.0098</f>
        <v>0.98</v>
      </c>
      <c r="AL83" s="5">
        <f>100*0.3922</f>
        <v>39.22</v>
      </c>
      <c r="AM83" s="5">
        <f>100*0.084</f>
        <v>8.4</v>
      </c>
      <c r="AN83" s="5">
        <f>100*0.853</f>
        <v>85.3</v>
      </c>
      <c r="AO83" s="5">
        <f>100*0.117</f>
        <v>11.700000000000001</v>
      </c>
      <c r="AP83" s="5">
        <v>2973</v>
      </c>
      <c r="AQ83" s="5">
        <f>100*0.59566</f>
        <v>59.565999999999995</v>
      </c>
      <c r="AR83" s="5">
        <f>100*0.3755</f>
        <v>37.549999999999997</v>
      </c>
      <c r="AS83" s="5">
        <f>100*0.382875</f>
        <v>38.287500000000001</v>
      </c>
      <c r="AT83" s="5">
        <f>100*0.13</f>
        <v>13</v>
      </c>
      <c r="AU83" s="5">
        <f>100*0.123</f>
        <v>12.3</v>
      </c>
      <c r="AV83" s="5">
        <f>100*0.2973</f>
        <v>29.73</v>
      </c>
      <c r="AW83" s="5">
        <f>100*0.30795</f>
        <v>30.795000000000002</v>
      </c>
      <c r="AX83" s="5">
        <f>100*0.147</f>
        <v>14.7</v>
      </c>
      <c r="AY83" s="5">
        <f>100*0.22</f>
        <v>22</v>
      </c>
      <c r="AZ83" s="5">
        <v>14500</v>
      </c>
      <c r="BA83" s="5">
        <f>100*0.30583</f>
        <v>30.582999999999998</v>
      </c>
      <c r="BB83" s="5">
        <f>100*0.40988</f>
        <v>40.988</v>
      </c>
      <c r="BC83" s="5">
        <f>100*0.22891</f>
        <v>22.891000000000002</v>
      </c>
      <c r="BD83" s="5">
        <f>100*0.0469</f>
        <v>4.6899999999999995</v>
      </c>
      <c r="BE83" s="5">
        <f>100*0.308</f>
        <v>30.8</v>
      </c>
      <c r="BF83" s="5">
        <f>100*0.3757</f>
        <v>37.57</v>
      </c>
      <c r="BG83" s="5">
        <f>100*0.20737025</f>
        <v>20.737024999999999</v>
      </c>
      <c r="BH83" s="5">
        <f>100*0.034</f>
        <v>3.4000000000000004</v>
      </c>
      <c r="BI83" s="5">
        <f>100*0.257</f>
        <v>25.7</v>
      </c>
      <c r="BJ83" s="5">
        <f>100*0.169</f>
        <v>16.900000000000002</v>
      </c>
      <c r="BK83" s="5">
        <f>100*0.0593</f>
        <v>5.93</v>
      </c>
      <c r="BL83" s="5">
        <f>100*0.2658</f>
        <v>26.58</v>
      </c>
      <c r="BM83" s="5">
        <f>100*0.5</f>
        <v>50</v>
      </c>
      <c r="BN83" s="5">
        <f>100*0.0987</f>
        <v>9.8699999999999992</v>
      </c>
      <c r="BO83" s="5">
        <f>100*0.16175</f>
        <v>16.175000000000001</v>
      </c>
      <c r="BP83" s="5">
        <f>100*0.241</f>
        <v>24.099999999999998</v>
      </c>
      <c r="BQ83" s="5">
        <f>100*0.398</f>
        <v>39.800000000000004</v>
      </c>
      <c r="BR83" s="5">
        <f>100*0.256</f>
        <v>25.6</v>
      </c>
      <c r="BS83" s="5">
        <f>100*0.29255</f>
        <v>29.254999999999999</v>
      </c>
      <c r="BT83" s="5">
        <f>100*0.182</f>
        <v>18.2</v>
      </c>
      <c r="BU83" s="5">
        <f>100*0.276</f>
        <v>27.6</v>
      </c>
      <c r="BV83" s="5">
        <f>100*0.0919</f>
        <v>9.19</v>
      </c>
      <c r="BW83" s="5">
        <f>100*0.143</f>
        <v>14.299999999999999</v>
      </c>
      <c r="BX83" s="5">
        <f>100*0.233</f>
        <v>23.3</v>
      </c>
      <c r="BY83" s="5">
        <f>100*0.341</f>
        <v>34.1</v>
      </c>
      <c r="BZ83" s="58">
        <f t="shared" si="18"/>
        <v>2.8800740175057276E-2</v>
      </c>
      <c r="CA83" s="53">
        <v>680920</v>
      </c>
      <c r="CB83" s="53">
        <v>4466000</v>
      </c>
      <c r="CC83" s="6">
        <v>355294</v>
      </c>
      <c r="CD83" s="6">
        <v>83067</v>
      </c>
      <c r="CE83" s="6">
        <v>22940</v>
      </c>
      <c r="CF83" s="6">
        <v>29103</v>
      </c>
      <c r="CG83" s="6">
        <v>7778</v>
      </c>
      <c r="CH83" s="6">
        <v>98543</v>
      </c>
      <c r="CI83" s="6">
        <v>39592</v>
      </c>
      <c r="CJ83" s="6">
        <v>0.79700000000000004</v>
      </c>
      <c r="CK83" s="6">
        <v>0.18600000000000003</v>
      </c>
      <c r="CL83" s="6">
        <v>5.1399999999999994E-2</v>
      </c>
      <c r="CM83" s="6">
        <v>6.5299999999999997E-2</v>
      </c>
      <c r="CN83" s="6">
        <v>1.7399999999999999E-2</v>
      </c>
      <c r="CO83" s="6">
        <v>0.221</v>
      </c>
      <c r="CP83" s="6">
        <v>8.8800000000000004E-2</v>
      </c>
      <c r="CQ83" s="6">
        <v>0.23399999999999999</v>
      </c>
      <c r="CR83" s="6">
        <v>6.4600000000000005E-2</v>
      </c>
      <c r="CS83" s="6">
        <v>8.1900000000000001E-2</v>
      </c>
      <c r="CT83" s="6">
        <v>2.1899999999999999E-2</v>
      </c>
      <c r="CU83" s="6">
        <v>0.27699999999999997</v>
      </c>
      <c r="CV83" s="5">
        <v>0.11143447398492516</v>
      </c>
    </row>
    <row r="84" spans="1:101" s="5" customFormat="1">
      <c r="A84" s="54" t="s">
        <v>346</v>
      </c>
      <c r="B84" s="54" t="s">
        <v>97</v>
      </c>
      <c r="C84" s="54"/>
      <c r="D84" s="54" t="s">
        <v>290</v>
      </c>
      <c r="E84" s="97">
        <v>28258</v>
      </c>
      <c r="F84" s="97">
        <v>43032</v>
      </c>
      <c r="G84" s="97">
        <v>43087</v>
      </c>
      <c r="H84" s="97" t="s">
        <v>99</v>
      </c>
      <c r="I84" s="74">
        <f t="shared" si="14"/>
        <v>40.599589322381931</v>
      </c>
      <c r="J84" s="74">
        <f t="shared" si="15"/>
        <v>14829</v>
      </c>
      <c r="K84" s="74">
        <f t="shared" si="16"/>
        <v>55</v>
      </c>
      <c r="L84" s="76" t="s">
        <v>109</v>
      </c>
      <c r="M84" s="76" t="s">
        <v>109</v>
      </c>
      <c r="N84" s="70" t="s">
        <v>225</v>
      </c>
      <c r="O84" s="71"/>
      <c r="P84" s="71"/>
      <c r="Q84" s="155" t="s">
        <v>347</v>
      </c>
      <c r="R84" s="77" t="s">
        <v>328</v>
      </c>
      <c r="S84" s="159">
        <v>10</v>
      </c>
      <c r="T84" s="160">
        <v>3177.2</v>
      </c>
      <c r="U84" s="160">
        <v>70.27</v>
      </c>
      <c r="V84" s="72">
        <f t="shared" si="17"/>
        <v>3106.93</v>
      </c>
      <c r="W84" s="77" t="s">
        <v>228</v>
      </c>
      <c r="X84" s="73">
        <v>330000</v>
      </c>
      <c r="Y84" s="177">
        <f>X84*V84</f>
        <v>1025286900</v>
      </c>
      <c r="Z84" s="73">
        <v>202000000</v>
      </c>
      <c r="AA84" s="77" t="s">
        <v>138</v>
      </c>
      <c r="AB84" s="177" t="s">
        <v>301</v>
      </c>
      <c r="AC84" s="54" t="s">
        <v>348</v>
      </c>
      <c r="AD84" s="54">
        <v>2680</v>
      </c>
      <c r="AE84" s="54">
        <v>162</v>
      </c>
      <c r="AF84" s="54">
        <f>100*0.0612</f>
        <v>6.12</v>
      </c>
      <c r="AG84" s="54">
        <f>100*0.1715</f>
        <v>17.150000000000002</v>
      </c>
      <c r="AH84" s="54">
        <v>1</v>
      </c>
      <c r="AI84" s="54">
        <f>100*0.000175</f>
        <v>1.7499999999999998E-2</v>
      </c>
      <c r="AJ84" s="54">
        <v>778</v>
      </c>
      <c r="AK84" s="54">
        <f>100*0.291</f>
        <v>29.099999999999998</v>
      </c>
      <c r="AL84" s="54">
        <f>100*0.08465</f>
        <v>8.4649999999999999</v>
      </c>
      <c r="AM84" s="54">
        <f>100*0.01125</f>
        <v>1.125</v>
      </c>
      <c r="AN84" s="54">
        <f>100*0.81</f>
        <v>81</v>
      </c>
      <c r="AO84" s="54">
        <f>100*0.0373</f>
        <v>3.73</v>
      </c>
      <c r="AP84" s="54">
        <v>227</v>
      </c>
      <c r="AQ84" s="54">
        <f>100*0.2068</f>
        <v>20.68</v>
      </c>
      <c r="AR84" s="54">
        <f>100*0.321</f>
        <v>32.1</v>
      </c>
      <c r="AS84" s="54">
        <f>100*0.345</f>
        <v>34.5</v>
      </c>
      <c r="AT84" s="54">
        <f>100*0.0725</f>
        <v>7.2499999999999991</v>
      </c>
      <c r="AU84" s="54">
        <f>100*0.238</f>
        <v>23.799999999999997</v>
      </c>
      <c r="AV84" s="54">
        <f>100*0.254</f>
        <v>25.4</v>
      </c>
      <c r="AW84" s="54">
        <f>100*0.197</f>
        <v>19.7</v>
      </c>
      <c r="AX84" s="54">
        <f>100*0.212</f>
        <v>21.2</v>
      </c>
      <c r="AY84" s="54">
        <f>100*0.337</f>
        <v>33.700000000000003</v>
      </c>
      <c r="AZ84" s="54">
        <v>1409</v>
      </c>
      <c r="BA84" s="54">
        <f>100*0.0581</f>
        <v>5.81</v>
      </c>
      <c r="BB84" s="54">
        <f>100*0.5427</f>
        <v>54.269999999999996</v>
      </c>
      <c r="BC84" s="54">
        <f>100*0.1813</f>
        <v>18.13</v>
      </c>
      <c r="BD84" s="54">
        <f>100*0.0332</f>
        <v>3.32</v>
      </c>
      <c r="BE84" s="54">
        <f>100*0.233</f>
        <v>23.3</v>
      </c>
      <c r="BF84" s="54">
        <f>100*0.398</f>
        <v>39.800000000000004</v>
      </c>
      <c r="BG84" s="54">
        <f>100*0.10325</f>
        <v>10.324999999999999</v>
      </c>
      <c r="BH84" s="54">
        <f>100*0.0539</f>
        <v>5.3900000000000006</v>
      </c>
      <c r="BI84" s="54">
        <f>100*0.442</f>
        <v>44.2</v>
      </c>
      <c r="BJ84" s="54">
        <f>100*0.352</f>
        <v>35.199999999999996</v>
      </c>
      <c r="BK84" s="54">
        <f>100*0.23055</f>
        <v>23.055</v>
      </c>
      <c r="BL84" s="54">
        <f>100*0.168</f>
        <v>16.8</v>
      </c>
      <c r="BM84" s="54">
        <f>100*0.214</f>
        <v>21.4</v>
      </c>
      <c r="BN84" s="54">
        <f>100*0.18</f>
        <v>18</v>
      </c>
      <c r="BO84" s="54">
        <f>100*0.0706</f>
        <v>7.06</v>
      </c>
      <c r="BP84" s="54">
        <f>100*0.3191</f>
        <v>31.91</v>
      </c>
      <c r="BQ84" s="54">
        <f>100*0.463</f>
        <v>46.300000000000004</v>
      </c>
      <c r="BR84" s="54">
        <f>100*0.747</f>
        <v>74.7</v>
      </c>
      <c r="BS84" s="54">
        <f>100*0.04845</f>
        <v>4.8449999999999998</v>
      </c>
      <c r="BT84" s="54">
        <f>100*0.0158</f>
        <v>1.58</v>
      </c>
      <c r="BU84" s="54">
        <f>100*0.19</f>
        <v>19</v>
      </c>
      <c r="BV84" s="54">
        <f>100*0.0848</f>
        <v>8.48</v>
      </c>
      <c r="BW84" s="54">
        <f>100*0.1112</f>
        <v>11.12</v>
      </c>
      <c r="BX84" s="54">
        <f>100*0.3575</f>
        <v>35.75</v>
      </c>
      <c r="BY84" s="54">
        <f>100*0.44</f>
        <v>44</v>
      </c>
      <c r="BZ84" s="121">
        <f t="shared" si="18"/>
        <v>0.39296187683284456</v>
      </c>
      <c r="CA84" s="81">
        <v>6820</v>
      </c>
      <c r="CB84" s="81">
        <v>820000</v>
      </c>
      <c r="CC84" s="56">
        <v>811000</v>
      </c>
      <c r="CD84" s="56">
        <v>7226</v>
      </c>
      <c r="CE84" s="56">
        <v>346</v>
      </c>
      <c r="CF84" s="56">
        <v>250</v>
      </c>
      <c r="CG84" s="56">
        <v>267897</v>
      </c>
      <c r="CH84" s="56">
        <v>142728</v>
      </c>
      <c r="CI84" s="56">
        <v>10713</v>
      </c>
      <c r="CJ84" s="56">
        <v>0.9890000000000001</v>
      </c>
      <c r="CK84" s="56">
        <v>8.8000000000000005E-3</v>
      </c>
      <c r="CL84" s="56">
        <v>4.2000000000000002E-4</v>
      </c>
      <c r="CM84" s="56">
        <v>2.9999999999999997E-4</v>
      </c>
      <c r="CN84" s="56">
        <v>0.32700000000000001</v>
      </c>
      <c r="CO84" s="56">
        <v>0.17399999999999999</v>
      </c>
      <c r="CP84" s="56">
        <v>1.3100000000000001E-2</v>
      </c>
      <c r="CQ84" s="56">
        <v>8.8999999999999999E-3</v>
      </c>
      <c r="CR84" s="56">
        <v>4.2999999999999999E-4</v>
      </c>
      <c r="CS84" s="56">
        <v>3.1E-4</v>
      </c>
      <c r="CT84" s="56">
        <v>0.33</v>
      </c>
      <c r="CU84" s="56">
        <v>0.17600000000000002</v>
      </c>
      <c r="CV84" s="54">
        <v>1.3209617755856967E-2</v>
      </c>
      <c r="CW84" s="54"/>
    </row>
    <row r="85" spans="1:101" s="228" customFormat="1" ht="24">
      <c r="A85" s="228" t="s">
        <v>211</v>
      </c>
      <c r="B85" s="228" t="s">
        <v>97</v>
      </c>
      <c r="D85" s="228" t="s">
        <v>290</v>
      </c>
      <c r="E85" s="229">
        <v>24133</v>
      </c>
      <c r="F85" s="229">
        <v>43046</v>
      </c>
      <c r="G85" s="229">
        <v>43071</v>
      </c>
      <c r="H85" s="229" t="s">
        <v>151</v>
      </c>
      <c r="I85" s="251">
        <f t="shared" si="14"/>
        <v>51.849418206707732</v>
      </c>
      <c r="J85" s="251">
        <f t="shared" si="15"/>
        <v>18938</v>
      </c>
      <c r="K85" s="251">
        <f t="shared" si="16"/>
        <v>25</v>
      </c>
      <c r="L85" s="258" t="s">
        <v>100</v>
      </c>
      <c r="M85" s="258" t="s">
        <v>109</v>
      </c>
      <c r="N85" s="233" t="s">
        <v>201</v>
      </c>
      <c r="O85" s="234"/>
      <c r="P85" s="234"/>
      <c r="Q85" s="252" t="s">
        <v>212</v>
      </c>
      <c r="R85" s="253" t="s">
        <v>184</v>
      </c>
      <c r="S85" s="254" t="s">
        <v>213</v>
      </c>
      <c r="T85" s="236">
        <v>1738.53</v>
      </c>
      <c r="U85" s="236">
        <v>74.73</v>
      </c>
      <c r="V85" s="237">
        <f t="shared" si="17"/>
        <v>1663.8</v>
      </c>
      <c r="W85" s="255" t="s">
        <v>185</v>
      </c>
      <c r="X85" s="238">
        <v>24600000</v>
      </c>
      <c r="Y85" s="239">
        <f>X85*V85</f>
        <v>40929480000</v>
      </c>
      <c r="Z85" s="238">
        <v>39200000</v>
      </c>
      <c r="AA85" s="253" t="s">
        <v>138</v>
      </c>
      <c r="AB85" s="256">
        <v>29100000</v>
      </c>
      <c r="AC85" s="228" t="s">
        <v>349</v>
      </c>
      <c r="AD85" s="228">
        <v>15622</v>
      </c>
      <c r="AE85" s="228">
        <v>560</v>
      </c>
      <c r="AF85" s="228">
        <f>100*0.0348</f>
        <v>3.4799999999999995</v>
      </c>
      <c r="AG85" s="228">
        <f>100*0.0749</f>
        <v>7.4899999999999993</v>
      </c>
      <c r="AH85" s="228">
        <v>13.5</v>
      </c>
      <c r="AI85" s="228">
        <f>100*0.00075</f>
        <v>7.4999999999999997E-2</v>
      </c>
      <c r="AJ85" s="228">
        <v>1455.5</v>
      </c>
      <c r="AK85" s="228">
        <f>100*0.09805</f>
        <v>9.8049999999999997</v>
      </c>
      <c r="AL85" s="228">
        <f>100*0.05563</f>
        <v>5.5629999999999997</v>
      </c>
      <c r="AM85" s="228">
        <f>100*0.00923</f>
        <v>0.92300000000000004</v>
      </c>
      <c r="AN85" s="228">
        <f>100*0.849</f>
        <v>84.899999999999991</v>
      </c>
      <c r="AO85" s="228">
        <f>100*0.02405</f>
        <v>2.4049999999999998</v>
      </c>
      <c r="AP85" s="228">
        <v>2519</v>
      </c>
      <c r="AQ85" s="228">
        <f>100*0.0702</f>
        <v>7.02</v>
      </c>
      <c r="AR85" s="228">
        <f>100*0.0389</f>
        <v>3.8899999999999997</v>
      </c>
      <c r="AS85" s="228">
        <f>100*0.0274</f>
        <v>2.74</v>
      </c>
      <c r="AT85" s="228">
        <f>100*0.282</f>
        <v>28.199999999999996</v>
      </c>
      <c r="AU85" s="228">
        <f>100*0.652</f>
        <v>65.2</v>
      </c>
      <c r="AV85" s="228">
        <f>100*0.3565</f>
        <v>35.65</v>
      </c>
      <c r="AW85" s="228">
        <f>100*0.124</f>
        <v>12.4</v>
      </c>
      <c r="AX85" s="228">
        <f>100*0.1855</f>
        <v>18.55</v>
      </c>
      <c r="AY85" s="228">
        <f>100*0.334</f>
        <v>33.4</v>
      </c>
      <c r="AZ85" s="228">
        <v>9957</v>
      </c>
      <c r="BA85" s="228">
        <f>100*0.07261</f>
        <v>7.2609999999999992</v>
      </c>
      <c r="BB85" s="228">
        <f>100*0.148</f>
        <v>14.799999999999999</v>
      </c>
      <c r="BC85" s="228">
        <f>100*0.0187</f>
        <v>1.87</v>
      </c>
      <c r="BD85" s="228">
        <f>100*0.0899</f>
        <v>8.99</v>
      </c>
      <c r="BE85" s="228">
        <f>100*0.736</f>
        <v>73.599999999999994</v>
      </c>
      <c r="BF85" s="228">
        <f>100*0.222</f>
        <v>22.2</v>
      </c>
      <c r="BG85" s="228">
        <f>100*0.02595</f>
        <v>2.5950000000000002</v>
      </c>
      <c r="BH85" s="228">
        <f>100*0.1175</f>
        <v>11.75</v>
      </c>
      <c r="BI85" s="228">
        <f>100*0.635</f>
        <v>63.5</v>
      </c>
      <c r="BJ85" s="228">
        <f>100*0.147</f>
        <v>14.7</v>
      </c>
      <c r="BK85" s="228">
        <f>100*0.0068</f>
        <v>0.67999999999999994</v>
      </c>
      <c r="BL85" s="228">
        <f>100*0.0179</f>
        <v>1.79</v>
      </c>
      <c r="BM85" s="228">
        <f>100*0.821</f>
        <v>82.1</v>
      </c>
      <c r="BN85" s="228">
        <f>100*0.216</f>
        <v>21.6</v>
      </c>
      <c r="BO85" s="228">
        <f>100*0.0058</f>
        <v>0.57999999999999996</v>
      </c>
      <c r="BP85" s="228">
        <f>100*0.01815</f>
        <v>1.8149999999999999</v>
      </c>
      <c r="BQ85" s="228">
        <f>100*0.754</f>
        <v>75.400000000000006</v>
      </c>
      <c r="BR85" s="228">
        <f>100*0.0952</f>
        <v>9.5200000000000014</v>
      </c>
      <c r="BS85" s="228">
        <f>100*0.0608</f>
        <v>6.08</v>
      </c>
      <c r="BT85" s="228">
        <f>100*0.32229</f>
        <v>32.228999999999999</v>
      </c>
      <c r="BU85" s="228">
        <f>100*0.483</f>
        <v>48.3</v>
      </c>
      <c r="BV85" s="228">
        <f>100*0.4235</f>
        <v>42.35</v>
      </c>
      <c r="BW85" s="228">
        <f>100*0.142</f>
        <v>14.2</v>
      </c>
      <c r="BX85" s="228">
        <f>100*0.0971</f>
        <v>9.7100000000000009</v>
      </c>
      <c r="BY85" s="228">
        <f>100*0.337</f>
        <v>33.700000000000003</v>
      </c>
      <c r="BZ85" s="240">
        <f t="shared" si="18"/>
        <v>2.5078983869310594E-3</v>
      </c>
      <c r="CA85" s="241">
        <v>6229120</v>
      </c>
      <c r="CB85" s="241">
        <v>3050000</v>
      </c>
      <c r="CC85" s="250">
        <v>3010000</v>
      </c>
      <c r="CD85" s="250">
        <v>4023</v>
      </c>
      <c r="CE85" s="250">
        <v>271</v>
      </c>
      <c r="CF85" s="250">
        <v>802</v>
      </c>
      <c r="CG85" s="250">
        <v>2610000</v>
      </c>
      <c r="CH85" s="250">
        <v>116736</v>
      </c>
      <c r="CI85" s="250">
        <v>1061</v>
      </c>
      <c r="CJ85" s="250">
        <v>0.98699999999999999</v>
      </c>
      <c r="CK85" s="250">
        <v>1.2999999999999999E-3</v>
      </c>
      <c r="CL85" s="250">
        <v>8.8900000000000006E-5</v>
      </c>
      <c r="CM85" s="250">
        <v>2.5999999999999998E-4</v>
      </c>
      <c r="CN85" s="250">
        <v>0.85599999999999998</v>
      </c>
      <c r="CO85" s="250">
        <v>3.8300000000000001E-2</v>
      </c>
      <c r="CP85" s="250">
        <v>3.5000000000000005E-4</v>
      </c>
      <c r="CQ85" s="250">
        <v>1.2999999999999999E-3</v>
      </c>
      <c r="CR85" s="250">
        <v>8.9999999999999992E-5</v>
      </c>
      <c r="CS85" s="250">
        <v>2.7E-4</v>
      </c>
      <c r="CT85" s="250">
        <v>0.86699999999999999</v>
      </c>
      <c r="CU85" s="250">
        <v>3.8800000000000001E-2</v>
      </c>
      <c r="CV85" s="228">
        <v>3.5249169435215945E-4</v>
      </c>
    </row>
    <row r="86" spans="1:101" s="228" customFormat="1" ht="24">
      <c r="A86" s="228" t="s">
        <v>217</v>
      </c>
      <c r="B86" s="228" t="s">
        <v>108</v>
      </c>
      <c r="C86" s="228" t="s">
        <v>218</v>
      </c>
      <c r="D86" s="228" t="s">
        <v>290</v>
      </c>
      <c r="E86" s="243">
        <v>24133</v>
      </c>
      <c r="F86" s="243">
        <v>43046</v>
      </c>
      <c r="G86" s="243">
        <v>43180</v>
      </c>
      <c r="H86" s="243" t="s">
        <v>151</v>
      </c>
      <c r="I86" s="231">
        <f t="shared" si="14"/>
        <v>52.147843942505133</v>
      </c>
      <c r="J86" s="232">
        <f t="shared" si="15"/>
        <v>19047</v>
      </c>
      <c r="K86" s="232">
        <f t="shared" si="16"/>
        <v>134</v>
      </c>
      <c r="L86" s="232" t="s">
        <v>100</v>
      </c>
      <c r="M86" s="232" t="s">
        <v>109</v>
      </c>
      <c r="N86" s="233" t="s">
        <v>219</v>
      </c>
      <c r="O86" s="244" t="e">
        <f>N86-G86</f>
        <v>#VALUE!</v>
      </c>
      <c r="P86" s="245" t="s">
        <v>197</v>
      </c>
      <c r="Q86" s="243" t="s">
        <v>111</v>
      </c>
      <c r="R86" s="235" t="s">
        <v>220</v>
      </c>
      <c r="S86" s="245">
        <v>10</v>
      </c>
      <c r="T86" s="244">
        <v>2265.15</v>
      </c>
      <c r="U86" s="246">
        <v>82.62</v>
      </c>
      <c r="V86" s="247">
        <f t="shared" si="17"/>
        <v>2182.5300000000002</v>
      </c>
      <c r="W86" s="235"/>
      <c r="X86" s="248"/>
      <c r="Y86" s="249">
        <v>65500000</v>
      </c>
      <c r="Z86" s="248"/>
      <c r="AA86" s="235"/>
      <c r="AB86" s="249">
        <v>45800000</v>
      </c>
      <c r="AC86" s="228" t="s">
        <v>350</v>
      </c>
      <c r="AD86" s="228">
        <v>26789</v>
      </c>
      <c r="AE86" s="228">
        <v>208</v>
      </c>
      <c r="AF86" s="228">
        <v>7.6E-3</v>
      </c>
      <c r="AG86" s="228">
        <v>0.67799999999999994</v>
      </c>
      <c r="AH86" s="228">
        <v>196</v>
      </c>
      <c r="AI86" s="228">
        <v>7.45E-3</v>
      </c>
      <c r="AJ86" s="228">
        <v>528</v>
      </c>
      <c r="AK86" s="228">
        <v>1.7399999999999999E-2</v>
      </c>
      <c r="AL86" s="228">
        <v>8.9900000000000008E-2</v>
      </c>
      <c r="AM86" s="228">
        <v>1.43E-2</v>
      </c>
      <c r="AN86" s="228">
        <v>0.76</v>
      </c>
      <c r="AO86" s="228">
        <v>8.3900000000000002E-2</v>
      </c>
      <c r="AP86" s="228">
        <v>4811</v>
      </c>
      <c r="AQ86" s="228">
        <v>0.49</v>
      </c>
      <c r="AR86" s="228">
        <f>100*0.541</f>
        <v>54.1</v>
      </c>
      <c r="AS86" s="228">
        <f>100*0.19</f>
        <v>19</v>
      </c>
      <c r="AT86" s="228">
        <f>100*0.103</f>
        <v>10.299999999999999</v>
      </c>
      <c r="AU86" s="228">
        <f>100*0.166</f>
        <v>16.600000000000001</v>
      </c>
      <c r="AV86" s="228">
        <v>5.5100000000000003E-2</v>
      </c>
      <c r="AW86" s="228">
        <v>7.7499999999999999E-2</v>
      </c>
      <c r="AX86" s="228">
        <v>0.214</v>
      </c>
      <c r="AY86" s="228">
        <v>0.64700000000000002</v>
      </c>
      <c r="AZ86" s="228">
        <v>19583</v>
      </c>
      <c r="BA86" s="228">
        <v>0.19739000000000001</v>
      </c>
      <c r="BB86" s="228">
        <f>100*0.48887</f>
        <v>48.887</v>
      </c>
      <c r="BC86" s="228">
        <f>100*0.05487445</f>
        <v>5.4874450000000001</v>
      </c>
      <c r="BD86" s="228">
        <f>100*0.0242</f>
        <v>2.42</v>
      </c>
      <c r="BE86" s="228">
        <f>100*0.432</f>
        <v>43.2</v>
      </c>
      <c r="BF86" s="228">
        <v>0.22395120000000002</v>
      </c>
      <c r="BG86" s="228">
        <v>3.1474450000000001E-2</v>
      </c>
      <c r="BH86" s="228">
        <v>2.4E-2</v>
      </c>
      <c r="BI86" s="228">
        <v>0.72199999999999998</v>
      </c>
      <c r="BJ86" s="228">
        <f>100*0.366</f>
        <v>36.6</v>
      </c>
      <c r="BK86" s="228">
        <f>100*0.0209</f>
        <v>2.09</v>
      </c>
      <c r="BL86" s="228">
        <f>100*0.0433</f>
        <v>4.33</v>
      </c>
      <c r="BM86" s="228">
        <f>100*0.581</f>
        <v>58.099999999999994</v>
      </c>
      <c r="BN86" s="228">
        <v>0.25700000000000001</v>
      </c>
      <c r="BO86" s="228">
        <v>1.09E-2</v>
      </c>
      <c r="BP86" s="228">
        <v>4.7100000000000003E-2</v>
      </c>
      <c r="BQ86" s="228">
        <v>0.69099999999999995</v>
      </c>
      <c r="BR86" s="228">
        <f>100*0.5</f>
        <v>50</v>
      </c>
      <c r="BS86" s="228">
        <f>100*0.0251</f>
        <v>2.5100000000000002</v>
      </c>
      <c r="BT86" s="228">
        <f>100*0.0446</f>
        <v>4.46</v>
      </c>
      <c r="BU86" s="228">
        <f>100*0.423</f>
        <v>42.3</v>
      </c>
      <c r="BV86" s="228">
        <v>0.111</v>
      </c>
      <c r="BW86" s="228">
        <v>9.1000000000000004E-3</v>
      </c>
      <c r="BX86" s="228">
        <v>5.8500000000000003E-2</v>
      </c>
      <c r="BY86" s="228">
        <v>0.81599999999999995</v>
      </c>
      <c r="BZ86" s="240">
        <f t="shared" si="18"/>
        <v>0.22485500130100136</v>
      </c>
      <c r="CA86" s="241">
        <v>119139</v>
      </c>
      <c r="CB86" s="241">
        <v>697000</v>
      </c>
      <c r="CC86" s="228">
        <v>576000</v>
      </c>
      <c r="CD86" s="228">
        <v>111226</v>
      </c>
      <c r="CE86" s="228">
        <v>17561</v>
      </c>
      <c r="CF86" s="228">
        <v>4221</v>
      </c>
      <c r="CG86" s="228">
        <v>71890</v>
      </c>
      <c r="CH86" s="228">
        <v>267540</v>
      </c>
      <c r="CI86" s="228">
        <v>58088</v>
      </c>
      <c r="CJ86" s="228">
        <v>82.6</v>
      </c>
      <c r="CK86" s="228">
        <v>16</v>
      </c>
      <c r="CL86" s="228">
        <v>2.7</v>
      </c>
      <c r="CM86" s="228">
        <v>0.67</v>
      </c>
      <c r="CN86" s="228">
        <v>11.4</v>
      </c>
      <c r="CO86" s="228">
        <v>24.2</v>
      </c>
      <c r="CP86" s="228">
        <v>10</v>
      </c>
      <c r="CQ86" s="228">
        <v>19.3</v>
      </c>
      <c r="CR86" s="228">
        <v>3.05</v>
      </c>
      <c r="CS86" s="228">
        <v>0.82</v>
      </c>
      <c r="CT86" s="228">
        <v>12.8</v>
      </c>
      <c r="CU86" s="228">
        <v>29.7</v>
      </c>
      <c r="CV86" s="228">
        <v>11.5</v>
      </c>
    </row>
    <row r="87" spans="1:101" s="228" customFormat="1">
      <c r="A87" s="228" t="s">
        <v>222</v>
      </c>
      <c r="B87" s="228" t="s">
        <v>108</v>
      </c>
      <c r="C87" s="228" t="s">
        <v>218</v>
      </c>
      <c r="D87" s="228" t="s">
        <v>290</v>
      </c>
      <c r="E87" s="243">
        <v>24133</v>
      </c>
      <c r="F87" s="243">
        <v>43046</v>
      </c>
      <c r="G87" s="243">
        <v>43313</v>
      </c>
      <c r="H87" s="243" t="s">
        <v>151</v>
      </c>
      <c r="I87" s="231">
        <v>52.511978097193705</v>
      </c>
      <c r="J87" s="232">
        <v>19180</v>
      </c>
      <c r="K87" s="232">
        <v>267</v>
      </c>
      <c r="L87" s="232" t="s">
        <v>100</v>
      </c>
      <c r="M87" s="232" t="s">
        <v>109</v>
      </c>
      <c r="N87" s="233">
        <v>43071</v>
      </c>
      <c r="O87" s="244"/>
      <c r="P87" s="245"/>
      <c r="Q87" s="243" t="s">
        <v>111</v>
      </c>
      <c r="R87" s="235" t="s">
        <v>112</v>
      </c>
      <c r="S87" s="245">
        <v>10</v>
      </c>
      <c r="T87" s="244">
        <v>1890.82</v>
      </c>
      <c r="U87" s="246">
        <v>80.400000000000006</v>
      </c>
      <c r="V87" s="247">
        <v>1810.4199999999998</v>
      </c>
      <c r="W87" s="235"/>
      <c r="X87" s="248"/>
      <c r="Y87" s="249">
        <v>17000000</v>
      </c>
      <c r="Z87" s="248"/>
      <c r="AA87" s="235"/>
      <c r="AB87" s="259">
        <v>21000000</v>
      </c>
      <c r="AC87" s="228" t="s">
        <v>351</v>
      </c>
      <c r="AD87" s="228">
        <v>76104</v>
      </c>
      <c r="AE87" s="228">
        <v>2333</v>
      </c>
      <c r="AF87" s="228">
        <f>100*0.0313</f>
        <v>3.1300000000000003</v>
      </c>
      <c r="AG87" s="228">
        <f>100*0.401</f>
        <v>40.1</v>
      </c>
      <c r="AH87" s="228">
        <v>75</v>
      </c>
      <c r="AI87" s="228">
        <f>100*0.001</f>
        <v>0.1</v>
      </c>
      <c r="AJ87" s="228">
        <v>2602</v>
      </c>
      <c r="AK87" s="228">
        <f>100*0.0362</f>
        <v>3.62</v>
      </c>
      <c r="AL87" s="228">
        <f>100*0.184</f>
        <v>18.399999999999999</v>
      </c>
      <c r="AM87" s="228">
        <f>100*0.0104</f>
        <v>1.04</v>
      </c>
      <c r="AN87" s="228">
        <f>100*0.955</f>
        <v>95.5</v>
      </c>
      <c r="AO87" s="228">
        <f>100*0.0111</f>
        <v>1.1100000000000001</v>
      </c>
      <c r="AP87" s="228">
        <v>30667</v>
      </c>
      <c r="AQ87" s="228">
        <f>100*0.245</f>
        <v>24.5</v>
      </c>
      <c r="AR87" s="228">
        <f>100*0.432</f>
        <v>43.2</v>
      </c>
      <c r="AS87" s="228">
        <f>100*0.469</f>
        <v>46.9</v>
      </c>
      <c r="AT87" s="228">
        <f>100*0.0395</f>
        <v>3.95</v>
      </c>
      <c r="AU87" s="228">
        <f>100*0.0593</f>
        <v>5.93</v>
      </c>
      <c r="AV87" s="228">
        <f>100*0.0578</f>
        <v>5.7799999999999994</v>
      </c>
      <c r="AW87" s="228">
        <f>100*0.16</f>
        <v>16</v>
      </c>
      <c r="AX87" s="228">
        <f>100*0.38</f>
        <v>38</v>
      </c>
      <c r="AY87" s="228">
        <f>100*0.402</f>
        <v>40.200000000000003</v>
      </c>
      <c r="AZ87" s="228">
        <v>34976</v>
      </c>
      <c r="BA87" s="228">
        <f>100*0.0927</f>
        <v>9.27</v>
      </c>
      <c r="BB87" s="228">
        <f>100*0.715</f>
        <v>71.5</v>
      </c>
      <c r="BC87" s="228">
        <f>100*0.0772</f>
        <v>7.7200000000000006</v>
      </c>
      <c r="BD87" s="228">
        <f>100*0.0127</f>
        <v>1.27</v>
      </c>
      <c r="BE87" s="228">
        <f>100*0.196</f>
        <v>19.600000000000001</v>
      </c>
      <c r="BF87" s="228">
        <f>100*0.29</f>
        <v>28.999999999999996</v>
      </c>
      <c r="BG87" s="228">
        <f>100*0.0458</f>
        <v>4.58</v>
      </c>
      <c r="BH87" s="228">
        <f>100*0.0309</f>
        <v>3.09</v>
      </c>
      <c r="BI87" s="228">
        <f>100*0.634</f>
        <v>63.4</v>
      </c>
      <c r="BJ87" s="228">
        <f>100*0.498</f>
        <v>49.8</v>
      </c>
      <c r="BK87" s="228">
        <f>100*0.394</f>
        <v>39.4</v>
      </c>
      <c r="BL87" s="228">
        <f>100*0.0279</f>
        <v>2.79</v>
      </c>
      <c r="BM87" s="228">
        <f>100*0.0802</f>
        <v>8.02</v>
      </c>
      <c r="BN87" s="228">
        <f>100*0.106</f>
        <v>10.6</v>
      </c>
      <c r="BO87" s="228">
        <f>100*0.084</f>
        <v>8.4</v>
      </c>
      <c r="BP87" s="228">
        <f>100*0.349</f>
        <v>34.9</v>
      </c>
      <c r="BQ87" s="228">
        <f>100*0.46</f>
        <v>46</v>
      </c>
      <c r="BR87" s="228">
        <f>100*0.666</f>
        <v>66.600000000000009</v>
      </c>
      <c r="BS87" s="228">
        <f>100*0.0799</f>
        <v>7.99</v>
      </c>
      <c r="BT87" s="228">
        <f>100*0.0238</f>
        <v>2.3800000000000003</v>
      </c>
      <c r="BU87" s="228">
        <f>100*0.23</f>
        <v>23</v>
      </c>
      <c r="BV87" s="228">
        <f>100*0.0369</f>
        <v>3.6900000000000004</v>
      </c>
      <c r="BW87" s="228">
        <f>100*0.0081</f>
        <v>0.80999999999999994</v>
      </c>
      <c r="BX87" s="228">
        <f>100*0.104</f>
        <v>10.4</v>
      </c>
      <c r="BY87" s="228">
        <f>100*0.851</f>
        <v>85.1</v>
      </c>
      <c r="BZ87" s="240"/>
      <c r="CA87" s="241"/>
      <c r="CB87" s="241">
        <v>1560000</v>
      </c>
      <c r="CC87" s="228">
        <v>223003</v>
      </c>
      <c r="CD87" s="228">
        <v>37</v>
      </c>
      <c r="CE87" s="228">
        <v>5864</v>
      </c>
      <c r="CF87" s="228">
        <v>16447</v>
      </c>
      <c r="CG87" s="228">
        <v>3238</v>
      </c>
      <c r="CH87" s="228">
        <v>33012</v>
      </c>
      <c r="CI87" s="228">
        <v>20539</v>
      </c>
      <c r="CJ87" s="228">
        <v>14.3</v>
      </c>
      <c r="CK87" s="228">
        <v>2.3700000000000001E-3</v>
      </c>
      <c r="CL87" s="228">
        <v>0.38</v>
      </c>
      <c r="CM87" s="228">
        <v>1.05</v>
      </c>
      <c r="CN87" s="228">
        <v>0.21</v>
      </c>
      <c r="CO87" s="228">
        <v>2.12</v>
      </c>
      <c r="CP87" s="228">
        <v>1.32</v>
      </c>
      <c r="CQ87" s="228">
        <v>1.7000000000000001E-2</v>
      </c>
      <c r="CR87" s="228">
        <v>2.63</v>
      </c>
      <c r="CS87" s="228">
        <v>7.38</v>
      </c>
      <c r="CT87" s="228">
        <v>1.45</v>
      </c>
      <c r="CU87" s="228">
        <v>14.8</v>
      </c>
      <c r="CV87" s="228">
        <v>9.2100000000000009</v>
      </c>
    </row>
    <row r="88" spans="1:101" s="5" customFormat="1">
      <c r="A88" s="54" t="s">
        <v>224</v>
      </c>
      <c r="B88" s="54" t="s">
        <v>97</v>
      </c>
      <c r="C88" s="54"/>
      <c r="D88" s="54" t="s">
        <v>290</v>
      </c>
      <c r="E88" s="97">
        <v>20000</v>
      </c>
      <c r="F88" s="97">
        <v>43053</v>
      </c>
      <c r="G88" s="97">
        <v>43094</v>
      </c>
      <c r="H88" s="97" t="s">
        <v>151</v>
      </c>
      <c r="I88" s="74">
        <f>(G88-E88)/365.25</f>
        <v>63.227926078028744</v>
      </c>
      <c r="J88" s="74">
        <f>G88-E88</f>
        <v>23094</v>
      </c>
      <c r="K88" s="74">
        <f>G88-F88</f>
        <v>41</v>
      </c>
      <c r="L88" s="76" t="s">
        <v>100</v>
      </c>
      <c r="M88" s="76" t="s">
        <v>100</v>
      </c>
      <c r="N88" s="70" t="s">
        <v>225</v>
      </c>
      <c r="O88" s="71"/>
      <c r="P88" s="71"/>
      <c r="Q88" s="155" t="s">
        <v>226</v>
      </c>
      <c r="R88" s="77" t="s">
        <v>102</v>
      </c>
      <c r="S88" s="159" t="s">
        <v>227</v>
      </c>
      <c r="T88" s="160">
        <v>2175.9</v>
      </c>
      <c r="U88" s="160">
        <v>76.42</v>
      </c>
      <c r="V88" s="72">
        <f>T88-U88</f>
        <v>2099.48</v>
      </c>
      <c r="W88" s="77" t="s">
        <v>228</v>
      </c>
      <c r="X88" s="73">
        <f>15000000/2</f>
        <v>7500000</v>
      </c>
      <c r="Y88" s="177">
        <f>X88*V88</f>
        <v>15746100000</v>
      </c>
      <c r="Z88" s="73">
        <f>2700000000/2</f>
        <v>1350000000</v>
      </c>
      <c r="AA88" s="77" t="s">
        <v>226</v>
      </c>
      <c r="AB88" s="177">
        <v>17000000</v>
      </c>
      <c r="AC88" s="54" t="s">
        <v>352</v>
      </c>
      <c r="AD88" s="54">
        <v>4200</v>
      </c>
      <c r="AE88" s="54">
        <v>351</v>
      </c>
      <c r="AF88" s="54">
        <f>100*0.0829</f>
        <v>8.2900000000000009</v>
      </c>
      <c r="AG88" s="54">
        <f>100*0.0137</f>
        <v>1.37</v>
      </c>
      <c r="AH88" s="54">
        <v>0</v>
      </c>
      <c r="AI88" s="54">
        <v>0</v>
      </c>
      <c r="AJ88" s="54">
        <v>44</v>
      </c>
      <c r="AK88" s="54">
        <f>100*0.0114</f>
        <v>1.1400000000000001</v>
      </c>
      <c r="AL88" s="54">
        <v>0</v>
      </c>
      <c r="AM88" s="54">
        <v>0</v>
      </c>
      <c r="AN88" s="54">
        <f>100*0.636</f>
        <v>63.6</v>
      </c>
      <c r="AO88" s="54">
        <f>100*0.0909</f>
        <v>9.09</v>
      </c>
      <c r="AP88" s="54">
        <v>506</v>
      </c>
      <c r="AQ88" s="54">
        <f>100*0.03925</f>
        <v>3.9249999999999998</v>
      </c>
      <c r="AR88" s="54">
        <f>100*0.413</f>
        <v>41.3</v>
      </c>
      <c r="AS88" s="54">
        <f>100*0.19285</f>
        <v>19.285</v>
      </c>
      <c r="AT88" s="54">
        <f>100*0.183</f>
        <v>18.3</v>
      </c>
      <c r="AU88" s="54">
        <f>100*0.21</f>
        <v>21</v>
      </c>
      <c r="AV88" s="54">
        <f>100*0.0731</f>
        <v>7.31</v>
      </c>
      <c r="AW88" s="54">
        <f>100*0.0676</f>
        <v>6.76</v>
      </c>
      <c r="AX88" s="54">
        <f>100*0.321</f>
        <v>32.1</v>
      </c>
      <c r="AY88" s="54">
        <f>100*0.536</f>
        <v>53.6</v>
      </c>
      <c r="AZ88" s="54">
        <v>3184</v>
      </c>
      <c r="BA88" s="54">
        <f>100*0.01727</f>
        <v>1.7270000000000001</v>
      </c>
      <c r="BB88" s="54">
        <f>100*0.4838</f>
        <v>48.38</v>
      </c>
      <c r="BC88" s="54">
        <f>100*0.0733</f>
        <v>7.33</v>
      </c>
      <c r="BD88" s="54">
        <f>100*0.0466</f>
        <v>4.66</v>
      </c>
      <c r="BE88" s="54">
        <f>100*0.4</f>
        <v>40</v>
      </c>
      <c r="BF88" s="54">
        <f>100*0.31969</f>
        <v>31.968999999999998</v>
      </c>
      <c r="BG88" s="54">
        <f>100*0.0473</f>
        <v>4.7300000000000004</v>
      </c>
      <c r="BH88" s="54">
        <f>100*0.0635</f>
        <v>6.35</v>
      </c>
      <c r="BI88" s="54">
        <f>100*0.569</f>
        <v>56.899999999999991</v>
      </c>
      <c r="BJ88" s="54">
        <f>100*0.332</f>
        <v>33.200000000000003</v>
      </c>
      <c r="BK88" s="54">
        <f>100*0.1227</f>
        <v>12.27</v>
      </c>
      <c r="BL88" s="54">
        <f>100*0.103</f>
        <v>10.299999999999999</v>
      </c>
      <c r="BM88" s="54">
        <f>100*0.437</f>
        <v>43.7</v>
      </c>
      <c r="BN88" s="54">
        <f>100*0.23</f>
        <v>23</v>
      </c>
      <c r="BO88" s="54">
        <f>100*0.0686</f>
        <v>6.8599999999999994</v>
      </c>
      <c r="BP88" s="54">
        <f>100*0.166</f>
        <v>16.600000000000001</v>
      </c>
      <c r="BQ88" s="54">
        <f>100*0.536</f>
        <v>53.6</v>
      </c>
      <c r="BR88" s="54">
        <f>100*0.413</f>
        <v>41.3</v>
      </c>
      <c r="BS88" s="54">
        <f>100*0.136</f>
        <v>13.600000000000001</v>
      </c>
      <c r="BT88" s="54">
        <f>100*0.109</f>
        <v>10.9</v>
      </c>
      <c r="BU88" s="54">
        <f>100*0.261</f>
        <v>26.1</v>
      </c>
      <c r="BV88" s="54">
        <f>100*0.136</f>
        <v>13.600000000000001</v>
      </c>
      <c r="BW88" s="54">
        <f>100*0.0652</f>
        <v>6.52</v>
      </c>
      <c r="BX88" s="54">
        <f>100*0.239</f>
        <v>23.9</v>
      </c>
      <c r="BY88" s="54">
        <f>100*0.565</f>
        <v>56.499999999999993</v>
      </c>
      <c r="BZ88" s="121">
        <f>AD88/CA88</f>
        <v>2.0836185906403853E-3</v>
      </c>
      <c r="CA88" s="81">
        <v>2015724</v>
      </c>
      <c r="CB88" s="81">
        <v>1140000</v>
      </c>
      <c r="CC88" s="56">
        <v>1130000</v>
      </c>
      <c r="CD88" s="56">
        <v>4213</v>
      </c>
      <c r="CE88" s="56">
        <v>33</v>
      </c>
      <c r="CF88" s="56">
        <v>734</v>
      </c>
      <c r="CG88" s="56">
        <v>1030000</v>
      </c>
      <c r="CH88" s="56">
        <v>46360</v>
      </c>
      <c r="CI88" s="56">
        <v>1159</v>
      </c>
      <c r="CJ88" s="56">
        <v>0.99099999999999999</v>
      </c>
      <c r="CK88" s="56">
        <v>3.7000000000000002E-3</v>
      </c>
      <c r="CL88" s="56">
        <v>2.8900000000000001E-5</v>
      </c>
      <c r="CM88" s="56">
        <v>6.4000000000000005E-4</v>
      </c>
      <c r="CN88" s="56">
        <v>0.90400000000000003</v>
      </c>
      <c r="CO88" s="56">
        <v>4.07E-2</v>
      </c>
      <c r="CP88" s="56">
        <v>1E-3</v>
      </c>
      <c r="CQ88" s="56">
        <v>3.7000000000000002E-3</v>
      </c>
      <c r="CR88" s="56">
        <v>2.9199999999999998E-5</v>
      </c>
      <c r="CS88" s="56">
        <v>6.4999999999999997E-4</v>
      </c>
      <c r="CT88" s="56">
        <v>0.91200000000000003</v>
      </c>
      <c r="CU88" s="56">
        <v>4.0999999999999995E-2</v>
      </c>
      <c r="CV88" s="54">
        <v>1.0256637168141593E-3</v>
      </c>
      <c r="CW88" s="54"/>
    </row>
    <row r="89" spans="1:101" s="5" customFormat="1">
      <c r="A89" s="5" t="s">
        <v>353</v>
      </c>
      <c r="B89" s="5" t="s">
        <v>108</v>
      </c>
      <c r="D89" s="5" t="s">
        <v>290</v>
      </c>
      <c r="E89" s="91">
        <v>25781</v>
      </c>
      <c r="F89" s="91">
        <v>43062</v>
      </c>
      <c r="G89" s="91">
        <v>43110</v>
      </c>
      <c r="H89" s="91" t="s">
        <v>99</v>
      </c>
      <c r="I89" s="83">
        <f>(G89-E89)/365.25</f>
        <v>47.444216290212182</v>
      </c>
      <c r="J89" s="52">
        <f>G89-E89</f>
        <v>17329</v>
      </c>
      <c r="K89" s="52">
        <f>G89-F89</f>
        <v>48</v>
      </c>
      <c r="L89" s="52" t="s">
        <v>109</v>
      </c>
      <c r="M89" s="52" t="s">
        <v>100</v>
      </c>
      <c r="N89" s="92" t="s">
        <v>110</v>
      </c>
      <c r="O89" s="84">
        <v>0</v>
      </c>
      <c r="P89" s="84">
        <v>0</v>
      </c>
      <c r="Q89" s="91" t="s">
        <v>111</v>
      </c>
      <c r="R89" s="9" t="s">
        <v>112</v>
      </c>
      <c r="S89" s="84">
        <v>10</v>
      </c>
      <c r="T89" s="93">
        <v>2585.7600000000002</v>
      </c>
      <c r="U89" s="93">
        <v>73.92</v>
      </c>
      <c r="V89" s="140">
        <f>T89-U89</f>
        <v>2511.84</v>
      </c>
      <c r="W89" s="9"/>
      <c r="X89" s="8"/>
      <c r="Y89" s="90">
        <v>12000000</v>
      </c>
      <c r="Z89" s="8"/>
      <c r="AA89" s="9"/>
      <c r="AB89" s="90" t="s">
        <v>313</v>
      </c>
      <c r="AC89" s="5" t="s">
        <v>354</v>
      </c>
      <c r="AD89" s="5">
        <v>37957</v>
      </c>
      <c r="AE89" s="5">
        <v>3055</v>
      </c>
      <c r="AF89" s="5">
        <f>100*0.0845</f>
        <v>8.4500000000000011</v>
      </c>
      <c r="AG89" s="5">
        <f>100*0.278</f>
        <v>27.800000000000004</v>
      </c>
      <c r="AH89" s="5">
        <v>435</v>
      </c>
      <c r="AI89" s="5">
        <f>100*0.012</f>
        <v>1.2</v>
      </c>
      <c r="AJ89" s="5">
        <v>3110</v>
      </c>
      <c r="AK89" s="5">
        <f>100*0.0962</f>
        <v>9.6199999999999992</v>
      </c>
      <c r="AL89" s="5">
        <f>100*0.0576</f>
        <v>5.76</v>
      </c>
      <c r="AM89" s="5">
        <f>100*0.017</f>
        <v>1.7000000000000002</v>
      </c>
      <c r="AN89" s="5">
        <f>100*0.759</f>
        <v>75.900000000000006</v>
      </c>
      <c r="AO89" s="5">
        <f>100*0.0203</f>
        <v>2.0299999999999998</v>
      </c>
      <c r="AP89" s="5">
        <v>8751</v>
      </c>
      <c r="AQ89" s="5">
        <f>100*0.25</f>
        <v>25</v>
      </c>
      <c r="AR89" s="5">
        <f>100*0.417</f>
        <v>41.699999999999996</v>
      </c>
      <c r="AS89" s="5">
        <f>100*0.404</f>
        <v>40.400000000000006</v>
      </c>
      <c r="AT89" s="5">
        <f>100*0.0743</f>
        <v>7.4300000000000006</v>
      </c>
      <c r="AU89" s="5">
        <f>100*0.104</f>
        <v>10.4</v>
      </c>
      <c r="AV89" s="5">
        <f>100*0.164</f>
        <v>16.400000000000002</v>
      </c>
      <c r="AW89" s="5">
        <f>100*0.251</f>
        <v>25.1</v>
      </c>
      <c r="AX89" s="5">
        <f>100*0.261</f>
        <v>26.1</v>
      </c>
      <c r="AY89" s="5">
        <f>100*0.324</f>
        <v>32.4</v>
      </c>
      <c r="AZ89" s="5">
        <v>17369</v>
      </c>
      <c r="BA89" s="5">
        <f>100*0.112</f>
        <v>11.200000000000001</v>
      </c>
      <c r="BB89" s="5">
        <f>100*0.584</f>
        <v>58.4</v>
      </c>
      <c r="BC89" s="5">
        <f>100*0.146</f>
        <v>14.6</v>
      </c>
      <c r="BD89" s="5">
        <f>100*0.0253</f>
        <v>2.5299999999999998</v>
      </c>
      <c r="BE89" s="5">
        <f>100*0.245</f>
        <v>24.5</v>
      </c>
      <c r="BF89" s="5">
        <f>100*0.423</f>
        <v>42.3</v>
      </c>
      <c r="BG89" s="5">
        <f>100*0.125</f>
        <v>12.5</v>
      </c>
      <c r="BH89" s="5">
        <f>100*0.0348</f>
        <v>3.4799999999999995</v>
      </c>
      <c r="BI89" s="5">
        <f>100*0.417</f>
        <v>41.699999999999996</v>
      </c>
      <c r="BJ89" s="5">
        <f>100*0.822</f>
        <v>82.199999999999989</v>
      </c>
      <c r="BK89" s="5">
        <f>100*0.129</f>
        <v>12.9</v>
      </c>
      <c r="BL89" s="5">
        <f>100*0.0052</f>
        <v>0.52</v>
      </c>
      <c r="BM89" s="5">
        <f>100*0.0442</f>
        <v>4.42</v>
      </c>
      <c r="BN89" s="5">
        <f>100*0.227</f>
        <v>22.7</v>
      </c>
      <c r="BO89" s="5">
        <f>100*0.0419</f>
        <v>4.1900000000000004</v>
      </c>
      <c r="BP89" s="5">
        <f>100*0.092</f>
        <v>9.1999999999999993</v>
      </c>
      <c r="BQ89" s="5">
        <f>100*0.639</f>
        <v>63.9</v>
      </c>
      <c r="BR89" s="5">
        <f>100*0.686</f>
        <v>68.600000000000009</v>
      </c>
      <c r="BS89" s="5">
        <f>100*0.107</f>
        <v>10.7</v>
      </c>
      <c r="BT89" s="5">
        <f>100*0.0222</f>
        <v>2.2200000000000002</v>
      </c>
      <c r="BU89" s="5">
        <f>100*0.185</f>
        <v>18.5</v>
      </c>
      <c r="BV89" s="5">
        <f>100*0.26</f>
        <v>26</v>
      </c>
      <c r="BW89" s="5">
        <f>100*0.0559</f>
        <v>5.59</v>
      </c>
      <c r="BX89" s="5">
        <f>100*0.0759</f>
        <v>7.59</v>
      </c>
      <c r="BY89" s="5">
        <f>100*0.608</f>
        <v>60.8</v>
      </c>
      <c r="BZ89" s="58">
        <f>AD89/CA89</f>
        <v>1.9474785701422193E-2</v>
      </c>
      <c r="CA89" s="53">
        <v>1949033</v>
      </c>
      <c r="CB89" s="53">
        <v>1990000</v>
      </c>
      <c r="CC89" s="6">
        <v>485000</v>
      </c>
      <c r="CD89" s="6">
        <v>125787</v>
      </c>
      <c r="CE89" s="6">
        <v>23577</v>
      </c>
      <c r="CF89" s="6">
        <v>3472</v>
      </c>
      <c r="CG89" s="6">
        <v>10453</v>
      </c>
      <c r="CH89" s="6">
        <v>99099</v>
      </c>
      <c r="CI89" s="6">
        <v>64283</v>
      </c>
      <c r="CJ89" s="6">
        <v>0.24399999999999999</v>
      </c>
      <c r="CK89" s="6">
        <v>6.3200000000000006E-2</v>
      </c>
      <c r="CL89" s="6">
        <v>1.18E-2</v>
      </c>
      <c r="CM89" s="6">
        <v>1.7000000000000001E-3</v>
      </c>
      <c r="CN89" s="6">
        <v>5.3E-3</v>
      </c>
      <c r="CO89" s="6">
        <v>4.9800000000000004E-2</v>
      </c>
      <c r="CP89" s="6">
        <v>3.2300000000000002E-2</v>
      </c>
      <c r="CQ89" s="6">
        <v>0.25900000000000001</v>
      </c>
      <c r="CR89" s="6">
        <v>4.8600000000000004E-2</v>
      </c>
      <c r="CS89" s="6">
        <v>7.1999999999999998E-3</v>
      </c>
      <c r="CT89" s="6">
        <v>2.1600000000000001E-2</v>
      </c>
      <c r="CU89" s="6">
        <v>0.20399999999999999</v>
      </c>
      <c r="CV89" s="5">
        <v>0.13254226804123712</v>
      </c>
    </row>
    <row r="90" spans="1:101" s="228" customFormat="1" ht="12" customHeight="1">
      <c r="A90" s="228" t="s">
        <v>230</v>
      </c>
      <c r="B90" s="228" t="s">
        <v>108</v>
      </c>
      <c r="D90" s="228" t="s">
        <v>290</v>
      </c>
      <c r="E90" s="243">
        <v>23937</v>
      </c>
      <c r="F90" s="243">
        <v>42746</v>
      </c>
      <c r="G90" s="243">
        <v>43131</v>
      </c>
      <c r="H90" s="243" t="s">
        <v>151</v>
      </c>
      <c r="I90" s="231">
        <f>(G90-E90)/365.25</f>
        <v>52.550308008213555</v>
      </c>
      <c r="J90" s="232">
        <f>G90-E90</f>
        <v>19194</v>
      </c>
      <c r="K90" s="232">
        <f>G90-F90</f>
        <v>385</v>
      </c>
      <c r="L90" s="232" t="s">
        <v>100</v>
      </c>
      <c r="M90" s="232" t="s">
        <v>100</v>
      </c>
      <c r="N90" s="233" t="s">
        <v>110</v>
      </c>
      <c r="O90" s="244">
        <v>0</v>
      </c>
      <c r="P90" s="245">
        <v>0</v>
      </c>
      <c r="Q90" s="243" t="s">
        <v>111</v>
      </c>
      <c r="R90" s="235" t="s">
        <v>112</v>
      </c>
      <c r="S90" s="245">
        <v>10</v>
      </c>
      <c r="T90" s="244">
        <v>1863.1</v>
      </c>
      <c r="U90" s="246">
        <v>82.24</v>
      </c>
      <c r="V90" s="247">
        <f>T90-U90</f>
        <v>1780.86</v>
      </c>
      <c r="W90" s="235"/>
      <c r="X90" s="248"/>
      <c r="Y90" s="249">
        <v>18000000</v>
      </c>
      <c r="Z90" s="248"/>
      <c r="AA90" s="235"/>
      <c r="AB90" s="249">
        <v>2100000</v>
      </c>
      <c r="AC90" s="228" t="s">
        <v>355</v>
      </c>
      <c r="AD90" s="228">
        <v>203431</v>
      </c>
      <c r="AE90" s="228">
        <v>756</v>
      </c>
      <c r="AF90" s="228">
        <f>100*0.0039</f>
        <v>0.38999999999999996</v>
      </c>
      <c r="AG90" s="228">
        <f>100*0.803</f>
        <v>80.300000000000011</v>
      </c>
      <c r="AH90" s="228">
        <v>280</v>
      </c>
      <c r="AI90" s="228">
        <f>100*0.0014</f>
        <v>0.13999999999999999</v>
      </c>
      <c r="AJ90" s="228">
        <f>100*1897</f>
        <v>189700</v>
      </c>
      <c r="AK90" s="228">
        <f>100*0.0098</f>
        <v>0.98</v>
      </c>
      <c r="AL90" s="228">
        <f>100*0.332</f>
        <v>33.200000000000003</v>
      </c>
      <c r="AM90" s="228">
        <f>100*0.326</f>
        <v>32.6</v>
      </c>
      <c r="AN90" s="228">
        <f>100*0.474</f>
        <v>47.4</v>
      </c>
      <c r="AO90" s="228">
        <f>100*0.0648</f>
        <v>6.4799999999999995</v>
      </c>
      <c r="AP90" s="228">
        <v>51404</v>
      </c>
      <c r="AQ90" s="228">
        <f>100*0.603</f>
        <v>60.3</v>
      </c>
      <c r="AR90" s="228">
        <f>100*0.373</f>
        <v>37.299999999999997</v>
      </c>
      <c r="AS90" s="228">
        <f>100*0.516</f>
        <v>51.6</v>
      </c>
      <c r="AT90" s="228">
        <f>100*0.0705</f>
        <v>7.0499999999999989</v>
      </c>
      <c r="AU90" s="228">
        <f>100*0.0402</f>
        <v>4.0199999999999996</v>
      </c>
      <c r="AV90" s="228">
        <f>100*0.201</f>
        <v>20.100000000000001</v>
      </c>
      <c r="AW90" s="228">
        <f>100*0.372</f>
        <v>37.200000000000003</v>
      </c>
      <c r="AX90" s="228">
        <f>100*0.214</f>
        <v>21.4</v>
      </c>
      <c r="AY90" s="228">
        <f>100*0.212</f>
        <v>21.2</v>
      </c>
      <c r="AZ90" s="228">
        <v>73540</v>
      </c>
      <c r="BA90" s="228">
        <f>100*0.516</f>
        <v>51.6</v>
      </c>
      <c r="BB90" s="228">
        <f>100*0.589</f>
        <v>58.9</v>
      </c>
      <c r="BC90" s="228">
        <f>100*0.166</f>
        <v>16.600000000000001</v>
      </c>
      <c r="BD90" s="228">
        <f>100*0.0252</f>
        <v>2.52</v>
      </c>
      <c r="BE90" s="228">
        <f>100*0.22</f>
        <v>22</v>
      </c>
      <c r="BF90" s="228">
        <f>100*0.423</f>
        <v>42.3</v>
      </c>
      <c r="BG90" s="228">
        <f>100*0.142</f>
        <v>14.2</v>
      </c>
      <c r="BH90" s="228">
        <f>100*0.0492</f>
        <v>4.92</v>
      </c>
      <c r="BI90" s="228">
        <f>100*0.386</f>
        <v>38.6</v>
      </c>
      <c r="BJ90" s="228">
        <f>100*0.433</f>
        <v>43.3</v>
      </c>
      <c r="BK90" s="228">
        <f>100*0.507</f>
        <v>50.7</v>
      </c>
      <c r="BL90" s="228">
        <f>100*0.0265</f>
        <v>2.65</v>
      </c>
      <c r="BM90" s="228">
        <f>100*0.0344</f>
        <v>3.44</v>
      </c>
      <c r="BN90" s="228">
        <f>100*0.263</f>
        <v>26.3</v>
      </c>
      <c r="BO90" s="228">
        <f>100*0.328</f>
        <v>32.800000000000004</v>
      </c>
      <c r="BP90" s="228">
        <f>100*0.209</f>
        <v>20.9</v>
      </c>
      <c r="BQ90" s="228">
        <f>100*0.2</f>
        <v>20</v>
      </c>
      <c r="BR90" s="228">
        <f>100*0.434</f>
        <v>43.4</v>
      </c>
      <c r="BS90" s="228">
        <f>100*0.466</f>
        <v>46.6</v>
      </c>
      <c r="BT90" s="228">
        <f>100*0.0401</f>
        <v>4.01</v>
      </c>
      <c r="BU90" s="228">
        <f>100*0.0601</f>
        <v>6.01</v>
      </c>
      <c r="BV90" s="228">
        <f>100*0.306</f>
        <v>30.599999999999998</v>
      </c>
      <c r="BW90" s="228">
        <f>100*0.375</f>
        <v>37.5</v>
      </c>
      <c r="BX90" s="228">
        <f>100*0.147</f>
        <v>14.7</v>
      </c>
      <c r="BY90" s="228">
        <f>100*0.172</f>
        <v>17.2</v>
      </c>
      <c r="BZ90" s="240">
        <f>AD90/CA90</f>
        <v>0.21624204363299304</v>
      </c>
      <c r="CA90" s="241">
        <v>940756</v>
      </c>
      <c r="CB90" s="241">
        <v>986000</v>
      </c>
      <c r="CC90" s="250">
        <v>273327</v>
      </c>
      <c r="CD90" s="250">
        <v>101452</v>
      </c>
      <c r="CE90" s="250">
        <v>3720</v>
      </c>
      <c r="CF90" s="250">
        <v>2207</v>
      </c>
      <c r="CG90" s="250">
        <v>3217</v>
      </c>
      <c r="CH90" s="250">
        <v>9139</v>
      </c>
      <c r="CI90" s="250">
        <v>19048</v>
      </c>
      <c r="CJ90" s="250">
        <v>0.27699999999999997</v>
      </c>
      <c r="CK90" s="250">
        <v>0.10300000000000001</v>
      </c>
      <c r="CL90" s="250">
        <v>3.8E-3</v>
      </c>
      <c r="CM90" s="250">
        <v>2.2000000000000001E-3</v>
      </c>
      <c r="CN90" s="250">
        <v>3.3E-3</v>
      </c>
      <c r="CO90" s="250">
        <v>9.300000000000001E-3</v>
      </c>
      <c r="CP90" s="250">
        <v>1.9299999999999998E-2</v>
      </c>
      <c r="CQ90" s="250">
        <v>0.371</v>
      </c>
      <c r="CR90" s="250">
        <v>1.3600000000000001E-2</v>
      </c>
      <c r="CS90" s="250">
        <v>8.1000000000000013E-3</v>
      </c>
      <c r="CT90" s="250">
        <v>1.18E-2</v>
      </c>
      <c r="CU90" s="250">
        <v>3.3399999999999999E-2</v>
      </c>
      <c r="CV90" s="228">
        <v>6.9689419632893934E-2</v>
      </c>
    </row>
    <row r="91" spans="1:101" s="228" customFormat="1">
      <c r="A91" s="228" t="s">
        <v>233</v>
      </c>
      <c r="B91" s="228" t="s">
        <v>97</v>
      </c>
      <c r="C91" s="228" t="s">
        <v>234</v>
      </c>
      <c r="D91" s="228" t="s">
        <v>290</v>
      </c>
      <c r="E91" s="229">
        <v>23937</v>
      </c>
      <c r="F91" s="229">
        <v>42746</v>
      </c>
      <c r="G91" s="229">
        <v>43178</v>
      </c>
      <c r="H91" s="229" t="s">
        <v>151</v>
      </c>
      <c r="I91" s="251">
        <f>(G91-E91)/365.25</f>
        <v>52.67898699520876</v>
      </c>
      <c r="J91" s="251">
        <f>G91-E91</f>
        <v>19241</v>
      </c>
      <c r="K91" s="251">
        <f>G91-F91</f>
        <v>432</v>
      </c>
      <c r="L91" s="258" t="s">
        <v>100</v>
      </c>
      <c r="M91" s="258" t="s">
        <v>100</v>
      </c>
      <c r="N91" s="233" t="s">
        <v>356</v>
      </c>
      <c r="Q91" s="252" t="s">
        <v>236</v>
      </c>
      <c r="R91" s="253" t="s">
        <v>102</v>
      </c>
      <c r="S91" s="254" t="s">
        <v>172</v>
      </c>
      <c r="T91" s="236">
        <v>1670.97</v>
      </c>
      <c r="U91" s="236">
        <v>86.35</v>
      </c>
      <c r="V91" s="237">
        <f>T91-U91</f>
        <v>1584.6200000000001</v>
      </c>
      <c r="W91" s="255" t="s">
        <v>104</v>
      </c>
      <c r="X91" s="238">
        <v>8200000</v>
      </c>
      <c r="Y91" s="239">
        <f>X91*V91</f>
        <v>12993884000.000002</v>
      </c>
      <c r="Z91" s="238">
        <f>155000000</f>
        <v>155000000</v>
      </c>
      <c r="AA91" s="235"/>
      <c r="AB91" s="239">
        <v>10000000</v>
      </c>
      <c r="AC91" s="228" t="s">
        <v>357</v>
      </c>
      <c r="AD91" s="228">
        <v>100378</v>
      </c>
      <c r="AE91" s="228">
        <v>569</v>
      </c>
      <c r="AF91" s="228">
        <f>100*0.0056</f>
        <v>0.55999999999999994</v>
      </c>
      <c r="AG91" s="228">
        <f>100*0.0279</f>
        <v>2.79</v>
      </c>
      <c r="AH91" s="228">
        <v>66</v>
      </c>
      <c r="AI91" s="228">
        <f>100*0.00065</f>
        <v>6.5000000000000002E-2</v>
      </c>
      <c r="AJ91" s="228">
        <v>3094</v>
      </c>
      <c r="AK91" s="228">
        <f>100*0.0306</f>
        <v>3.06</v>
      </c>
      <c r="AL91" s="228">
        <f>100*0.0116</f>
        <v>1.1599999999999999</v>
      </c>
      <c r="AM91" s="228">
        <f>100*0.0052</f>
        <v>0.52</v>
      </c>
      <c r="AN91" s="228">
        <f>100*0.592</f>
        <v>59.199999999999996</v>
      </c>
      <c r="AO91" s="228">
        <f>100*0.0711</f>
        <v>7.1099999999999994</v>
      </c>
      <c r="AP91" s="228">
        <v>27738</v>
      </c>
      <c r="AQ91" s="228">
        <f>100*0.00705</f>
        <v>0.70499999999999996</v>
      </c>
      <c r="AR91" s="228">
        <f>100*0.4079634</f>
        <v>40.796340000000001</v>
      </c>
      <c r="AS91" s="228">
        <f>100*0.47694585</f>
        <v>47.694585000000004</v>
      </c>
      <c r="AT91" s="228">
        <f>100*0.0634</f>
        <v>6.34</v>
      </c>
      <c r="AU91" s="228">
        <f>100*0.0537</f>
        <v>5.37</v>
      </c>
      <c r="AV91" s="228">
        <f>100*0.15117</f>
        <v>15.116999999999999</v>
      </c>
      <c r="AW91" s="228">
        <f>100*0.22056745</f>
        <v>22.056744999999999</v>
      </c>
      <c r="AX91" s="228">
        <f>100*0.291</f>
        <v>29.099999999999998</v>
      </c>
      <c r="AY91" s="228">
        <f>100*0.326</f>
        <v>32.6</v>
      </c>
      <c r="AZ91" s="228">
        <v>58671</v>
      </c>
      <c r="BA91" s="228">
        <f>100*0.01345</f>
        <v>1.345</v>
      </c>
      <c r="BB91" s="228">
        <f>100*0.6489837</f>
        <v>64.89837</v>
      </c>
      <c r="BC91" s="228">
        <f>100*0.10599185</f>
        <v>10.599185</v>
      </c>
      <c r="BD91" s="228">
        <f>100*0.0182</f>
        <v>1.82</v>
      </c>
      <c r="BE91" s="228">
        <f>100*0.235</f>
        <v>23.5</v>
      </c>
      <c r="BF91" s="228">
        <f>100*0.31728</f>
        <v>31.728000000000002</v>
      </c>
      <c r="BG91" s="228">
        <f>100*0.06386475</f>
        <v>6.3864749999999999</v>
      </c>
      <c r="BH91" s="228">
        <f>100*0.0504</f>
        <v>5.04</v>
      </c>
      <c r="BI91" s="228">
        <f>100*0.566</f>
        <v>56.599999999999994</v>
      </c>
      <c r="BJ91" s="228">
        <f>100*0.183</f>
        <v>18.3</v>
      </c>
      <c r="BK91" s="228">
        <f>100*0.2052</f>
        <v>20.52</v>
      </c>
      <c r="BL91" s="228">
        <f>100*0.206</f>
        <v>20.599999999999998</v>
      </c>
      <c r="BM91" s="228">
        <f>100*0.404</f>
        <v>40.400000000000006</v>
      </c>
      <c r="BN91" s="228">
        <f>100*0.1581</f>
        <v>15.809999999999999</v>
      </c>
      <c r="BO91" s="228">
        <f>100*0.19125</f>
        <v>19.125</v>
      </c>
      <c r="BP91" s="228">
        <f>100*0.154</f>
        <v>15.4</v>
      </c>
      <c r="BQ91" s="228">
        <f>100*0.506</f>
        <v>50.6</v>
      </c>
      <c r="BR91" s="228">
        <f>100*0.245</f>
        <v>24.5</v>
      </c>
      <c r="BS91" s="228">
        <f>100*0.589</f>
        <v>58.9</v>
      </c>
      <c r="BT91" s="228">
        <f>100*0.0596</f>
        <v>5.96</v>
      </c>
      <c r="BU91" s="228">
        <f>100*0.0499</f>
        <v>4.99</v>
      </c>
      <c r="BV91" s="228">
        <f>100*0.1817</f>
        <v>18.170000000000002</v>
      </c>
      <c r="BW91" s="228">
        <f>100*0.384</f>
        <v>38.4</v>
      </c>
      <c r="BX91" s="228">
        <f>100*0.297</f>
        <v>29.7</v>
      </c>
      <c r="BY91" s="228">
        <f>100*0.152</f>
        <v>15.2</v>
      </c>
      <c r="BZ91" s="240">
        <f>AD91/CA91</f>
        <v>1.4192886843760322E-2</v>
      </c>
      <c r="CA91" s="241">
        <v>7072416</v>
      </c>
      <c r="CB91" s="241">
        <v>748000</v>
      </c>
      <c r="CC91" s="228">
        <v>734000</v>
      </c>
      <c r="CD91" s="228">
        <v>40514</v>
      </c>
      <c r="CE91" s="228">
        <v>2258</v>
      </c>
      <c r="CF91" s="228">
        <v>1757</v>
      </c>
      <c r="CG91" s="228">
        <v>213532</v>
      </c>
      <c r="CH91" s="228">
        <v>89422</v>
      </c>
      <c r="CI91" s="228">
        <v>4037</v>
      </c>
      <c r="CJ91" s="228">
        <v>96.5</v>
      </c>
      <c r="CK91" s="228">
        <v>6.29</v>
      </c>
      <c r="CL91" s="228">
        <v>0.37</v>
      </c>
      <c r="CM91" s="228">
        <v>0.32</v>
      </c>
      <c r="CN91" s="228">
        <v>29.2</v>
      </c>
      <c r="CO91" s="228">
        <v>17.7</v>
      </c>
      <c r="CP91" s="228">
        <v>1.33</v>
      </c>
      <c r="CQ91" s="228">
        <v>6.53</v>
      </c>
      <c r="CR91" s="228">
        <v>0.39</v>
      </c>
      <c r="CS91" s="228">
        <v>0.34</v>
      </c>
      <c r="CT91" s="228">
        <v>30.2</v>
      </c>
      <c r="CU91" s="228">
        <v>18.100000000000001</v>
      </c>
      <c r="CV91" s="228">
        <v>1.37</v>
      </c>
    </row>
    <row r="92" spans="1:101" s="228" customFormat="1" ht="12.6" customHeight="1">
      <c r="A92" s="228" t="s">
        <v>240</v>
      </c>
      <c r="B92" s="228" t="s">
        <v>97</v>
      </c>
      <c r="D92" s="228" t="s">
        <v>290</v>
      </c>
      <c r="E92" s="261">
        <v>23937</v>
      </c>
      <c r="F92" s="261">
        <v>42746</v>
      </c>
      <c r="G92" s="261">
        <v>43223</v>
      </c>
      <c r="H92" s="261" t="s">
        <v>151</v>
      </c>
      <c r="I92" s="262">
        <f>(G92-E92)/365.25</f>
        <v>52.802190280629709</v>
      </c>
      <c r="J92" s="262">
        <f>G92-E92</f>
        <v>19286</v>
      </c>
      <c r="K92" s="262">
        <f>G92-F92</f>
        <v>477</v>
      </c>
      <c r="L92" s="263" t="s">
        <v>100</v>
      </c>
      <c r="M92" s="263" t="s">
        <v>100</v>
      </c>
      <c r="N92" s="233" t="s">
        <v>356</v>
      </c>
      <c r="O92" s="234"/>
      <c r="P92" s="234"/>
      <c r="Q92" s="264" t="s">
        <v>241</v>
      </c>
      <c r="R92" s="265" t="s">
        <v>102</v>
      </c>
      <c r="S92" s="254" t="s">
        <v>172</v>
      </c>
      <c r="T92" s="266">
        <v>1530.1</v>
      </c>
      <c r="U92" s="266">
        <v>102.72</v>
      </c>
      <c r="V92" s="267">
        <f>T92-U92</f>
        <v>1427.3799999999999</v>
      </c>
      <c r="W92" s="268" t="s">
        <v>104</v>
      </c>
      <c r="X92" s="269">
        <v>20000000</v>
      </c>
      <c r="Y92" s="270">
        <f>X92*V92</f>
        <v>28547599999.999996</v>
      </c>
      <c r="Z92" s="269">
        <v>50500000</v>
      </c>
      <c r="AA92" s="265" t="s">
        <v>173</v>
      </c>
      <c r="AB92" s="270">
        <v>15400000</v>
      </c>
      <c r="AC92" s="257" t="s">
        <v>358</v>
      </c>
      <c r="AD92" s="228">
        <v>16926</v>
      </c>
      <c r="AE92" s="228">
        <v>163</v>
      </c>
      <c r="AF92" s="228">
        <f>100*0.0098</f>
        <v>0.98</v>
      </c>
      <c r="AG92" s="228">
        <f>100*0.0034</f>
        <v>0.33999999999999997</v>
      </c>
      <c r="AH92" s="228">
        <v>10</v>
      </c>
      <c r="AI92" s="228">
        <f>100*0.000575</f>
        <v>5.7499999999999996E-2</v>
      </c>
      <c r="AJ92" s="228">
        <v>801</v>
      </c>
      <c r="AK92" s="228">
        <f>100*0.05</f>
        <v>5</v>
      </c>
      <c r="AL92" s="228">
        <f>100*0.00265</f>
        <v>0.26500000000000001</v>
      </c>
      <c r="AM92" s="228">
        <f>100*0.00125</f>
        <v>0.125</v>
      </c>
      <c r="AN92" s="228">
        <f>100*0.567</f>
        <v>56.699999999999996</v>
      </c>
      <c r="AO92" s="228">
        <f>100*0.044</f>
        <v>4.3999999999999995</v>
      </c>
      <c r="AP92" s="228">
        <v>3222</v>
      </c>
      <c r="AQ92" s="228">
        <f>100*0.01586</f>
        <v>1.5859999999999999</v>
      </c>
      <c r="AR92" s="228">
        <f>100*0.482</f>
        <v>48.199999999999996</v>
      </c>
      <c r="AS92" s="228">
        <f>100*0.39354</f>
        <v>39.353999999999999</v>
      </c>
      <c r="AT92" s="228">
        <f>100*0.0541</f>
        <v>5.41</v>
      </c>
      <c r="AU92" s="228">
        <f>100*0.0674</f>
        <v>6.74</v>
      </c>
      <c r="AV92" s="228">
        <f>100*0.14265</f>
        <v>14.265000000000001</v>
      </c>
      <c r="AW92" s="228">
        <f>100*0.227825</f>
        <v>22.782499999999999</v>
      </c>
      <c r="AX92" s="228">
        <f>100*0.3257</f>
        <v>32.57</v>
      </c>
      <c r="AY92" s="228">
        <f>100*0.303</f>
        <v>30.3</v>
      </c>
      <c r="AZ92" s="228">
        <v>11594</v>
      </c>
      <c r="BA92" s="228">
        <f>100*0.0126</f>
        <v>1.26</v>
      </c>
      <c r="BB92" s="228">
        <f>100*0.65684</f>
        <v>65.683999999999997</v>
      </c>
      <c r="BC92" s="228">
        <f>100*0.102</f>
        <v>10.199999999999999</v>
      </c>
      <c r="BD92" s="228">
        <f>100*0.0252</f>
        <v>2.52</v>
      </c>
      <c r="BE92" s="228">
        <f>100*0.219</f>
        <v>21.9</v>
      </c>
      <c r="BF92" s="228">
        <f>100*0.2689042</f>
        <v>26.890419999999999</v>
      </c>
      <c r="BG92" s="228">
        <f>100*0.0476</f>
        <v>4.7600000000000007</v>
      </c>
      <c r="BH92" s="228">
        <f>100*0.0771</f>
        <v>7.71</v>
      </c>
      <c r="BI92" s="228">
        <f>100*0.606</f>
        <v>60.6</v>
      </c>
      <c r="BJ92" s="228">
        <f>100*0.308</f>
        <v>30.8</v>
      </c>
      <c r="BK92" s="228">
        <f>100*0.3655</f>
        <v>36.549999999999997</v>
      </c>
      <c r="BL92" s="228">
        <f>100*0.0241</f>
        <v>2.41</v>
      </c>
      <c r="BM92" s="228">
        <f>100*0.0479</f>
        <v>4.79</v>
      </c>
      <c r="BN92" s="228">
        <f>100*0.0297</f>
        <v>2.97</v>
      </c>
      <c r="BO92" s="228">
        <f>100*0.102</f>
        <v>10.199999999999999</v>
      </c>
      <c r="BP92" s="228">
        <f>100*0.391</f>
        <v>39.1</v>
      </c>
      <c r="BQ92" s="228">
        <f>100*0.446</f>
        <v>44.6</v>
      </c>
      <c r="BR92" s="228">
        <f>100*0.45</f>
        <v>45</v>
      </c>
      <c r="BS92" s="228">
        <f>100*0.358</f>
        <v>35.799999999999997</v>
      </c>
      <c r="BT92" s="228">
        <f>100*0.0639</f>
        <v>6.39</v>
      </c>
      <c r="BU92" s="228">
        <f>100*0.126</f>
        <v>12.6</v>
      </c>
      <c r="BV92" s="228">
        <f>100*0.113</f>
        <v>11.3</v>
      </c>
      <c r="BW92" s="228">
        <f>100*0.0741</f>
        <v>7.41</v>
      </c>
      <c r="BX92" s="228">
        <f>100*0.358</f>
        <v>35.799999999999997</v>
      </c>
      <c r="BY92" s="228">
        <f>100*0.5</f>
        <v>50</v>
      </c>
      <c r="BZ92" s="240">
        <f>AD92/CA92</f>
        <v>3.2839696647037095E-3</v>
      </c>
      <c r="CA92" s="241">
        <v>5154128</v>
      </c>
      <c r="CB92" s="241">
        <v>420000</v>
      </c>
      <c r="CC92" s="228">
        <v>417000</v>
      </c>
      <c r="CD92" s="228">
        <v>6283</v>
      </c>
      <c r="CE92" s="228">
        <v>198</v>
      </c>
      <c r="CF92" s="228">
        <v>808</v>
      </c>
      <c r="CG92" s="228">
        <v>354340</v>
      </c>
      <c r="CH92" s="228">
        <v>18604</v>
      </c>
      <c r="CI92" s="228">
        <v>2367</v>
      </c>
      <c r="CJ92" s="228" t="s">
        <v>359</v>
      </c>
      <c r="CK92" s="228">
        <v>1.5</v>
      </c>
      <c r="CL92" s="228">
        <v>4.7E-2</v>
      </c>
      <c r="CM92" s="228">
        <v>0.19</v>
      </c>
      <c r="CN92" s="228">
        <v>84.4</v>
      </c>
      <c r="CO92" s="228">
        <v>4.43</v>
      </c>
      <c r="CP92" s="228">
        <v>0.56000000000000005</v>
      </c>
      <c r="CQ92" s="228">
        <v>1.51</v>
      </c>
      <c r="CR92" s="228">
        <v>4.7E-2</v>
      </c>
      <c r="CS92" s="228">
        <v>0.19</v>
      </c>
      <c r="CT92" s="228">
        <v>85</v>
      </c>
      <c r="CU92" s="228">
        <v>4.46</v>
      </c>
      <c r="CV92" s="228">
        <v>0.56999999999999995</v>
      </c>
    </row>
    <row r="93" spans="1:101" s="228" customFormat="1">
      <c r="A93" s="228" t="s">
        <v>243</v>
      </c>
      <c r="B93" s="228" t="s">
        <v>108</v>
      </c>
      <c r="D93" s="228" t="s">
        <v>290</v>
      </c>
      <c r="E93" s="243">
        <v>23937</v>
      </c>
      <c r="F93" s="243">
        <v>42746</v>
      </c>
      <c r="G93" s="243">
        <v>43355</v>
      </c>
      <c r="H93" s="243" t="s">
        <v>151</v>
      </c>
      <c r="I93" s="231">
        <v>53.163586584531146</v>
      </c>
      <c r="J93" s="232">
        <v>19418</v>
      </c>
      <c r="K93" s="232">
        <v>609</v>
      </c>
      <c r="L93" s="232" t="s">
        <v>100</v>
      </c>
      <c r="M93" s="232" t="s">
        <v>100</v>
      </c>
      <c r="N93" s="233">
        <v>43223</v>
      </c>
      <c r="O93" s="244"/>
      <c r="P93" s="234"/>
      <c r="Q93" s="243" t="s">
        <v>111</v>
      </c>
      <c r="R93" s="235" t="s">
        <v>112</v>
      </c>
      <c r="S93" s="245">
        <v>10</v>
      </c>
      <c r="T93" s="244">
        <v>1779.54</v>
      </c>
      <c r="U93" s="246">
        <v>85.09</v>
      </c>
      <c r="V93" s="247">
        <v>1694.45</v>
      </c>
      <c r="W93" s="235"/>
      <c r="X93" s="248"/>
      <c r="Y93" s="249">
        <v>590000</v>
      </c>
      <c r="Z93" s="248"/>
      <c r="AA93" s="235"/>
      <c r="AB93" s="249">
        <v>8500000</v>
      </c>
      <c r="AC93" s="228" t="s">
        <v>360</v>
      </c>
      <c r="AD93" s="228">
        <v>75925</v>
      </c>
      <c r="AE93" s="228">
        <v>480</v>
      </c>
      <c r="AF93" s="228">
        <f>100*0.0064</f>
        <v>0.64</v>
      </c>
      <c r="AG93" s="228">
        <f>100*0.7</f>
        <v>70</v>
      </c>
      <c r="AH93" s="228">
        <v>16</v>
      </c>
      <c r="AI93" s="228">
        <f>100*0.00021</f>
        <v>2.1000000000000001E-2</v>
      </c>
      <c r="AJ93" s="228">
        <v>1517</v>
      </c>
      <c r="AK93" s="228">
        <f>100*0.0205</f>
        <v>2.0500000000000003</v>
      </c>
      <c r="AL93" s="228">
        <f>100*0.27</f>
        <v>27</v>
      </c>
      <c r="AM93" s="228">
        <f>100*0.103</f>
        <v>10.299999999999999</v>
      </c>
      <c r="AN93" s="228">
        <f>100*0.672</f>
        <v>67.2</v>
      </c>
      <c r="AO93" s="228">
        <f>100*0.0409</f>
        <v>4.09</v>
      </c>
      <c r="AP93" s="228">
        <v>34941</v>
      </c>
      <c r="AQ93" s="228">
        <f>100*0.71</f>
        <v>71</v>
      </c>
      <c r="AR93" s="228">
        <f>100*0.456</f>
        <v>45.6</v>
      </c>
      <c r="AS93" s="228">
        <f>100*0.421</f>
        <v>42.1</v>
      </c>
      <c r="AT93" s="228">
        <f>100*0.0586</f>
        <v>5.86</v>
      </c>
      <c r="AU93" s="228">
        <f>100*0.0643</f>
        <v>6.43</v>
      </c>
      <c r="AV93" s="228">
        <f>100*0.246</f>
        <v>24.6</v>
      </c>
      <c r="AW93" s="228">
        <f>100*0.39</f>
        <v>39</v>
      </c>
      <c r="AX93" s="228">
        <f>100*0.195</f>
        <v>19.5</v>
      </c>
      <c r="AY93" s="228">
        <f>100*0.168</f>
        <v>16.8</v>
      </c>
      <c r="AZ93" s="228">
        <v>33964</v>
      </c>
      <c r="BA93" s="228">
        <f>100*0.497</f>
        <v>49.7</v>
      </c>
      <c r="BB93" s="228">
        <f>100*0.625</f>
        <v>62.5</v>
      </c>
      <c r="BC93" s="228">
        <f>100*0.187</f>
        <v>18.7</v>
      </c>
      <c r="BD93" s="228">
        <f>100*0.0045</f>
        <v>0.44999999999999996</v>
      </c>
      <c r="BE93" s="228">
        <f>100*0.184</f>
        <v>18.399999999999999</v>
      </c>
      <c r="BF93" s="228">
        <f>100*0.317</f>
        <v>31.7</v>
      </c>
      <c r="BG93" s="228">
        <f>100*0.187</f>
        <v>18.7</v>
      </c>
      <c r="BH93" s="228">
        <f>100*0.0331</f>
        <v>3.3099999999999996</v>
      </c>
      <c r="BI93" s="228">
        <f>100*0.462</f>
        <v>46.2</v>
      </c>
      <c r="BJ93" s="228">
        <f>100*0.394</f>
        <v>39.4</v>
      </c>
      <c r="BK93" s="228">
        <f>100*0.381</f>
        <v>38.1</v>
      </c>
      <c r="BL93" s="228">
        <f>100*0.104</f>
        <v>10.4</v>
      </c>
      <c r="BM93" s="228">
        <f>100*0.121</f>
        <v>12.1</v>
      </c>
      <c r="BN93" s="228">
        <f>100*0.227</f>
        <v>22.7</v>
      </c>
      <c r="BO93" s="228">
        <f>100*0.281</f>
        <v>28.1</v>
      </c>
      <c r="BP93" s="228">
        <f>100*0.204</f>
        <v>20.399999999999999</v>
      </c>
      <c r="BQ93" s="228">
        <f>100*0.287</f>
        <v>28.7</v>
      </c>
      <c r="BR93" s="228">
        <f>100*0.653</f>
        <v>65.3</v>
      </c>
      <c r="BS93" s="228">
        <f>100*0.259</f>
        <v>25.900000000000002</v>
      </c>
      <c r="BT93" s="228">
        <f>100*0.0264</f>
        <v>2.64</v>
      </c>
      <c r="BU93" s="228">
        <f>100*0.0613</f>
        <v>6.13</v>
      </c>
      <c r="BV93" s="228">
        <f>100*0.49</f>
        <v>49</v>
      </c>
      <c r="BW93" s="228">
        <f>100*0.204</f>
        <v>20.399999999999999</v>
      </c>
      <c r="BX93" s="228">
        <f>100*0.0817</f>
        <v>8.17</v>
      </c>
      <c r="BY93" s="228">
        <f>100*0.225</f>
        <v>22.5</v>
      </c>
      <c r="BZ93" s="240">
        <v>1</v>
      </c>
      <c r="CA93" s="241"/>
      <c r="CB93" s="241">
        <v>516000</v>
      </c>
      <c r="CC93" s="250">
        <v>433000</v>
      </c>
      <c r="CD93" s="250">
        <v>1677</v>
      </c>
      <c r="CE93" s="250">
        <v>20925</v>
      </c>
      <c r="CF93" s="250">
        <v>1256</v>
      </c>
      <c r="CG93" s="250">
        <v>7207</v>
      </c>
      <c r="CH93" s="250">
        <v>51470</v>
      </c>
      <c r="CI93" s="250">
        <v>51412</v>
      </c>
      <c r="CJ93" s="250">
        <v>83.9</v>
      </c>
      <c r="CK93" s="250">
        <v>0.33</v>
      </c>
      <c r="CL93" s="250">
        <v>4.0599999999999996</v>
      </c>
      <c r="CM93" s="250">
        <v>0.24</v>
      </c>
      <c r="CN93" s="250">
        <v>1.4</v>
      </c>
      <c r="CO93" s="250">
        <v>9.9700000000000006</v>
      </c>
      <c r="CP93" s="250">
        <v>9.9600000000000009</v>
      </c>
      <c r="CQ93" s="250">
        <v>0.39</v>
      </c>
      <c r="CR93" s="250">
        <v>4.83</v>
      </c>
      <c r="CS93" s="250">
        <v>0.28999999999999998</v>
      </c>
      <c r="CT93" s="250">
        <v>1.66</v>
      </c>
      <c r="CU93" s="250">
        <v>11.9</v>
      </c>
      <c r="CV93" s="228">
        <v>11.9</v>
      </c>
    </row>
    <row r="94" spans="1:101" s="5" customFormat="1">
      <c r="A94" s="54" t="s">
        <v>245</v>
      </c>
      <c r="B94" s="54" t="s">
        <v>97</v>
      </c>
      <c r="C94" s="54"/>
      <c r="D94" s="54" t="s">
        <v>290</v>
      </c>
      <c r="E94" s="97">
        <v>25179</v>
      </c>
      <c r="F94" s="97">
        <v>43145</v>
      </c>
      <c r="G94" s="97">
        <v>43167</v>
      </c>
      <c r="H94" s="97" t="s">
        <v>151</v>
      </c>
      <c r="I94" s="74">
        <f>(G94-E94)/365.25</f>
        <v>49.248459958932237</v>
      </c>
      <c r="J94" s="74">
        <f>G94-E94</f>
        <v>17988</v>
      </c>
      <c r="K94" s="74">
        <f>G94-F94</f>
        <v>22</v>
      </c>
      <c r="L94" s="76" t="s">
        <v>100</v>
      </c>
      <c r="M94" s="76" t="s">
        <v>100</v>
      </c>
      <c r="N94" s="70" t="s">
        <v>361</v>
      </c>
      <c r="O94" s="71"/>
      <c r="P94" s="71"/>
      <c r="Q94" s="155" t="s">
        <v>247</v>
      </c>
      <c r="R94" s="77" t="s">
        <v>102</v>
      </c>
      <c r="S94" s="159" t="s">
        <v>172</v>
      </c>
      <c r="T94" s="160">
        <f>1244.81+890</f>
        <v>2134.81</v>
      </c>
      <c r="U94" s="160">
        <v>73.17</v>
      </c>
      <c r="V94" s="72">
        <f>T94-U94</f>
        <v>2061.64</v>
      </c>
      <c r="W94" s="187" t="s">
        <v>104</v>
      </c>
      <c r="X94" s="73">
        <v>1700000</v>
      </c>
      <c r="Y94" s="177">
        <f>X94*V94</f>
        <v>3504788000</v>
      </c>
      <c r="Z94" s="73">
        <f>54000000*5</f>
        <v>270000000</v>
      </c>
      <c r="AA94" s="77" t="s">
        <v>247</v>
      </c>
      <c r="AB94" s="177">
        <v>40000000</v>
      </c>
      <c r="AC94" s="54" t="s">
        <v>362</v>
      </c>
      <c r="AD94" s="54">
        <v>135007</v>
      </c>
      <c r="AE94" s="54">
        <v>135</v>
      </c>
      <c r="AF94" s="54">
        <f>100*0.0011</f>
        <v>0.11</v>
      </c>
      <c r="AG94" s="54">
        <f>100*0.08215</f>
        <v>8.2149999999999999</v>
      </c>
      <c r="AH94" s="54">
        <v>531</v>
      </c>
      <c r="AI94" s="54">
        <f>100*0.0028</f>
        <v>0.27999999999999997</v>
      </c>
      <c r="AJ94" s="54">
        <v>1591</v>
      </c>
      <c r="AK94" s="54">
        <f>100*0.012</f>
        <v>1.2</v>
      </c>
      <c r="AL94" s="54">
        <f>100*0.02835</f>
        <v>2.835</v>
      </c>
      <c r="AM94" s="54">
        <f>100*0.0165</f>
        <v>1.6500000000000001</v>
      </c>
      <c r="AN94" s="54">
        <f>100*0.732</f>
        <v>73.2</v>
      </c>
      <c r="AO94" s="54">
        <f>100*0.0554</f>
        <v>5.54</v>
      </c>
      <c r="AP94" s="54">
        <v>69314</v>
      </c>
      <c r="AQ94" s="54">
        <f>100*0.0255</f>
        <v>2.5499999999999998</v>
      </c>
      <c r="AR94" s="54">
        <f>100*0.24378</f>
        <v>24.378</v>
      </c>
      <c r="AS94" s="54">
        <f>100*0.3508638</f>
        <v>35.086379999999998</v>
      </c>
      <c r="AT94" s="54">
        <f>100*0.24884</f>
        <v>24.884</v>
      </c>
      <c r="AU94" s="54">
        <f>100*0.15</f>
        <v>15</v>
      </c>
      <c r="AV94" s="54">
        <f>100*0.08386</f>
        <v>8.386000000000001</v>
      </c>
      <c r="AW94" s="54">
        <f>100*0.16764</f>
        <v>16.764000000000003</v>
      </c>
      <c r="AX94" s="54">
        <f>100*0.40864</f>
        <v>40.863999999999997</v>
      </c>
      <c r="AY94" s="54">
        <f>100*0.339</f>
        <v>33.900000000000006</v>
      </c>
      <c r="AZ94" s="54">
        <v>37024</v>
      </c>
      <c r="BA94" s="54">
        <f>100*0.03851</f>
        <v>3.8510000000000004</v>
      </c>
      <c r="BB94" s="54">
        <f>100*0.5777</f>
        <v>57.769999999999996</v>
      </c>
      <c r="BC94" s="54">
        <f>100*0.08877295</f>
        <v>8.8772950000000002</v>
      </c>
      <c r="BD94" s="54">
        <f>100*0.0302</f>
        <v>3.02</v>
      </c>
      <c r="BE94" s="54">
        <f>100*0.309</f>
        <v>30.9</v>
      </c>
      <c r="BF94" s="54">
        <f>100*0.42522</f>
        <v>42.521999999999998</v>
      </c>
      <c r="BG94" s="54">
        <f>100*0.08214</f>
        <v>8.2140000000000004</v>
      </c>
      <c r="BH94" s="54">
        <f>100*0.0390459</f>
        <v>3.9045900000000002</v>
      </c>
      <c r="BI94" s="54">
        <f>100*0.445</f>
        <v>44.5</v>
      </c>
      <c r="BJ94" s="54">
        <f>100*0.338</f>
        <v>33.800000000000004</v>
      </c>
      <c r="BK94" s="54">
        <f>100*0.0455</f>
        <v>4.55</v>
      </c>
      <c r="BL94" s="54">
        <f>100*0.0447</f>
        <v>4.47</v>
      </c>
      <c r="BM94" s="54">
        <f>100*0.311</f>
        <v>31.1</v>
      </c>
      <c r="BN94" s="54">
        <f>100*0.147</f>
        <v>14.7</v>
      </c>
      <c r="BO94" s="54">
        <f>100*0.0615</f>
        <v>6.15</v>
      </c>
      <c r="BP94" s="54">
        <f>100*0.067</f>
        <v>6.7</v>
      </c>
      <c r="BQ94" s="54">
        <f>100*0.719</f>
        <v>71.899999999999991</v>
      </c>
      <c r="BR94" s="54">
        <f>100*0.526</f>
        <v>52.6</v>
      </c>
      <c r="BS94" s="54">
        <f>100*0.207</f>
        <v>20.7</v>
      </c>
      <c r="BT94" s="54">
        <f>100*0.0615</f>
        <v>6.15</v>
      </c>
      <c r="BU94" s="54">
        <f>100*0.195</f>
        <v>19.5</v>
      </c>
      <c r="BV94" s="54">
        <f>100*0.044</f>
        <v>4.3999999999999995</v>
      </c>
      <c r="BW94" s="54">
        <f>100*0.0347</f>
        <v>3.47</v>
      </c>
      <c r="BX94" s="54">
        <f>100*0.18</f>
        <v>18</v>
      </c>
      <c r="BY94" s="54">
        <f>100*0.75</f>
        <v>75</v>
      </c>
      <c r="BZ94" s="121">
        <f>AD94/CA94</f>
        <v>3.2752408511497196E-2</v>
      </c>
      <c r="CA94" s="81">
        <v>4122048</v>
      </c>
      <c r="CB94" s="81">
        <v>694000</v>
      </c>
      <c r="CC94" s="56">
        <v>668000</v>
      </c>
      <c r="CD94" s="56">
        <v>87149</v>
      </c>
      <c r="CE94" s="56">
        <v>498</v>
      </c>
      <c r="CF94" s="56">
        <v>3161</v>
      </c>
      <c r="CG94" s="56">
        <v>209903</v>
      </c>
      <c r="CH94" s="56">
        <v>135415</v>
      </c>
      <c r="CI94" s="56">
        <v>4334</v>
      </c>
      <c r="CJ94" s="56">
        <v>96.1</v>
      </c>
      <c r="CK94" s="56">
        <v>12.6</v>
      </c>
      <c r="CL94" s="56">
        <v>6.0999999999999999E-2</v>
      </c>
      <c r="CM94" s="56">
        <v>0.46</v>
      </c>
      <c r="CN94" s="56">
        <v>29.5</v>
      </c>
      <c r="CO94" s="56">
        <v>18</v>
      </c>
      <c r="CP94" s="56">
        <v>0.62</v>
      </c>
      <c r="CQ94" s="56">
        <v>13.3</v>
      </c>
      <c r="CR94" s="56">
        <v>6.3E-2</v>
      </c>
      <c r="CS94" s="56">
        <v>0.47</v>
      </c>
      <c r="CT94" s="56">
        <v>30.7</v>
      </c>
      <c r="CU94" s="56">
        <v>18.7</v>
      </c>
      <c r="CV94" s="54">
        <v>0.65</v>
      </c>
      <c r="CW94" s="54"/>
    </row>
    <row r="95" spans="1:101" s="228" customFormat="1">
      <c r="A95" s="228" t="s">
        <v>249</v>
      </c>
      <c r="B95" s="228" t="s">
        <v>97</v>
      </c>
      <c r="D95" s="228" t="s">
        <v>290</v>
      </c>
      <c r="E95" s="243">
        <v>25372</v>
      </c>
      <c r="F95" s="243">
        <v>42866</v>
      </c>
      <c r="G95" s="243">
        <v>43241</v>
      </c>
      <c r="H95" s="243" t="s">
        <v>99</v>
      </c>
      <c r="I95" s="231">
        <f>(G95-E95)/365.25</f>
        <v>48.922655715263517</v>
      </c>
      <c r="J95" s="232">
        <f>G95-E95</f>
        <v>17869</v>
      </c>
      <c r="K95" s="232">
        <f>G95-F95</f>
        <v>375</v>
      </c>
      <c r="L95" s="232" t="s">
        <v>109</v>
      </c>
      <c r="M95" s="232" t="s">
        <v>109</v>
      </c>
      <c r="N95" s="233" t="s">
        <v>356</v>
      </c>
      <c r="O95" s="244"/>
      <c r="P95" s="234"/>
      <c r="Q95" s="313" t="s">
        <v>250</v>
      </c>
      <c r="R95" s="314" t="s">
        <v>251</v>
      </c>
      <c r="S95" s="318">
        <v>4</v>
      </c>
      <c r="T95" s="321">
        <f>1066.45+1260.87</f>
        <v>2327.3199999999997</v>
      </c>
      <c r="U95" s="321">
        <f>(60.24+49.61)/2</f>
        <v>54.924999999999997</v>
      </c>
      <c r="V95" s="319">
        <f>T95-U95</f>
        <v>2272.3949999999995</v>
      </c>
      <c r="W95" s="320" t="s">
        <v>104</v>
      </c>
      <c r="X95" s="320">
        <v>610000</v>
      </c>
      <c r="Y95" s="322">
        <f t="shared" ref="Y95" si="19">X95*V95</f>
        <v>1386160949.9999998</v>
      </c>
      <c r="Z95" s="320">
        <v>270000000</v>
      </c>
      <c r="AA95" s="228" t="s">
        <v>363</v>
      </c>
      <c r="AB95" s="249">
        <v>19800000</v>
      </c>
      <c r="AC95" s="228" t="s">
        <v>364</v>
      </c>
      <c r="AD95" s="228">
        <v>10567</v>
      </c>
      <c r="AE95" s="228">
        <v>477</v>
      </c>
      <c r="AF95" s="228">
        <f>100*0.0394</f>
        <v>3.94</v>
      </c>
      <c r="AG95" s="228">
        <f>100*0.00835</f>
        <v>0.83499999999999996</v>
      </c>
      <c r="AH95" s="228">
        <v>49</v>
      </c>
      <c r="AI95" s="228">
        <f>100*0.00485</f>
        <v>0.48499999999999999</v>
      </c>
      <c r="AJ95" s="228">
        <v>735</v>
      </c>
      <c r="AK95" s="228">
        <f>100*0.0697</f>
        <v>6.97</v>
      </c>
      <c r="AL95" s="228">
        <v>0</v>
      </c>
      <c r="AM95" s="228">
        <v>0</v>
      </c>
      <c r="AN95" s="228">
        <f>100*0.753</f>
        <v>75.3</v>
      </c>
      <c r="AO95" s="228">
        <f>100*0.0259</f>
        <v>2.59</v>
      </c>
      <c r="AP95" s="228">
        <v>2057</v>
      </c>
      <c r="AQ95" s="228">
        <f>100*0.02955</f>
        <v>2.9550000000000001</v>
      </c>
      <c r="AR95" s="228">
        <f>100*0.551</f>
        <v>55.1</v>
      </c>
      <c r="AS95" s="228">
        <f>100*0.206</f>
        <v>20.599999999999998</v>
      </c>
      <c r="AT95" s="228">
        <f>100*0.0608</f>
        <v>6.08</v>
      </c>
      <c r="AU95" s="228">
        <f>100*0.157</f>
        <v>15.7</v>
      </c>
      <c r="AV95" s="228">
        <f>100*0.134</f>
        <v>13.4</v>
      </c>
      <c r="AW95" s="228">
        <f>100*0.0988</f>
        <v>9.879999999999999</v>
      </c>
      <c r="AX95" s="228">
        <f>100*0.145</f>
        <v>14.499999999999998</v>
      </c>
      <c r="AY95" s="228">
        <f>100*0.651</f>
        <v>65.100000000000009</v>
      </c>
      <c r="AZ95" s="228">
        <v>6444</v>
      </c>
      <c r="BA95" s="228">
        <v>0</v>
      </c>
      <c r="BB95" s="228">
        <f>100*0.71881</f>
        <v>71.881</v>
      </c>
      <c r="BC95" s="228">
        <f>100*0.0947</f>
        <v>9.4700000000000006</v>
      </c>
      <c r="BD95" s="228">
        <f>100*0.0068</f>
        <v>0.67999999999999994</v>
      </c>
      <c r="BE95" s="228">
        <f>100*0.178</f>
        <v>17.8</v>
      </c>
      <c r="BF95" s="228">
        <f>100*0.56784</f>
        <v>56.783999999999999</v>
      </c>
      <c r="BG95" s="228">
        <f>100*0.0846</f>
        <v>8.4599999999999991</v>
      </c>
      <c r="BH95" s="228">
        <f>100*0.0126</f>
        <v>1.26</v>
      </c>
      <c r="BI95" s="228">
        <f>100*0.33</f>
        <v>33</v>
      </c>
      <c r="BJ95" s="228">
        <f>100*0.4072</f>
        <v>40.72</v>
      </c>
      <c r="BK95" s="228">
        <f>100*0.06585</f>
        <v>6.5850000000000009</v>
      </c>
      <c r="BL95" s="228">
        <f>100*0.145</f>
        <v>14.499999999999998</v>
      </c>
      <c r="BM95" s="228">
        <f>100*0.367</f>
        <v>36.700000000000003</v>
      </c>
      <c r="BN95" s="228">
        <f>100*0.335</f>
        <v>33.5</v>
      </c>
      <c r="BO95" s="228">
        <f>100*0.0439</f>
        <v>4.3900000000000006</v>
      </c>
      <c r="BP95" s="228">
        <f>100*0.1729</f>
        <v>17.29</v>
      </c>
      <c r="BQ95" s="228">
        <f>100*0.478</f>
        <v>47.8</v>
      </c>
      <c r="BR95" s="228">
        <f>100*0.439</f>
        <v>43.9</v>
      </c>
      <c r="BS95" s="228">
        <f>100*0.0589</f>
        <v>5.89</v>
      </c>
      <c r="BT95" s="228">
        <f>100*0.1176</f>
        <v>11.76</v>
      </c>
      <c r="BU95" s="228">
        <f>100*0.375</f>
        <v>37.5</v>
      </c>
      <c r="BV95" s="228">
        <f>100*0.103</f>
        <v>10.299999999999999</v>
      </c>
      <c r="BW95" s="228">
        <f>100*0.0183</f>
        <v>1.83</v>
      </c>
      <c r="BX95" s="228">
        <f>100*0.123</f>
        <v>12.3</v>
      </c>
      <c r="BY95" s="228">
        <f>100*0.772</f>
        <v>77.2</v>
      </c>
      <c r="BZ95" s="240">
        <v>1.03E-2</v>
      </c>
      <c r="CA95" s="241"/>
      <c r="CB95" s="241">
        <v>1650000</v>
      </c>
      <c r="CC95" s="250">
        <v>1530000</v>
      </c>
      <c r="CD95" s="250">
        <v>45992</v>
      </c>
      <c r="CE95" s="250">
        <v>4032</v>
      </c>
      <c r="CF95" s="250">
        <v>152</v>
      </c>
      <c r="CG95" s="250">
        <v>1260000</v>
      </c>
      <c r="CH95" s="250">
        <v>23935</v>
      </c>
      <c r="CI95" s="250">
        <v>10145</v>
      </c>
      <c r="CJ95" s="250">
        <v>92.7</v>
      </c>
      <c r="CK95" s="250">
        <v>2.79</v>
      </c>
      <c r="CL95" s="250">
        <v>0.24</v>
      </c>
      <c r="CM95" s="250">
        <v>9.2099999999999994E-3</v>
      </c>
      <c r="CN95" s="250">
        <v>76.400000000000006</v>
      </c>
      <c r="CO95" s="250">
        <v>1.45</v>
      </c>
      <c r="CP95" s="250">
        <v>0.61</v>
      </c>
      <c r="CQ95" s="250">
        <v>3.01</v>
      </c>
      <c r="CR95" s="250">
        <v>0.26</v>
      </c>
      <c r="CS95" s="250">
        <v>9.9299999999999996E-3</v>
      </c>
      <c r="CT95" s="250">
        <v>82.4</v>
      </c>
      <c r="CU95" s="250">
        <v>1.56</v>
      </c>
      <c r="CV95" s="228">
        <v>0.66</v>
      </c>
    </row>
    <row r="96" spans="1:101" s="228" customFormat="1">
      <c r="A96" s="228" t="s">
        <v>254</v>
      </c>
      <c r="B96" s="228" t="s">
        <v>108</v>
      </c>
      <c r="D96" s="228" t="s">
        <v>290</v>
      </c>
      <c r="E96" s="243">
        <v>25372</v>
      </c>
      <c r="F96" s="243">
        <v>42866</v>
      </c>
      <c r="G96" s="243">
        <v>43370</v>
      </c>
      <c r="H96" s="243" t="s">
        <v>99</v>
      </c>
      <c r="I96" s="231">
        <v>49.275838466803556</v>
      </c>
      <c r="J96" s="232">
        <v>17998</v>
      </c>
      <c r="K96" s="232">
        <v>504</v>
      </c>
      <c r="L96" s="232" t="s">
        <v>109</v>
      </c>
      <c r="M96" s="232" t="s">
        <v>109</v>
      </c>
      <c r="N96" s="233">
        <v>43254</v>
      </c>
      <c r="O96" s="244"/>
      <c r="P96" s="234"/>
      <c r="Q96" s="243" t="s">
        <v>111</v>
      </c>
      <c r="R96" s="235" t="s">
        <v>255</v>
      </c>
      <c r="S96" s="245">
        <v>10</v>
      </c>
      <c r="T96" s="244">
        <v>1268.48</v>
      </c>
      <c r="U96" s="246">
        <v>51.49</v>
      </c>
      <c r="V96" s="247">
        <v>1216.99</v>
      </c>
      <c r="W96" s="235"/>
      <c r="X96" s="248"/>
      <c r="Y96" s="249">
        <v>24900000</v>
      </c>
      <c r="Z96" s="248"/>
      <c r="AA96" s="235"/>
      <c r="AB96" s="249">
        <v>9750000</v>
      </c>
      <c r="AC96" s="228" t="s">
        <v>365</v>
      </c>
      <c r="AD96" s="228">
        <v>147986</v>
      </c>
      <c r="AE96" s="228">
        <v>3954</v>
      </c>
      <c r="AF96" s="228">
        <f>100*0.0274</f>
        <v>2.74</v>
      </c>
      <c r="AG96" s="228">
        <f>100*0.1788</f>
        <v>17.88</v>
      </c>
      <c r="AH96" s="228">
        <v>179</v>
      </c>
      <c r="AI96" s="228">
        <f>100*0.0012</f>
        <v>0.12</v>
      </c>
      <c r="AJ96" s="228">
        <v>4438</v>
      </c>
      <c r="AK96" s="228">
        <f>100*0.0328</f>
        <v>3.2800000000000002</v>
      </c>
      <c r="AL96" s="228">
        <f>100*0.0027</f>
        <v>0.27</v>
      </c>
      <c r="AM96" s="228">
        <f>100*0.00046</f>
        <v>4.5999999999999999E-2</v>
      </c>
      <c r="AN96" s="228">
        <f>100*0.805</f>
        <v>80.5</v>
      </c>
      <c r="AO96" s="228">
        <f>100*0.025</f>
        <v>2.5</v>
      </c>
      <c r="AP96" s="228">
        <v>66776</v>
      </c>
      <c r="AQ96" s="228">
        <f>100*0.1469317</f>
        <v>14.69317</v>
      </c>
      <c r="AR96" s="228">
        <f>100*0.5478</f>
        <v>54.779999999999994</v>
      </c>
      <c r="AS96" s="228">
        <f>100*0.1879</f>
        <v>18.790000000000003</v>
      </c>
      <c r="AT96" s="228">
        <f>100*0.0630098</f>
        <v>6.3009800000000009</v>
      </c>
      <c r="AU96" s="228">
        <f>100*0.177</f>
        <v>17.7</v>
      </c>
      <c r="AV96" s="228">
        <f>100*0.0948445</f>
        <v>9.4844499999999989</v>
      </c>
      <c r="AW96" s="228">
        <f>100*0.08739075</f>
        <v>8.7390749999999997</v>
      </c>
      <c r="AX96" s="228">
        <f>100*0.2068</f>
        <v>20.68</v>
      </c>
      <c r="AY96" s="228">
        <f>100*0.616</f>
        <v>61.6</v>
      </c>
      <c r="AZ96" s="228">
        <v>63838</v>
      </c>
      <c r="BA96" s="228">
        <f>100*0.0323894</f>
        <v>3.2389399999999999</v>
      </c>
      <c r="BB96" s="228">
        <f>100*0.5408</f>
        <v>54.08</v>
      </c>
      <c r="BC96" s="228">
        <f>100*0.135518</f>
        <v>13.5518</v>
      </c>
      <c r="BD96" s="228">
        <f>100*0.0205479</f>
        <v>2.0547900000000001</v>
      </c>
      <c r="BE96" s="228">
        <f>100*0.3</f>
        <v>30</v>
      </c>
      <c r="BF96" s="228">
        <f>100*0.47772</f>
        <v>47.771999999999998</v>
      </c>
      <c r="BG96" s="228">
        <f>100*0.072869</f>
        <v>7.2869000000000002</v>
      </c>
      <c r="BH96" s="228">
        <f>100*0.0155653</f>
        <v>1.55653</v>
      </c>
      <c r="BI96" s="228">
        <f>100*0.439</f>
        <v>43.9</v>
      </c>
      <c r="BJ96" s="228">
        <f>100*0.29249</f>
        <v>29.249000000000002</v>
      </c>
      <c r="BK96" s="228">
        <f>100*0.065</f>
        <v>6.5</v>
      </c>
      <c r="BL96" s="228">
        <f>100*0.17973</f>
        <v>17.972999999999999</v>
      </c>
      <c r="BM96" s="228">
        <f>100*0.471</f>
        <v>47.099999999999994</v>
      </c>
      <c r="BN96" s="228">
        <f>100*0.218</f>
        <v>21.8</v>
      </c>
      <c r="BO96" s="228">
        <f>100*0.062365</f>
        <v>6.2364999999999995</v>
      </c>
      <c r="BP96" s="228">
        <f>100*0.16</f>
        <v>16</v>
      </c>
      <c r="BQ96" s="228">
        <f>100*0.562</f>
        <v>56.2</v>
      </c>
      <c r="BR96" s="228">
        <f>100*0.456</f>
        <v>45.6</v>
      </c>
      <c r="BS96" s="228">
        <f>100*0.13</f>
        <v>13</v>
      </c>
      <c r="BT96" s="228">
        <f>100*0.15077</f>
        <v>15.076999999999998</v>
      </c>
      <c r="BU96" s="228">
        <f>100*0.259</f>
        <v>25.900000000000002</v>
      </c>
      <c r="BV96" s="228">
        <f>100*0.25377</f>
        <v>25.376999999999999</v>
      </c>
      <c r="BW96" s="228">
        <f>100*0.056685</f>
        <v>5.6684999999999999</v>
      </c>
      <c r="BX96" s="228">
        <f>100*0.16577</f>
        <v>16.577000000000002</v>
      </c>
      <c r="BY96" s="228">
        <f>100*0.535</f>
        <v>53.5</v>
      </c>
      <c r="BZ96" s="240">
        <v>1.1999999999999999E-3</v>
      </c>
      <c r="CA96" s="241"/>
      <c r="CB96" s="241">
        <v>1840000</v>
      </c>
      <c r="CC96" s="250">
        <v>1730000</v>
      </c>
      <c r="CD96" s="250">
        <v>1374</v>
      </c>
      <c r="CE96" s="250">
        <v>40711</v>
      </c>
      <c r="CF96" s="250">
        <v>26127</v>
      </c>
      <c r="CG96" s="250">
        <v>151043</v>
      </c>
      <c r="CH96" s="250">
        <v>482000</v>
      </c>
      <c r="CI96" s="250">
        <v>192467</v>
      </c>
      <c r="CJ96" s="250">
        <v>94</v>
      </c>
      <c r="CK96" s="250">
        <v>7.4999999999999997E-2</v>
      </c>
      <c r="CL96" s="250">
        <v>2.21</v>
      </c>
      <c r="CM96" s="250">
        <v>1.42</v>
      </c>
      <c r="CN96" s="250">
        <v>8.2100000000000009</v>
      </c>
      <c r="CO96" s="250">
        <v>26.2</v>
      </c>
      <c r="CP96" s="250">
        <v>10.5</v>
      </c>
      <c r="CQ96" s="250">
        <v>7.9000000000000001E-2</v>
      </c>
      <c r="CR96" s="250">
        <v>2.35</v>
      </c>
      <c r="CS96" s="250">
        <v>1.51</v>
      </c>
      <c r="CT96" s="250">
        <v>8.73</v>
      </c>
      <c r="CU96" s="250">
        <v>27.9</v>
      </c>
      <c r="CV96" s="228">
        <v>11.1</v>
      </c>
    </row>
    <row r="97" spans="1:101" s="5" customFormat="1">
      <c r="A97" s="54" t="s">
        <v>257</v>
      </c>
      <c r="B97" s="54" t="s">
        <v>97</v>
      </c>
      <c r="C97" s="55"/>
      <c r="D97" s="54" t="s">
        <v>290</v>
      </c>
      <c r="E97" s="98">
        <v>13611</v>
      </c>
      <c r="F97" s="98">
        <v>42583</v>
      </c>
      <c r="G97" s="98">
        <v>43305</v>
      </c>
      <c r="H97" s="98" t="s">
        <v>99</v>
      </c>
      <c r="I97" s="78">
        <f>(G97-E97)/365.25</f>
        <v>81.297741273100613</v>
      </c>
      <c r="J97" s="78">
        <f>G97-E97</f>
        <v>29694</v>
      </c>
      <c r="K97" s="78">
        <f>G97-F97</f>
        <v>722</v>
      </c>
      <c r="L97" s="79" t="s">
        <v>109</v>
      </c>
      <c r="M97" s="79" t="s">
        <v>109</v>
      </c>
      <c r="N97" s="80" t="s">
        <v>204</v>
      </c>
      <c r="O97" s="55"/>
      <c r="P97" s="55"/>
      <c r="Q97" s="156" t="s">
        <v>258</v>
      </c>
      <c r="R97" s="127" t="s">
        <v>259</v>
      </c>
      <c r="S97" s="129">
        <v>5</v>
      </c>
      <c r="T97" s="163">
        <v>1200.8900000000001</v>
      </c>
      <c r="U97" s="163">
        <v>72.42</v>
      </c>
      <c r="V97" s="123">
        <f>T97-U97</f>
        <v>1128.47</v>
      </c>
      <c r="W97" s="188" t="s">
        <v>104</v>
      </c>
      <c r="X97" s="124">
        <v>177000000</v>
      </c>
      <c r="Y97" s="178">
        <f>X97*V97</f>
        <v>199739190000</v>
      </c>
      <c r="Z97" s="124">
        <v>177000000</v>
      </c>
      <c r="AA97" s="127" t="s">
        <v>260</v>
      </c>
      <c r="AB97" s="178">
        <v>25900000</v>
      </c>
      <c r="AC97" s="55" t="s">
        <v>366</v>
      </c>
      <c r="AD97" s="55">
        <v>62308</v>
      </c>
      <c r="AE97" s="55">
        <v>11722</v>
      </c>
      <c r="AF97" s="55">
        <f>100*0.212</f>
        <v>21.2</v>
      </c>
      <c r="AG97" s="55">
        <f>100*0.0010147</f>
        <v>0.10147</v>
      </c>
      <c r="AH97" s="55">
        <v>4</v>
      </c>
      <c r="AI97" s="55">
        <f>100*0.00008385</f>
        <v>8.3850000000000001E-3</v>
      </c>
      <c r="AJ97" s="55">
        <v>1918</v>
      </c>
      <c r="AK97" s="55">
        <f>100*0.0425</f>
        <v>4.25</v>
      </c>
      <c r="AL97" s="55">
        <f>100*0.00185</f>
        <v>0.185</v>
      </c>
      <c r="AM97" s="55">
        <f>100*0.00115</f>
        <v>0.11499999999999999</v>
      </c>
      <c r="AN97" s="55">
        <f>100*0.642</f>
        <v>64.2</v>
      </c>
      <c r="AO97" s="55">
        <f>100*0.0506</f>
        <v>5.0599999999999996</v>
      </c>
      <c r="AP97" s="55">
        <v>23288</v>
      </c>
      <c r="AQ97" s="55">
        <f>100*0.00295</f>
        <v>0.29499999999999998</v>
      </c>
      <c r="AR97" s="55">
        <f>100*0.1349</f>
        <v>13.489999999999998</v>
      </c>
      <c r="AS97" s="55">
        <f>100*0.0417</f>
        <v>4.17</v>
      </c>
      <c r="AT97" s="55">
        <f>100*0.364</f>
        <v>36.4</v>
      </c>
      <c r="AU97" s="55">
        <f>100*0.451</f>
        <v>45.1</v>
      </c>
      <c r="AV97" s="55">
        <f>100*0.0182568</f>
        <v>1.82568</v>
      </c>
      <c r="AW97" s="55">
        <f>100*0.016</f>
        <v>1.6</v>
      </c>
      <c r="AX97" s="55">
        <f>100*0.476</f>
        <v>47.599999999999994</v>
      </c>
      <c r="AY97" s="55">
        <f>100*0.485</f>
        <v>48.5</v>
      </c>
      <c r="AZ97" s="55">
        <v>13633</v>
      </c>
      <c r="BA97" s="55">
        <f>100*0.00985</f>
        <v>0.98499999999999999</v>
      </c>
      <c r="BB97" s="55">
        <f>100*0.3479055</f>
        <v>34.790549999999996</v>
      </c>
      <c r="BC97" s="55">
        <f>100*0.0224</f>
        <v>2.2399999999999998</v>
      </c>
      <c r="BD97" s="55">
        <f>100*0.0820362</f>
        <v>8.2036200000000008</v>
      </c>
      <c r="BE97" s="55">
        <f>100*0.547</f>
        <v>54.7</v>
      </c>
      <c r="BF97" s="55">
        <f>100*0.21185</f>
        <v>21.185000000000002</v>
      </c>
      <c r="BG97" s="55">
        <f>100*0.0139681</f>
        <v>1.3968100000000001</v>
      </c>
      <c r="BH97" s="55">
        <f>100*0.0836</f>
        <v>8.36</v>
      </c>
      <c r="BI97" s="55">
        <f>100*0.682</f>
        <v>68.2</v>
      </c>
      <c r="BJ97" s="55">
        <f>100*0.11069</f>
        <v>11.068999999999999</v>
      </c>
      <c r="BK97" s="55">
        <f>100*0.004725</f>
        <v>0.47250000000000003</v>
      </c>
      <c r="BL97" s="55">
        <f>100*0.02085</f>
        <v>2.085</v>
      </c>
      <c r="BM97" s="55">
        <f>100*0.863</f>
        <v>86.3</v>
      </c>
      <c r="BN97" s="55">
        <f>100*0.10083</f>
        <v>10.083</v>
      </c>
      <c r="BO97" s="55">
        <f>100*0.00179</f>
        <v>0.17899999999999999</v>
      </c>
      <c r="BP97" s="55">
        <f>100*0.0354</f>
        <v>3.54</v>
      </c>
      <c r="BQ97" s="55">
        <f>100*0.861</f>
        <v>86.1</v>
      </c>
      <c r="BR97" s="55">
        <f>100*0.511</f>
        <v>51.1</v>
      </c>
      <c r="BS97" s="55">
        <f>100*0.0049</f>
        <v>0.49</v>
      </c>
      <c r="BT97" s="55">
        <f>100*0.0087</f>
        <v>0.86999999999999988</v>
      </c>
      <c r="BU97" s="55">
        <f>100*0.475</f>
        <v>47.5</v>
      </c>
      <c r="BV97" s="55">
        <f>100*0.134</f>
        <v>13.4</v>
      </c>
      <c r="BW97" s="55">
        <f>100*0.013</f>
        <v>1.3</v>
      </c>
      <c r="BX97" s="55">
        <f>100*0.02879</f>
        <v>2.879</v>
      </c>
      <c r="BY97" s="55">
        <f>100*0.821</f>
        <v>82.1</v>
      </c>
      <c r="BZ97" s="55">
        <f>100*0.0072</f>
        <v>0.72</v>
      </c>
      <c r="CA97" s="128">
        <f>AD97/BZ97</f>
        <v>86538.888888888891</v>
      </c>
      <c r="CB97" s="55">
        <v>3130000</v>
      </c>
      <c r="CC97" s="55">
        <v>2880000</v>
      </c>
      <c r="CD97" s="55">
        <v>24768</v>
      </c>
      <c r="CE97" s="55">
        <v>928</v>
      </c>
      <c r="CF97" s="55">
        <v>57842</v>
      </c>
      <c r="CG97" s="55">
        <v>282588</v>
      </c>
      <c r="CH97" s="55">
        <v>28883</v>
      </c>
      <c r="CI97" s="55">
        <v>5671</v>
      </c>
      <c r="CJ97" s="55">
        <v>92.4</v>
      </c>
      <c r="CK97" s="55">
        <v>0.79</v>
      </c>
      <c r="CL97" s="55">
        <v>0.03</v>
      </c>
      <c r="CM97" s="55">
        <v>1.85</v>
      </c>
      <c r="CN97" s="55">
        <v>9.0299999999999994</v>
      </c>
      <c r="CO97" s="55">
        <v>0.92</v>
      </c>
      <c r="CP97" s="55">
        <v>7.6499999999999999E-2</v>
      </c>
      <c r="CQ97" s="55">
        <v>0.86</v>
      </c>
      <c r="CR97" s="55">
        <v>3.2000000000000001E-2</v>
      </c>
      <c r="CS97" s="55">
        <v>2.0099999999999998</v>
      </c>
      <c r="CT97" s="55">
        <v>9.81</v>
      </c>
      <c r="CU97" s="55">
        <v>1</v>
      </c>
      <c r="CV97" s="55">
        <v>1.4E-2</v>
      </c>
      <c r="CW97" s="55"/>
    </row>
    <row r="98" spans="1:101" s="5" customFormat="1">
      <c r="A98" s="5" t="s">
        <v>262</v>
      </c>
      <c r="B98" s="5" t="s">
        <v>108</v>
      </c>
      <c r="D98" s="5" t="s">
        <v>290</v>
      </c>
      <c r="E98" s="139">
        <v>18194</v>
      </c>
      <c r="F98" s="139">
        <v>43270</v>
      </c>
      <c r="G98" s="139">
        <v>43341</v>
      </c>
      <c r="H98" s="99" t="s">
        <v>99</v>
      </c>
      <c r="I98" s="146">
        <v>68.848733744010957</v>
      </c>
      <c r="J98" s="8">
        <v>25147</v>
      </c>
      <c r="K98" s="8">
        <v>71</v>
      </c>
      <c r="L98" s="52" t="s">
        <v>100</v>
      </c>
      <c r="M98" s="52" t="s">
        <v>109</v>
      </c>
      <c r="N98" s="92" t="s">
        <v>110</v>
      </c>
      <c r="Q98" s="99" t="s">
        <v>111</v>
      </c>
      <c r="R98" s="5" t="s">
        <v>112</v>
      </c>
      <c r="S98" s="99">
        <v>10</v>
      </c>
      <c r="T98" s="99">
        <v>2452.48</v>
      </c>
      <c r="U98" s="99">
        <v>86.65</v>
      </c>
      <c r="V98" s="8">
        <v>2365.83</v>
      </c>
      <c r="W98" s="9"/>
      <c r="X98" s="8"/>
      <c r="Y98" s="99">
        <v>4500000</v>
      </c>
      <c r="Z98" s="8"/>
      <c r="AA98" s="9"/>
      <c r="AB98" s="132">
        <v>25000000</v>
      </c>
      <c r="AC98" s="5" t="s">
        <v>367</v>
      </c>
      <c r="AD98" s="5">
        <v>66901</v>
      </c>
      <c r="AE98" s="5">
        <v>1925</v>
      </c>
      <c r="AF98" s="5">
        <f>100*0.0291</f>
        <v>2.91</v>
      </c>
      <c r="AG98" s="5">
        <f>100*0.351</f>
        <v>35.099999999999994</v>
      </c>
      <c r="AH98" s="5">
        <v>8</v>
      </c>
      <c r="AI98" s="5">
        <f>100*0.00012</f>
        <v>1.2E-2</v>
      </c>
      <c r="AJ98" s="5">
        <v>777</v>
      </c>
      <c r="AK98" s="5">
        <f>100*0.0121</f>
        <v>1.21</v>
      </c>
      <c r="AL98" s="5">
        <f>100*0.0373</f>
        <v>3.73</v>
      </c>
      <c r="AM98" s="5">
        <f>100*0.0013</f>
        <v>0.13</v>
      </c>
      <c r="AN98" s="5">
        <f>100*0.921</f>
        <v>92.100000000000009</v>
      </c>
      <c r="AO98" s="5">
        <f>100*0.0399</f>
        <v>3.9899999999999998</v>
      </c>
      <c r="AP98" s="5">
        <v>25492</v>
      </c>
      <c r="AQ98" s="5">
        <f>100*0.348</f>
        <v>34.799999999999997</v>
      </c>
      <c r="AR98" s="5">
        <f>100*0.552</f>
        <v>55.2</v>
      </c>
      <c r="AS98" s="5">
        <f>100*0.28</f>
        <v>28.000000000000004</v>
      </c>
      <c r="AT98" s="5">
        <f>100*0.0685</f>
        <v>6.8500000000000005</v>
      </c>
      <c r="AU98" s="5">
        <f>100*0.1</f>
        <v>10</v>
      </c>
      <c r="AV98" s="5">
        <f>100*0.197</f>
        <v>19.7</v>
      </c>
      <c r="AW98" s="5">
        <f>100*0.169</f>
        <v>16.900000000000002</v>
      </c>
      <c r="AX98" s="5">
        <f>100*0.251</f>
        <v>25.1</v>
      </c>
      <c r="AY98" s="5">
        <f>100*0.383</f>
        <v>38.299999999999997</v>
      </c>
      <c r="AZ98" s="5">
        <v>35622</v>
      </c>
      <c r="BA98" s="5">
        <f>100*0.0116</f>
        <v>1.1599999999999999</v>
      </c>
      <c r="BB98" s="5">
        <f>100*0.667</f>
        <v>66.7</v>
      </c>
      <c r="BC98" s="5">
        <f>100*0.0945</f>
        <v>9.4499999999999993</v>
      </c>
      <c r="BD98" s="5">
        <f>100*0.0034</f>
        <v>0.33999999999999997</v>
      </c>
      <c r="BE98" s="5">
        <f>100*0.235</f>
        <v>23.5</v>
      </c>
      <c r="BF98" s="5">
        <f>100*0.456</f>
        <v>45.6</v>
      </c>
      <c r="BG98" s="5">
        <f>100*0.0866</f>
        <v>8.66</v>
      </c>
      <c r="BH98" s="5">
        <f>100*0.0114</f>
        <v>1.1400000000000001</v>
      </c>
      <c r="BI98" s="5">
        <f>100*0.446</f>
        <v>44.6</v>
      </c>
      <c r="BJ98" s="5">
        <f>100*0.462</f>
        <v>46.2</v>
      </c>
      <c r="BK98" s="5">
        <f>100*0.39</f>
        <v>39</v>
      </c>
      <c r="BL98" s="5">
        <f>100*0.0369</f>
        <v>3.6900000000000004</v>
      </c>
      <c r="BM98" s="5">
        <f>100*0.111</f>
        <v>11.1</v>
      </c>
      <c r="BN98" s="5">
        <f>100*0.124</f>
        <v>12.4</v>
      </c>
      <c r="BO98" s="5">
        <f>100*0.134</f>
        <v>13.4</v>
      </c>
      <c r="BP98" s="5">
        <f>100*0.276</f>
        <v>27.6</v>
      </c>
      <c r="BQ98" s="5">
        <f>100*0.465</f>
        <v>46.5</v>
      </c>
      <c r="BR98" s="5">
        <f>100*0.623</f>
        <v>62.3</v>
      </c>
      <c r="BS98" s="5">
        <f>100*0.147</f>
        <v>14.7</v>
      </c>
      <c r="BT98" s="5">
        <f>100*0.0373</f>
        <v>3.73</v>
      </c>
      <c r="BU98" s="5">
        <f>100*0.193</f>
        <v>19.3</v>
      </c>
      <c r="BV98" s="5">
        <f>100*0.273</f>
        <v>27.3</v>
      </c>
      <c r="BW98" s="5">
        <f>100*0.0772</f>
        <v>7.7200000000000006</v>
      </c>
      <c r="BX98" s="5">
        <f>100*0.111</f>
        <v>11.1</v>
      </c>
      <c r="BY98" s="5">
        <f>100*0.539</f>
        <v>53.900000000000006</v>
      </c>
      <c r="BZ98" s="58">
        <v>7.6799999999999993E-2</v>
      </c>
      <c r="CA98" s="53"/>
      <c r="CB98" s="53">
        <v>475000</v>
      </c>
      <c r="CC98" s="5">
        <v>455000</v>
      </c>
      <c r="CD98" s="5">
        <v>26</v>
      </c>
      <c r="CE98" s="5">
        <v>12765</v>
      </c>
      <c r="CF98" s="5">
        <v>329</v>
      </c>
      <c r="CG98" s="5">
        <v>25682</v>
      </c>
      <c r="CH98" s="5">
        <v>236385</v>
      </c>
      <c r="CI98" s="5">
        <v>24014</v>
      </c>
      <c r="CJ98" s="5">
        <v>95.8</v>
      </c>
      <c r="CK98" s="5">
        <v>5.47E-3</v>
      </c>
      <c r="CL98" s="5">
        <v>2.69</v>
      </c>
      <c r="CM98" s="5">
        <v>6.9000000000000006E-2</v>
      </c>
      <c r="CN98" s="5">
        <v>5.41</v>
      </c>
      <c r="CO98" s="5">
        <v>49.8</v>
      </c>
      <c r="CP98" s="5">
        <v>5.0599999999999996</v>
      </c>
      <c r="CQ98" s="5">
        <v>5.7099999999999998E-3</v>
      </c>
      <c r="CR98" s="5">
        <v>2.81</v>
      </c>
      <c r="CS98" s="5">
        <v>7.1999999999999995E-2</v>
      </c>
      <c r="CT98" s="5">
        <v>5.64</v>
      </c>
      <c r="CU98" s="5">
        <v>52</v>
      </c>
      <c r="CV98" s="5">
        <v>5.28</v>
      </c>
    </row>
    <row r="99" spans="1:101" s="5" customFormat="1">
      <c r="A99" s="54" t="s">
        <v>265</v>
      </c>
      <c r="B99" s="54" t="s">
        <v>97</v>
      </c>
      <c r="C99" s="55"/>
      <c r="D99" s="54" t="s">
        <v>290</v>
      </c>
      <c r="E99" s="150">
        <v>27494</v>
      </c>
      <c r="F99" s="150">
        <v>43325</v>
      </c>
      <c r="G99" s="150">
        <v>43434</v>
      </c>
      <c r="H99" s="129" t="s">
        <v>151</v>
      </c>
      <c r="I99" s="144">
        <v>43.641341546885698</v>
      </c>
      <c r="J99" s="145">
        <v>15940</v>
      </c>
      <c r="K99" s="145">
        <v>109</v>
      </c>
      <c r="L99" s="145" t="s">
        <v>100</v>
      </c>
      <c r="M99" s="145" t="s">
        <v>100</v>
      </c>
      <c r="N99" s="55" t="s">
        <v>266</v>
      </c>
      <c r="O99" s="55"/>
      <c r="P99" s="55"/>
      <c r="Q99" s="129" t="s">
        <v>267</v>
      </c>
      <c r="R99" s="55" t="s">
        <v>268</v>
      </c>
      <c r="S99" s="129" t="s">
        <v>172</v>
      </c>
      <c r="T99" s="129">
        <v>880.45</v>
      </c>
      <c r="U99" s="129">
        <v>74.12</v>
      </c>
      <c r="V99" s="145">
        <v>806.33</v>
      </c>
      <c r="W99" s="183" t="s">
        <v>104</v>
      </c>
      <c r="X99" s="145">
        <v>35000000</v>
      </c>
      <c r="Y99" s="129">
        <v>28221550000</v>
      </c>
      <c r="Z99" s="145">
        <v>35000000</v>
      </c>
      <c r="AA99" s="183" t="s">
        <v>173</v>
      </c>
      <c r="AB99" s="162">
        <v>25500000</v>
      </c>
      <c r="AC99" s="55" t="s">
        <v>368</v>
      </c>
      <c r="AD99" s="55">
        <v>176995</v>
      </c>
      <c r="AE99" s="55">
        <v>2745</v>
      </c>
      <c r="AF99" s="55">
        <f>100*0.0182</f>
        <v>1.82</v>
      </c>
      <c r="AG99" s="55">
        <f>100*0.005</f>
        <v>0.5</v>
      </c>
      <c r="AH99" s="55">
        <v>591</v>
      </c>
      <c r="AI99" s="55">
        <f>100*0.00345</f>
        <v>0.34499999999999997</v>
      </c>
      <c r="AJ99" s="55">
        <v>3382</v>
      </c>
      <c r="AK99" s="55">
        <f>100*0.0204</f>
        <v>2.04</v>
      </c>
      <c r="AL99" s="55">
        <f>100*0.00109</f>
        <v>0.109</v>
      </c>
      <c r="AM99" s="55">
        <f>100*0.000775</f>
        <v>7.7499999999999999E-2</v>
      </c>
      <c r="AN99" s="55">
        <f>100*0.789</f>
        <v>78.900000000000006</v>
      </c>
      <c r="AO99" s="55">
        <f>100*0.0373</f>
        <v>3.73</v>
      </c>
      <c r="AP99" s="55">
        <v>14755</v>
      </c>
      <c r="AQ99" s="55">
        <f>100*0.09289</f>
        <v>9.2889999999999997</v>
      </c>
      <c r="AR99" s="55">
        <f>100*0.56039</f>
        <v>56.039000000000009</v>
      </c>
      <c r="AS99" s="55">
        <f>100*0.352465</f>
        <v>35.246499999999997</v>
      </c>
      <c r="AT99" s="55">
        <f>100*0.01436</f>
        <v>1.4359999999999999</v>
      </c>
      <c r="AU99" s="55">
        <f>100*0.0669</f>
        <v>6.69</v>
      </c>
      <c r="AV99" s="55">
        <f>100*0.49187</f>
        <v>49.186999999999998</v>
      </c>
      <c r="AW99" s="55">
        <f>100*0.366565</f>
        <v>36.656499999999994</v>
      </c>
      <c r="AX99" s="55">
        <f>100*0.02943</f>
        <v>2.9430000000000001</v>
      </c>
      <c r="AY99" s="55">
        <f>100*0.11</f>
        <v>11</v>
      </c>
      <c r="AZ99" s="55">
        <v>136085</v>
      </c>
      <c r="BA99" s="55">
        <f>100*0.0163757</f>
        <v>1.63757</v>
      </c>
      <c r="BB99" s="55">
        <f>100*0.74017</f>
        <v>74.016999999999996</v>
      </c>
      <c r="BC99" s="55">
        <f>100*0.059051</f>
        <v>5.9051</v>
      </c>
      <c r="BD99" s="55">
        <f>100*0.0018</f>
        <v>0.18</v>
      </c>
      <c r="BE99" s="55">
        <f>100*0.184</f>
        <v>18.399999999999999</v>
      </c>
      <c r="BF99" s="55">
        <f>100*0.61387</f>
        <v>61.387</v>
      </c>
      <c r="BG99" s="55">
        <f>100*0.0562607</f>
        <v>5.6260699999999995</v>
      </c>
      <c r="BH99" s="55">
        <f>100*0.0054</f>
        <v>0.54</v>
      </c>
      <c r="BI99" s="55">
        <f>100*0.325</f>
        <v>32.5</v>
      </c>
      <c r="BJ99" s="55">
        <f>100*0.5154</f>
        <v>51.54</v>
      </c>
      <c r="BK99" s="55">
        <f>100*0.1032</f>
        <v>10.32</v>
      </c>
      <c r="BL99" s="55">
        <f>100*0.0495</f>
        <v>4.95</v>
      </c>
      <c r="BM99" s="55">
        <f>100*0.325</f>
        <v>32.5</v>
      </c>
      <c r="BN99" s="55">
        <f>100*0.421</f>
        <v>42.1</v>
      </c>
      <c r="BO99" s="55">
        <f>100*0.06743</f>
        <v>6.7430000000000003</v>
      </c>
      <c r="BP99" s="55">
        <f>100*0.0767</f>
        <v>7.6700000000000008</v>
      </c>
      <c r="BQ99" s="55">
        <f>100*0.429</f>
        <v>42.9</v>
      </c>
      <c r="BR99" s="55">
        <f>100*0.70748</f>
        <v>70.748000000000005</v>
      </c>
      <c r="BS99" s="55">
        <f>100*0.09817</f>
        <v>9.8170000000000002</v>
      </c>
      <c r="BT99" s="55">
        <f>100*0.0272</f>
        <v>2.7199999999999998</v>
      </c>
      <c r="BU99" s="55">
        <f>100*0.164</f>
        <v>16.400000000000002</v>
      </c>
      <c r="BV99" s="55">
        <f>100*0.361</f>
        <v>36.1</v>
      </c>
      <c r="BW99" s="55">
        <f>100*0.0391</f>
        <v>3.91</v>
      </c>
      <c r="BX99" s="55">
        <f>100*0.0773</f>
        <v>7.7299999999999995</v>
      </c>
      <c r="BY99" s="55">
        <f>100*0.522</f>
        <v>52.2</v>
      </c>
      <c r="BZ99" s="55">
        <v>4.07E-2</v>
      </c>
      <c r="CA99" s="128">
        <f>AD99/BZ99</f>
        <v>4348771.4987714989</v>
      </c>
      <c r="CB99" s="55">
        <v>5100000</v>
      </c>
      <c r="CC99" s="55">
        <v>5090000</v>
      </c>
      <c r="CD99" s="55">
        <v>1141</v>
      </c>
      <c r="CE99" s="55">
        <v>1702</v>
      </c>
      <c r="CF99" s="55">
        <v>5965</v>
      </c>
      <c r="CG99" s="55">
        <v>4600000</v>
      </c>
      <c r="CH99" s="55">
        <v>156590</v>
      </c>
      <c r="CI99" s="55">
        <v>7273</v>
      </c>
      <c r="CJ99" s="55">
        <v>99.8</v>
      </c>
      <c r="CK99" s="55">
        <v>2.1999999999999999E-2</v>
      </c>
      <c r="CL99" s="55">
        <v>3.3000000000000002E-2</v>
      </c>
      <c r="CM99" s="55">
        <v>0.12</v>
      </c>
      <c r="CN99" s="55">
        <v>90.2</v>
      </c>
      <c r="CO99" s="55">
        <v>3.07</v>
      </c>
      <c r="CP99" s="55">
        <v>0.14000000000000001</v>
      </c>
      <c r="CQ99" s="55">
        <v>2.1999999999999999E-2</v>
      </c>
      <c r="CR99" s="55">
        <v>3.3000000000000002E-2</v>
      </c>
      <c r="CS99" s="55">
        <v>0.12</v>
      </c>
      <c r="CT99" s="55">
        <v>90.4</v>
      </c>
      <c r="CU99" s="55">
        <v>3.08</v>
      </c>
      <c r="CV99" s="55">
        <v>0.14000000000000001</v>
      </c>
      <c r="CW99" s="55"/>
    </row>
    <row r="100" spans="1:101" s="5" customFormat="1">
      <c r="A100" s="5" t="s">
        <v>270</v>
      </c>
      <c r="B100" s="5" t="s">
        <v>108</v>
      </c>
      <c r="D100" s="5" t="s">
        <v>290</v>
      </c>
      <c r="E100" s="91">
        <v>28932</v>
      </c>
      <c r="F100" s="91">
        <v>43344</v>
      </c>
      <c r="G100" s="91">
        <v>43433</v>
      </c>
      <c r="H100" s="91" t="s">
        <v>151</v>
      </c>
      <c r="I100" s="83">
        <f>(G100-E100)/365.25</f>
        <v>39.701574264202598</v>
      </c>
      <c r="J100" s="52">
        <f>G100-E100</f>
        <v>14501</v>
      </c>
      <c r="K100" s="52">
        <f>G100-F100</f>
        <v>89</v>
      </c>
      <c r="L100" s="52" t="s">
        <v>100</v>
      </c>
      <c r="M100" s="52" t="s">
        <v>100</v>
      </c>
      <c r="N100" s="92" t="s">
        <v>110</v>
      </c>
      <c r="Q100" s="91" t="s">
        <v>111</v>
      </c>
      <c r="R100" s="9" t="s">
        <v>271</v>
      </c>
      <c r="S100" s="84">
        <v>10</v>
      </c>
      <c r="T100" s="137">
        <v>2162.13</v>
      </c>
      <c r="U100" s="138">
        <v>78.3</v>
      </c>
      <c r="V100" s="140">
        <f>T100-U100</f>
        <v>2083.83</v>
      </c>
      <c r="W100" s="9"/>
      <c r="X100" s="8"/>
      <c r="Y100" s="132">
        <v>12000000</v>
      </c>
      <c r="Z100" s="8"/>
      <c r="AA100" s="9"/>
      <c r="AB100" s="132">
        <v>20800000</v>
      </c>
      <c r="AC100" s="5" t="s">
        <v>369</v>
      </c>
      <c r="AD100" s="5">
        <v>12350</v>
      </c>
      <c r="AE100" s="5">
        <v>688</v>
      </c>
      <c r="AF100" s="5">
        <f>100*0.062</f>
        <v>6.2</v>
      </c>
      <c r="AG100" s="5">
        <f>100*0.509</f>
        <v>50.9</v>
      </c>
      <c r="AH100" s="5">
        <v>3</v>
      </c>
      <c r="AI100" s="5">
        <f>100*0.00027</f>
        <v>2.7E-2</v>
      </c>
      <c r="AJ100" s="5">
        <v>236</v>
      </c>
      <c r="AK100" s="5">
        <f>100*0.0228</f>
        <v>2.2800000000000002</v>
      </c>
      <c r="AL100" s="5">
        <f>100*0.136</f>
        <v>13.600000000000001</v>
      </c>
      <c r="AM100" s="5">
        <f>100*0.0466</f>
        <v>4.66</v>
      </c>
      <c r="AN100" s="5">
        <f>100*0.775</f>
        <v>77.5</v>
      </c>
      <c r="AO100" s="5">
        <f>100*0.0763</f>
        <v>7.6300000000000008</v>
      </c>
      <c r="AP100" s="5">
        <v>2646</v>
      </c>
      <c r="AQ100" s="5">
        <f>100*0.531</f>
        <v>53.1</v>
      </c>
      <c r="AR100" s="5">
        <f>100*0.486</f>
        <v>48.6</v>
      </c>
      <c r="AS100" s="5">
        <f>100*0.175</f>
        <v>17.5</v>
      </c>
      <c r="AT100" s="5">
        <f>100*0.0711</f>
        <v>7.1099999999999994</v>
      </c>
      <c r="AU100" s="5">
        <f>100*0.268</f>
        <v>26.8</v>
      </c>
      <c r="AV100" s="5">
        <f>100*0.0707</f>
        <v>7.07</v>
      </c>
      <c r="AW100" s="5">
        <f>100*0.0302</f>
        <v>3.02</v>
      </c>
      <c r="AX100" s="5">
        <f>100*0.261</f>
        <v>26.1</v>
      </c>
      <c r="AY100" s="5">
        <f>100*0.638</f>
        <v>63.800000000000004</v>
      </c>
      <c r="AZ100" s="5">
        <v>6534</v>
      </c>
      <c r="BA100" s="5">
        <f>100*0.223</f>
        <v>22.3</v>
      </c>
      <c r="BB100" s="5">
        <f>100*0.652</f>
        <v>65.2</v>
      </c>
      <c r="BC100" s="5">
        <f>100*0.0141</f>
        <v>1.41</v>
      </c>
      <c r="BD100" s="5">
        <f>100*0.0035</f>
        <v>0.35000000000000003</v>
      </c>
      <c r="BE100" s="5">
        <f>100*0.33</f>
        <v>33</v>
      </c>
      <c r="BF100" s="5">
        <f>100*0.161</f>
        <v>16.100000000000001</v>
      </c>
      <c r="BG100" s="5">
        <f>100*0.0112</f>
        <v>1.1199999999999999</v>
      </c>
      <c r="BH100" s="5">
        <f>100*0.006</f>
        <v>0.6</v>
      </c>
      <c r="BI100" s="5">
        <f>100*0.822</f>
        <v>82.199999999999989</v>
      </c>
      <c r="BJ100" s="5">
        <f>100*0.43</f>
        <v>43</v>
      </c>
      <c r="BK100" s="5">
        <f>100*0.0262</f>
        <v>2.62</v>
      </c>
      <c r="BL100" s="5">
        <f>100*0.0334</f>
        <v>3.34</v>
      </c>
      <c r="BM100" s="5">
        <f>100*0.51</f>
        <v>51</v>
      </c>
      <c r="BN100" s="5">
        <f>100*0.128</f>
        <v>12.8</v>
      </c>
      <c r="BO100" s="5">
        <f>100*0.0116</f>
        <v>1.1599999999999999</v>
      </c>
      <c r="BP100" s="5">
        <f>100*0.0712</f>
        <v>7.12</v>
      </c>
      <c r="BQ100" s="5">
        <f>100*0.789</f>
        <v>78.900000000000006</v>
      </c>
      <c r="BR100" s="5">
        <f>100*0.424</f>
        <v>42.4</v>
      </c>
      <c r="BS100" s="5">
        <f>100*0.0424</f>
        <v>4.24</v>
      </c>
      <c r="BT100" s="5">
        <f>100*0.0424</f>
        <v>4.24</v>
      </c>
      <c r="BU100" s="5">
        <f>100*0.492</f>
        <v>49.2</v>
      </c>
      <c r="BV100" s="5">
        <f>100*0.174</f>
        <v>17.399999999999999</v>
      </c>
      <c r="BW100" s="5">
        <f>100*0.0085</f>
        <v>0.85000000000000009</v>
      </c>
      <c r="BX100" s="5">
        <f>100*0.0424</f>
        <v>4.24</v>
      </c>
      <c r="BY100" s="5">
        <f>100*0.775</f>
        <v>77.5</v>
      </c>
      <c r="BZ100" s="58">
        <v>5.4000000000000003E-3</v>
      </c>
      <c r="CA100" s="53"/>
      <c r="CB100" s="53">
        <v>1580000</v>
      </c>
      <c r="CC100" s="6">
        <v>250846</v>
      </c>
      <c r="CD100" s="6">
        <v>2460</v>
      </c>
      <c r="CE100" s="6">
        <v>37814</v>
      </c>
      <c r="CF100" s="6">
        <v>253</v>
      </c>
      <c r="CG100" s="6">
        <v>644</v>
      </c>
      <c r="CH100" s="6">
        <v>87352</v>
      </c>
      <c r="CI100" s="6">
        <v>30204</v>
      </c>
      <c r="CJ100" s="6">
        <v>15.9</v>
      </c>
      <c r="CK100" s="6">
        <v>0.16</v>
      </c>
      <c r="CL100" s="6">
        <v>2.39</v>
      </c>
      <c r="CM100" s="6">
        <v>1.6E-2</v>
      </c>
      <c r="CN100" s="6">
        <v>4.1000000000000002E-2</v>
      </c>
      <c r="CO100" s="6">
        <v>5.53</v>
      </c>
      <c r="CP100" s="6">
        <v>1.91</v>
      </c>
      <c r="CQ100" s="6">
        <v>0.98</v>
      </c>
      <c r="CR100" s="6">
        <v>15.1</v>
      </c>
      <c r="CS100" s="6">
        <v>0.1</v>
      </c>
      <c r="CT100" s="6">
        <v>0.26</v>
      </c>
      <c r="CU100" s="6">
        <v>34.799999999999997</v>
      </c>
      <c r="CV100" s="5">
        <v>12</v>
      </c>
    </row>
    <row r="101" spans="1:101" s="5" customFormat="1">
      <c r="A101" s="5" t="s">
        <v>273</v>
      </c>
      <c r="B101" s="5" t="s">
        <v>108</v>
      </c>
      <c r="D101" s="5" t="s">
        <v>290</v>
      </c>
      <c r="E101" s="91">
        <v>28290</v>
      </c>
      <c r="F101" s="91">
        <v>43344</v>
      </c>
      <c r="G101" s="91">
        <v>43440</v>
      </c>
      <c r="H101" s="91" t="s">
        <v>151</v>
      </c>
      <c r="I101" s="83">
        <v>41.478439425051334</v>
      </c>
      <c r="J101" s="52">
        <v>15150</v>
      </c>
      <c r="K101" s="52">
        <v>96</v>
      </c>
      <c r="L101" s="52" t="s">
        <v>100</v>
      </c>
      <c r="M101" s="52" t="s">
        <v>100</v>
      </c>
      <c r="N101" s="92" t="s">
        <v>110</v>
      </c>
      <c r="Q101" s="91" t="s">
        <v>111</v>
      </c>
      <c r="R101" s="141" t="s">
        <v>271</v>
      </c>
      <c r="S101" s="84">
        <v>10</v>
      </c>
      <c r="T101" s="137">
        <v>2573.9699999999998</v>
      </c>
      <c r="U101" s="138">
        <v>78</v>
      </c>
      <c r="V101" s="140">
        <v>2495.9699999999998</v>
      </c>
      <c r="W101" s="9"/>
      <c r="X101" s="8"/>
      <c r="Y101" s="132">
        <v>960000</v>
      </c>
      <c r="Z101" s="8"/>
      <c r="AA101" s="9"/>
      <c r="AB101" s="132">
        <v>15000000</v>
      </c>
      <c r="AC101" s="5" t="s">
        <v>370</v>
      </c>
      <c r="AD101" s="5">
        <v>10086</v>
      </c>
      <c r="AE101" s="5">
        <v>205</v>
      </c>
      <c r="AF101" s="5">
        <f>100*0.0221</f>
        <v>2.21</v>
      </c>
      <c r="AG101" s="5">
        <f>100*0.41</f>
        <v>41</v>
      </c>
      <c r="AH101" s="5">
        <v>187</v>
      </c>
      <c r="AI101" s="5">
        <f>100*0.0201</f>
        <v>2.0099999999999998</v>
      </c>
      <c r="AJ101" s="5">
        <v>166</v>
      </c>
      <c r="AK101" s="5">
        <f>100*0.0188</f>
        <v>1.8800000000000001</v>
      </c>
      <c r="AL101" s="5">
        <f>100*0.102</f>
        <v>10.199999999999999</v>
      </c>
      <c r="AM101" s="5">
        <f>100*0.012</f>
        <v>1.2</v>
      </c>
      <c r="AN101" s="5">
        <f>100*0.651</f>
        <v>65.100000000000009</v>
      </c>
      <c r="AO101" s="5">
        <f>100*0.169</f>
        <v>16.900000000000002</v>
      </c>
      <c r="AP101" s="5">
        <v>787</v>
      </c>
      <c r="AQ101" s="5">
        <f>100*0.541</f>
        <v>54.1</v>
      </c>
      <c r="AR101" s="5">
        <f>100*0.396</f>
        <v>39.6</v>
      </c>
      <c r="AS101" s="5">
        <f>100*0.114</f>
        <v>11.4</v>
      </c>
      <c r="AT101" s="5">
        <f>100*0.193</f>
        <v>19.3</v>
      </c>
      <c r="AU101" s="5">
        <f>100*0.296</f>
        <v>29.599999999999998</v>
      </c>
      <c r="AV101" s="5">
        <f>100*0.48</f>
        <v>48</v>
      </c>
      <c r="AW101" s="5">
        <f>100*0.188</f>
        <v>18.8</v>
      </c>
      <c r="AX101" s="5">
        <f>100*0.119</f>
        <v>11.899999999999999</v>
      </c>
      <c r="AY101" s="5">
        <f>100*0.212</f>
        <v>21.2</v>
      </c>
      <c r="AZ101" s="5">
        <v>7014</v>
      </c>
      <c r="BA101" s="5">
        <f>100*0.175</f>
        <v>17.5</v>
      </c>
      <c r="BB101" s="5">
        <f>100*0.192</f>
        <v>19.2</v>
      </c>
      <c r="BC101" s="5">
        <f>100*0.0154</f>
        <v>1.54</v>
      </c>
      <c r="BD101" s="5">
        <f>100*0.0252</f>
        <v>2.52</v>
      </c>
      <c r="BE101" s="5">
        <f>100*0.768</f>
        <v>76.8</v>
      </c>
      <c r="BF101" s="5">
        <f>100*0.257</f>
        <v>25.7</v>
      </c>
      <c r="BG101" s="5">
        <f>100*0.0201</f>
        <v>2.0099999999999998</v>
      </c>
      <c r="BH101" s="5">
        <f>100*0.0205</f>
        <v>2.0500000000000003</v>
      </c>
      <c r="BI101" s="5">
        <f>100*0.702</f>
        <v>70.199999999999989</v>
      </c>
      <c r="BJ101" s="5">
        <f>100*0.234</f>
        <v>23.400000000000002</v>
      </c>
      <c r="BK101" s="5">
        <f>100*0.0488</f>
        <v>4.88</v>
      </c>
      <c r="BL101" s="5">
        <f>100*0.327</f>
        <v>32.700000000000003</v>
      </c>
      <c r="BM101" s="5">
        <f>100*0.39</f>
        <v>39</v>
      </c>
      <c r="BN101" s="5">
        <f>100*0.122</f>
        <v>12.2</v>
      </c>
      <c r="BO101" s="5">
        <f>100*0.0098</f>
        <v>0.98</v>
      </c>
      <c r="BP101" s="5">
        <f>100*0.366</f>
        <v>36.6</v>
      </c>
      <c r="BQ101" s="5">
        <f>100*0.502</f>
        <v>50.2</v>
      </c>
      <c r="BR101" s="5">
        <f>100*0.163</f>
        <v>16.3</v>
      </c>
      <c r="BS101" s="5">
        <f>100*0.006</f>
        <v>0.6</v>
      </c>
      <c r="BT101" s="5">
        <f>100*0.0241</f>
        <v>2.41</v>
      </c>
      <c r="BU101" s="5">
        <f>100*0.807</f>
        <v>80.7</v>
      </c>
      <c r="BV101" s="5">
        <f>100*0.578</f>
        <v>57.8</v>
      </c>
      <c r="BW101" s="5">
        <f>100*0.0241</f>
        <v>2.41</v>
      </c>
      <c r="BX101" s="5">
        <f>100*0.006</f>
        <v>0.6</v>
      </c>
      <c r="BY101" s="5">
        <f>100*0.392</f>
        <v>39.200000000000003</v>
      </c>
      <c r="BZ101" s="58">
        <v>4.36E-2</v>
      </c>
      <c r="CA101" s="53"/>
      <c r="CB101" s="53">
        <v>210015</v>
      </c>
      <c r="CC101" s="6">
        <v>109929</v>
      </c>
      <c r="CD101" s="6">
        <v>752</v>
      </c>
      <c r="CE101" s="6">
        <v>556</v>
      </c>
      <c r="CF101" s="6">
        <v>274</v>
      </c>
      <c r="CG101" s="6">
        <v>1708</v>
      </c>
      <c r="CH101" s="6">
        <v>12005</v>
      </c>
      <c r="CI101" s="6">
        <v>5398</v>
      </c>
      <c r="CJ101" s="6">
        <v>52.3</v>
      </c>
      <c r="CK101" s="6">
        <v>0.36</v>
      </c>
      <c r="CL101" s="6">
        <v>0.26</v>
      </c>
      <c r="CM101" s="6">
        <v>0.13</v>
      </c>
      <c r="CN101" s="6">
        <v>0.81</v>
      </c>
      <c r="CO101" s="6">
        <v>5.72</v>
      </c>
      <c r="CP101" s="6">
        <v>2.57</v>
      </c>
      <c r="CQ101" s="6">
        <v>0.68</v>
      </c>
      <c r="CR101" s="6">
        <v>0.51</v>
      </c>
      <c r="CS101" s="6">
        <v>0.25</v>
      </c>
      <c r="CT101" s="6">
        <v>1.55</v>
      </c>
      <c r="CU101" s="6">
        <v>10.9</v>
      </c>
      <c r="CV101" s="5">
        <v>4.91</v>
      </c>
    </row>
    <row r="102" spans="1:101" s="228" customFormat="1">
      <c r="A102" s="228" t="s">
        <v>275</v>
      </c>
      <c r="B102" s="228" t="s">
        <v>108</v>
      </c>
      <c r="D102" s="228" t="s">
        <v>290</v>
      </c>
      <c r="E102" s="271">
        <v>15977</v>
      </c>
      <c r="F102" s="271">
        <v>42948</v>
      </c>
      <c r="G102" s="271">
        <v>43445</v>
      </c>
      <c r="H102" s="243" t="s">
        <v>99</v>
      </c>
      <c r="I102" s="231">
        <v>75.203285420944553</v>
      </c>
      <c r="J102" s="232">
        <v>27468</v>
      </c>
      <c r="K102" s="232">
        <v>497</v>
      </c>
      <c r="L102" s="232" t="s">
        <v>109</v>
      </c>
      <c r="M102" s="232" t="s">
        <v>109</v>
      </c>
      <c r="N102" s="233" t="s">
        <v>276</v>
      </c>
      <c r="O102" s="228">
        <v>0</v>
      </c>
      <c r="P102" s="228">
        <v>0</v>
      </c>
      <c r="Q102" s="271" t="s">
        <v>111</v>
      </c>
      <c r="R102" s="272" t="s">
        <v>271</v>
      </c>
      <c r="S102" s="245">
        <v>10</v>
      </c>
      <c r="T102" s="244">
        <v>1639.14</v>
      </c>
      <c r="U102" s="246">
        <v>86.96</v>
      </c>
      <c r="V102" s="247">
        <v>1552.18</v>
      </c>
      <c r="W102" s="235"/>
      <c r="X102" s="248"/>
      <c r="Y102" s="259">
        <v>49600000</v>
      </c>
      <c r="Z102" s="259"/>
      <c r="AA102" s="273"/>
      <c r="AB102" s="259">
        <v>14600000</v>
      </c>
      <c r="AC102" s="228" t="s">
        <v>371</v>
      </c>
      <c r="AD102" s="228">
        <v>4115</v>
      </c>
      <c r="AE102" s="228">
        <v>175</v>
      </c>
      <c r="AF102" s="228">
        <f>100*0.0551</f>
        <v>5.5100000000000007</v>
      </c>
      <c r="AG102" s="228">
        <f>100*0.2955</f>
        <v>29.549999999999997</v>
      </c>
      <c r="AH102" s="228">
        <v>2</v>
      </c>
      <c r="AI102" s="228">
        <f>100*0.000345</f>
        <v>3.4499999999999996E-2</v>
      </c>
      <c r="AJ102" s="228">
        <v>332</v>
      </c>
      <c r="AK102" s="228">
        <f>100*0.127</f>
        <v>12.7</v>
      </c>
      <c r="AL102" s="228">
        <f>100*0.00845</f>
        <v>0.84499999999999997</v>
      </c>
      <c r="AM102" s="228">
        <f>100*0.00785</f>
        <v>0.78499999999999992</v>
      </c>
      <c r="AN102" s="228">
        <f>100*0.552</f>
        <v>55.2</v>
      </c>
      <c r="AO102" s="228">
        <f>100*0.109</f>
        <v>10.9</v>
      </c>
      <c r="AP102" s="228">
        <v>310</v>
      </c>
      <c r="AQ102" s="228">
        <f>100*0.1665</f>
        <v>16.650000000000002</v>
      </c>
      <c r="AR102" s="228">
        <f>100*0.602</f>
        <v>60.199999999999996</v>
      </c>
      <c r="AS102" s="228">
        <f>100*0.15855</f>
        <v>15.855</v>
      </c>
      <c r="AT102" s="228">
        <f>100*0.0588</f>
        <v>5.88</v>
      </c>
      <c r="AU102" s="228">
        <f>100*0.181</f>
        <v>18.099999999999998</v>
      </c>
      <c r="AV102" s="228">
        <f>100*0.169</f>
        <v>16.900000000000002</v>
      </c>
      <c r="AW102" s="228">
        <f>100*0.06645</f>
        <v>6.6449999999999996</v>
      </c>
      <c r="AX102" s="228">
        <f>100*0.1301</f>
        <v>13.01</v>
      </c>
      <c r="AY102" s="228">
        <f>100*0.626</f>
        <v>62.6</v>
      </c>
      <c r="AZ102" s="228">
        <v>1859</v>
      </c>
      <c r="BA102" s="228">
        <f>100*0.0979</f>
        <v>9.7900000000000009</v>
      </c>
      <c r="BB102" s="228">
        <f>100*0.516</f>
        <v>51.6</v>
      </c>
      <c r="BC102" s="228">
        <f>100*0.091365</f>
        <v>9.1364999999999998</v>
      </c>
      <c r="BD102" s="228">
        <f>100*0.00973</f>
        <v>0.97300000000000009</v>
      </c>
      <c r="BE102" s="228">
        <f>100*0.407</f>
        <v>40.699999999999996</v>
      </c>
      <c r="BF102" s="228">
        <f>100*0.3258</f>
        <v>32.58</v>
      </c>
      <c r="BG102" s="228">
        <f>100*0.083455</f>
        <v>8.3454999999999995</v>
      </c>
      <c r="BH102" s="228">
        <f>100*0.0145</f>
        <v>1.4500000000000002</v>
      </c>
      <c r="BI102" s="228">
        <f>100*0.58</f>
        <v>57.999999999999993</v>
      </c>
      <c r="BJ102" s="228">
        <f>100*0.341</f>
        <v>34.1</v>
      </c>
      <c r="BK102" s="228">
        <f>100*0.1403</f>
        <v>14.030000000000001</v>
      </c>
      <c r="BL102" s="228">
        <f>100*0.103</f>
        <v>10.299999999999999</v>
      </c>
      <c r="BM102" s="228">
        <f>100*0.376</f>
        <v>37.6</v>
      </c>
      <c r="BN102" s="228">
        <f>100*0.117</f>
        <v>11.700000000000001</v>
      </c>
      <c r="BO102" s="228">
        <f>100*0.0246</f>
        <v>2.46</v>
      </c>
      <c r="BP102" s="228">
        <f>100*0.149</f>
        <v>14.899999999999999</v>
      </c>
      <c r="BQ102" s="228">
        <f>100*0.709</f>
        <v>70.899999999999991</v>
      </c>
      <c r="BR102" s="228">
        <f>100*0.422</f>
        <v>42.199999999999996</v>
      </c>
      <c r="BS102" s="228">
        <f>100*0.0409</f>
        <v>4.09</v>
      </c>
      <c r="BT102" s="228">
        <f>100*0.0542</f>
        <v>5.42</v>
      </c>
      <c r="BU102" s="228">
        <f>100*0.467</f>
        <v>46.7</v>
      </c>
      <c r="BV102" s="228">
        <f>100*0.231</f>
        <v>23.1</v>
      </c>
      <c r="BW102" s="228">
        <f>100*0.0252</f>
        <v>2.52</v>
      </c>
      <c r="BX102" s="228">
        <f>100*0.0924</f>
        <v>9.24</v>
      </c>
      <c r="BY102" s="228">
        <f>100*0.643</f>
        <v>64.3</v>
      </c>
      <c r="BZ102" s="240"/>
      <c r="CA102" s="241"/>
      <c r="CB102" s="241">
        <v>2970000</v>
      </c>
      <c r="CC102" s="228">
        <v>1020000</v>
      </c>
      <c r="CD102" s="228">
        <v>1057</v>
      </c>
      <c r="CE102" s="228">
        <v>11901</v>
      </c>
      <c r="CF102" s="228">
        <v>19598</v>
      </c>
      <c r="CG102" s="228">
        <v>96527</v>
      </c>
      <c r="CH102" s="228">
        <v>727000</v>
      </c>
      <c r="CI102" s="228">
        <v>27389</v>
      </c>
      <c r="CJ102" s="228">
        <v>34.299999999999997</v>
      </c>
      <c r="CK102" s="228">
        <v>3.5999999999999997E-2</v>
      </c>
      <c r="CL102" s="228">
        <v>0.4</v>
      </c>
      <c r="CM102" s="228">
        <v>0.66</v>
      </c>
      <c r="CN102" s="228">
        <v>3.25</v>
      </c>
      <c r="CO102" s="228">
        <v>24.5</v>
      </c>
      <c r="CP102" s="228">
        <v>0.92</v>
      </c>
      <c r="CQ102" s="228">
        <v>0.1</v>
      </c>
      <c r="CR102" s="228">
        <v>1.17</v>
      </c>
      <c r="CS102" s="228">
        <v>1.92</v>
      </c>
      <c r="CT102" s="228">
        <v>9.4600000000000009</v>
      </c>
      <c r="CU102" s="228">
        <v>71.3</v>
      </c>
      <c r="CV102" s="228">
        <v>2.69</v>
      </c>
    </row>
    <row r="103" spans="1:101" s="228" customFormat="1">
      <c r="A103" s="228" t="s">
        <v>278</v>
      </c>
      <c r="B103" s="228" t="s">
        <v>97</v>
      </c>
      <c r="D103" s="228" t="s">
        <v>290</v>
      </c>
      <c r="E103" s="229">
        <v>15977</v>
      </c>
      <c r="F103" s="229">
        <v>42948</v>
      </c>
      <c r="G103" s="229">
        <v>43493</v>
      </c>
      <c r="H103" s="229" t="s">
        <v>99</v>
      </c>
      <c r="I103" s="251">
        <v>75.334702258726892</v>
      </c>
      <c r="J103" s="251">
        <v>27516</v>
      </c>
      <c r="K103" s="251">
        <v>545</v>
      </c>
      <c r="L103" s="232" t="s">
        <v>109</v>
      </c>
      <c r="M103" s="232" t="s">
        <v>109</v>
      </c>
      <c r="N103" s="233" t="s">
        <v>162</v>
      </c>
      <c r="O103" s="234"/>
      <c r="P103" s="234"/>
      <c r="Q103" s="252" t="s">
        <v>279</v>
      </c>
      <c r="R103" s="253" t="s">
        <v>280</v>
      </c>
      <c r="S103" s="254" t="s">
        <v>184</v>
      </c>
      <c r="T103" s="266">
        <v>1760.59</v>
      </c>
      <c r="U103" s="266">
        <v>55.7</v>
      </c>
      <c r="V103" s="267">
        <v>1704.8899999999999</v>
      </c>
      <c r="W103" s="268" t="s">
        <v>281</v>
      </c>
      <c r="X103" s="269">
        <v>1200000</v>
      </c>
      <c r="Y103" s="270">
        <v>2045867999.9999998</v>
      </c>
      <c r="Z103" s="269">
        <v>475000000</v>
      </c>
      <c r="AA103" s="253" t="s">
        <v>282</v>
      </c>
      <c r="AB103" s="256">
        <v>11000000</v>
      </c>
      <c r="AC103" s="257" t="s">
        <v>372</v>
      </c>
      <c r="AD103" s="228">
        <v>50892</v>
      </c>
      <c r="AE103" s="228">
        <v>413</v>
      </c>
      <c r="AF103" s="228">
        <f>100*0.0325</f>
        <v>3.25</v>
      </c>
      <c r="AG103" s="228">
        <f>100*0.00235</f>
        <v>0.23500000000000001</v>
      </c>
      <c r="AH103" s="228">
        <v>0</v>
      </c>
      <c r="AI103" s="228">
        <v>0</v>
      </c>
      <c r="AJ103" s="228">
        <v>356</v>
      </c>
      <c r="AK103" s="228">
        <f>100*0.0273</f>
        <v>2.73</v>
      </c>
      <c r="AL103" s="228">
        <v>0</v>
      </c>
      <c r="AM103" s="228">
        <v>0</v>
      </c>
      <c r="AN103" s="228">
        <f>100*0.615</f>
        <v>61.5</v>
      </c>
      <c r="AO103" s="228">
        <f>100*0.152</f>
        <v>15.2</v>
      </c>
      <c r="AP103" s="228">
        <v>1479</v>
      </c>
      <c r="AQ103" s="228">
        <f>100*0.000155</f>
        <v>1.55E-2</v>
      </c>
      <c r="AR103" s="228">
        <f>100*0.504</f>
        <v>50.4</v>
      </c>
      <c r="AS103" s="228">
        <f>100*0.23</f>
        <v>23</v>
      </c>
      <c r="AT103" s="228">
        <f>100*0.068</f>
        <v>6.8000000000000007</v>
      </c>
      <c r="AU103" s="228">
        <f>100*0.196</f>
        <v>19.600000000000001</v>
      </c>
      <c r="AV103" s="228">
        <f>100*0.393</f>
        <v>39.300000000000004</v>
      </c>
      <c r="AW103" s="228">
        <f>100*0.107</f>
        <v>10.7</v>
      </c>
      <c r="AX103" s="228">
        <f>100*0.162</f>
        <v>16.2</v>
      </c>
      <c r="AY103" s="228">
        <f>100*0.338</f>
        <v>33.800000000000004</v>
      </c>
      <c r="AZ103" s="228">
        <v>10276</v>
      </c>
      <c r="BA103" s="228">
        <f>100*0.00115</f>
        <v>0.11499999999999999</v>
      </c>
      <c r="BB103" s="228">
        <f>100*0.52187</f>
        <v>52.186999999999998</v>
      </c>
      <c r="BC103" s="228">
        <f>100*0.0463</f>
        <v>4.63</v>
      </c>
      <c r="BD103" s="228">
        <f>100*0.012</f>
        <v>1.2</v>
      </c>
      <c r="BE103" s="228">
        <f>100*0.421</f>
        <v>42.1</v>
      </c>
      <c r="BF103" s="228">
        <f>100*0.42466</f>
        <v>42.466000000000001</v>
      </c>
      <c r="BG103" s="228">
        <f>100*0.043</f>
        <v>4.3</v>
      </c>
      <c r="BH103" s="228">
        <f>100*0.0209</f>
        <v>2.09</v>
      </c>
      <c r="BI103" s="228">
        <f>100*0.517</f>
        <v>51.7</v>
      </c>
      <c r="BJ103" s="228">
        <f>100*0.0921</f>
        <v>9.2100000000000009</v>
      </c>
      <c r="BK103" s="228">
        <f>100*0.25265</f>
        <v>25.264999999999997</v>
      </c>
      <c r="BL103" s="228">
        <f>100*0.458</f>
        <v>45.800000000000004</v>
      </c>
      <c r="BM103" s="228">
        <f>100*0.179</f>
        <v>17.899999999999999</v>
      </c>
      <c r="BN103" s="228">
        <f>100*0.0237</f>
        <v>2.37</v>
      </c>
      <c r="BO103" s="228">
        <f>100*0.0386</f>
        <v>3.8600000000000003</v>
      </c>
      <c r="BP103" s="228">
        <f>100*0.659</f>
        <v>65.900000000000006</v>
      </c>
      <c r="BQ103" s="228">
        <f>100*0.254</f>
        <v>25.4</v>
      </c>
      <c r="BR103" s="228">
        <f>100*0.3</f>
        <v>30</v>
      </c>
      <c r="BS103" s="228">
        <f>100*0.146</f>
        <v>14.6</v>
      </c>
      <c r="BT103" s="228">
        <f>100*0.138</f>
        <v>13.8</v>
      </c>
      <c r="BU103" s="228">
        <f>100*0.416</f>
        <v>41.6</v>
      </c>
      <c r="BV103" s="228">
        <f>100*0.0456</f>
        <v>4.5600000000000005</v>
      </c>
      <c r="BW103" s="228">
        <f>100*0.0228</f>
        <v>2.2800000000000002</v>
      </c>
      <c r="BX103" s="228">
        <f>100*0.213</f>
        <v>21.3</v>
      </c>
      <c r="BY103" s="228">
        <f>100*0.685</f>
        <v>68.5</v>
      </c>
      <c r="BZ103" s="240">
        <f>100*0.0035</f>
        <v>0.35000000000000003</v>
      </c>
      <c r="CA103" s="274">
        <f>AD103/BZ103</f>
        <v>145405.71428571426</v>
      </c>
      <c r="CB103" s="241">
        <v>5500000</v>
      </c>
      <c r="CC103" s="228">
        <v>5420000</v>
      </c>
      <c r="CD103" s="228">
        <v>836</v>
      </c>
      <c r="CE103" s="228">
        <v>932</v>
      </c>
      <c r="CF103" s="228">
        <v>4015</v>
      </c>
      <c r="CG103" s="228">
        <v>3870000</v>
      </c>
      <c r="CH103" s="228">
        <v>749000</v>
      </c>
      <c r="CI103" s="228">
        <v>6381</v>
      </c>
      <c r="CJ103" s="228">
        <v>98.5</v>
      </c>
      <c r="CK103" s="228">
        <v>1.4999999999999999E-2</v>
      </c>
      <c r="CL103" s="228">
        <v>1.7000000000000001E-2</v>
      </c>
      <c r="CM103" s="228">
        <v>7.2999999999999995E-2</v>
      </c>
      <c r="CN103" s="228">
        <v>70.400000000000006</v>
      </c>
      <c r="CO103" s="228">
        <v>13.6</v>
      </c>
      <c r="CP103" s="228">
        <v>0.12</v>
      </c>
      <c r="CQ103" s="228">
        <v>1.4999999999999999E-2</v>
      </c>
      <c r="CR103" s="228">
        <v>1.7000000000000001E-2</v>
      </c>
      <c r="CS103" s="228">
        <v>7.3999999999999996E-2</v>
      </c>
      <c r="CT103" s="228">
        <v>71.400000000000006</v>
      </c>
      <c r="CU103" s="228">
        <v>13.8</v>
      </c>
      <c r="CV103" s="228">
        <v>0.12</v>
      </c>
    </row>
    <row r="104" spans="1:101" s="5" customFormat="1" ht="13.15">
      <c r="A104" s="5" t="s">
        <v>284</v>
      </c>
      <c r="B104" s="5" t="s">
        <v>108</v>
      </c>
      <c r="D104" s="5" t="s">
        <v>290</v>
      </c>
      <c r="E104" s="142">
        <v>16873</v>
      </c>
      <c r="F104" s="142">
        <v>42993</v>
      </c>
      <c r="G104" s="142">
        <v>43418</v>
      </c>
      <c r="H104" s="91" t="s">
        <v>151</v>
      </c>
      <c r="I104" s="83">
        <v>72.676249144421632</v>
      </c>
      <c r="J104" s="52">
        <v>26545</v>
      </c>
      <c r="K104" s="52">
        <v>425</v>
      </c>
      <c r="L104" s="52" t="s">
        <v>100</v>
      </c>
      <c r="M104" s="52" t="s">
        <v>100</v>
      </c>
      <c r="N104" s="92">
        <v>43434</v>
      </c>
      <c r="O104" s="5">
        <v>1</v>
      </c>
      <c r="P104" s="5" t="s">
        <v>266</v>
      </c>
      <c r="Q104" s="142" t="s">
        <v>111</v>
      </c>
      <c r="R104" s="141" t="s">
        <v>285</v>
      </c>
      <c r="S104" s="84">
        <v>10</v>
      </c>
      <c r="T104" s="165" t="s">
        <v>286</v>
      </c>
      <c r="U104" s="166"/>
      <c r="V104" s="140">
        <v>3185.64</v>
      </c>
      <c r="W104" s="9"/>
      <c r="X104" s="8"/>
      <c r="Y104" s="132">
        <v>10800000</v>
      </c>
      <c r="Z104" s="132"/>
      <c r="AA104" s="184"/>
      <c r="AB104" s="132">
        <v>14400000</v>
      </c>
      <c r="AC104" s="5" t="s">
        <v>373</v>
      </c>
      <c r="AD104" s="5">
        <v>197871</v>
      </c>
      <c r="AE104" s="5">
        <v>1734</v>
      </c>
      <c r="AF104" s="5">
        <f>100*0.0093</f>
        <v>0.92999999999999994</v>
      </c>
      <c r="AG104" s="5">
        <f>100*0.555</f>
        <v>55.500000000000007</v>
      </c>
      <c r="AH104" s="5">
        <v>15</v>
      </c>
      <c r="AI104" s="5">
        <f>100*0.0000802</f>
        <v>8.0199999999999994E-3</v>
      </c>
      <c r="AJ104" s="5">
        <v>6090</v>
      </c>
      <c r="AK104" s="5">
        <f>100*0.033</f>
        <v>3.3000000000000003</v>
      </c>
      <c r="AL104" s="5">
        <f>100*0.165</f>
        <v>16.5</v>
      </c>
      <c r="AM104" s="5">
        <f>100*0.0113</f>
        <v>1.1299999999999999</v>
      </c>
      <c r="AN104" s="5">
        <f>100*0.808</f>
        <v>80.800000000000011</v>
      </c>
      <c r="AO104" s="5">
        <f>100*0.0199</f>
        <v>1.9900000000000002</v>
      </c>
      <c r="AP104" s="5">
        <v>106528</v>
      </c>
      <c r="AQ104" s="5">
        <f>100*0.4</f>
        <v>40</v>
      </c>
      <c r="AR104" s="5">
        <f>100*0.107</f>
        <v>10.7</v>
      </c>
      <c r="AS104" s="5">
        <f>100*0.268</f>
        <v>26.8</v>
      </c>
      <c r="AT104" s="5">
        <f>100*0.525</f>
        <v>52.5</v>
      </c>
      <c r="AU104" s="5">
        <f>100*0.0994</f>
        <v>9.94</v>
      </c>
      <c r="AV104" s="5">
        <f>100*0.0238</f>
        <v>2.3800000000000003</v>
      </c>
      <c r="AW104" s="5">
        <f>100*0.0863</f>
        <v>8.6300000000000008</v>
      </c>
      <c r="AX104" s="5">
        <f>100*0.737</f>
        <v>73.7</v>
      </c>
      <c r="AY104" s="5">
        <f>100*0.153</f>
        <v>15.299999999999999</v>
      </c>
      <c r="AZ104" s="5">
        <v>60793</v>
      </c>
      <c r="BA104" s="5">
        <f>100*0.11</f>
        <v>11</v>
      </c>
      <c r="BB104" s="5">
        <f>100*0.501</f>
        <v>50.1</v>
      </c>
      <c r="BC104" s="5">
        <f>100*0.13</f>
        <v>13</v>
      </c>
      <c r="BD104" s="5">
        <f>100*0.0315</f>
        <v>3.15</v>
      </c>
      <c r="BE104" s="5">
        <f>100*0.337</f>
        <v>33.700000000000003</v>
      </c>
      <c r="BF104" s="5">
        <f>100*0.55</f>
        <v>55.000000000000007</v>
      </c>
      <c r="BG104" s="5">
        <f>100*0.111</f>
        <v>11.1</v>
      </c>
      <c r="BH104" s="5">
        <f>100*0.0267</f>
        <v>2.67</v>
      </c>
      <c r="BI104" s="5">
        <f>100*0.313</f>
        <v>31.3</v>
      </c>
      <c r="BJ104" s="5">
        <f>100*0.332</f>
        <v>33.200000000000003</v>
      </c>
      <c r="BK104" s="5">
        <f>100*0.337</f>
        <v>33.700000000000003</v>
      </c>
      <c r="BL104" s="5">
        <f>100*0.131</f>
        <v>13.100000000000001</v>
      </c>
      <c r="BM104" s="5">
        <f>100*0.2</f>
        <v>20</v>
      </c>
      <c r="BN104" s="5">
        <f>100*0.229</f>
        <v>22.900000000000002</v>
      </c>
      <c r="BO104" s="5">
        <f>100*0.248</f>
        <v>24.8</v>
      </c>
      <c r="BP104" s="5">
        <f>100*0.231</f>
        <v>23.1</v>
      </c>
      <c r="BQ104" s="5">
        <f>100*0.292</f>
        <v>29.2</v>
      </c>
      <c r="BR104" s="5">
        <f>100*0.47</f>
        <v>47</v>
      </c>
      <c r="BS104" s="5">
        <f>100*0.321</f>
        <v>32.1</v>
      </c>
      <c r="BT104" s="5">
        <f>100*0.0726</f>
        <v>7.26</v>
      </c>
      <c r="BU104" s="5">
        <f>100*0.137</f>
        <v>13.700000000000001</v>
      </c>
      <c r="BV104" s="5">
        <f>100*0.348</f>
        <v>34.799999999999997</v>
      </c>
      <c r="BW104" s="5">
        <f>100*0.224</f>
        <v>22.400000000000002</v>
      </c>
      <c r="BX104" s="5">
        <f>100*0.152</f>
        <v>15.2</v>
      </c>
      <c r="BY104" s="5">
        <f>100*0.276</f>
        <v>27.6</v>
      </c>
      <c r="BZ104" s="58">
        <f>100*0.0443</f>
        <v>4.43</v>
      </c>
      <c r="CA104" s="53"/>
      <c r="CB104" s="53">
        <v>2610000</v>
      </c>
      <c r="CC104" s="5">
        <v>1460000</v>
      </c>
      <c r="CD104" s="5">
        <v>838</v>
      </c>
      <c r="CE104" s="5">
        <v>39471</v>
      </c>
      <c r="CF104" s="5">
        <v>11666</v>
      </c>
      <c r="CG104" s="5">
        <v>26750</v>
      </c>
      <c r="CH104" s="5">
        <v>699000</v>
      </c>
      <c r="CI104" s="5">
        <v>161020</v>
      </c>
      <c r="CJ104" s="5">
        <v>55.9</v>
      </c>
      <c r="CK104" s="5">
        <v>3.2000000000000001E-2</v>
      </c>
      <c r="CL104" s="5">
        <v>1.51</v>
      </c>
      <c r="CM104" s="5">
        <v>0.45</v>
      </c>
      <c r="CN104" s="5">
        <v>1.02</v>
      </c>
      <c r="CO104" s="5">
        <v>26.8</v>
      </c>
      <c r="CP104" s="5">
        <v>6.17</v>
      </c>
      <c r="CQ104" s="5">
        <v>5.7000000000000002E-2</v>
      </c>
      <c r="CR104" s="5">
        <v>2.7</v>
      </c>
      <c r="CS104" s="5">
        <v>0.8</v>
      </c>
      <c r="CT104" s="5">
        <v>1.83</v>
      </c>
      <c r="CU104" s="5">
        <v>47.9</v>
      </c>
      <c r="CV104" s="5">
        <v>11</v>
      </c>
    </row>
    <row r="105" spans="1:101" s="54" customFormat="1" ht="13.9" customHeight="1">
      <c r="A105" s="5" t="s">
        <v>288</v>
      </c>
      <c r="B105" s="5" t="s">
        <v>108</v>
      </c>
      <c r="C105" s="5"/>
      <c r="D105" s="5" t="s">
        <v>290</v>
      </c>
      <c r="E105" s="139">
        <v>26786</v>
      </c>
      <c r="F105" s="139">
        <v>43012</v>
      </c>
      <c r="G105" s="139">
        <v>43469</v>
      </c>
      <c r="H105" s="99" t="s">
        <v>151</v>
      </c>
      <c r="I105" s="146">
        <v>45.675564681724801</v>
      </c>
      <c r="J105" s="8">
        <v>16683</v>
      </c>
      <c r="K105" s="8">
        <v>457</v>
      </c>
      <c r="L105" s="8" t="s">
        <v>109</v>
      </c>
      <c r="M105" s="8" t="s">
        <v>100</v>
      </c>
      <c r="N105" s="9" t="s">
        <v>276</v>
      </c>
      <c r="O105" s="5">
        <v>0</v>
      </c>
      <c r="P105" s="5">
        <v>0</v>
      </c>
      <c r="Q105" s="99" t="s">
        <v>111</v>
      </c>
      <c r="R105" s="5" t="s">
        <v>271</v>
      </c>
      <c r="S105" s="99">
        <v>10</v>
      </c>
      <c r="T105" s="99">
        <v>2175.36</v>
      </c>
      <c r="U105" s="99">
        <v>67.66</v>
      </c>
      <c r="V105" s="140">
        <f>T105-U105</f>
        <v>2107.7000000000003</v>
      </c>
      <c r="W105" s="9"/>
      <c r="X105" s="8"/>
      <c r="Y105" s="99">
        <v>10400000</v>
      </c>
      <c r="Z105" s="8"/>
      <c r="AA105" s="9"/>
      <c r="AB105" s="164">
        <v>10600000</v>
      </c>
      <c r="AC105" s="5" t="s">
        <v>374</v>
      </c>
      <c r="AD105" s="5">
        <v>77517</v>
      </c>
      <c r="AE105" s="5">
        <v>1898</v>
      </c>
      <c r="AF105" s="5">
        <f>100*0.0255</f>
        <v>2.5499999999999998</v>
      </c>
      <c r="AG105" s="5">
        <f>100*0.0885</f>
        <v>8.85</v>
      </c>
      <c r="AH105" s="5">
        <v>321</v>
      </c>
      <c r="AI105" s="5">
        <f>100*0.0043</f>
        <v>0.43</v>
      </c>
      <c r="AJ105" s="5">
        <v>10387</v>
      </c>
      <c r="AK105" s="5">
        <f>100*0.144</f>
        <v>14.399999999999999</v>
      </c>
      <c r="AL105" s="5">
        <f>100*0.0051</f>
        <v>0.51</v>
      </c>
      <c r="AM105" s="5">
        <f>100*0.00029</f>
        <v>2.9000000000000001E-2</v>
      </c>
      <c r="AN105" s="5">
        <f>100*0.876</f>
        <v>87.6</v>
      </c>
      <c r="AO105" s="5">
        <f>100*0.0153</f>
        <v>1.53</v>
      </c>
      <c r="AP105" s="5">
        <v>22129</v>
      </c>
      <c r="AQ105" s="5">
        <f>100*0.125</f>
        <v>12.5</v>
      </c>
      <c r="AR105" s="5">
        <f>100*0.62</f>
        <v>62</v>
      </c>
      <c r="AS105" s="5">
        <f>100*0.188</f>
        <v>18.8</v>
      </c>
      <c r="AT105" s="5">
        <f>100*0.0392</f>
        <v>3.92</v>
      </c>
      <c r="AU105" s="5">
        <f>100*0.152</f>
        <v>15.2</v>
      </c>
      <c r="AV105" s="5">
        <f>100*0.139</f>
        <v>13.900000000000002</v>
      </c>
      <c r="AW105" s="5">
        <f>100*0.0851</f>
        <v>8.51</v>
      </c>
      <c r="AX105" s="5">
        <f>100*0.143</f>
        <v>14.299999999999999</v>
      </c>
      <c r="AY105" s="5">
        <f>100*0.634</f>
        <v>63.4</v>
      </c>
      <c r="AZ105" s="5">
        <v>32865</v>
      </c>
      <c r="BA105" s="5">
        <f>100*0.0417</f>
        <v>4.17</v>
      </c>
      <c r="BB105" s="5">
        <f>100*0.755</f>
        <v>75.5</v>
      </c>
      <c r="BC105" s="5">
        <f>100*0.0517</f>
        <v>5.17</v>
      </c>
      <c r="BD105" s="5">
        <f>100*0.0079</f>
        <v>0.79</v>
      </c>
      <c r="BE105" s="5">
        <f>100*0.185</f>
        <v>18.5</v>
      </c>
      <c r="BF105" s="5">
        <f>100*0.445</f>
        <v>44.5</v>
      </c>
      <c r="BG105" s="5">
        <f>100*0.0422</f>
        <v>4.22</v>
      </c>
      <c r="BH105" s="5">
        <f>100*0.0145</f>
        <v>1.4500000000000002</v>
      </c>
      <c r="BI105" s="5">
        <f>100*0.499</f>
        <v>49.9</v>
      </c>
      <c r="BJ105" s="5">
        <f>100*0.271</f>
        <v>27.1</v>
      </c>
      <c r="BK105" s="5">
        <f>100*0.144</f>
        <v>14.399999999999999</v>
      </c>
      <c r="BL105" s="5">
        <f>100*0.345</f>
        <v>34.5</v>
      </c>
      <c r="BM105" s="5">
        <f>100*0.24</f>
        <v>24</v>
      </c>
      <c r="BN105" s="5">
        <f>100*0.0801</f>
        <v>8.01</v>
      </c>
      <c r="BO105" s="5">
        <f>100*0.0253</f>
        <v>2.5299999999999998</v>
      </c>
      <c r="BP105" s="5">
        <f>100*0.451</f>
        <v>45.1</v>
      </c>
      <c r="BQ105" s="5">
        <f>100*0.444</f>
        <v>44.4</v>
      </c>
      <c r="BR105" s="5">
        <f>100*0.622</f>
        <v>62.2</v>
      </c>
      <c r="BS105" s="5">
        <f>100*0.0985</f>
        <v>9.85</v>
      </c>
      <c r="BT105" s="5">
        <f>100*0.0219</f>
        <v>2.19</v>
      </c>
      <c r="BU105" s="5">
        <f>100*0.258</f>
        <v>25.8</v>
      </c>
      <c r="BV105" s="5">
        <f>100*0.101</f>
        <v>10.100000000000001</v>
      </c>
      <c r="BW105" s="5">
        <f>100*0.0074</f>
        <v>0.74</v>
      </c>
      <c r="BX105" s="5">
        <f>100*0.117</f>
        <v>11.700000000000001</v>
      </c>
      <c r="BY105" s="5">
        <f>100*0.774</f>
        <v>77.400000000000006</v>
      </c>
      <c r="BZ105" s="58">
        <v>1.8200000000000001E-2</v>
      </c>
      <c r="CA105" s="53"/>
      <c r="CB105" s="53">
        <v>2330000</v>
      </c>
      <c r="CC105" s="5">
        <v>764000</v>
      </c>
      <c r="CD105" s="5">
        <v>7548</v>
      </c>
      <c r="CE105" s="5">
        <v>10459</v>
      </c>
      <c r="CF105" s="5">
        <v>4789</v>
      </c>
      <c r="CG105" s="5">
        <v>49674</v>
      </c>
      <c r="CH105" s="5">
        <v>356937</v>
      </c>
      <c r="CI105" s="5">
        <v>111483</v>
      </c>
      <c r="CJ105" s="5">
        <v>32.799999999999997</v>
      </c>
      <c r="CK105" s="5">
        <v>0.32</v>
      </c>
      <c r="CL105" s="5">
        <v>0.45</v>
      </c>
      <c r="CM105" s="5">
        <v>0.21</v>
      </c>
      <c r="CN105" s="5">
        <v>2.13</v>
      </c>
      <c r="CO105" s="5">
        <v>15.3</v>
      </c>
      <c r="CP105" s="5">
        <v>4.78</v>
      </c>
      <c r="CQ105" s="5">
        <v>0.99</v>
      </c>
      <c r="CR105" s="5">
        <v>1.37</v>
      </c>
      <c r="CS105" s="5">
        <v>0.63</v>
      </c>
      <c r="CT105" s="5">
        <v>6.5</v>
      </c>
      <c r="CU105" s="5">
        <v>46.7</v>
      </c>
      <c r="CV105" s="5">
        <v>14.6</v>
      </c>
      <c r="CW105" s="5"/>
    </row>
    <row r="106" spans="1:101">
      <c r="CC106" s="10"/>
      <c r="CD106" s="10"/>
      <c r="CE106" s="10"/>
      <c r="CF106" s="10"/>
      <c r="CG106" s="10"/>
      <c r="CH106" s="10"/>
      <c r="CI106" s="10"/>
      <c r="CJ106" s="10"/>
      <c r="CK106" s="10"/>
      <c r="CL106" s="10"/>
      <c r="CM106" s="10"/>
      <c r="CN106" s="10"/>
      <c r="CO106" s="10"/>
      <c r="CP106" s="10"/>
      <c r="CQ106" s="10"/>
      <c r="CR106" s="10"/>
      <c r="CS106" s="10"/>
      <c r="CT106" s="10"/>
      <c r="CU106" s="10"/>
      <c r="CV106" s="10"/>
    </row>
    <row r="107" spans="1:101">
      <c r="CC107" s="10"/>
      <c r="CD107" s="10"/>
      <c r="CE107" s="10"/>
      <c r="CF107" s="10"/>
      <c r="CG107" s="10"/>
      <c r="CH107" s="10"/>
      <c r="CI107" s="10"/>
      <c r="CJ107" s="10"/>
      <c r="CK107" s="10"/>
      <c r="CL107" s="10"/>
      <c r="CM107" s="10"/>
      <c r="CN107" s="10"/>
      <c r="CO107" s="10"/>
      <c r="CP107" s="10"/>
      <c r="CQ107" s="10"/>
      <c r="CR107" s="10"/>
      <c r="CS107" s="10"/>
      <c r="CT107" s="10"/>
      <c r="CU107" s="10"/>
      <c r="CV107" s="10"/>
    </row>
    <row r="108" spans="1:101">
      <c r="CC108" s="10"/>
      <c r="CD108" s="10"/>
      <c r="CE108" s="10"/>
      <c r="CF108" s="10"/>
      <c r="CG108" s="10"/>
      <c r="CH108" s="10"/>
      <c r="CI108" s="10"/>
      <c r="CJ108" s="10"/>
      <c r="CK108" s="10"/>
      <c r="CL108" s="10"/>
      <c r="CM108" s="10"/>
      <c r="CN108" s="10"/>
      <c r="CO108" s="10"/>
      <c r="CP108" s="10"/>
      <c r="CQ108" s="10"/>
      <c r="CR108" s="10"/>
      <c r="CS108" s="10"/>
      <c r="CT108" s="10"/>
      <c r="CU108" s="10"/>
      <c r="CV108" s="10"/>
    </row>
    <row r="109" spans="1:101">
      <c r="CC109" s="10"/>
      <c r="CD109" s="10"/>
      <c r="CE109" s="10"/>
      <c r="CF109" s="10"/>
      <c r="CG109" s="10"/>
      <c r="CH109" s="10"/>
      <c r="CI109" s="10"/>
      <c r="CJ109" s="10"/>
      <c r="CK109" s="10"/>
      <c r="CL109" s="10"/>
      <c r="CM109" s="10"/>
      <c r="CN109" s="10"/>
      <c r="CO109" s="10"/>
      <c r="CP109" s="10"/>
      <c r="CQ109" s="10"/>
      <c r="CR109" s="10"/>
      <c r="CS109" s="10"/>
      <c r="CT109" s="10"/>
      <c r="CU109" s="10"/>
    </row>
    <row r="110" spans="1:101">
      <c r="CC110" s="10"/>
      <c r="CD110" s="10"/>
      <c r="CE110" s="10"/>
      <c r="CF110" s="10"/>
      <c r="CG110" s="10"/>
      <c r="CH110" s="10"/>
      <c r="CI110" s="10"/>
      <c r="CJ110" s="10"/>
      <c r="CK110" s="10"/>
      <c r="CL110" s="10"/>
      <c r="CM110" s="10"/>
      <c r="CN110" s="10"/>
      <c r="CO110" s="10"/>
      <c r="CP110" s="10"/>
      <c r="CQ110" s="10"/>
      <c r="CR110" s="10"/>
      <c r="CS110" s="10"/>
      <c r="CT110" s="10"/>
      <c r="CU110" s="10"/>
    </row>
    <row r="111" spans="1:101">
      <c r="CC111" s="10"/>
      <c r="CD111" s="10"/>
      <c r="CE111" s="10"/>
      <c r="CF111" s="10"/>
      <c r="CG111" s="10"/>
      <c r="CH111" s="10"/>
      <c r="CI111" s="10"/>
      <c r="CJ111" s="10"/>
      <c r="CK111" s="10"/>
      <c r="CL111" s="10"/>
      <c r="CM111" s="10"/>
      <c r="CN111" s="10"/>
      <c r="CO111" s="10"/>
      <c r="CP111" s="10"/>
      <c r="CQ111" s="10"/>
      <c r="CR111" s="10"/>
      <c r="CS111" s="10"/>
      <c r="CT111" s="10"/>
      <c r="CU111" s="10"/>
    </row>
    <row r="112" spans="1:101">
      <c r="CC112" s="10"/>
      <c r="CD112" s="10"/>
      <c r="CE112" s="10"/>
      <c r="CF112" s="10"/>
      <c r="CG112" s="10"/>
      <c r="CH112" s="10"/>
      <c r="CI112" s="10"/>
      <c r="CJ112" s="10"/>
      <c r="CK112" s="10"/>
      <c r="CL112" s="10"/>
      <c r="CM112" s="10"/>
      <c r="CN112" s="10"/>
      <c r="CO112" s="10"/>
      <c r="CP112" s="10"/>
      <c r="CQ112" s="10"/>
      <c r="CR112" s="10"/>
      <c r="CS112" s="10"/>
      <c r="CT112" s="10"/>
      <c r="CU112" s="10"/>
    </row>
    <row r="113" spans="81:99">
      <c r="CC113" s="10"/>
      <c r="CD113" s="10"/>
      <c r="CE113" s="10"/>
      <c r="CF113" s="10"/>
      <c r="CG113" s="10"/>
      <c r="CH113" s="10"/>
      <c r="CI113" s="10"/>
      <c r="CJ113" s="10"/>
      <c r="CK113" s="10"/>
      <c r="CL113" s="10"/>
      <c r="CM113" s="10"/>
      <c r="CN113" s="10"/>
      <c r="CO113" s="10"/>
      <c r="CP113" s="10"/>
      <c r="CQ113" s="10"/>
      <c r="CR113" s="10"/>
      <c r="CS113" s="10"/>
      <c r="CT113" s="10"/>
      <c r="CU113" s="10"/>
    </row>
    <row r="114" spans="81:99">
      <c r="CC114" s="10"/>
      <c r="CD114" s="10"/>
      <c r="CE114" s="10"/>
      <c r="CF114" s="10"/>
      <c r="CG114" s="10"/>
      <c r="CH114" s="10"/>
      <c r="CI114" s="10"/>
      <c r="CJ114" s="10"/>
      <c r="CK114" s="10"/>
      <c r="CL114" s="10"/>
      <c r="CM114" s="10"/>
      <c r="CN114" s="10"/>
      <c r="CO114" s="10"/>
      <c r="CP114" s="10"/>
      <c r="CQ114" s="10"/>
      <c r="CR114" s="10"/>
      <c r="CS114" s="10"/>
      <c r="CT114" s="10"/>
      <c r="CU114" s="10"/>
    </row>
    <row r="115" spans="81:99">
      <c r="CC115" s="10"/>
      <c r="CD115" s="10"/>
      <c r="CE115" s="10"/>
      <c r="CF115" s="10"/>
      <c r="CG115" s="10"/>
      <c r="CH115" s="10"/>
      <c r="CI115" s="10"/>
      <c r="CJ115" s="10"/>
      <c r="CK115" s="10"/>
      <c r="CL115" s="10"/>
      <c r="CM115" s="10"/>
      <c r="CN115" s="10"/>
      <c r="CO115" s="10"/>
      <c r="CP115" s="10"/>
      <c r="CQ115" s="10"/>
      <c r="CR115" s="10"/>
      <c r="CS115" s="10"/>
      <c r="CT115" s="10"/>
      <c r="CU115" s="10"/>
    </row>
    <row r="116" spans="81:99">
      <c r="CC116" s="10"/>
      <c r="CD116" s="10"/>
      <c r="CE116" s="10"/>
      <c r="CF116" s="10"/>
      <c r="CG116" s="10"/>
      <c r="CH116" s="10"/>
      <c r="CI116" s="10"/>
      <c r="CJ116" s="10"/>
      <c r="CK116" s="10"/>
      <c r="CL116" s="10"/>
      <c r="CM116" s="10"/>
      <c r="CN116" s="10"/>
      <c r="CO116" s="10"/>
      <c r="CP116" s="10"/>
      <c r="CQ116" s="10"/>
      <c r="CR116" s="10"/>
      <c r="CS116" s="10"/>
      <c r="CT116" s="10"/>
      <c r="CU116" s="10"/>
    </row>
    <row r="117" spans="81:99">
      <c r="CC117" s="10"/>
      <c r="CD117" s="10"/>
      <c r="CE117" s="10"/>
      <c r="CF117" s="10"/>
      <c r="CG117" s="10"/>
      <c r="CH117" s="10"/>
      <c r="CI117" s="10"/>
      <c r="CJ117" s="10"/>
      <c r="CK117" s="10"/>
      <c r="CL117" s="10"/>
      <c r="CM117" s="10"/>
      <c r="CN117" s="10"/>
      <c r="CO117" s="10"/>
      <c r="CP117" s="10"/>
      <c r="CQ117" s="10"/>
      <c r="CR117" s="10"/>
      <c r="CS117" s="10"/>
      <c r="CT117" s="10"/>
      <c r="CU117" s="10"/>
    </row>
    <row r="118" spans="81:99">
      <c r="CC118" s="10"/>
      <c r="CD118" s="10"/>
      <c r="CE118" s="10"/>
      <c r="CF118" s="10"/>
      <c r="CG118" s="10"/>
      <c r="CH118" s="10"/>
      <c r="CI118" s="10"/>
      <c r="CJ118" s="10"/>
      <c r="CK118" s="10"/>
      <c r="CL118" s="10"/>
      <c r="CM118" s="10"/>
      <c r="CN118" s="10"/>
      <c r="CO118" s="10"/>
      <c r="CP118" s="10"/>
      <c r="CQ118" s="10"/>
      <c r="CR118" s="10"/>
      <c r="CS118" s="10"/>
      <c r="CT118" s="10"/>
      <c r="CU118" s="10"/>
    </row>
    <row r="119" spans="81:99">
      <c r="CC119" s="10"/>
      <c r="CD119" s="10"/>
      <c r="CE119" s="10"/>
      <c r="CF119" s="10"/>
      <c r="CG119" s="10"/>
      <c r="CH119" s="10"/>
      <c r="CI119" s="10"/>
      <c r="CJ119" s="10"/>
      <c r="CK119" s="10"/>
      <c r="CL119" s="10"/>
      <c r="CM119" s="10"/>
      <c r="CN119" s="10"/>
      <c r="CO119" s="10"/>
      <c r="CP119" s="10"/>
      <c r="CQ119" s="10"/>
      <c r="CR119" s="10"/>
      <c r="CS119" s="10"/>
      <c r="CT119" s="10"/>
      <c r="CU119" s="10"/>
    </row>
    <row r="120" spans="81:99">
      <c r="CC120" s="10"/>
      <c r="CD120" s="10"/>
      <c r="CE120" s="10"/>
      <c r="CF120" s="10"/>
      <c r="CG120" s="10"/>
      <c r="CH120" s="10"/>
      <c r="CI120" s="10"/>
      <c r="CJ120" s="10"/>
      <c r="CK120" s="10"/>
      <c r="CL120" s="10"/>
      <c r="CM120" s="10"/>
      <c r="CN120" s="10"/>
      <c r="CO120" s="10"/>
      <c r="CP120" s="10"/>
      <c r="CQ120" s="10"/>
      <c r="CR120" s="10"/>
      <c r="CS120" s="10"/>
      <c r="CT120" s="10"/>
      <c r="CU120" s="10"/>
    </row>
    <row r="121" spans="81:99">
      <c r="CC121" s="10"/>
      <c r="CD121" s="10"/>
      <c r="CE121" s="10"/>
      <c r="CF121" s="10"/>
      <c r="CG121" s="10"/>
      <c r="CH121" s="10"/>
      <c r="CI121" s="10"/>
      <c r="CJ121" s="10"/>
      <c r="CK121" s="10"/>
      <c r="CL121" s="10"/>
      <c r="CM121" s="10"/>
      <c r="CN121" s="10"/>
      <c r="CO121" s="10"/>
      <c r="CP121" s="10"/>
      <c r="CQ121" s="10"/>
      <c r="CR121" s="10"/>
      <c r="CS121" s="10"/>
      <c r="CT121" s="10"/>
      <c r="CU121" s="10"/>
    </row>
    <row r="122" spans="81:99">
      <c r="CC122" s="10"/>
      <c r="CD122" s="10"/>
      <c r="CE122" s="10"/>
      <c r="CF122" s="10"/>
      <c r="CG122" s="10"/>
      <c r="CH122" s="10"/>
      <c r="CI122" s="10"/>
      <c r="CJ122" s="10"/>
      <c r="CK122" s="10"/>
      <c r="CL122" s="10"/>
      <c r="CM122" s="10"/>
      <c r="CN122" s="10"/>
      <c r="CO122" s="10"/>
      <c r="CP122" s="10"/>
      <c r="CQ122" s="10"/>
      <c r="CR122" s="10"/>
      <c r="CS122" s="10"/>
      <c r="CT122" s="10"/>
      <c r="CU122" s="10"/>
    </row>
    <row r="123" spans="81:99">
      <c r="CC123" s="10"/>
      <c r="CD123" s="10"/>
      <c r="CE123" s="10"/>
      <c r="CF123" s="10"/>
      <c r="CG123" s="10"/>
      <c r="CH123" s="10"/>
      <c r="CI123" s="10"/>
      <c r="CJ123" s="10"/>
      <c r="CK123" s="10"/>
      <c r="CL123" s="10"/>
      <c r="CM123" s="10"/>
      <c r="CN123" s="10"/>
      <c r="CO123" s="10"/>
      <c r="CP123" s="10"/>
      <c r="CQ123" s="10"/>
      <c r="CR123" s="10"/>
      <c r="CS123" s="10"/>
      <c r="CT123" s="10"/>
      <c r="CU123" s="10"/>
    </row>
    <row r="124" spans="81:99">
      <c r="CC124" s="10"/>
      <c r="CD124" s="10"/>
      <c r="CE124" s="10"/>
      <c r="CF124" s="10"/>
      <c r="CG124" s="10"/>
      <c r="CH124" s="10"/>
      <c r="CI124" s="10"/>
      <c r="CJ124" s="10"/>
      <c r="CK124" s="10"/>
      <c r="CL124" s="10"/>
      <c r="CM124" s="10"/>
      <c r="CN124" s="10"/>
      <c r="CO124" s="10"/>
      <c r="CP124" s="10"/>
      <c r="CQ124" s="10"/>
      <c r="CR124" s="10"/>
      <c r="CS124" s="10"/>
      <c r="CT124" s="10"/>
      <c r="CU124" s="10"/>
    </row>
    <row r="125" spans="81:99">
      <c r="CC125" s="10"/>
      <c r="CD125" s="10"/>
      <c r="CE125" s="10"/>
      <c r="CF125" s="10"/>
      <c r="CG125" s="10"/>
      <c r="CH125" s="10"/>
      <c r="CI125" s="10"/>
      <c r="CJ125" s="10"/>
      <c r="CK125" s="10"/>
      <c r="CL125" s="10"/>
      <c r="CM125" s="10"/>
      <c r="CN125" s="10"/>
      <c r="CO125" s="10"/>
      <c r="CP125" s="10"/>
      <c r="CQ125" s="10"/>
      <c r="CR125" s="10"/>
      <c r="CS125" s="10"/>
      <c r="CT125" s="10"/>
      <c r="CU125" s="10"/>
    </row>
    <row r="126" spans="81:99">
      <c r="CC126" s="10"/>
      <c r="CD126" s="10"/>
      <c r="CE126" s="10"/>
      <c r="CF126" s="10"/>
      <c r="CG126" s="10"/>
      <c r="CH126" s="10"/>
      <c r="CI126" s="10"/>
      <c r="CJ126" s="10"/>
      <c r="CK126" s="10"/>
      <c r="CL126" s="10"/>
      <c r="CM126" s="10"/>
      <c r="CN126" s="10"/>
      <c r="CO126" s="10"/>
      <c r="CP126" s="10"/>
      <c r="CQ126" s="10"/>
      <c r="CR126" s="10"/>
      <c r="CS126" s="10"/>
      <c r="CT126" s="10"/>
      <c r="CU126" s="10"/>
    </row>
    <row r="127" spans="81:99">
      <c r="CC127" s="10"/>
      <c r="CD127" s="10"/>
      <c r="CE127" s="10"/>
      <c r="CF127" s="10"/>
      <c r="CG127" s="10"/>
      <c r="CH127" s="10"/>
      <c r="CI127" s="10"/>
      <c r="CJ127" s="10"/>
      <c r="CK127" s="10"/>
      <c r="CL127" s="10"/>
      <c r="CM127" s="10"/>
      <c r="CN127" s="10"/>
      <c r="CO127" s="10"/>
      <c r="CP127" s="10"/>
      <c r="CQ127" s="10"/>
      <c r="CR127" s="10"/>
      <c r="CS127" s="10"/>
      <c r="CT127" s="10"/>
      <c r="CU127" s="10"/>
    </row>
    <row r="128" spans="81:99">
      <c r="CC128" s="10"/>
      <c r="CD128" s="10"/>
      <c r="CE128" s="10"/>
      <c r="CF128" s="10"/>
      <c r="CG128" s="10"/>
      <c r="CH128" s="10"/>
      <c r="CI128" s="10"/>
      <c r="CJ128" s="10"/>
      <c r="CK128" s="10"/>
      <c r="CL128" s="10"/>
      <c r="CM128" s="10"/>
      <c r="CN128" s="10"/>
      <c r="CO128" s="10"/>
      <c r="CP128" s="10"/>
      <c r="CQ128" s="10"/>
      <c r="CR128" s="10"/>
      <c r="CS128" s="10"/>
      <c r="CT128" s="10"/>
      <c r="CU128" s="10"/>
    </row>
    <row r="129" spans="81:99">
      <c r="CC129" s="10"/>
      <c r="CD129" s="10"/>
      <c r="CE129" s="10"/>
      <c r="CF129" s="10"/>
      <c r="CG129" s="10"/>
      <c r="CH129" s="10"/>
      <c r="CI129" s="10"/>
      <c r="CJ129" s="10"/>
      <c r="CK129" s="10"/>
      <c r="CL129" s="10"/>
      <c r="CM129" s="10"/>
      <c r="CN129" s="10"/>
      <c r="CO129" s="10"/>
      <c r="CP129" s="10"/>
      <c r="CQ129" s="10"/>
      <c r="CR129" s="10"/>
      <c r="CS129" s="10"/>
      <c r="CT129" s="10"/>
      <c r="CU129" s="10"/>
    </row>
    <row r="130" spans="81:99">
      <c r="CC130" s="10"/>
      <c r="CD130" s="10"/>
      <c r="CE130" s="10"/>
      <c r="CF130" s="10"/>
      <c r="CG130" s="10"/>
      <c r="CH130" s="10"/>
      <c r="CI130" s="10"/>
      <c r="CJ130" s="10"/>
      <c r="CK130" s="10"/>
      <c r="CL130" s="10"/>
      <c r="CM130" s="10"/>
      <c r="CN130" s="10"/>
      <c r="CO130" s="10"/>
      <c r="CP130" s="10"/>
      <c r="CQ130" s="10"/>
      <c r="CR130" s="10"/>
      <c r="CS130" s="10"/>
      <c r="CT130" s="10"/>
      <c r="CU130" s="10"/>
    </row>
    <row r="131" spans="81:99">
      <c r="CC131" s="10"/>
      <c r="CD131" s="10"/>
      <c r="CE131" s="10"/>
      <c r="CF131" s="10"/>
      <c r="CG131" s="10"/>
      <c r="CH131" s="10"/>
      <c r="CI131" s="10"/>
      <c r="CJ131" s="10"/>
      <c r="CK131" s="10"/>
      <c r="CL131" s="10"/>
      <c r="CM131" s="10"/>
      <c r="CN131" s="10"/>
      <c r="CO131" s="10"/>
      <c r="CP131" s="10"/>
      <c r="CQ131" s="10"/>
      <c r="CR131" s="10"/>
      <c r="CS131" s="10"/>
      <c r="CT131" s="10"/>
      <c r="CU131" s="10"/>
    </row>
    <row r="132" spans="81:99">
      <c r="CC132" s="10"/>
      <c r="CD132" s="10"/>
      <c r="CE132" s="10"/>
      <c r="CF132" s="10"/>
      <c r="CG132" s="10"/>
      <c r="CH132" s="10"/>
      <c r="CI132" s="10"/>
      <c r="CJ132" s="10"/>
      <c r="CK132" s="10"/>
      <c r="CL132" s="10"/>
      <c r="CM132" s="10"/>
      <c r="CN132" s="10"/>
      <c r="CO132" s="10"/>
      <c r="CP132" s="10"/>
      <c r="CQ132" s="10"/>
      <c r="CR132" s="10"/>
      <c r="CS132" s="10"/>
      <c r="CT132" s="10"/>
      <c r="CU132" s="10"/>
    </row>
    <row r="133" spans="81:99">
      <c r="CC133" s="10"/>
      <c r="CD133" s="10"/>
      <c r="CE133" s="10"/>
      <c r="CF133" s="10"/>
      <c r="CG133" s="10"/>
      <c r="CH133" s="10"/>
      <c r="CI133" s="10"/>
      <c r="CJ133" s="10"/>
      <c r="CK133" s="10"/>
      <c r="CL133" s="10"/>
      <c r="CM133" s="10"/>
      <c r="CN133" s="10"/>
      <c r="CO133" s="10"/>
      <c r="CP133" s="10"/>
      <c r="CQ133" s="10"/>
      <c r="CR133" s="10"/>
      <c r="CS133" s="10"/>
      <c r="CT133" s="10"/>
      <c r="CU133" s="10"/>
    </row>
    <row r="134" spans="81:99">
      <c r="CC134" s="10"/>
      <c r="CD134" s="10"/>
      <c r="CE134" s="10"/>
      <c r="CF134" s="10"/>
      <c r="CG134" s="10"/>
      <c r="CH134" s="10"/>
      <c r="CI134" s="10"/>
      <c r="CJ134" s="10"/>
      <c r="CK134" s="10"/>
      <c r="CL134" s="10"/>
      <c r="CM134" s="10"/>
      <c r="CN134" s="10"/>
      <c r="CO134" s="10"/>
      <c r="CP134" s="10"/>
      <c r="CQ134" s="10"/>
      <c r="CR134" s="10"/>
      <c r="CS134" s="10"/>
      <c r="CT134" s="10"/>
      <c r="CU134" s="10"/>
    </row>
    <row r="135" spans="81:99">
      <c r="CC135" s="10"/>
      <c r="CD135" s="10"/>
      <c r="CE135" s="10"/>
      <c r="CF135" s="10"/>
      <c r="CG135" s="10"/>
      <c r="CH135" s="10"/>
      <c r="CI135" s="10"/>
      <c r="CJ135" s="10"/>
      <c r="CK135" s="10"/>
      <c r="CL135" s="10"/>
      <c r="CM135" s="10"/>
      <c r="CN135" s="10"/>
      <c r="CO135" s="10"/>
      <c r="CP135" s="10"/>
      <c r="CQ135" s="10"/>
      <c r="CR135" s="10"/>
      <c r="CS135" s="10"/>
      <c r="CT135" s="10"/>
      <c r="CU135" s="10"/>
    </row>
    <row r="136" spans="81:99">
      <c r="CC136" s="10"/>
      <c r="CD136" s="10"/>
      <c r="CE136" s="10"/>
      <c r="CF136" s="10"/>
      <c r="CG136" s="10"/>
      <c r="CH136" s="10"/>
      <c r="CI136" s="10"/>
      <c r="CJ136" s="10"/>
      <c r="CK136" s="10"/>
      <c r="CL136" s="10"/>
      <c r="CM136" s="10"/>
      <c r="CN136" s="10"/>
      <c r="CO136" s="10"/>
      <c r="CP136" s="10"/>
      <c r="CQ136" s="10"/>
      <c r="CR136" s="10"/>
      <c r="CS136" s="10"/>
      <c r="CT136" s="10"/>
      <c r="CU136" s="10"/>
    </row>
    <row r="137" spans="81:99">
      <c r="CC137" s="10"/>
      <c r="CD137" s="10"/>
      <c r="CE137" s="10"/>
      <c r="CF137" s="10"/>
      <c r="CG137" s="10"/>
      <c r="CH137" s="10"/>
      <c r="CI137" s="10"/>
      <c r="CJ137" s="10"/>
      <c r="CK137" s="10"/>
      <c r="CL137" s="10"/>
      <c r="CM137" s="10"/>
      <c r="CN137" s="10"/>
      <c r="CO137" s="10"/>
      <c r="CP137" s="10"/>
      <c r="CQ137" s="10"/>
      <c r="CR137" s="10"/>
      <c r="CS137" s="10"/>
      <c r="CT137" s="10"/>
      <c r="CU137" s="10"/>
    </row>
    <row r="138" spans="81:99">
      <c r="CC138" s="10"/>
      <c r="CD138" s="10"/>
      <c r="CE138" s="10"/>
      <c r="CF138" s="10"/>
      <c r="CG138" s="10"/>
      <c r="CH138" s="10"/>
      <c r="CI138" s="10"/>
      <c r="CJ138" s="10"/>
      <c r="CK138" s="10"/>
      <c r="CL138" s="10"/>
      <c r="CM138" s="10"/>
      <c r="CN138" s="10"/>
      <c r="CO138" s="10"/>
      <c r="CP138" s="10"/>
      <c r="CQ138" s="10"/>
      <c r="CR138" s="10"/>
      <c r="CS138" s="10"/>
      <c r="CT138" s="10"/>
      <c r="CU138" s="10"/>
    </row>
    <row r="139" spans="81:99">
      <c r="CC139" s="10"/>
      <c r="CD139" s="10"/>
      <c r="CE139" s="10"/>
      <c r="CF139" s="10"/>
      <c r="CG139" s="10"/>
      <c r="CH139" s="10"/>
      <c r="CI139" s="10"/>
      <c r="CJ139" s="10"/>
      <c r="CK139" s="10"/>
      <c r="CL139" s="10"/>
      <c r="CM139" s="10"/>
      <c r="CN139" s="10"/>
      <c r="CO139" s="10"/>
      <c r="CP139" s="10"/>
      <c r="CQ139" s="10"/>
      <c r="CR139" s="10"/>
      <c r="CS139" s="10"/>
      <c r="CT139" s="10"/>
      <c r="CU139" s="10"/>
    </row>
    <row r="140" spans="81:99">
      <c r="CC140" s="10"/>
      <c r="CD140" s="10"/>
      <c r="CE140" s="10"/>
      <c r="CF140" s="10"/>
      <c r="CG140" s="10"/>
      <c r="CH140" s="10"/>
      <c r="CI140" s="10"/>
      <c r="CJ140" s="10"/>
      <c r="CK140" s="10"/>
      <c r="CL140" s="10"/>
      <c r="CM140" s="10"/>
      <c r="CN140" s="10"/>
      <c r="CO140" s="10"/>
      <c r="CP140" s="10"/>
      <c r="CQ140" s="10"/>
      <c r="CR140" s="10"/>
      <c r="CS140" s="10"/>
      <c r="CT140" s="10"/>
      <c r="CU140" s="10"/>
    </row>
    <row r="141" spans="81:99">
      <c r="CC141" s="10"/>
      <c r="CD141" s="10"/>
      <c r="CE141" s="10"/>
      <c r="CF141" s="10"/>
      <c r="CG141" s="10"/>
      <c r="CH141" s="10"/>
      <c r="CI141" s="10"/>
      <c r="CJ141" s="10"/>
      <c r="CK141" s="10"/>
      <c r="CL141" s="10"/>
      <c r="CM141" s="10"/>
      <c r="CN141" s="10"/>
      <c r="CO141" s="10"/>
      <c r="CP141" s="10"/>
      <c r="CQ141" s="10"/>
      <c r="CR141" s="10"/>
      <c r="CS141" s="10"/>
      <c r="CT141" s="10"/>
      <c r="CU141" s="10"/>
    </row>
    <row r="142" spans="81:99">
      <c r="CC142" s="10"/>
      <c r="CD142" s="10"/>
      <c r="CE142" s="10"/>
      <c r="CF142" s="10"/>
      <c r="CG142" s="10"/>
      <c r="CH142" s="10"/>
      <c r="CI142" s="10"/>
      <c r="CJ142" s="10"/>
      <c r="CK142" s="10"/>
      <c r="CL142" s="10"/>
      <c r="CM142" s="10"/>
      <c r="CN142" s="10"/>
      <c r="CO142" s="10"/>
      <c r="CP142" s="10"/>
      <c r="CQ142" s="10"/>
      <c r="CR142" s="10"/>
      <c r="CS142" s="10"/>
      <c r="CT142" s="10"/>
      <c r="CU142" s="10"/>
    </row>
    <row r="143" spans="81:99">
      <c r="CC143" s="10"/>
      <c r="CD143" s="10"/>
      <c r="CE143" s="10"/>
      <c r="CF143" s="10"/>
      <c r="CG143" s="10"/>
      <c r="CH143" s="10"/>
      <c r="CI143" s="10"/>
      <c r="CJ143" s="10"/>
      <c r="CK143" s="10"/>
      <c r="CL143" s="10"/>
      <c r="CM143" s="10"/>
      <c r="CN143" s="10"/>
      <c r="CO143" s="10"/>
      <c r="CP143" s="10"/>
      <c r="CQ143" s="10"/>
      <c r="CR143" s="10"/>
      <c r="CS143" s="10"/>
      <c r="CT143" s="10"/>
      <c r="CU143" s="10"/>
    </row>
    <row r="144" spans="81:99">
      <c r="CC144" s="10"/>
      <c r="CD144" s="10"/>
      <c r="CE144" s="10"/>
      <c r="CF144" s="10"/>
      <c r="CG144" s="10"/>
      <c r="CH144" s="10"/>
      <c r="CI144" s="10"/>
      <c r="CJ144" s="10"/>
      <c r="CK144" s="10"/>
      <c r="CL144" s="10"/>
      <c r="CM144" s="10"/>
      <c r="CN144" s="10"/>
      <c r="CO144" s="10"/>
      <c r="CP144" s="10"/>
      <c r="CQ144" s="10"/>
      <c r="CR144" s="10"/>
      <c r="CS144" s="10"/>
      <c r="CT144" s="10"/>
      <c r="CU144" s="10"/>
    </row>
    <row r="145" spans="81:99">
      <c r="CC145" s="10"/>
      <c r="CD145" s="10"/>
      <c r="CE145" s="10"/>
      <c r="CF145" s="10"/>
      <c r="CG145" s="10"/>
      <c r="CH145" s="10"/>
      <c r="CI145" s="10"/>
      <c r="CJ145" s="10"/>
      <c r="CK145" s="10"/>
      <c r="CL145" s="10"/>
      <c r="CM145" s="10"/>
      <c r="CN145" s="10"/>
      <c r="CO145" s="10"/>
      <c r="CP145" s="10"/>
      <c r="CQ145" s="10"/>
      <c r="CR145" s="10"/>
      <c r="CS145" s="10"/>
      <c r="CT145" s="10"/>
      <c r="CU145" s="10"/>
    </row>
    <row r="146" spans="81:99">
      <c r="CC146" s="10"/>
      <c r="CD146" s="10"/>
      <c r="CE146" s="10"/>
      <c r="CF146" s="10"/>
      <c r="CG146" s="10"/>
      <c r="CH146" s="10"/>
      <c r="CI146" s="10"/>
      <c r="CJ146" s="10"/>
      <c r="CK146" s="10"/>
      <c r="CL146" s="10"/>
      <c r="CM146" s="10"/>
      <c r="CN146" s="10"/>
      <c r="CO146" s="10"/>
      <c r="CP146" s="10"/>
      <c r="CQ146" s="10"/>
      <c r="CR146" s="10"/>
      <c r="CS146" s="10"/>
      <c r="CT146" s="10"/>
      <c r="CU146" s="10"/>
    </row>
    <row r="147" spans="81:99">
      <c r="CC147" s="10"/>
      <c r="CD147" s="10"/>
      <c r="CE147" s="10"/>
      <c r="CF147" s="10"/>
      <c r="CG147" s="10"/>
      <c r="CH147" s="10"/>
      <c r="CI147" s="10"/>
      <c r="CJ147" s="10"/>
      <c r="CK147" s="10"/>
      <c r="CL147" s="10"/>
      <c r="CM147" s="10"/>
      <c r="CN147" s="10"/>
      <c r="CO147" s="10"/>
      <c r="CP147" s="10"/>
      <c r="CQ147" s="10"/>
      <c r="CR147" s="10"/>
      <c r="CS147" s="10"/>
      <c r="CT147" s="10"/>
      <c r="CU147" s="10"/>
    </row>
    <row r="148" spans="81:99">
      <c r="CC148" s="10"/>
      <c r="CD148" s="10"/>
      <c r="CE148" s="10"/>
      <c r="CF148" s="10"/>
      <c r="CG148" s="10"/>
      <c r="CH148" s="10"/>
      <c r="CI148" s="10"/>
      <c r="CJ148" s="10"/>
      <c r="CK148" s="10"/>
      <c r="CL148" s="10"/>
      <c r="CM148" s="10"/>
      <c r="CN148" s="10"/>
      <c r="CO148" s="10"/>
      <c r="CP148" s="10"/>
      <c r="CQ148" s="10"/>
      <c r="CR148" s="10"/>
      <c r="CS148" s="10"/>
      <c r="CT148" s="10"/>
      <c r="CU148" s="10"/>
    </row>
    <row r="149" spans="81:99">
      <c r="CC149" s="10"/>
      <c r="CD149" s="10"/>
      <c r="CE149" s="10"/>
      <c r="CF149" s="10"/>
      <c r="CG149" s="10"/>
      <c r="CH149" s="10"/>
      <c r="CI149" s="10"/>
      <c r="CJ149" s="10"/>
      <c r="CK149" s="10"/>
      <c r="CL149" s="10"/>
      <c r="CM149" s="10"/>
      <c r="CN149" s="10"/>
      <c r="CO149" s="10"/>
      <c r="CP149" s="10"/>
      <c r="CQ149" s="10"/>
      <c r="CR149" s="10"/>
      <c r="CS149" s="10"/>
      <c r="CT149" s="10"/>
      <c r="CU149" s="10"/>
    </row>
    <row r="150" spans="81:99">
      <c r="CC150" s="10"/>
      <c r="CD150" s="10"/>
      <c r="CE150" s="10"/>
      <c r="CF150" s="10"/>
      <c r="CG150" s="10"/>
      <c r="CH150" s="10"/>
      <c r="CI150" s="10"/>
      <c r="CJ150" s="10"/>
      <c r="CK150" s="10"/>
      <c r="CL150" s="10"/>
      <c r="CM150" s="10"/>
      <c r="CN150" s="10"/>
      <c r="CO150" s="10"/>
      <c r="CP150" s="10"/>
      <c r="CQ150" s="10"/>
      <c r="CR150" s="10"/>
      <c r="CS150" s="10"/>
      <c r="CT150" s="10"/>
      <c r="CU150" s="10"/>
    </row>
    <row r="151" spans="81:99">
      <c r="CC151" s="10"/>
      <c r="CD151" s="10"/>
      <c r="CE151" s="10"/>
      <c r="CF151" s="10"/>
      <c r="CG151" s="10"/>
      <c r="CH151" s="10"/>
      <c r="CI151" s="10"/>
      <c r="CJ151" s="10"/>
      <c r="CK151" s="10"/>
      <c r="CL151" s="10"/>
      <c r="CM151" s="10"/>
      <c r="CN151" s="10"/>
      <c r="CO151" s="10"/>
      <c r="CP151" s="10"/>
      <c r="CQ151" s="10"/>
      <c r="CR151" s="10"/>
      <c r="CS151" s="10"/>
      <c r="CT151" s="10"/>
      <c r="CU151" s="10"/>
    </row>
    <row r="152" spans="81:99">
      <c r="CC152" s="10"/>
      <c r="CD152" s="10"/>
      <c r="CE152" s="10"/>
      <c r="CF152" s="10"/>
      <c r="CG152" s="10"/>
      <c r="CH152" s="10"/>
      <c r="CI152" s="10"/>
      <c r="CJ152" s="10"/>
      <c r="CK152" s="10"/>
      <c r="CL152" s="10"/>
      <c r="CM152" s="10"/>
      <c r="CN152" s="10"/>
      <c r="CO152" s="10"/>
      <c r="CP152" s="10"/>
      <c r="CQ152" s="10"/>
      <c r="CR152" s="10"/>
      <c r="CS152" s="10"/>
      <c r="CT152" s="10"/>
      <c r="CU152" s="10"/>
    </row>
    <row r="153" spans="81:99">
      <c r="CC153" s="10"/>
      <c r="CD153" s="10"/>
      <c r="CE153" s="10"/>
      <c r="CF153" s="10"/>
      <c r="CG153" s="10"/>
      <c r="CH153" s="10"/>
      <c r="CI153" s="10"/>
      <c r="CJ153" s="10"/>
      <c r="CK153" s="10"/>
      <c r="CL153" s="10"/>
      <c r="CM153" s="10"/>
      <c r="CN153" s="10"/>
      <c r="CO153" s="10"/>
      <c r="CP153" s="10"/>
      <c r="CQ153" s="10"/>
      <c r="CR153" s="10"/>
      <c r="CS153" s="10"/>
      <c r="CT153" s="10"/>
      <c r="CU153" s="10"/>
    </row>
    <row r="154" spans="81:99">
      <c r="CC154" s="10"/>
      <c r="CD154" s="10"/>
      <c r="CE154" s="10"/>
      <c r="CF154" s="10"/>
      <c r="CG154" s="10"/>
      <c r="CH154" s="10"/>
      <c r="CI154" s="10"/>
      <c r="CJ154" s="10"/>
      <c r="CK154" s="10"/>
      <c r="CL154" s="10"/>
      <c r="CM154" s="10"/>
      <c r="CN154" s="10"/>
      <c r="CO154" s="10"/>
      <c r="CP154" s="10"/>
      <c r="CQ154" s="10"/>
      <c r="CR154" s="10"/>
      <c r="CS154" s="10"/>
      <c r="CT154" s="10"/>
      <c r="CU154" s="10"/>
    </row>
    <row r="155" spans="81:99">
      <c r="CC155" s="10"/>
      <c r="CD155" s="10"/>
      <c r="CE155" s="10"/>
      <c r="CF155" s="10"/>
      <c r="CG155" s="10"/>
      <c r="CH155" s="10"/>
      <c r="CI155" s="10"/>
      <c r="CJ155" s="10"/>
      <c r="CK155" s="10"/>
      <c r="CL155" s="10"/>
      <c r="CM155" s="10"/>
      <c r="CN155" s="10"/>
      <c r="CO155" s="10"/>
      <c r="CP155" s="10"/>
      <c r="CQ155" s="10"/>
      <c r="CR155" s="10"/>
      <c r="CS155" s="10"/>
      <c r="CT155" s="10"/>
      <c r="CU155" s="10"/>
    </row>
    <row r="156" spans="81:99">
      <c r="CC156" s="10"/>
      <c r="CD156" s="10"/>
      <c r="CE156" s="10"/>
      <c r="CF156" s="10"/>
      <c r="CG156" s="10"/>
      <c r="CH156" s="10"/>
      <c r="CI156" s="10"/>
      <c r="CJ156" s="10"/>
      <c r="CK156" s="10"/>
      <c r="CL156" s="10"/>
      <c r="CM156" s="10"/>
      <c r="CN156" s="10"/>
      <c r="CO156" s="10"/>
      <c r="CP156" s="10"/>
      <c r="CQ156" s="10"/>
      <c r="CR156" s="10"/>
      <c r="CS156" s="10"/>
      <c r="CT156" s="10"/>
      <c r="CU156" s="10"/>
    </row>
    <row r="157" spans="81:99">
      <c r="CC157" s="10"/>
      <c r="CD157" s="10"/>
      <c r="CE157" s="10"/>
      <c r="CF157" s="10"/>
      <c r="CG157" s="10"/>
      <c r="CH157" s="10"/>
      <c r="CI157" s="10"/>
      <c r="CJ157" s="10"/>
      <c r="CK157" s="10"/>
      <c r="CL157" s="10"/>
      <c r="CM157" s="10"/>
      <c r="CN157" s="10"/>
      <c r="CO157" s="10"/>
      <c r="CP157" s="10"/>
      <c r="CQ157" s="10"/>
      <c r="CR157" s="10"/>
      <c r="CS157" s="10"/>
      <c r="CT157" s="10"/>
      <c r="CU157" s="10"/>
    </row>
    <row r="158" spans="81:99">
      <c r="CC158" s="10"/>
      <c r="CD158" s="10"/>
      <c r="CE158" s="10"/>
      <c r="CF158" s="10"/>
      <c r="CG158" s="10"/>
      <c r="CH158" s="10"/>
      <c r="CI158" s="10"/>
      <c r="CJ158" s="10"/>
      <c r="CK158" s="10"/>
      <c r="CL158" s="10"/>
      <c r="CM158" s="10"/>
      <c r="CN158" s="10"/>
      <c r="CO158" s="10"/>
      <c r="CP158" s="10"/>
      <c r="CQ158" s="10"/>
      <c r="CR158" s="10"/>
      <c r="CS158" s="10"/>
      <c r="CT158" s="10"/>
      <c r="CU158" s="10"/>
    </row>
    <row r="159" spans="81:99">
      <c r="CC159" s="10"/>
      <c r="CD159" s="10"/>
      <c r="CE159" s="10"/>
      <c r="CF159" s="10"/>
      <c r="CG159" s="10"/>
      <c r="CH159" s="10"/>
      <c r="CI159" s="10"/>
      <c r="CJ159" s="10"/>
      <c r="CK159" s="10"/>
      <c r="CL159" s="10"/>
      <c r="CM159" s="10"/>
      <c r="CN159" s="10"/>
      <c r="CO159" s="10"/>
      <c r="CP159" s="10"/>
      <c r="CQ159" s="10"/>
      <c r="CR159" s="10"/>
      <c r="CS159" s="10"/>
      <c r="CT159" s="10"/>
      <c r="CU159" s="10"/>
    </row>
    <row r="160" spans="81:99">
      <c r="CC160" s="10"/>
      <c r="CD160" s="10"/>
      <c r="CE160" s="10"/>
      <c r="CF160" s="10"/>
      <c r="CG160" s="10"/>
      <c r="CH160" s="10"/>
      <c r="CI160" s="10"/>
      <c r="CJ160" s="10"/>
      <c r="CK160" s="10"/>
      <c r="CL160" s="10"/>
      <c r="CM160" s="10"/>
      <c r="CN160" s="10"/>
      <c r="CO160" s="10"/>
      <c r="CP160" s="10"/>
      <c r="CQ160" s="10"/>
      <c r="CR160" s="10"/>
      <c r="CS160" s="10"/>
      <c r="CT160" s="10"/>
      <c r="CU160" s="10"/>
    </row>
    <row r="161" spans="81:99">
      <c r="CC161" s="10"/>
      <c r="CD161" s="10"/>
      <c r="CE161" s="10"/>
      <c r="CF161" s="10"/>
      <c r="CG161" s="10"/>
      <c r="CH161" s="10"/>
      <c r="CI161" s="10"/>
      <c r="CJ161" s="10"/>
      <c r="CK161" s="10"/>
      <c r="CL161" s="10"/>
      <c r="CM161" s="10"/>
      <c r="CN161" s="10"/>
      <c r="CO161" s="10"/>
      <c r="CP161" s="10"/>
      <c r="CQ161" s="10"/>
      <c r="CR161" s="10"/>
      <c r="CS161" s="10"/>
      <c r="CT161" s="10"/>
      <c r="CU161" s="10"/>
    </row>
    <row r="162" spans="81:99">
      <c r="CC162" s="10"/>
      <c r="CD162" s="10"/>
      <c r="CE162" s="10"/>
      <c r="CF162" s="10"/>
      <c r="CG162" s="10"/>
      <c r="CH162" s="10"/>
      <c r="CI162" s="10"/>
      <c r="CJ162" s="10"/>
      <c r="CK162" s="10"/>
      <c r="CL162" s="10"/>
      <c r="CM162" s="10"/>
      <c r="CN162" s="10"/>
      <c r="CO162" s="10"/>
      <c r="CP162" s="10"/>
      <c r="CQ162" s="10"/>
      <c r="CR162" s="10"/>
      <c r="CS162" s="10"/>
      <c r="CT162" s="10"/>
      <c r="CU162" s="10"/>
    </row>
    <row r="163" spans="81:99">
      <c r="CC163" s="10"/>
      <c r="CD163" s="10"/>
      <c r="CE163" s="10"/>
      <c r="CF163" s="10"/>
      <c r="CG163" s="10"/>
      <c r="CH163" s="10"/>
      <c r="CI163" s="10"/>
      <c r="CJ163" s="10"/>
      <c r="CK163" s="10"/>
      <c r="CL163" s="10"/>
      <c r="CM163" s="10"/>
      <c r="CN163" s="10"/>
      <c r="CO163" s="10"/>
      <c r="CP163" s="10"/>
      <c r="CQ163" s="10"/>
      <c r="CR163" s="10"/>
      <c r="CS163" s="10"/>
      <c r="CT163" s="10"/>
      <c r="CU163" s="10"/>
    </row>
    <row r="164" spans="81:99">
      <c r="CC164" s="10"/>
      <c r="CD164" s="10"/>
      <c r="CE164" s="10"/>
      <c r="CF164" s="10"/>
      <c r="CG164" s="10"/>
      <c r="CH164" s="10"/>
      <c r="CI164" s="10"/>
      <c r="CJ164" s="10"/>
      <c r="CK164" s="10"/>
      <c r="CL164" s="10"/>
      <c r="CM164" s="10"/>
      <c r="CN164" s="10"/>
      <c r="CO164" s="10"/>
      <c r="CP164" s="10"/>
      <c r="CQ164" s="10"/>
      <c r="CR164" s="10"/>
      <c r="CS164" s="10"/>
      <c r="CT164" s="10"/>
      <c r="CU164" s="10"/>
    </row>
    <row r="165" spans="81:99">
      <c r="CC165" s="10"/>
      <c r="CD165" s="10"/>
      <c r="CE165" s="10"/>
      <c r="CF165" s="10"/>
      <c r="CG165" s="10"/>
      <c r="CH165" s="10"/>
      <c r="CI165" s="10"/>
      <c r="CJ165" s="10"/>
      <c r="CK165" s="10"/>
      <c r="CL165" s="10"/>
      <c r="CM165" s="10"/>
      <c r="CN165" s="10"/>
      <c r="CO165" s="10"/>
      <c r="CP165" s="10"/>
      <c r="CQ165" s="10"/>
      <c r="CR165" s="10"/>
      <c r="CS165" s="10"/>
      <c r="CT165" s="10"/>
      <c r="CU165" s="10"/>
    </row>
    <row r="166" spans="81:99">
      <c r="CC166" s="10"/>
      <c r="CD166" s="10"/>
      <c r="CE166" s="10"/>
      <c r="CF166" s="10"/>
      <c r="CG166" s="10"/>
      <c r="CH166" s="10"/>
      <c r="CI166" s="10"/>
      <c r="CJ166" s="10"/>
      <c r="CK166" s="10"/>
      <c r="CL166" s="10"/>
      <c r="CM166" s="10"/>
      <c r="CN166" s="10"/>
      <c r="CO166" s="10"/>
      <c r="CP166" s="10"/>
      <c r="CQ166" s="10"/>
      <c r="CR166" s="10"/>
      <c r="CS166" s="10"/>
      <c r="CT166" s="10"/>
      <c r="CU166" s="10"/>
    </row>
    <row r="167" spans="81:99">
      <c r="CC167" s="10"/>
      <c r="CD167" s="10"/>
      <c r="CE167" s="10"/>
      <c r="CF167" s="10"/>
      <c r="CG167" s="10"/>
      <c r="CH167" s="10"/>
      <c r="CI167" s="10"/>
      <c r="CJ167" s="10"/>
      <c r="CK167" s="10"/>
      <c r="CL167" s="10"/>
      <c r="CM167" s="10"/>
      <c r="CN167" s="10"/>
      <c r="CO167" s="10"/>
      <c r="CP167" s="10"/>
      <c r="CQ167" s="10"/>
      <c r="CR167" s="10"/>
      <c r="CS167" s="10"/>
      <c r="CT167" s="10"/>
      <c r="CU167" s="10"/>
    </row>
    <row r="168" spans="81:99">
      <c r="CC168" s="10"/>
      <c r="CD168" s="10"/>
      <c r="CE168" s="10"/>
      <c r="CF168" s="10"/>
      <c r="CG168" s="10"/>
      <c r="CH168" s="10"/>
      <c r="CI168" s="10"/>
      <c r="CJ168" s="10"/>
      <c r="CK168" s="10"/>
      <c r="CL168" s="10"/>
      <c r="CM168" s="10"/>
      <c r="CN168" s="10"/>
      <c r="CO168" s="10"/>
      <c r="CP168" s="10"/>
      <c r="CQ168" s="10"/>
      <c r="CR168" s="10"/>
      <c r="CS168" s="10"/>
      <c r="CT168" s="10"/>
      <c r="CU168" s="10"/>
    </row>
    <row r="169" spans="81:99">
      <c r="CC169" s="10"/>
      <c r="CD169" s="10"/>
      <c r="CE169" s="10"/>
      <c r="CF169" s="10"/>
      <c r="CG169" s="10"/>
      <c r="CH169" s="10"/>
      <c r="CI169" s="10"/>
      <c r="CJ169" s="10"/>
      <c r="CK169" s="10"/>
      <c r="CL169" s="10"/>
      <c r="CM169" s="10"/>
      <c r="CN169" s="10"/>
      <c r="CO169" s="10"/>
      <c r="CP169" s="10"/>
      <c r="CQ169" s="10"/>
      <c r="CR169" s="10"/>
      <c r="CS169" s="10"/>
      <c r="CT169" s="10"/>
      <c r="CU169" s="10"/>
    </row>
    <row r="170" spans="81:99">
      <c r="CC170" s="10"/>
      <c r="CD170" s="10"/>
      <c r="CE170" s="10"/>
      <c r="CF170" s="10"/>
      <c r="CG170" s="10"/>
      <c r="CH170" s="10"/>
      <c r="CI170" s="10"/>
      <c r="CJ170" s="10"/>
      <c r="CK170" s="10"/>
      <c r="CL170" s="10"/>
      <c r="CM170" s="10"/>
      <c r="CN170" s="10"/>
      <c r="CO170" s="10"/>
      <c r="CP170" s="10"/>
      <c r="CQ170" s="10"/>
      <c r="CR170" s="10"/>
      <c r="CS170" s="10"/>
      <c r="CT170" s="10"/>
      <c r="CU170" s="10"/>
    </row>
    <row r="171" spans="81:99">
      <c r="CC171" s="10"/>
      <c r="CD171" s="10"/>
      <c r="CE171" s="10"/>
      <c r="CF171" s="10"/>
      <c r="CG171" s="10"/>
      <c r="CH171" s="10"/>
      <c r="CI171" s="10"/>
      <c r="CJ171" s="10"/>
      <c r="CK171" s="10"/>
      <c r="CL171" s="10"/>
      <c r="CM171" s="10"/>
      <c r="CN171" s="10"/>
      <c r="CO171" s="10"/>
      <c r="CP171" s="10"/>
      <c r="CQ171" s="10"/>
      <c r="CR171" s="10"/>
      <c r="CS171" s="10"/>
      <c r="CT171" s="10"/>
      <c r="CU171" s="10"/>
    </row>
    <row r="172" spans="81:99">
      <c r="CC172" s="10"/>
      <c r="CD172" s="10"/>
      <c r="CE172" s="10"/>
      <c r="CF172" s="10"/>
      <c r="CG172" s="10"/>
      <c r="CH172" s="10"/>
      <c r="CI172" s="10"/>
      <c r="CJ172" s="10"/>
      <c r="CK172" s="10"/>
      <c r="CL172" s="10"/>
      <c r="CM172" s="10"/>
      <c r="CN172" s="10"/>
      <c r="CO172" s="10"/>
      <c r="CP172" s="10"/>
      <c r="CQ172" s="10"/>
      <c r="CR172" s="10"/>
      <c r="CS172" s="10"/>
      <c r="CT172" s="10"/>
      <c r="CU172" s="10"/>
    </row>
    <row r="173" spans="81:99">
      <c r="CC173" s="10"/>
      <c r="CD173" s="10"/>
      <c r="CE173" s="10"/>
      <c r="CF173" s="10"/>
      <c r="CG173" s="10"/>
      <c r="CH173" s="10"/>
      <c r="CI173" s="10"/>
      <c r="CJ173" s="10"/>
      <c r="CK173" s="10"/>
      <c r="CL173" s="10"/>
      <c r="CM173" s="10"/>
      <c r="CN173" s="10"/>
      <c r="CO173" s="10"/>
      <c r="CP173" s="10"/>
      <c r="CQ173" s="10"/>
      <c r="CR173" s="10"/>
      <c r="CS173" s="10"/>
      <c r="CT173" s="10"/>
      <c r="CU173" s="10"/>
    </row>
    <row r="174" spans="81:99">
      <c r="CC174" s="10"/>
      <c r="CD174" s="10"/>
      <c r="CE174" s="10"/>
      <c r="CF174" s="10"/>
      <c r="CG174" s="10"/>
      <c r="CH174" s="10"/>
      <c r="CI174" s="10"/>
      <c r="CJ174" s="10"/>
      <c r="CK174" s="10"/>
      <c r="CL174" s="10"/>
      <c r="CM174" s="10"/>
      <c r="CN174" s="10"/>
      <c r="CO174" s="10"/>
      <c r="CP174" s="10"/>
      <c r="CQ174" s="10"/>
      <c r="CR174" s="10"/>
      <c r="CS174" s="10"/>
      <c r="CT174" s="10"/>
      <c r="CU174" s="10"/>
    </row>
    <row r="175" spans="81:99">
      <c r="CC175" s="10"/>
      <c r="CD175" s="10"/>
      <c r="CE175" s="10"/>
      <c r="CF175" s="10"/>
      <c r="CG175" s="10"/>
      <c r="CH175" s="10"/>
      <c r="CI175" s="10"/>
      <c r="CJ175" s="10"/>
      <c r="CK175" s="10"/>
      <c r="CL175" s="10"/>
      <c r="CM175" s="10"/>
      <c r="CN175" s="10"/>
      <c r="CO175" s="10"/>
      <c r="CP175" s="10"/>
      <c r="CQ175" s="10"/>
      <c r="CR175" s="10"/>
      <c r="CS175" s="10"/>
      <c r="CT175" s="10"/>
      <c r="CU175" s="10"/>
    </row>
    <row r="176" spans="81:99">
      <c r="CC176" s="10"/>
      <c r="CD176" s="10"/>
      <c r="CE176" s="10"/>
      <c r="CF176" s="10"/>
      <c r="CG176" s="10"/>
      <c r="CH176" s="10"/>
      <c r="CI176" s="10"/>
      <c r="CJ176" s="10"/>
      <c r="CK176" s="10"/>
      <c r="CL176" s="10"/>
      <c r="CM176" s="10"/>
      <c r="CN176" s="10"/>
      <c r="CO176" s="10"/>
      <c r="CP176" s="10"/>
      <c r="CQ176" s="10"/>
      <c r="CR176" s="10"/>
      <c r="CS176" s="10"/>
      <c r="CT176" s="10"/>
      <c r="CU176" s="10"/>
    </row>
    <row r="177" spans="81:100">
      <c r="CC177" s="10"/>
      <c r="CD177" s="10"/>
      <c r="CE177" s="10"/>
      <c r="CF177" s="10"/>
      <c r="CG177" s="10"/>
      <c r="CH177" s="10"/>
      <c r="CI177" s="10"/>
      <c r="CJ177" s="10"/>
      <c r="CK177" s="10"/>
      <c r="CL177" s="10"/>
      <c r="CM177" s="10"/>
      <c r="CN177" s="10"/>
      <c r="CO177" s="10"/>
      <c r="CP177" s="10"/>
      <c r="CQ177" s="10"/>
      <c r="CR177" s="10"/>
      <c r="CS177" s="10"/>
      <c r="CT177" s="10"/>
      <c r="CU177" s="10"/>
    </row>
    <row r="178" spans="81:100">
      <c r="CC178" s="10"/>
      <c r="CD178" s="10"/>
      <c r="CE178" s="10"/>
      <c r="CF178" s="10"/>
      <c r="CG178" s="10"/>
      <c r="CH178" s="10"/>
      <c r="CI178" s="10"/>
      <c r="CJ178" s="10"/>
      <c r="CK178" s="10"/>
      <c r="CL178" s="10"/>
      <c r="CM178" s="10"/>
      <c r="CN178" s="10"/>
      <c r="CO178" s="10"/>
      <c r="CP178" s="10"/>
      <c r="CQ178" s="10"/>
      <c r="CR178" s="10"/>
      <c r="CS178" s="10"/>
      <c r="CT178" s="10"/>
      <c r="CU178" s="10"/>
    </row>
    <row r="179" spans="81:100">
      <c r="CC179" s="10"/>
      <c r="CD179" s="10"/>
      <c r="CE179" s="10"/>
      <c r="CF179" s="10"/>
      <c r="CG179" s="10"/>
      <c r="CH179" s="10"/>
      <c r="CI179" s="10"/>
      <c r="CJ179" s="10"/>
      <c r="CK179" s="10"/>
      <c r="CL179" s="10"/>
      <c r="CM179" s="10"/>
      <c r="CN179" s="10"/>
      <c r="CO179" s="10"/>
      <c r="CP179" s="10"/>
      <c r="CQ179" s="10"/>
      <c r="CR179" s="10"/>
      <c r="CS179" s="10"/>
      <c r="CT179" s="10"/>
      <c r="CU179" s="10"/>
    </row>
    <row r="180" spans="81:100">
      <c r="CC180" s="10"/>
      <c r="CD180" s="10"/>
      <c r="CE180" s="10"/>
      <c r="CF180" s="10"/>
      <c r="CG180" s="10"/>
      <c r="CH180" s="10"/>
      <c r="CI180" s="10"/>
      <c r="CJ180" s="10"/>
      <c r="CK180" s="10"/>
      <c r="CL180" s="10"/>
      <c r="CM180" s="10"/>
      <c r="CN180" s="10"/>
      <c r="CO180" s="10"/>
      <c r="CP180" s="10"/>
      <c r="CQ180" s="10"/>
      <c r="CR180" s="10"/>
      <c r="CS180" s="10"/>
      <c r="CT180" s="10"/>
      <c r="CU180" s="10"/>
    </row>
    <row r="181" spans="81:100">
      <c r="CC181" s="10"/>
      <c r="CD181" s="10"/>
      <c r="CE181" s="10"/>
      <c r="CF181" s="10"/>
      <c r="CG181" s="10"/>
      <c r="CH181" s="10"/>
      <c r="CI181" s="10"/>
      <c r="CJ181" s="10"/>
      <c r="CK181" s="10"/>
      <c r="CL181" s="10"/>
      <c r="CM181" s="10"/>
      <c r="CN181" s="10"/>
      <c r="CO181" s="10"/>
      <c r="CP181" s="10"/>
      <c r="CQ181" s="10"/>
      <c r="CR181" s="10"/>
      <c r="CS181" s="10"/>
      <c r="CT181" s="10"/>
      <c r="CU181" s="10"/>
    </row>
    <row r="182" spans="81:100">
      <c r="CC182" s="10"/>
      <c r="CD182" s="10"/>
      <c r="CE182" s="10"/>
      <c r="CF182" s="10"/>
      <c r="CG182" s="10"/>
      <c r="CH182" s="10"/>
      <c r="CI182" s="10"/>
      <c r="CJ182" s="10"/>
      <c r="CK182" s="10"/>
      <c r="CL182" s="10"/>
      <c r="CM182" s="10"/>
      <c r="CN182" s="10"/>
      <c r="CO182" s="10"/>
      <c r="CP182" s="10"/>
      <c r="CQ182" s="10"/>
      <c r="CR182" s="10"/>
      <c r="CS182" s="10"/>
      <c r="CT182" s="10"/>
      <c r="CU182" s="10"/>
    </row>
    <row r="183" spans="81:100">
      <c r="CV183" s="15"/>
    </row>
    <row r="184" spans="81:100">
      <c r="CV184" s="15"/>
    </row>
  </sheetData>
  <sortState xmlns:xlrd2="http://schemas.microsoft.com/office/spreadsheetml/2017/richdata2" ref="A2:CW104">
    <sortCondition ref="D2:D104"/>
    <sortCondition ref="A2:A104"/>
  </sortState>
  <pageMargins left="0.75" right="0.75" top="1" bottom="1" header="0.5" footer="0.5"/>
  <pageSetup orientation="portrait" horizontalDpi="300" verticalDpi="300" r:id="rId1"/>
  <headerFooter alignWithMargins="0"/>
  <ignoredErrors>
    <ignoredError sqref="BZ4 AM6"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E84B-1CAE-454F-9211-800107F42FC0}">
  <sheetPr>
    <tabColor rgb="FFFFC000"/>
  </sheetPr>
  <dimension ref="A1:C122"/>
  <sheetViews>
    <sheetView tabSelected="1" workbookViewId="0">
      <selection activeCell="N12" sqref="N12"/>
    </sheetView>
  </sheetViews>
  <sheetFormatPr defaultRowHeight="12.75"/>
  <sheetData>
    <row r="1" spans="1:3">
      <c r="A1" t="s">
        <v>375</v>
      </c>
    </row>
    <row r="3" spans="1:3">
      <c r="A3" t="s">
        <v>376</v>
      </c>
    </row>
    <row r="4" spans="1:3">
      <c r="A4" t="s">
        <v>377</v>
      </c>
    </row>
    <row r="5" spans="1:3">
      <c r="A5" t="s">
        <v>378</v>
      </c>
    </row>
    <row r="6" spans="1:3">
      <c r="A6" t="s">
        <v>379</v>
      </c>
    </row>
    <row r="7" spans="1:3">
      <c r="A7" t="s">
        <v>380</v>
      </c>
    </row>
    <row r="8" spans="1:3">
      <c r="A8" t="s">
        <v>381</v>
      </c>
    </row>
    <row r="9" spans="1:3">
      <c r="A9" t="s">
        <v>382</v>
      </c>
    </row>
    <row r="10" spans="1:3">
      <c r="A10" t="s">
        <v>196</v>
      </c>
      <c r="B10" t="s">
        <v>98</v>
      </c>
      <c r="C10" t="s">
        <v>383</v>
      </c>
    </row>
    <row r="11" spans="1:3">
      <c r="A11" t="s">
        <v>384</v>
      </c>
    </row>
    <row r="13" spans="1:3">
      <c r="A13" t="s">
        <v>296</v>
      </c>
      <c r="B13" t="s">
        <v>290</v>
      </c>
      <c r="C13" t="s">
        <v>385</v>
      </c>
    </row>
    <row r="14" spans="1:3">
      <c r="A14" t="s">
        <v>326</v>
      </c>
      <c r="B14" t="s">
        <v>290</v>
      </c>
      <c r="C14" t="s">
        <v>386</v>
      </c>
    </row>
    <row r="15" spans="1:3">
      <c r="A15" t="s">
        <v>209</v>
      </c>
      <c r="B15" t="s">
        <v>98</v>
      </c>
      <c r="C15" t="s">
        <v>387</v>
      </c>
    </row>
    <row r="16" spans="1:3">
      <c r="A16" t="s">
        <v>224</v>
      </c>
      <c r="B16" t="s">
        <v>98</v>
      </c>
      <c r="C16" t="s">
        <v>388</v>
      </c>
    </row>
    <row r="17" spans="1:3">
      <c r="A17" t="s">
        <v>230</v>
      </c>
      <c r="B17" t="s">
        <v>98</v>
      </c>
      <c r="C17" t="s">
        <v>389</v>
      </c>
    </row>
    <row r="18" spans="1:3">
      <c r="A18" t="s">
        <v>107</v>
      </c>
      <c r="B18" t="s">
        <v>98</v>
      </c>
      <c r="C18" t="s">
        <v>390</v>
      </c>
    </row>
    <row r="19" spans="1:3">
      <c r="A19" t="s">
        <v>107</v>
      </c>
      <c r="B19" t="s">
        <v>290</v>
      </c>
      <c r="C19" t="s">
        <v>391</v>
      </c>
    </row>
    <row r="21" spans="1:3">
      <c r="A21" t="s">
        <v>125</v>
      </c>
      <c r="B21" t="s">
        <v>98</v>
      </c>
      <c r="C21" t="s">
        <v>392</v>
      </c>
    </row>
    <row r="22" spans="1:3">
      <c r="A22" t="s">
        <v>125</v>
      </c>
      <c r="B22" t="s">
        <v>290</v>
      </c>
      <c r="C22" t="s">
        <v>393</v>
      </c>
    </row>
    <row r="23" spans="1:3">
      <c r="A23" t="s">
        <v>129</v>
      </c>
      <c r="B23" t="s">
        <v>98</v>
      </c>
      <c r="C23" t="s">
        <v>394</v>
      </c>
    </row>
    <row r="24" spans="1:3">
      <c r="A24" t="s">
        <v>129</v>
      </c>
      <c r="B24" t="s">
        <v>290</v>
      </c>
      <c r="C24" t="s">
        <v>395</v>
      </c>
    </row>
    <row r="25" spans="1:3">
      <c r="A25" t="s">
        <v>136</v>
      </c>
      <c r="B25" t="s">
        <v>98</v>
      </c>
      <c r="C25" t="s">
        <v>396</v>
      </c>
    </row>
    <row r="26" spans="1:3">
      <c r="A26" t="s">
        <v>136</v>
      </c>
      <c r="B26" t="s">
        <v>290</v>
      </c>
      <c r="C26" t="s">
        <v>397</v>
      </c>
    </row>
    <row r="27" spans="1:3">
      <c r="A27" t="s">
        <v>398</v>
      </c>
      <c r="B27" t="s">
        <v>98</v>
      </c>
      <c r="C27" t="s">
        <v>390</v>
      </c>
    </row>
    <row r="28" spans="1:3">
      <c r="A28" t="s">
        <v>398</v>
      </c>
      <c r="B28" t="s">
        <v>290</v>
      </c>
      <c r="C28" t="s">
        <v>390</v>
      </c>
    </row>
    <row r="29" spans="1:3">
      <c r="A29" t="s">
        <v>140</v>
      </c>
      <c r="B29" t="s">
        <v>98</v>
      </c>
      <c r="C29" t="s">
        <v>399</v>
      </c>
    </row>
    <row r="30" spans="1:3">
      <c r="A30" t="s">
        <v>296</v>
      </c>
      <c r="B30" t="s">
        <v>290</v>
      </c>
      <c r="C30" t="s">
        <v>400</v>
      </c>
    </row>
    <row r="31" spans="1:3">
      <c r="A31" t="s">
        <v>144</v>
      </c>
      <c r="B31" t="s">
        <v>98</v>
      </c>
      <c r="C31" t="s">
        <v>390</v>
      </c>
    </row>
    <row r="32" spans="1:3">
      <c r="A32" t="s">
        <v>144</v>
      </c>
      <c r="B32" t="s">
        <v>290</v>
      </c>
      <c r="C32" t="s">
        <v>390</v>
      </c>
    </row>
    <row r="33" spans="1:3">
      <c r="A33" t="s">
        <v>148</v>
      </c>
      <c r="B33" t="s">
        <v>98</v>
      </c>
      <c r="C33" t="s">
        <v>390</v>
      </c>
    </row>
    <row r="34" spans="1:3">
      <c r="A34" t="s">
        <v>148</v>
      </c>
      <c r="B34" t="s">
        <v>290</v>
      </c>
      <c r="C34" t="s">
        <v>390</v>
      </c>
    </row>
    <row r="35" spans="1:3">
      <c r="A35" t="s">
        <v>153</v>
      </c>
      <c r="B35" t="s">
        <v>98</v>
      </c>
      <c r="C35" t="s">
        <v>390</v>
      </c>
    </row>
    <row r="36" spans="1:3">
      <c r="A36" t="s">
        <v>153</v>
      </c>
      <c r="B36" t="s">
        <v>290</v>
      </c>
      <c r="C36" t="s">
        <v>401</v>
      </c>
    </row>
    <row r="37" spans="1:3">
      <c r="A37" t="s">
        <v>157</v>
      </c>
      <c r="B37" t="s">
        <v>98</v>
      </c>
      <c r="C37" t="s">
        <v>390</v>
      </c>
    </row>
    <row r="38" spans="1:3">
      <c r="A38" t="s">
        <v>157</v>
      </c>
      <c r="B38" t="s">
        <v>290</v>
      </c>
      <c r="C38" t="s">
        <v>390</v>
      </c>
    </row>
    <row r="39" spans="1:3">
      <c r="A39" t="s">
        <v>159</v>
      </c>
      <c r="B39" t="s">
        <v>98</v>
      </c>
      <c r="C39" t="s">
        <v>390</v>
      </c>
    </row>
    <row r="40" spans="1:3">
      <c r="A40" t="s">
        <v>159</v>
      </c>
      <c r="B40" t="s">
        <v>290</v>
      </c>
      <c r="C40" t="s">
        <v>390</v>
      </c>
    </row>
    <row r="41" spans="1:3">
      <c r="A41" t="s">
        <v>167</v>
      </c>
      <c r="B41" t="s">
        <v>98</v>
      </c>
      <c r="C41" t="s">
        <v>402</v>
      </c>
    </row>
    <row r="42" spans="1:3">
      <c r="A42" t="s">
        <v>167</v>
      </c>
      <c r="B42" t="s">
        <v>290</v>
      </c>
      <c r="C42" t="s">
        <v>403</v>
      </c>
    </row>
    <row r="43" spans="1:3">
      <c r="A43" t="s">
        <v>312</v>
      </c>
      <c r="B43" t="s">
        <v>290</v>
      </c>
      <c r="C43" t="s">
        <v>404</v>
      </c>
    </row>
    <row r="44" spans="1:3">
      <c r="A44" t="s">
        <v>177</v>
      </c>
      <c r="B44" t="s">
        <v>98</v>
      </c>
      <c r="C44" t="s">
        <v>390</v>
      </c>
    </row>
    <row r="45" spans="1:3">
      <c r="A45" t="s">
        <v>177</v>
      </c>
      <c r="B45" t="s">
        <v>290</v>
      </c>
      <c r="C45" t="s">
        <v>405</v>
      </c>
    </row>
    <row r="46" spans="1:3">
      <c r="A46" t="s">
        <v>318</v>
      </c>
      <c r="B46" t="s">
        <v>290</v>
      </c>
      <c r="C46" t="s">
        <v>406</v>
      </c>
    </row>
    <row r="47" spans="1:3">
      <c r="A47" t="s">
        <v>321</v>
      </c>
      <c r="B47" t="s">
        <v>290</v>
      </c>
      <c r="C47" t="s">
        <v>407</v>
      </c>
    </row>
    <row r="48" spans="1:3">
      <c r="A48" t="s">
        <v>321</v>
      </c>
      <c r="B48" t="s">
        <v>98</v>
      </c>
      <c r="C48" t="s">
        <v>408</v>
      </c>
    </row>
    <row r="49" spans="1:3">
      <c r="A49" t="s">
        <v>339</v>
      </c>
      <c r="B49" t="s">
        <v>290</v>
      </c>
      <c r="C49" t="s">
        <v>409</v>
      </c>
    </row>
    <row r="50" spans="1:3">
      <c r="A50" t="s">
        <v>339</v>
      </c>
      <c r="B50" t="s">
        <v>98</v>
      </c>
      <c r="C50" t="s">
        <v>410</v>
      </c>
    </row>
    <row r="51" spans="1:3">
      <c r="A51" t="s">
        <v>196</v>
      </c>
      <c r="B51" t="s">
        <v>98</v>
      </c>
      <c r="C51" t="s">
        <v>390</v>
      </c>
    </row>
    <row r="52" spans="1:3">
      <c r="A52" t="s">
        <v>196</v>
      </c>
      <c r="B52" t="s">
        <v>290</v>
      </c>
      <c r="C52" t="s">
        <v>390</v>
      </c>
    </row>
    <row r="53" spans="1:3">
      <c r="A53" t="s">
        <v>199</v>
      </c>
      <c r="B53" t="s">
        <v>98</v>
      </c>
      <c r="C53" t="s">
        <v>390</v>
      </c>
    </row>
    <row r="54" spans="1:3">
      <c r="A54" t="s">
        <v>199</v>
      </c>
      <c r="B54" t="s">
        <v>290</v>
      </c>
      <c r="C54" t="s">
        <v>390</v>
      </c>
    </row>
    <row r="55" spans="1:3">
      <c r="A55" t="s">
        <v>203</v>
      </c>
      <c r="B55" t="s">
        <v>98</v>
      </c>
      <c r="C55" t="s">
        <v>411</v>
      </c>
    </row>
    <row r="56" spans="1:3">
      <c r="A56" t="s">
        <v>203</v>
      </c>
      <c r="B56" t="s">
        <v>290</v>
      </c>
      <c r="C56" t="s">
        <v>412</v>
      </c>
    </row>
    <row r="57" spans="1:3">
      <c r="A57" t="s">
        <v>211</v>
      </c>
      <c r="B57" t="s">
        <v>98</v>
      </c>
      <c r="C57" t="s">
        <v>413</v>
      </c>
    </row>
    <row r="58" spans="1:3">
      <c r="A58" t="s">
        <v>211</v>
      </c>
      <c r="B58" t="s">
        <v>290</v>
      </c>
      <c r="C58" t="s">
        <v>414</v>
      </c>
    </row>
    <row r="59" spans="1:3">
      <c r="A59" t="s">
        <v>222</v>
      </c>
      <c r="B59" t="s">
        <v>98</v>
      </c>
      <c r="C59" t="s">
        <v>415</v>
      </c>
    </row>
    <row r="60" spans="1:3">
      <c r="A60" t="s">
        <v>222</v>
      </c>
      <c r="B60" t="s">
        <v>290</v>
      </c>
      <c r="C60" t="s">
        <v>416</v>
      </c>
    </row>
    <row r="61" spans="1:3">
      <c r="A61" t="s">
        <v>353</v>
      </c>
      <c r="B61" t="s">
        <v>290</v>
      </c>
      <c r="C61" t="s">
        <v>390</v>
      </c>
    </row>
    <row r="62" spans="1:3">
      <c r="A62" t="s">
        <v>243</v>
      </c>
      <c r="B62" t="s">
        <v>98</v>
      </c>
      <c r="C62" t="s">
        <v>417</v>
      </c>
    </row>
    <row r="63" spans="1:3">
      <c r="A63" t="s">
        <v>243</v>
      </c>
      <c r="B63" t="s">
        <v>290</v>
      </c>
      <c r="C63" t="s">
        <v>417</v>
      </c>
    </row>
    <row r="64" spans="1:3">
      <c r="A64" t="s">
        <v>257</v>
      </c>
      <c r="B64" t="s">
        <v>98</v>
      </c>
      <c r="C64" t="s">
        <v>390</v>
      </c>
    </row>
    <row r="65" spans="1:3">
      <c r="A65" t="s">
        <v>257</v>
      </c>
      <c r="B65" t="s">
        <v>290</v>
      </c>
      <c r="C65" t="s">
        <v>390</v>
      </c>
    </row>
    <row r="66" spans="1:3">
      <c r="A66" t="s">
        <v>262</v>
      </c>
      <c r="B66" t="s">
        <v>98</v>
      </c>
      <c r="C66" t="s">
        <v>390</v>
      </c>
    </row>
    <row r="67" spans="1:3">
      <c r="A67" t="s">
        <v>262</v>
      </c>
      <c r="B67" t="s">
        <v>290</v>
      </c>
      <c r="C67" t="s">
        <v>390</v>
      </c>
    </row>
    <row r="68" spans="1:3">
      <c r="A68" t="s">
        <v>265</v>
      </c>
      <c r="B68" t="s">
        <v>98</v>
      </c>
      <c r="C68" t="s">
        <v>418</v>
      </c>
    </row>
    <row r="69" spans="1:3">
      <c r="A69" t="s">
        <v>265</v>
      </c>
      <c r="B69" t="s">
        <v>290</v>
      </c>
      <c r="C69" t="s">
        <v>418</v>
      </c>
    </row>
    <row r="70" spans="1:3">
      <c r="A70" t="s">
        <v>270</v>
      </c>
      <c r="B70" t="s">
        <v>98</v>
      </c>
      <c r="C70" t="s">
        <v>390</v>
      </c>
    </row>
    <row r="71" spans="1:3">
      <c r="A71" t="s">
        <v>270</v>
      </c>
      <c r="B71" t="s">
        <v>290</v>
      </c>
      <c r="C71" t="s">
        <v>390</v>
      </c>
    </row>
    <row r="72" spans="1:3">
      <c r="A72" t="s">
        <v>273</v>
      </c>
      <c r="B72" t="s">
        <v>98</v>
      </c>
      <c r="C72" t="s">
        <v>419</v>
      </c>
    </row>
    <row r="73" spans="1:3">
      <c r="A73" t="s">
        <v>273</v>
      </c>
      <c r="B73" t="s">
        <v>290</v>
      </c>
      <c r="C73" t="s">
        <v>390</v>
      </c>
    </row>
    <row r="74" spans="1:3">
      <c r="A74" t="s">
        <v>275</v>
      </c>
      <c r="B74" t="s">
        <v>98</v>
      </c>
      <c r="C74" t="s">
        <v>390</v>
      </c>
    </row>
    <row r="75" spans="1:3">
      <c r="A75" t="s">
        <v>275</v>
      </c>
      <c r="B75" t="s">
        <v>290</v>
      </c>
      <c r="C75" t="s">
        <v>390</v>
      </c>
    </row>
    <row r="76" spans="1:3">
      <c r="A76" t="s">
        <v>284</v>
      </c>
      <c r="B76" t="s">
        <v>98</v>
      </c>
      <c r="C76" t="s">
        <v>420</v>
      </c>
    </row>
    <row r="77" spans="1:3">
      <c r="A77" t="s">
        <v>284</v>
      </c>
      <c r="B77" t="s">
        <v>290</v>
      </c>
      <c r="C77" t="s">
        <v>420</v>
      </c>
    </row>
    <row r="84" spans="1:3">
      <c r="A84" t="s">
        <v>421</v>
      </c>
    </row>
    <row r="86" spans="1:3">
      <c r="A86" t="s">
        <v>96</v>
      </c>
      <c r="B86" t="s">
        <v>290</v>
      </c>
      <c r="C86" t="s">
        <v>422</v>
      </c>
    </row>
    <row r="87" spans="1:3">
      <c r="A87" t="s">
        <v>125</v>
      </c>
      <c r="B87" t="s">
        <v>98</v>
      </c>
      <c r="C87" t="s">
        <v>423</v>
      </c>
    </row>
    <row r="88" spans="1:3">
      <c r="A88" t="s">
        <v>129</v>
      </c>
      <c r="B88" t="s">
        <v>98</v>
      </c>
      <c r="C88" t="s">
        <v>424</v>
      </c>
    </row>
    <row r="89" spans="1:3">
      <c r="A89" t="s">
        <v>129</v>
      </c>
      <c r="B89" t="s">
        <v>290</v>
      </c>
      <c r="C89" t="s">
        <v>425</v>
      </c>
    </row>
    <row r="90" spans="1:3">
      <c r="A90" t="s">
        <v>144</v>
      </c>
      <c r="B90" t="s">
        <v>290</v>
      </c>
      <c r="C90" t="s">
        <v>426</v>
      </c>
    </row>
    <row r="91" spans="1:3">
      <c r="A91" t="s">
        <v>148</v>
      </c>
      <c r="B91" t="s">
        <v>290</v>
      </c>
      <c r="C91" t="s">
        <v>426</v>
      </c>
    </row>
    <row r="92" spans="1:3">
      <c r="A92" t="s">
        <v>153</v>
      </c>
      <c r="B92" t="s">
        <v>290</v>
      </c>
      <c r="C92" t="s">
        <v>426</v>
      </c>
    </row>
    <row r="93" spans="1:3">
      <c r="A93" t="s">
        <v>321</v>
      </c>
      <c r="B93" t="s">
        <v>290</v>
      </c>
      <c r="C93" t="s">
        <v>426</v>
      </c>
    </row>
    <row r="94" spans="1:3">
      <c r="A94" t="s">
        <v>427</v>
      </c>
      <c r="B94" t="s">
        <v>290</v>
      </c>
      <c r="C94" t="s">
        <v>428</v>
      </c>
    </row>
    <row r="95" spans="1:3">
      <c r="A95" t="s">
        <v>249</v>
      </c>
      <c r="B95" t="s">
        <v>290</v>
      </c>
      <c r="C95" t="s">
        <v>390</v>
      </c>
    </row>
    <row r="96" spans="1:3">
      <c r="A96" t="s">
        <v>257</v>
      </c>
      <c r="B96" t="s">
        <v>290</v>
      </c>
      <c r="C96" t="s">
        <v>390</v>
      </c>
    </row>
    <row r="98" spans="1:3">
      <c r="A98" t="s">
        <v>262</v>
      </c>
      <c r="B98" t="s">
        <v>290</v>
      </c>
      <c r="C98" t="s">
        <v>429</v>
      </c>
    </row>
    <row r="99" spans="1:3">
      <c r="A99" t="s">
        <v>265</v>
      </c>
      <c r="B99" t="s">
        <v>290</v>
      </c>
      <c r="C99" t="s">
        <v>430</v>
      </c>
    </row>
    <row r="100" spans="1:3">
      <c r="A100" t="s">
        <v>270</v>
      </c>
      <c r="B100" t="s">
        <v>290</v>
      </c>
      <c r="C100" t="s">
        <v>390</v>
      </c>
    </row>
    <row r="101" spans="1:3">
      <c r="A101" t="s">
        <v>273</v>
      </c>
      <c r="B101" t="s">
        <v>290</v>
      </c>
      <c r="C101" t="s">
        <v>390</v>
      </c>
    </row>
    <row r="102" spans="1:3">
      <c r="A102" t="s">
        <v>275</v>
      </c>
      <c r="B102" t="s">
        <v>290</v>
      </c>
      <c r="C102" t="s">
        <v>390</v>
      </c>
    </row>
    <row r="103" spans="1:3">
      <c r="A103" t="s">
        <v>284</v>
      </c>
      <c r="B103" t="s">
        <v>290</v>
      </c>
      <c r="C103" t="s">
        <v>390</v>
      </c>
    </row>
    <row r="106" spans="1:3">
      <c r="A106" t="s">
        <v>431</v>
      </c>
    </row>
    <row r="108" spans="1:3">
      <c r="A108" t="s">
        <v>432</v>
      </c>
    </row>
    <row r="109" spans="1:3">
      <c r="A109" t="s">
        <v>433</v>
      </c>
    </row>
    <row r="111" spans="1:3">
      <c r="A111">
        <v>1</v>
      </c>
      <c r="B111" t="s">
        <v>434</v>
      </c>
    </row>
    <row r="112" spans="1:3">
      <c r="A112">
        <v>2</v>
      </c>
      <c r="B112" t="s">
        <v>435</v>
      </c>
    </row>
    <row r="113" spans="1:2">
      <c r="A113">
        <v>3</v>
      </c>
      <c r="B113" t="s">
        <v>436</v>
      </c>
    </row>
    <row r="114" spans="1:2">
      <c r="A114">
        <v>4</v>
      </c>
      <c r="B114" t="s">
        <v>437</v>
      </c>
    </row>
    <row r="116" spans="1:2">
      <c r="A116" t="s">
        <v>438</v>
      </c>
    </row>
    <row r="118" spans="1:2">
      <c r="A118">
        <v>1</v>
      </c>
      <c r="B118" t="s">
        <v>439</v>
      </c>
    </row>
    <row r="119" spans="1:2">
      <c r="A119">
        <v>2</v>
      </c>
      <c r="B119" t="s">
        <v>440</v>
      </c>
    </row>
    <row r="120" spans="1:2">
      <c r="A120">
        <v>3</v>
      </c>
      <c r="B120" t="s">
        <v>441</v>
      </c>
    </row>
    <row r="121" spans="1:2">
      <c r="A121">
        <v>4</v>
      </c>
      <c r="B121" t="s">
        <v>442</v>
      </c>
    </row>
    <row r="122" spans="1:2">
      <c r="A122">
        <v>5</v>
      </c>
      <c r="B122" t="s">
        <v>443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FB1709853CD43B91324E659FEEF62" ma:contentTypeVersion="7" ma:contentTypeDescription="Create a new document." ma:contentTypeScope="" ma:versionID="082593f6b6f6206fb1e4fe80b252da9d">
  <xsd:schema xmlns:xsd="http://www.w3.org/2001/XMLSchema" xmlns:xs="http://www.w3.org/2001/XMLSchema" xmlns:p="http://schemas.microsoft.com/office/2006/metadata/properties" xmlns:ns2="788082fb-7626-49ef-aa8e-0731b956fb76" xmlns:ns3="e4d25d94-d5d1-4532-a045-2bc090e53b49" targetNamespace="http://schemas.microsoft.com/office/2006/metadata/properties" ma:root="true" ma:fieldsID="5f03b12f1dbe366df101f2a19988aa5b" ns2:_="" ns3:_="">
    <xsd:import namespace="788082fb-7626-49ef-aa8e-0731b956fb76"/>
    <xsd:import namespace="e4d25d94-d5d1-4532-a045-2bc090e53b49"/>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082fb-7626-49ef-aa8e-0731b956fb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d25d94-d5d1-4532-a045-2bc090e53b4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BE8CFF-331E-4D89-B7FE-AEAF2AF19595}"/>
</file>

<file path=customXml/itemProps2.xml><?xml version="1.0" encoding="utf-8"?>
<ds:datastoreItem xmlns:ds="http://schemas.openxmlformats.org/officeDocument/2006/customXml" ds:itemID="{DC290C53-F7D6-428E-8085-560F9BF9A99C}"/>
</file>

<file path=customXml/itemProps3.xml><?xml version="1.0" encoding="utf-8"?>
<ds:datastoreItem xmlns:ds="http://schemas.openxmlformats.org/officeDocument/2006/customXml" ds:itemID="{69587926-A842-4C7B-9AF9-F31E2D5DBE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Raya Ahmed</dc:creator>
  <cp:keywords/>
  <dc:description/>
  <cp:lastModifiedBy/>
  <cp:revision/>
  <dcterms:created xsi:type="dcterms:W3CDTF">2018-02-20T15:20:20Z</dcterms:created>
  <dcterms:modified xsi:type="dcterms:W3CDTF">2019-09-25T12:57:19Z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0x010100B01FB1709853CD43B91324E659FEEF62</vt:lpwstr>
  </property>
</Properties>
</file>