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E2DDAAE-475B-4580-996B-CAD45D65A6D6}" xr6:coauthVersionLast="46" xr6:coauthVersionMax="47" xr10:uidLastSave="{00000000-0000-0000-0000-000000000000}"/>
  <bookViews>
    <workbookView xWindow="1884" yWindow="1884" windowWidth="17280" windowHeight="9420" xr2:uid="{00000000-000D-0000-FFFF-FFFF00000000}"/>
  </bookViews>
  <sheets>
    <sheet name="Daily Purchases" sheetId="2" r:id="rId1"/>
    <sheet name="Daily Purchases for 20212022" sheetId="10" state="hidden" r:id="rId2"/>
  </sheets>
  <calcPr calcId="191029"/>
</workbook>
</file>

<file path=xl/calcChain.xml><?xml version="1.0" encoding="utf-8"?>
<calcChain xmlns="http://schemas.openxmlformats.org/spreadsheetml/2006/main">
  <c r="AM69" i="10" l="1"/>
  <c r="ER64" i="10"/>
  <c r="EQ64" i="10"/>
  <c r="EE64" i="10"/>
  <c r="EB64" i="10"/>
  <c r="CI64" i="10"/>
  <c r="BY64" i="10"/>
  <c r="BX64" i="10"/>
  <c r="BM64" i="10"/>
  <c r="BB64" i="10"/>
  <c r="AN64" i="10"/>
  <c r="CW63" i="10"/>
  <c r="CT63" i="10"/>
  <c r="BL63" i="10"/>
  <c r="BO63" i="10" s="1"/>
  <c r="BA63" i="10"/>
  <c r="BD63" i="10" s="1"/>
  <c r="ES62" i="10"/>
  <c r="EP62" i="10"/>
  <c r="EG62" i="10"/>
  <c r="ED62" i="10"/>
  <c r="DU62" i="10"/>
  <c r="DR62" i="10"/>
  <c r="DI62" i="10"/>
  <c r="DF62" i="10"/>
  <c r="CW62" i="10"/>
  <c r="CT62" i="10"/>
  <c r="CH62" i="10"/>
  <c r="CK62" i="10" s="1"/>
  <c r="BW62" i="10"/>
  <c r="BZ62" i="10" s="1"/>
  <c r="BL62" i="10"/>
  <c r="BO62" i="10" s="1"/>
  <c r="BD62" i="10"/>
  <c r="BA62" i="10"/>
  <c r="AS62" i="10"/>
  <c r="AP62" i="10"/>
  <c r="EP61" i="10"/>
  <c r="ED61" i="10"/>
  <c r="EG61" i="10" s="1"/>
  <c r="EA61" i="10"/>
  <c r="DU61" i="10"/>
  <c r="DR61" i="10"/>
  <c r="DE61" i="10"/>
  <c r="DD61" i="10"/>
  <c r="DC61" i="10"/>
  <c r="CT61" i="10"/>
  <c r="CG61" i="10"/>
  <c r="CG64" i="10" s="1"/>
  <c r="CF61" i="10"/>
  <c r="CF64" i="10" s="1"/>
  <c r="CE61" i="10"/>
  <c r="BW61" i="10"/>
  <c r="BZ61" i="10" s="1"/>
  <c r="BL61" i="10"/>
  <c r="BO61" i="10" s="1"/>
  <c r="BI61" i="10"/>
  <c r="AY61" i="10"/>
  <c r="AP61" i="10"/>
  <c r="AP64" i="10" s="1"/>
  <c r="AS65" i="10" s="1"/>
  <c r="AS66" i="10" s="1"/>
  <c r="DE60" i="10"/>
  <c r="DD60" i="10"/>
  <c r="DF60" i="10" s="1"/>
  <c r="DI60" i="10" s="1"/>
  <c r="DJ60" i="10" s="1"/>
  <c r="DC60" i="10"/>
  <c r="CH60" i="10"/>
  <c r="ER59" i="10"/>
  <c r="EQ59" i="10"/>
  <c r="EO59" i="10"/>
  <c r="EO64" i="10" s="1"/>
  <c r="EN59" i="10"/>
  <c r="EN64" i="10" s="1"/>
  <c r="EF59" i="10"/>
  <c r="EF64" i="10" s="1"/>
  <c r="EE59" i="10"/>
  <c r="EC59" i="10"/>
  <c r="EC64" i="10" s="1"/>
  <c r="EB59" i="10"/>
  <c r="DU59" i="10"/>
  <c r="DV59" i="10" s="1"/>
  <c r="DT59" i="10"/>
  <c r="DT64" i="10" s="1"/>
  <c r="DS59" i="10"/>
  <c r="DS64" i="10" s="1"/>
  <c r="DQ59" i="10"/>
  <c r="DQ64" i="10" s="1"/>
  <c r="DP59" i="10"/>
  <c r="DP64" i="10" s="1"/>
  <c r="DH59" i="10"/>
  <c r="DH64" i="10" s="1"/>
  <c r="DG59" i="10"/>
  <c r="DG64" i="10" s="1"/>
  <c r="DE59" i="10"/>
  <c r="DE64" i="10" s="1"/>
  <c r="DD59" i="10"/>
  <c r="CV59" i="10"/>
  <c r="CV64" i="10" s="1"/>
  <c r="CT59" i="10"/>
  <c r="CS59" i="10"/>
  <c r="CS64" i="10" s="1"/>
  <c r="CR59" i="10"/>
  <c r="CR64" i="10" s="1"/>
  <c r="CI59" i="10"/>
  <c r="CG59" i="10"/>
  <c r="CF59" i="10"/>
  <c r="BY59" i="10"/>
  <c r="BX59" i="10"/>
  <c r="BW59" i="10"/>
  <c r="BV59" i="10"/>
  <c r="BU59" i="10"/>
  <c r="BU64" i="10" s="1"/>
  <c r="BM59" i="10"/>
  <c r="BK59" i="10"/>
  <c r="BK64" i="10" s="1"/>
  <c r="BJ59" i="10"/>
  <c r="BJ64" i="10" s="1"/>
  <c r="BD59" i="10"/>
  <c r="BC59" i="10"/>
  <c r="BC64" i="10" s="1"/>
  <c r="BB59" i="10"/>
  <c r="BA59" i="10"/>
  <c r="AZ59" i="10"/>
  <c r="AZ64" i="10" s="1"/>
  <c r="AY59" i="10"/>
  <c r="AR59" i="10"/>
  <c r="AR64" i="10" s="1"/>
  <c r="AQ59" i="10"/>
  <c r="AQ64" i="10" s="1"/>
  <c r="AP59" i="10"/>
  <c r="AO59" i="10"/>
  <c r="AO64" i="10" s="1"/>
  <c r="AN59" i="10"/>
  <c r="AH59" i="10"/>
  <c r="AH64" i="10" s="1"/>
  <c r="AG59" i="10"/>
  <c r="AG64" i="10" s="1"/>
  <c r="AF59" i="10"/>
  <c r="AF64" i="10" s="1"/>
  <c r="AH65" i="10" s="1"/>
  <c r="AH66" i="10" s="1"/>
  <c r="AE59" i="10"/>
  <c r="AE64" i="10" s="1"/>
  <c r="AD59" i="10"/>
  <c r="AD64" i="10" s="1"/>
  <c r="AC59" i="10"/>
  <c r="AC64" i="10" s="1"/>
  <c r="ES58" i="10"/>
  <c r="EP58" i="10"/>
  <c r="EG58" i="10"/>
  <c r="ED58" i="10"/>
  <c r="DR58" i="10"/>
  <c r="DU58" i="10" s="1"/>
  <c r="DF58" i="10"/>
  <c r="DI58" i="10" s="1"/>
  <c r="CW58" i="10"/>
  <c r="CT58" i="10"/>
  <c r="CK58" i="10"/>
  <c r="CH58" i="10"/>
  <c r="BZ58" i="10"/>
  <c r="BW58" i="10"/>
  <c r="BL58" i="10"/>
  <c r="BO58" i="10" s="1"/>
  <c r="BA58" i="10"/>
  <c r="BD58" i="10" s="1"/>
  <c r="AS58" i="10"/>
  <c r="AP58" i="10"/>
  <c r="ES57" i="10"/>
  <c r="ES59" i="10" s="1"/>
  <c r="EP57" i="10"/>
  <c r="EP59" i="10" s="1"/>
  <c r="EG57" i="10"/>
  <c r="EG59" i="10" s="1"/>
  <c r="ED57" i="10"/>
  <c r="ED59" i="10" s="1"/>
  <c r="DU57" i="10"/>
  <c r="DR57" i="10"/>
  <c r="DI57" i="10"/>
  <c r="DF57" i="10"/>
  <c r="CU57" i="10"/>
  <c r="CU59" i="10" s="1"/>
  <c r="CU64" i="10" s="1"/>
  <c r="CT57" i="10"/>
  <c r="CW57" i="10" s="1"/>
  <c r="CJ57" i="10"/>
  <c r="CJ59" i="10" s="1"/>
  <c r="CJ64" i="10" s="1"/>
  <c r="CH57" i="10"/>
  <c r="CE57" i="10"/>
  <c r="BY57" i="10"/>
  <c r="BW57" i="10"/>
  <c r="BZ57" i="10" s="1"/>
  <c r="BZ59" i="10" s="1"/>
  <c r="BN57" i="10"/>
  <c r="BN59" i="10" s="1"/>
  <c r="BN64" i="10" s="1"/>
  <c r="BL57" i="10"/>
  <c r="BL59" i="10" s="1"/>
  <c r="BI57" i="10"/>
  <c r="BD57" i="10"/>
  <c r="BC57" i="10"/>
  <c r="BA57" i="10"/>
  <c r="AP57" i="10"/>
  <c r="AS57" i="10" s="1"/>
  <c r="AS59" i="10" s="1"/>
  <c r="EM56" i="10"/>
  <c r="EA56" i="10"/>
  <c r="DO56" i="10"/>
  <c r="CE56" i="10"/>
  <c r="BI56" i="10"/>
  <c r="BD56" i="10"/>
  <c r="AB56" i="10"/>
  <c r="EP55" i="10"/>
  <c r="ES55" i="10" s="1"/>
  <c r="EG55" i="10"/>
  <c r="ED55" i="10"/>
  <c r="DR55" i="10"/>
  <c r="DU55" i="10" s="1"/>
  <c r="DV55" i="10" s="1"/>
  <c r="DE55" i="10"/>
  <c r="DD55" i="10"/>
  <c r="DF55" i="10" s="1"/>
  <c r="DI55" i="10" s="1"/>
  <c r="DJ55" i="10" s="1"/>
  <c r="CT55" i="10"/>
  <c r="CW55" i="10" s="1"/>
  <c r="CG55" i="10"/>
  <c r="CF55" i="10"/>
  <c r="BW55" i="10"/>
  <c r="BZ55" i="10" s="1"/>
  <c r="BV55" i="10"/>
  <c r="BU55" i="10" s="1"/>
  <c r="BL55" i="10"/>
  <c r="BO55" i="10" s="1"/>
  <c r="BK55" i="10"/>
  <c r="BA55" i="10"/>
  <c r="BD55" i="10" s="1"/>
  <c r="AZ55" i="10"/>
  <c r="AS55" i="10"/>
  <c r="CE54" i="10"/>
  <c r="BT54" i="10"/>
  <c r="BT56" i="10" s="1"/>
  <c r="EO52" i="10"/>
  <c r="EC52" i="10"/>
  <c r="DQ52" i="10"/>
  <c r="DE52" i="10"/>
  <c r="CS52" i="10"/>
  <c r="CG52" i="10"/>
  <c r="BV52" i="10"/>
  <c r="BK52" i="10"/>
  <c r="AZ52" i="10"/>
  <c r="AO52" i="10"/>
  <c r="EB48" i="10"/>
  <c r="DP48" i="10"/>
  <c r="CF48" i="10"/>
  <c r="CK42" i="10" s="1"/>
  <c r="BV48" i="10"/>
  <c r="AY48" i="10"/>
  <c r="AD48" i="10"/>
  <c r="DP47" i="10"/>
  <c r="CG47" i="10"/>
  <c r="DQ46" i="10"/>
  <c r="DE46" i="10"/>
  <c r="CG46" i="10"/>
  <c r="AZ46" i="10"/>
  <c r="V46" i="10"/>
  <c r="EO45" i="10"/>
  <c r="EC45" i="10"/>
  <c r="EC46" i="10" s="1"/>
  <c r="DQ45" i="10"/>
  <c r="DE45" i="10"/>
  <c r="DD48" i="10" s="1"/>
  <c r="CS45" i="10"/>
  <c r="CG45" i="10"/>
  <c r="CF45" i="10"/>
  <c r="CH45" i="10" s="1"/>
  <c r="BY45" i="10"/>
  <c r="BV45" i="10"/>
  <c r="BU48" i="10" s="1"/>
  <c r="BZ42" i="10" s="1"/>
  <c r="BN45" i="10"/>
  <c r="BK45" i="10"/>
  <c r="AZ45" i="10"/>
  <c r="AO45" i="10"/>
  <c r="AD45" i="10"/>
  <c r="AC45" i="10"/>
  <c r="V45" i="10"/>
  <c r="U48" i="10" s="1"/>
  <c r="W42" i="10" s="1"/>
  <c r="CF44" i="10"/>
  <c r="BU44" i="10"/>
  <c r="BU45" i="10" s="1"/>
  <c r="BJ44" i="10"/>
  <c r="BJ45" i="10" s="1"/>
  <c r="AY44" i="10"/>
  <c r="AY45" i="10" s="1"/>
  <c r="AN44" i="10"/>
  <c r="AN45" i="10" s="1"/>
  <c r="CF43" i="10"/>
  <c r="BU43" i="10"/>
  <c r="EB42" i="10"/>
  <c r="DU42" i="10"/>
  <c r="DP42" i="10"/>
  <c r="DI42" i="10"/>
  <c r="BJ42" i="10"/>
  <c r="BJ43" i="10" s="1"/>
  <c r="BD42" i="10"/>
  <c r="AN42" i="10"/>
  <c r="AN43" i="10" s="1"/>
  <c r="AC42" i="10"/>
  <c r="AC43" i="10" s="1"/>
  <c r="EN40" i="10"/>
  <c r="EB40" i="10"/>
  <c r="DP40" i="10"/>
  <c r="ES39" i="10"/>
  <c r="BZ39" i="10"/>
  <c r="BP39" i="10"/>
  <c r="N39" i="10"/>
  <c r="M39" i="10"/>
  <c r="L39" i="10"/>
  <c r="ES38" i="10"/>
  <c r="ER38" i="10"/>
  <c r="EQ38" i="10"/>
  <c r="EN38" i="10"/>
  <c r="EN44" i="10" s="1"/>
  <c r="EN45" i="10" s="1"/>
  <c r="EM38" i="10"/>
  <c r="EN42" i="10" s="1"/>
  <c r="EN43" i="10" s="1"/>
  <c r="EG38" i="10"/>
  <c r="EF38" i="10"/>
  <c r="EG39" i="10" s="1"/>
  <c r="EE38" i="10"/>
  <c r="EB38" i="10"/>
  <c r="EF45" i="10" s="1"/>
  <c r="EA38" i="10"/>
  <c r="DU38" i="10"/>
  <c r="DU39" i="10" s="1"/>
  <c r="DT38" i="10"/>
  <c r="DS38" i="10"/>
  <c r="DP38" i="10"/>
  <c r="DO38" i="10"/>
  <c r="DI38" i="10"/>
  <c r="DH38" i="10"/>
  <c r="DI39" i="10" s="1"/>
  <c r="DG38" i="10"/>
  <c r="CW38" i="10"/>
  <c r="CV38" i="10"/>
  <c r="CW39" i="10" s="1"/>
  <c r="CU38" i="10"/>
  <c r="CR38" i="10"/>
  <c r="CR44" i="10" s="1"/>
  <c r="CK38" i="10"/>
  <c r="CJ38" i="10"/>
  <c r="CI38" i="10"/>
  <c r="CF38" i="10"/>
  <c r="CJ45" i="10" s="1"/>
  <c r="CE38" i="10"/>
  <c r="CF42" i="10" s="1"/>
  <c r="BZ38" i="10"/>
  <c r="BY38" i="10"/>
  <c r="BX38" i="10"/>
  <c r="BU38" i="10"/>
  <c r="BT38" i="10"/>
  <c r="BU42" i="10" s="1"/>
  <c r="BO38" i="10"/>
  <c r="BO39" i="10" s="1"/>
  <c r="BN38" i="10"/>
  <c r="BM38" i="10"/>
  <c r="BJ38" i="10"/>
  <c r="BI38" i="10"/>
  <c r="BI54" i="10" s="1"/>
  <c r="BD38" i="10"/>
  <c r="BD39" i="10" s="1"/>
  <c r="BC38" i="10"/>
  <c r="BB38" i="10"/>
  <c r="AY38" i="10"/>
  <c r="AX38" i="10"/>
  <c r="AX54" i="10" s="1"/>
  <c r="AX56" i="10" s="1"/>
  <c r="AS38" i="10"/>
  <c r="AS39" i="10" s="1"/>
  <c r="AR38" i="10"/>
  <c r="AQ38" i="10"/>
  <c r="AN38" i="10"/>
  <c r="AM38" i="10"/>
  <c r="AM54" i="10" s="1"/>
  <c r="AM56" i="10" s="1"/>
  <c r="AM70" i="10" s="1"/>
  <c r="AH38" i="10"/>
  <c r="AG38" i="10"/>
  <c r="AF38" i="10"/>
  <c r="AC38" i="10"/>
  <c r="AC44" i="10" s="1"/>
  <c r="AB38" i="10"/>
  <c r="W38" i="10"/>
  <c r="U38" i="10"/>
  <c r="T38" i="10"/>
  <c r="EP37" i="10"/>
  <c r="EO37" i="10"/>
  <c r="EI37" i="10"/>
  <c r="DW37" i="10"/>
  <c r="DR37" i="10"/>
  <c r="DQ37" i="10"/>
  <c r="DF37" i="10"/>
  <c r="DE37" i="10"/>
  <c r="CT37" i="10"/>
  <c r="CS37" i="10"/>
  <c r="CH37" i="10"/>
  <c r="CG37" i="10"/>
  <c r="BW37" i="10"/>
  <c r="BV37" i="10"/>
  <c r="BL37" i="10"/>
  <c r="BK37" i="10"/>
  <c r="BA37" i="10"/>
  <c r="AZ37" i="10"/>
  <c r="AP37" i="10"/>
  <c r="AO37" i="10"/>
  <c r="V37" i="10"/>
  <c r="EP36" i="10"/>
  <c r="EO36" i="10"/>
  <c r="EI36" i="10"/>
  <c r="ED36" i="10"/>
  <c r="EC36" i="10"/>
  <c r="DW36" i="10"/>
  <c r="DR36" i="10"/>
  <c r="DQ36" i="10"/>
  <c r="DF36" i="10"/>
  <c r="DE36" i="10"/>
  <c r="CT36" i="10"/>
  <c r="CS36" i="10"/>
  <c r="CH36" i="10"/>
  <c r="CG36" i="10"/>
  <c r="BW36" i="10"/>
  <c r="BV36" i="10"/>
  <c r="BL36" i="10"/>
  <c r="BK36" i="10"/>
  <c r="BA36" i="10"/>
  <c r="AZ36" i="10"/>
  <c r="AP36" i="10"/>
  <c r="AO36" i="10"/>
  <c r="V36" i="10"/>
  <c r="EP35" i="10"/>
  <c r="EO35" i="10"/>
  <c r="EI35" i="10"/>
  <c r="ED35" i="10"/>
  <c r="EC35" i="10"/>
  <c r="DW35" i="10"/>
  <c r="DR35" i="10"/>
  <c r="DQ35" i="10"/>
  <c r="DF35" i="10"/>
  <c r="DE35" i="10"/>
  <c r="CT35" i="10"/>
  <c r="CS35" i="10"/>
  <c r="CH35" i="10"/>
  <c r="CG35" i="10"/>
  <c r="BW35" i="10"/>
  <c r="BV35" i="10"/>
  <c r="BL35" i="10"/>
  <c r="BK35" i="10"/>
  <c r="BA35" i="10"/>
  <c r="AZ35" i="10"/>
  <c r="AP35" i="10"/>
  <c r="AO35" i="10"/>
  <c r="V35" i="10"/>
  <c r="EP34" i="10"/>
  <c r="EO34" i="10"/>
  <c r="EI34" i="10"/>
  <c r="ED34" i="10"/>
  <c r="EC34" i="10"/>
  <c r="DW34" i="10"/>
  <c r="DR34" i="10"/>
  <c r="DQ34" i="10"/>
  <c r="DF34" i="10"/>
  <c r="DE34" i="10"/>
  <c r="CT34" i="10"/>
  <c r="CS34" i="10"/>
  <c r="CH34" i="10"/>
  <c r="CG34" i="10"/>
  <c r="BW34" i="10"/>
  <c r="BV34" i="10"/>
  <c r="BL34" i="10"/>
  <c r="BK34" i="10"/>
  <c r="BA34" i="10"/>
  <c r="AZ34" i="10"/>
  <c r="AP34" i="10"/>
  <c r="AO34" i="10"/>
  <c r="AE34" i="10"/>
  <c r="AD34" i="10"/>
  <c r="V34" i="10"/>
  <c r="EP33" i="10"/>
  <c r="EO33" i="10"/>
  <c r="EI33" i="10"/>
  <c r="ED33" i="10"/>
  <c r="EC33" i="10"/>
  <c r="DW33" i="10"/>
  <c r="DR33" i="10"/>
  <c r="DQ33" i="10"/>
  <c r="DF33" i="10"/>
  <c r="DE33" i="10"/>
  <c r="DC33" i="10"/>
  <c r="CT33" i="10"/>
  <c r="CS33" i="10"/>
  <c r="CH33" i="10"/>
  <c r="CG33" i="10"/>
  <c r="BW33" i="10"/>
  <c r="BV33" i="10"/>
  <c r="BL33" i="10"/>
  <c r="BK33" i="10"/>
  <c r="BA33" i="10"/>
  <c r="AZ33" i="10"/>
  <c r="AP33" i="10"/>
  <c r="AO33" i="10"/>
  <c r="AE33" i="10"/>
  <c r="AD33" i="10"/>
  <c r="V33" i="10"/>
  <c r="EP32" i="10"/>
  <c r="EO32" i="10"/>
  <c r="EI32" i="10"/>
  <c r="ED32" i="10"/>
  <c r="EC32" i="10"/>
  <c r="DW32" i="10"/>
  <c r="DR32" i="10"/>
  <c r="DQ32" i="10"/>
  <c r="DC32" i="10"/>
  <c r="DF32" i="10" s="1"/>
  <c r="CT32" i="10"/>
  <c r="CS32" i="10"/>
  <c r="CH32" i="10"/>
  <c r="CG32" i="10"/>
  <c r="BW32" i="10"/>
  <c r="BV32" i="10"/>
  <c r="BL32" i="10"/>
  <c r="BK32" i="10"/>
  <c r="BA32" i="10"/>
  <c r="AZ32" i="10"/>
  <c r="AP32" i="10"/>
  <c r="AO32" i="10"/>
  <c r="AE32" i="10"/>
  <c r="AD32" i="10"/>
  <c r="V32" i="10"/>
  <c r="EP31" i="10"/>
  <c r="EO31" i="10"/>
  <c r="EI31" i="10"/>
  <c r="ED31" i="10"/>
  <c r="EC31" i="10"/>
  <c r="DW31" i="10"/>
  <c r="DR31" i="10"/>
  <c r="DQ31" i="10"/>
  <c r="DC31" i="10"/>
  <c r="CT31" i="10"/>
  <c r="CS31" i="10"/>
  <c r="CH31" i="10"/>
  <c r="CG31" i="10"/>
  <c r="BW31" i="10"/>
  <c r="BV31" i="10"/>
  <c r="BL31" i="10"/>
  <c r="BK31" i="10"/>
  <c r="BA31" i="10"/>
  <c r="AZ31" i="10"/>
  <c r="AP31" i="10"/>
  <c r="AO31" i="10"/>
  <c r="AE31" i="10"/>
  <c r="AD31" i="10"/>
  <c r="V31" i="10"/>
  <c r="EP30" i="10"/>
  <c r="EO30" i="10"/>
  <c r="EI30" i="10"/>
  <c r="ED30" i="10"/>
  <c r="EC30" i="10"/>
  <c r="DW30" i="10"/>
  <c r="DR30" i="10"/>
  <c r="DQ30" i="10"/>
  <c r="DC30" i="10"/>
  <c r="CT30" i="10"/>
  <c r="CS30" i="10"/>
  <c r="CH30" i="10"/>
  <c r="CG30" i="10"/>
  <c r="BW30" i="10"/>
  <c r="BV30" i="10"/>
  <c r="BL30" i="10"/>
  <c r="BK30" i="10"/>
  <c r="BA30" i="10"/>
  <c r="AZ30" i="10"/>
  <c r="AP30" i="10"/>
  <c r="AO30" i="10"/>
  <c r="AE30" i="10"/>
  <c r="AD30" i="10"/>
  <c r="V30" i="10"/>
  <c r="EP29" i="10"/>
  <c r="EO29" i="10"/>
  <c r="EI29" i="10"/>
  <c r="ED29" i="10"/>
  <c r="EC29" i="10"/>
  <c r="DW29" i="10"/>
  <c r="DR29" i="10"/>
  <c r="DQ29" i="10"/>
  <c r="DC29" i="10"/>
  <c r="DE29" i="10" s="1"/>
  <c r="CT29" i="10"/>
  <c r="CS29" i="10"/>
  <c r="CH29" i="10"/>
  <c r="CG29" i="10"/>
  <c r="BW29" i="10"/>
  <c r="BV29" i="10"/>
  <c r="BL29" i="10"/>
  <c r="BK29" i="10"/>
  <c r="BA29" i="10"/>
  <c r="AZ29" i="10"/>
  <c r="AP29" i="10"/>
  <c r="AO29" i="10"/>
  <c r="AE29" i="10"/>
  <c r="AD29" i="10"/>
  <c r="V29" i="10"/>
  <c r="EP28" i="10"/>
  <c r="EO28" i="10"/>
  <c r="EI28" i="10"/>
  <c r="ED28" i="10"/>
  <c r="EC28" i="10"/>
  <c r="DW28" i="10"/>
  <c r="DR28" i="10"/>
  <c r="DQ28" i="10"/>
  <c r="DF28" i="10"/>
  <c r="DE28" i="10"/>
  <c r="DC28" i="10"/>
  <c r="CT28" i="10"/>
  <c r="CS28" i="10"/>
  <c r="CH28" i="10"/>
  <c r="CG28" i="10"/>
  <c r="BW28" i="10"/>
  <c r="BV28" i="10"/>
  <c r="BL28" i="10"/>
  <c r="BK28" i="10"/>
  <c r="BA28" i="10"/>
  <c r="AZ28" i="10"/>
  <c r="AP28" i="10"/>
  <c r="AO28" i="10"/>
  <c r="AE28" i="10"/>
  <c r="AD28" i="10"/>
  <c r="V28" i="10"/>
  <c r="EP27" i="10"/>
  <c r="EO27" i="10"/>
  <c r="EI27" i="10"/>
  <c r="ED27" i="10"/>
  <c r="EC27" i="10"/>
  <c r="DW27" i="10"/>
  <c r="DR27" i="10"/>
  <c r="DQ27" i="10"/>
  <c r="DF27" i="10"/>
  <c r="DE27" i="10"/>
  <c r="DC27" i="10"/>
  <c r="CT27" i="10"/>
  <c r="CS27" i="10"/>
  <c r="CH27" i="10"/>
  <c r="CG27" i="10"/>
  <c r="BW27" i="10"/>
  <c r="BV27" i="10"/>
  <c r="BL27" i="10"/>
  <c r="BK27" i="10"/>
  <c r="BA27" i="10"/>
  <c r="AZ27" i="10"/>
  <c r="AP27" i="10"/>
  <c r="AO27" i="10"/>
  <c r="AE27" i="10"/>
  <c r="AD27" i="10"/>
  <c r="V27" i="10"/>
  <c r="EP26" i="10"/>
  <c r="EO26" i="10"/>
  <c r="EI26" i="10"/>
  <c r="ED26" i="10"/>
  <c r="EC26" i="10"/>
  <c r="DW26" i="10"/>
  <c r="DR26" i="10"/>
  <c r="DQ26" i="10"/>
  <c r="DC26" i="10"/>
  <c r="DF26" i="10" s="1"/>
  <c r="CT26" i="10"/>
  <c r="CS26" i="10"/>
  <c r="CH26" i="10"/>
  <c r="CG26" i="10"/>
  <c r="BW26" i="10"/>
  <c r="BV26" i="10"/>
  <c r="BL26" i="10"/>
  <c r="BK26" i="10"/>
  <c r="BA26" i="10"/>
  <c r="AZ26" i="10"/>
  <c r="AP26" i="10"/>
  <c r="AO26" i="10"/>
  <c r="AE26" i="10"/>
  <c r="AD26" i="10"/>
  <c r="V26" i="10"/>
  <c r="EP25" i="10"/>
  <c r="EO25" i="10"/>
  <c r="EI25" i="10"/>
  <c r="ED25" i="10"/>
  <c r="EC25" i="10"/>
  <c r="DW25" i="10"/>
  <c r="DR25" i="10"/>
  <c r="DQ25" i="10"/>
  <c r="DC25" i="10"/>
  <c r="CT25" i="10"/>
  <c r="CS25" i="10"/>
  <c r="CH25" i="10"/>
  <c r="CG25" i="10"/>
  <c r="BW25" i="10"/>
  <c r="BV25" i="10"/>
  <c r="BL25" i="10"/>
  <c r="BK25" i="10"/>
  <c r="BA25" i="10"/>
  <c r="AZ25" i="10"/>
  <c r="AP25" i="10"/>
  <c r="AO25" i="10"/>
  <c r="AE25" i="10"/>
  <c r="AD25" i="10"/>
  <c r="V25" i="10"/>
  <c r="EP24" i="10"/>
  <c r="EO24" i="10"/>
  <c r="EI24" i="10"/>
  <c r="ED24" i="10"/>
  <c r="EC24" i="10"/>
  <c r="DW24" i="10"/>
  <c r="DR24" i="10"/>
  <c r="DQ24" i="10"/>
  <c r="DC24" i="10"/>
  <c r="CT24" i="10"/>
  <c r="CS24" i="10"/>
  <c r="CH24" i="10"/>
  <c r="CG24" i="10"/>
  <c r="BW24" i="10"/>
  <c r="BV24" i="10"/>
  <c r="BL24" i="10"/>
  <c r="BK24" i="10"/>
  <c r="BA24" i="10"/>
  <c r="AZ24" i="10"/>
  <c r="AP24" i="10"/>
  <c r="AO24" i="10"/>
  <c r="AE24" i="10"/>
  <c r="AD24" i="10"/>
  <c r="V24" i="10"/>
  <c r="EP23" i="10"/>
  <c r="EO23" i="10"/>
  <c r="EI23" i="10"/>
  <c r="ED23" i="10"/>
  <c r="EC23" i="10"/>
  <c r="DW23" i="10"/>
  <c r="DR23" i="10"/>
  <c r="DQ23" i="10"/>
  <c r="DF23" i="10"/>
  <c r="DE23" i="10"/>
  <c r="DC23" i="10"/>
  <c r="CT23" i="10"/>
  <c r="CS23" i="10"/>
  <c r="CH23" i="10"/>
  <c r="CG23" i="10"/>
  <c r="BW23" i="10"/>
  <c r="BV23" i="10"/>
  <c r="BL23" i="10"/>
  <c r="BK23" i="10"/>
  <c r="BA23" i="10"/>
  <c r="AZ23" i="10"/>
  <c r="AP23" i="10"/>
  <c r="AO23" i="10"/>
  <c r="AE23" i="10"/>
  <c r="AD23" i="10"/>
  <c r="V23" i="10"/>
  <c r="EP22" i="10"/>
  <c r="EO22" i="10"/>
  <c r="EI22" i="10"/>
  <c r="ED22" i="10"/>
  <c r="EC22" i="10"/>
  <c r="DW22" i="10"/>
  <c r="DR22" i="10"/>
  <c r="DQ22" i="10"/>
  <c r="DC22" i="10"/>
  <c r="CT22" i="10"/>
  <c r="CS22" i="10"/>
  <c r="CH22" i="10"/>
  <c r="CG22" i="10"/>
  <c r="BW22" i="10"/>
  <c r="BV22" i="10"/>
  <c r="BL22" i="10"/>
  <c r="BK22" i="10"/>
  <c r="BA22" i="10"/>
  <c r="AZ22" i="10"/>
  <c r="AP22" i="10"/>
  <c r="AO22" i="10"/>
  <c r="AE22" i="10"/>
  <c r="AD22" i="10"/>
  <c r="V22" i="10"/>
  <c r="EP21" i="10"/>
  <c r="EO21" i="10"/>
  <c r="EI21" i="10"/>
  <c r="ED21" i="10"/>
  <c r="EC21" i="10"/>
  <c r="DW21" i="10"/>
  <c r="DR21" i="10"/>
  <c r="DQ21" i="10"/>
  <c r="DF21" i="10"/>
  <c r="DE21" i="10"/>
  <c r="DC21" i="10"/>
  <c r="CT21" i="10"/>
  <c r="CS21" i="10"/>
  <c r="CH21" i="10"/>
  <c r="CG21" i="10"/>
  <c r="BW21" i="10"/>
  <c r="BV21" i="10"/>
  <c r="BL21" i="10"/>
  <c r="BK21" i="10"/>
  <c r="BA21" i="10"/>
  <c r="AZ21" i="10"/>
  <c r="AP21" i="10"/>
  <c r="AO21" i="10"/>
  <c r="AE21" i="10"/>
  <c r="AD21" i="10"/>
  <c r="V21" i="10"/>
  <c r="EP20" i="10"/>
  <c r="EO20" i="10"/>
  <c r="EI20" i="10"/>
  <c r="ED20" i="10"/>
  <c r="EC20" i="10"/>
  <c r="DW20" i="10"/>
  <c r="DR20" i="10"/>
  <c r="DQ20" i="10"/>
  <c r="DC20" i="10"/>
  <c r="DF20" i="10" s="1"/>
  <c r="CS20" i="10"/>
  <c r="CQ20" i="10"/>
  <c r="CT20" i="10" s="1"/>
  <c r="CH20" i="10"/>
  <c r="CG20" i="10"/>
  <c r="BW20" i="10"/>
  <c r="BV20" i="10"/>
  <c r="BL20" i="10"/>
  <c r="BK20" i="10"/>
  <c r="BA20" i="10"/>
  <c r="AZ20" i="10"/>
  <c r="AP20" i="10"/>
  <c r="AO20" i="10"/>
  <c r="AE20" i="10"/>
  <c r="AD20" i="10"/>
  <c r="V20" i="10"/>
  <c r="EP19" i="10"/>
  <c r="EO19" i="10"/>
  <c r="EI19" i="10"/>
  <c r="ED19" i="10"/>
  <c r="EC19" i="10"/>
  <c r="DW19" i="10"/>
  <c r="DR19" i="10"/>
  <c r="DQ19" i="10"/>
  <c r="DE19" i="10"/>
  <c r="DC19" i="10"/>
  <c r="DF19" i="10" s="1"/>
  <c r="CQ19" i="10"/>
  <c r="CH19" i="10"/>
  <c r="CG19" i="10"/>
  <c r="BW19" i="10"/>
  <c r="BV19" i="10"/>
  <c r="BL19" i="10"/>
  <c r="BK19" i="10"/>
  <c r="BA19" i="10"/>
  <c r="AZ19" i="10"/>
  <c r="AP19" i="10"/>
  <c r="AO19" i="10"/>
  <c r="AE19" i="10"/>
  <c r="AD19" i="10"/>
  <c r="V19" i="10"/>
  <c r="EP18" i="10"/>
  <c r="EO18" i="10"/>
  <c r="EI18" i="10"/>
  <c r="ED18" i="10"/>
  <c r="EC18" i="10"/>
  <c r="DW18" i="10"/>
  <c r="DR18" i="10"/>
  <c r="DQ18" i="10"/>
  <c r="DC18" i="10"/>
  <c r="CQ18" i="10"/>
  <c r="CH18" i="10"/>
  <c r="CG18" i="10"/>
  <c r="BW18" i="10"/>
  <c r="BV18" i="10"/>
  <c r="BL18" i="10"/>
  <c r="BK18" i="10"/>
  <c r="BA18" i="10"/>
  <c r="AZ18" i="10"/>
  <c r="AP18" i="10"/>
  <c r="AO18" i="10"/>
  <c r="AE18" i="10"/>
  <c r="AD18" i="10"/>
  <c r="V18" i="10"/>
  <c r="EP17" i="10"/>
  <c r="EO17" i="10"/>
  <c r="EI17" i="10"/>
  <c r="ED17" i="10"/>
  <c r="EC17" i="10"/>
  <c r="DW17" i="10"/>
  <c r="DR17" i="10"/>
  <c r="DQ17" i="10"/>
  <c r="DC17" i="10"/>
  <c r="CT17" i="10"/>
  <c r="CS17" i="10"/>
  <c r="CH17" i="10"/>
  <c r="CG17" i="10"/>
  <c r="BW17" i="10"/>
  <c r="BV17" i="10"/>
  <c r="BL17" i="10"/>
  <c r="BK17" i="10"/>
  <c r="BA17" i="10"/>
  <c r="AZ17" i="10"/>
  <c r="AP17" i="10"/>
  <c r="AO17" i="10"/>
  <c r="AE17" i="10"/>
  <c r="AD17" i="10"/>
  <c r="V17" i="10"/>
  <c r="EP16" i="10"/>
  <c r="EO16" i="10"/>
  <c r="EI16" i="10"/>
  <c r="ED16" i="10"/>
  <c r="EC16" i="10"/>
  <c r="DW16" i="10"/>
  <c r="DR16" i="10"/>
  <c r="DQ16" i="10"/>
  <c r="DF16" i="10"/>
  <c r="DE16" i="10"/>
  <c r="DC16" i="10"/>
  <c r="CT16" i="10"/>
  <c r="CS16" i="10"/>
  <c r="CH16" i="10"/>
  <c r="CG16" i="10"/>
  <c r="BW16" i="10"/>
  <c r="BV16" i="10"/>
  <c r="BL16" i="10"/>
  <c r="BK16" i="10"/>
  <c r="BA16" i="10"/>
  <c r="AZ16" i="10"/>
  <c r="AP16" i="10"/>
  <c r="AO16" i="10"/>
  <c r="AE16" i="10"/>
  <c r="AD16" i="10"/>
  <c r="V16" i="10"/>
  <c r="EP15" i="10"/>
  <c r="EO15" i="10"/>
  <c r="EI15" i="10"/>
  <c r="ED15" i="10"/>
  <c r="EC15" i="10"/>
  <c r="DW15" i="10"/>
  <c r="DR15" i="10"/>
  <c r="DQ15" i="10"/>
  <c r="DF15" i="10"/>
  <c r="DE15" i="10"/>
  <c r="DC15" i="10"/>
  <c r="CT15" i="10"/>
  <c r="CS15" i="10"/>
  <c r="CH15" i="10"/>
  <c r="CG15" i="10"/>
  <c r="BW15" i="10"/>
  <c r="BV15" i="10"/>
  <c r="BL15" i="10"/>
  <c r="BK15" i="10"/>
  <c r="BA15" i="10"/>
  <c r="AZ15" i="10"/>
  <c r="AP15" i="10"/>
  <c r="AO15" i="10"/>
  <c r="AE15" i="10"/>
  <c r="AD15" i="10"/>
  <c r="V15" i="10"/>
  <c r="EP14" i="10"/>
  <c r="EO14" i="10"/>
  <c r="EI14" i="10"/>
  <c r="ED14" i="10"/>
  <c r="EC14" i="10"/>
  <c r="DW14" i="10"/>
  <c r="DR14" i="10"/>
  <c r="DQ14" i="10"/>
  <c r="DC14" i="10"/>
  <c r="CT14" i="10"/>
  <c r="CS14" i="10"/>
  <c r="CH14" i="10"/>
  <c r="CG14" i="10"/>
  <c r="BW14" i="10"/>
  <c r="BV14" i="10"/>
  <c r="BL14" i="10"/>
  <c r="BK14" i="10"/>
  <c r="BA14" i="10"/>
  <c r="AZ14" i="10"/>
  <c r="AP14" i="10"/>
  <c r="AO14" i="10"/>
  <c r="AE14" i="10"/>
  <c r="AD14" i="10"/>
  <c r="V14" i="10"/>
  <c r="EP13" i="10"/>
  <c r="EO13" i="10"/>
  <c r="EI13" i="10"/>
  <c r="ED13" i="10"/>
  <c r="EC13" i="10"/>
  <c r="DW13" i="10"/>
  <c r="DR13" i="10"/>
  <c r="DQ13" i="10"/>
  <c r="DF13" i="10"/>
  <c r="DE13" i="10"/>
  <c r="DC13" i="10"/>
  <c r="CT13" i="10"/>
  <c r="CS13" i="10"/>
  <c r="CH13" i="10"/>
  <c r="CG13" i="10"/>
  <c r="BW13" i="10"/>
  <c r="BV13" i="10"/>
  <c r="BL13" i="10"/>
  <c r="BK13" i="10"/>
  <c r="BA13" i="10"/>
  <c r="AZ13" i="10"/>
  <c r="AP13" i="10"/>
  <c r="AO13" i="10"/>
  <c r="AE13" i="10"/>
  <c r="AD13" i="10"/>
  <c r="V13" i="10"/>
  <c r="EP12" i="10"/>
  <c r="EO12" i="10"/>
  <c r="EI12" i="10"/>
  <c r="ED12" i="10"/>
  <c r="EC12" i="10"/>
  <c r="DW12" i="10"/>
  <c r="DR12" i="10"/>
  <c r="DQ12" i="10"/>
  <c r="DC12" i="10"/>
  <c r="CT12" i="10"/>
  <c r="CS12" i="10"/>
  <c r="CH12" i="10"/>
  <c r="CG12" i="10"/>
  <c r="BW12" i="10"/>
  <c r="BV12" i="10"/>
  <c r="BL12" i="10"/>
  <c r="BK12" i="10"/>
  <c r="BA12" i="10"/>
  <c r="AZ12" i="10"/>
  <c r="AP12" i="10"/>
  <c r="AO12" i="10"/>
  <c r="AE12" i="10"/>
  <c r="AD12" i="10"/>
  <c r="V12" i="10"/>
  <c r="EP11" i="10"/>
  <c r="EO11" i="10"/>
  <c r="EI11" i="10"/>
  <c r="ED11" i="10"/>
  <c r="EC11" i="10"/>
  <c r="DW11" i="10"/>
  <c r="DR11" i="10"/>
  <c r="DQ11" i="10"/>
  <c r="DF11" i="10"/>
  <c r="DE11" i="10"/>
  <c r="DC11" i="10"/>
  <c r="CT11" i="10"/>
  <c r="CS11" i="10"/>
  <c r="CH11" i="10"/>
  <c r="CG11" i="10"/>
  <c r="BW11" i="10"/>
  <c r="BV11" i="10"/>
  <c r="BL11" i="10"/>
  <c r="BK11" i="10"/>
  <c r="BA11" i="10"/>
  <c r="AZ11" i="10"/>
  <c r="AP11" i="10"/>
  <c r="AO11" i="10"/>
  <c r="AE11" i="10"/>
  <c r="AD11" i="10"/>
  <c r="V11" i="10"/>
  <c r="EP10" i="10"/>
  <c r="EO10" i="10"/>
  <c r="EI10" i="10"/>
  <c r="ED10" i="10"/>
  <c r="EC10" i="10"/>
  <c r="DW10" i="10"/>
  <c r="DR10" i="10"/>
  <c r="DQ10" i="10"/>
  <c r="DF10" i="10"/>
  <c r="DE10" i="10"/>
  <c r="DC10" i="10"/>
  <c r="CT10" i="10"/>
  <c r="CS10" i="10"/>
  <c r="CH10" i="10"/>
  <c r="CG10" i="10"/>
  <c r="BW10" i="10"/>
  <c r="BV10" i="10"/>
  <c r="BL10" i="10"/>
  <c r="BK10" i="10"/>
  <c r="BA10" i="10"/>
  <c r="AZ10" i="10"/>
  <c r="AP10" i="10"/>
  <c r="AO10" i="10"/>
  <c r="AE10" i="10"/>
  <c r="AD10" i="10"/>
  <c r="V10" i="10"/>
  <c r="EP9" i="10"/>
  <c r="EP38" i="10" s="1"/>
  <c r="EO9" i="10"/>
  <c r="EI9" i="10"/>
  <c r="ED9" i="10"/>
  <c r="EC9" i="10"/>
  <c r="DW9" i="10"/>
  <c r="DR9" i="10"/>
  <c r="DQ9" i="10"/>
  <c r="DF9" i="10"/>
  <c r="DE9" i="10"/>
  <c r="DC9" i="10"/>
  <c r="CT9" i="10"/>
  <c r="CS9" i="10"/>
  <c r="CH9" i="10"/>
  <c r="CG9" i="10"/>
  <c r="BW9" i="10"/>
  <c r="BV9" i="10"/>
  <c r="BL9" i="10"/>
  <c r="BK9" i="10"/>
  <c r="BA9" i="10"/>
  <c r="AZ9" i="10"/>
  <c r="AP9" i="10"/>
  <c r="AO9" i="10"/>
  <c r="AE9" i="10"/>
  <c r="AD9" i="10"/>
  <c r="V9" i="10"/>
  <c r="EP8" i="10"/>
  <c r="EO8" i="10"/>
  <c r="EI8" i="10"/>
  <c r="ED8" i="10"/>
  <c r="EC8" i="10"/>
  <c r="EC38" i="10" s="1"/>
  <c r="DW8" i="10"/>
  <c r="DR8" i="10"/>
  <c r="DQ8" i="10"/>
  <c r="DE8" i="10"/>
  <c r="DC8" i="10"/>
  <c r="DF8" i="10" s="1"/>
  <c r="CT8" i="10"/>
  <c r="CS8" i="10"/>
  <c r="CH8" i="10"/>
  <c r="CG8" i="10"/>
  <c r="BW8" i="10"/>
  <c r="BV8" i="10"/>
  <c r="BL8" i="10"/>
  <c r="BK8" i="10"/>
  <c r="BA8" i="10"/>
  <c r="AZ8" i="10"/>
  <c r="AP8" i="10"/>
  <c r="AO8" i="10"/>
  <c r="AE8" i="10"/>
  <c r="AE38" i="10" s="1"/>
  <c r="AD8" i="10"/>
  <c r="V8" i="10"/>
  <c r="EP7" i="10"/>
  <c r="EO7" i="10"/>
  <c r="EI7" i="10"/>
  <c r="ED7" i="10"/>
  <c r="EC7" i="10"/>
  <c r="DW7" i="10"/>
  <c r="DR7" i="10"/>
  <c r="DQ7" i="10"/>
  <c r="DF7" i="10"/>
  <c r="DE7" i="10"/>
  <c r="DD7" i="10"/>
  <c r="DD38" i="10" s="1"/>
  <c r="DC7" i="10"/>
  <c r="CT7" i="10"/>
  <c r="CS7" i="10"/>
  <c r="CH7" i="10"/>
  <c r="CG7" i="10"/>
  <c r="BW7" i="10"/>
  <c r="BV7" i="10"/>
  <c r="BL7" i="10"/>
  <c r="BK7" i="10"/>
  <c r="BA7" i="10"/>
  <c r="AZ7" i="10"/>
  <c r="AP7" i="10"/>
  <c r="AO7" i="10"/>
  <c r="AE7" i="10"/>
  <c r="AD7" i="10"/>
  <c r="V7" i="10"/>
  <c r="G61" i="2"/>
  <c r="I61" i="2" s="1"/>
  <c r="G60" i="2"/>
  <c r="I60" i="2" s="1"/>
  <c r="D59" i="2"/>
  <c r="H58" i="2"/>
  <c r="H64" i="2" s="1"/>
  <c r="F58" i="2"/>
  <c r="F64" i="2" s="1"/>
  <c r="E58" i="2"/>
  <c r="E64" i="2" s="1"/>
  <c r="G57" i="2"/>
  <c r="I57" i="2" s="1"/>
  <c r="G56" i="2"/>
  <c r="I56" i="2" s="1"/>
  <c r="G55" i="2"/>
  <c r="I55" i="2" s="1"/>
  <c r="G54" i="2"/>
  <c r="I54" i="2" s="1"/>
  <c r="D54" i="2"/>
  <c r="E39" i="2"/>
  <c r="F38" i="2"/>
  <c r="E38" i="2"/>
  <c r="J37" i="2"/>
  <c r="I37" i="2"/>
  <c r="H37" i="2"/>
  <c r="G37" i="2"/>
  <c r="F37" i="2"/>
  <c r="E37" i="2"/>
  <c r="D37" i="2"/>
  <c r="C8" i="2"/>
  <c r="C9" i="2" s="1"/>
  <c r="C10" i="2" s="1"/>
  <c r="B10" i="2" s="1"/>
  <c r="B7" i="2"/>
  <c r="G38" i="2" l="1"/>
  <c r="E43" i="2"/>
  <c r="E44" i="2" s="1"/>
  <c r="B9" i="2"/>
  <c r="DF24" i="10"/>
  <c r="DE24" i="10"/>
  <c r="U44" i="10"/>
  <c r="U45" i="10" s="1"/>
  <c r="EB47" i="10"/>
  <c r="EG42" i="10"/>
  <c r="C11" i="2"/>
  <c r="AZ47" i="10"/>
  <c r="BA48" i="10" s="1"/>
  <c r="BA45" i="10"/>
  <c r="AZ48" i="10"/>
  <c r="CQ38" i="10"/>
  <c r="CT18" i="10"/>
  <c r="CS18" i="10"/>
  <c r="G58" i="2"/>
  <c r="G64" i="2" s="1"/>
  <c r="DF61" i="10"/>
  <c r="DD64" i="10"/>
  <c r="AZ38" i="10"/>
  <c r="BA39" i="10" s="1"/>
  <c r="D53" i="2"/>
  <c r="D55" i="2" s="1"/>
  <c r="E41" i="2"/>
  <c r="E42" i="2" s="1"/>
  <c r="I58" i="2"/>
  <c r="I64" i="2" s="1"/>
  <c r="CS38" i="10"/>
  <c r="AS61" i="10"/>
  <c r="AS64" i="10" s="1"/>
  <c r="AY64" i="10"/>
  <c r="BA61" i="10"/>
  <c r="AD46" i="10"/>
  <c r="AC48" i="10"/>
  <c r="AH42" i="10" s="1"/>
  <c r="B8" i="2"/>
  <c r="V51" i="10"/>
  <c r="V38" i="10"/>
  <c r="V54" i="10" s="1"/>
  <c r="CH38" i="10"/>
  <c r="EI38" i="10"/>
  <c r="BV38" i="10"/>
  <c r="BW39" i="10" s="1"/>
  <c r="ED38" i="10"/>
  <c r="ED39" i="10" s="1"/>
  <c r="DW38" i="10"/>
  <c r="BA38" i="10"/>
  <c r="AO46" i="10"/>
  <c r="AN48" i="10"/>
  <c r="AS42" i="10" s="1"/>
  <c r="AR45" i="10"/>
  <c r="AO48" i="10"/>
  <c r="EO38" i="10"/>
  <c r="EP39" i="10" s="1"/>
  <c r="EN48" i="10"/>
  <c r="EO46" i="10"/>
  <c r="ER45" i="10"/>
  <c r="BL64" i="10"/>
  <c r="BO65" i="10" s="1"/>
  <c r="BO66" i="10" s="1"/>
  <c r="BK38" i="10"/>
  <c r="DQ38" i="10"/>
  <c r="DF17" i="10"/>
  <c r="DE17" i="10"/>
  <c r="DE38" i="10" s="1"/>
  <c r="DF39" i="10" s="1"/>
  <c r="BW45" i="10"/>
  <c r="BT57" i="10"/>
  <c r="BV47" i="10"/>
  <c r="BW48" i="10" s="1"/>
  <c r="CK57" i="10"/>
  <c r="CK59" i="10" s="1"/>
  <c r="CH59" i="10"/>
  <c r="DF22" i="10"/>
  <c r="DE22" i="10"/>
  <c r="CR48" i="10"/>
  <c r="CW42" i="10" s="1"/>
  <c r="CS46" i="10"/>
  <c r="CV45" i="10"/>
  <c r="CW59" i="10"/>
  <c r="AD38" i="10"/>
  <c r="AE39" i="10" s="1"/>
  <c r="BW38" i="10"/>
  <c r="DF12" i="10"/>
  <c r="DE12" i="10"/>
  <c r="BK47" i="10"/>
  <c r="BK48" i="10"/>
  <c r="BL45" i="10"/>
  <c r="AO38" i="10"/>
  <c r="DF14" i="10"/>
  <c r="DF38" i="10" s="1"/>
  <c r="DE14" i="10"/>
  <c r="DP43" i="10"/>
  <c r="EP45" i="10"/>
  <c r="EO47" i="10"/>
  <c r="EO48" i="10"/>
  <c r="CW61" i="10"/>
  <c r="CT64" i="10"/>
  <c r="BW64" i="10"/>
  <c r="BZ65" i="10" s="1"/>
  <c r="BZ66" i="10" s="1"/>
  <c r="DH45" i="10"/>
  <c r="DD44" i="10"/>
  <c r="DF25" i="10"/>
  <c r="DE25" i="10"/>
  <c r="DT45" i="10"/>
  <c r="DP45" i="10"/>
  <c r="DP44" i="10"/>
  <c r="CT19" i="10"/>
  <c r="CT38" i="10" s="1"/>
  <c r="CS19" i="10"/>
  <c r="DU64" i="10"/>
  <c r="DF29" i="10"/>
  <c r="DF30" i="10"/>
  <c r="DE30" i="10"/>
  <c r="DD45" i="10"/>
  <c r="DF59" i="10"/>
  <c r="DF18" i="10"/>
  <c r="DE18" i="10"/>
  <c r="CH48" i="10"/>
  <c r="CG38" i="10"/>
  <c r="AH39" i="10"/>
  <c r="AP45" i="10"/>
  <c r="AO47" i="10"/>
  <c r="AP48" i="10" s="1"/>
  <c r="BZ64" i="10"/>
  <c r="EP64" i="10"/>
  <c r="ES65" i="10" s="1"/>
  <c r="ES66" i="10" s="1"/>
  <c r="V52" i="10"/>
  <c r="CK39" i="10"/>
  <c r="AD47" i="10"/>
  <c r="BV64" i="10"/>
  <c r="EG64" i="10"/>
  <c r="ED64" i="10"/>
  <c r="EG65" i="10" s="1"/>
  <c r="EG66" i="10" s="1"/>
  <c r="DI59" i="10"/>
  <c r="DJ59" i="10" s="1"/>
  <c r="BL38" i="10"/>
  <c r="DR38" i="10"/>
  <c r="AE45" i="10"/>
  <c r="BO57" i="10"/>
  <c r="BO59" i="10" s="1"/>
  <c r="CH61" i="10"/>
  <c r="ES61" i="10"/>
  <c r="ES64" i="10" s="1"/>
  <c r="DF31" i="10"/>
  <c r="DE31" i="10"/>
  <c r="AX57" i="10"/>
  <c r="BC45" i="10"/>
  <c r="BK46" i="10"/>
  <c r="BJ48" i="10"/>
  <c r="BO42" i="10" s="1"/>
  <c r="BV46" i="10"/>
  <c r="CH55" i="10"/>
  <c r="CK55" i="10" s="1"/>
  <c r="DC38" i="10"/>
  <c r="EB43" i="10"/>
  <c r="AY42" i="10"/>
  <c r="AY43" i="10" s="1"/>
  <c r="CG48" i="10"/>
  <c r="BO64" i="10"/>
  <c r="AP38" i="10"/>
  <c r="U43" i="10"/>
  <c r="U42" i="10"/>
  <c r="EB44" i="10"/>
  <c r="EB45" i="10" s="1"/>
  <c r="DR59" i="10"/>
  <c r="DR64" i="10" s="1"/>
  <c r="DU65" i="10" s="1"/>
  <c r="DU66" i="10" s="1"/>
  <c r="DV61" i="10"/>
  <c r="DE20" i="10"/>
  <c r="DE26" i="10"/>
  <c r="DE32" i="10"/>
  <c r="CR45" i="10"/>
  <c r="V48" i="10" l="1"/>
  <c r="V47" i="10"/>
  <c r="EC47" i="10"/>
  <c r="EC48" i="10"/>
  <c r="ED45" i="10"/>
  <c r="DF45" i="10"/>
  <c r="DE48" i="10"/>
  <c r="DE47" i="10"/>
  <c r="DF48" i="10" s="1"/>
  <c r="AP39" i="10"/>
  <c r="DQ47" i="10"/>
  <c r="DR45" i="10"/>
  <c r="DQ48" i="10"/>
  <c r="EG67" i="10"/>
  <c r="CS47" i="10"/>
  <c r="CT48" i="10" s="1"/>
  <c r="CS48" i="10"/>
  <c r="CT45" i="10"/>
  <c r="CH64" i="10"/>
  <c r="CK65" i="10" s="1"/>
  <c r="CK66" i="10" s="1"/>
  <c r="CK61" i="10"/>
  <c r="CK64" i="10" s="1"/>
  <c r="ES42" i="10"/>
  <c r="EN47" i="10"/>
  <c r="CR43" i="10"/>
  <c r="CQ54" i="10"/>
  <c r="CQ56" i="10" s="1"/>
  <c r="CR42" i="10"/>
  <c r="EP48" i="10"/>
  <c r="CW65" i="10"/>
  <c r="CW66" i="10" s="1"/>
  <c r="CW64" i="10"/>
  <c r="DC54" i="10"/>
  <c r="DC56" i="10" s="1"/>
  <c r="DD42" i="10"/>
  <c r="DD43" i="10"/>
  <c r="BD61" i="10"/>
  <c r="BD64" i="10" s="1"/>
  <c r="BA64" i="10"/>
  <c r="BD65" i="10" s="1"/>
  <c r="BD66" i="10" s="1"/>
  <c r="CT39" i="10"/>
  <c r="CE68" i="10"/>
  <c r="CE69" i="10" s="1"/>
  <c r="CH39" i="10"/>
  <c r="BL48" i="10"/>
  <c r="DR39" i="10"/>
  <c r="BL39" i="10"/>
  <c r="DI61" i="10"/>
  <c r="DF64" i="10"/>
  <c r="DI65" i="10" s="1"/>
  <c r="DI66" i="10" s="1"/>
  <c r="DU67" i="10" s="1"/>
  <c r="C12" i="2"/>
  <c r="B11" i="2"/>
  <c r="DR48" i="10" l="1"/>
  <c r="DJ61" i="10"/>
  <c r="DI64" i="10"/>
  <c r="ED48" i="10"/>
  <c r="C13" i="2"/>
  <c r="B12" i="2"/>
  <c r="C14" i="2" l="1"/>
  <c r="B13" i="2"/>
  <c r="C15" i="2" l="1"/>
  <c r="B14" i="2"/>
  <c r="B15" i="2" l="1"/>
  <c r="C16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B25" i="2" l="1"/>
  <c r="C26" i="2"/>
  <c r="C27" i="2" l="1"/>
  <c r="B26" i="2"/>
  <c r="C28" i="2" l="1"/>
  <c r="B27" i="2"/>
  <c r="C29" i="2" l="1"/>
  <c r="B28" i="2"/>
  <c r="B29" i="2" l="1"/>
  <c r="C30" i="2"/>
  <c r="B30" i="2" l="1"/>
  <c r="C31" i="2"/>
  <c r="B31" i="2" l="1"/>
  <c r="C32" i="2"/>
  <c r="C33" i="2" l="1"/>
  <c r="B32" i="2"/>
  <c r="C34" i="2" l="1"/>
  <c r="B33" i="2"/>
  <c r="B34" i="2" l="1"/>
  <c r="C35" i="2"/>
  <c r="C36" i="2" l="1"/>
  <c r="B36" i="2" s="1"/>
  <c r="B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6" authorId="0" shapeId="0" xr:uid="{00000000-0006-0000-0900-000001000000}">
      <text>
        <r>
          <rPr>
            <sz val="11"/>
            <color theme="1"/>
            <rFont val="Calibri"/>
            <scheme val="minor"/>
          </rPr>
          <t>based on actual price per 5-min.
	-Marife Salvador</t>
        </r>
      </text>
    </comment>
    <comment ref="AH6" authorId="0" shapeId="0" xr:uid="{00000000-0006-0000-0900-000002000000}">
      <text>
        <r>
          <rPr>
            <sz val="11"/>
            <color theme="1"/>
            <rFont val="Calibri"/>
            <scheme val="minor"/>
          </rPr>
          <t>based on actual price per 5-min.
	-Marife Salvador</t>
        </r>
      </text>
    </comment>
    <comment ref="U7" authorId="0" shapeId="0" xr:uid="{00000000-0006-0000-0900-000003000000}">
      <text>
        <r>
          <rPr>
            <sz val="11"/>
            <color theme="1"/>
            <rFont val="Calibri"/>
            <scheme val="minor"/>
          </rPr>
          <t>Corrected re 98% minimum load nomination for january  - February 2022
	-leah francisco</t>
        </r>
      </text>
    </comment>
    <comment ref="S13" authorId="0" shapeId="0" xr:uid="{00000000-0006-0000-0900-000004000000}">
      <text>
        <r>
          <rPr>
            <sz val="11"/>
            <color theme="1"/>
            <rFont val="Calibri"/>
            <scheme val="minor"/>
          </rPr>
          <t>Chinese New Year (Holiday)
	-Charles William Santiago</t>
        </r>
      </text>
    </comment>
    <comment ref="S37" authorId="0" shapeId="0" xr:uid="{00000000-0006-0000-0900-000005000000}">
      <text>
        <r>
          <rPr>
            <sz val="11"/>
            <color theme="1"/>
            <rFont val="Calibri"/>
            <scheme val="minor"/>
          </rPr>
          <t>People Power Anniversary (Holiday)
	-Charles William Santiago</t>
        </r>
      </text>
    </comment>
    <comment ref="BY53" authorId="0" shapeId="0" xr:uid="{00000000-0006-0000-0900-000006000000}">
      <text>
        <r>
          <rPr>
            <sz val="11"/>
            <color theme="1"/>
            <rFont val="Calibri"/>
            <scheme val="minor"/>
          </rPr>
          <t>value must be in positive sign
	-Marife Salvador</t>
        </r>
      </text>
    </comment>
    <comment ref="DT55" authorId="0" shapeId="0" xr:uid="{00000000-0006-0000-0900-000007000000}">
      <text>
        <r>
          <rPr>
            <sz val="11"/>
            <color theme="1"/>
            <rFont val="Calibri"/>
            <scheme val="minor"/>
          </rPr>
          <t>NGCP adj(Oliver) Oct2022
	-Marife Salvador</t>
        </r>
      </text>
    </comment>
  </commentList>
</comments>
</file>

<file path=xl/sharedStrings.xml><?xml version="1.0" encoding="utf-8"?>
<sst xmlns="http://schemas.openxmlformats.org/spreadsheetml/2006/main" count="1172" uniqueCount="236">
  <si>
    <t>Day</t>
  </si>
  <si>
    <t>Present Month MQ</t>
  </si>
  <si>
    <t>APRI</t>
  </si>
  <si>
    <t>WESM</t>
  </si>
  <si>
    <t>Remarks</t>
  </si>
  <si>
    <t>TOTAL</t>
  </si>
  <si>
    <t>Ave. Rate</t>
  </si>
  <si>
    <t>Buy+/Sell-</t>
  </si>
  <si>
    <t>Buy (kW)</t>
  </si>
  <si>
    <t>Sell (kW)</t>
  </si>
  <si>
    <t>Average Price of the Day</t>
  </si>
  <si>
    <t>Estimated Buy Amount</t>
  </si>
  <si>
    <t>**Estimated Sell Amount (already offset the WESM Exposure)</t>
  </si>
  <si>
    <t>Friday</t>
  </si>
  <si>
    <t>Sunday</t>
  </si>
  <si>
    <t>Wednesday</t>
  </si>
  <si>
    <t>Saturday</t>
  </si>
  <si>
    <t>Tuesday</t>
  </si>
  <si>
    <t>Thursday</t>
  </si>
  <si>
    <t>TAL, ALG, CAR No Data</t>
  </si>
  <si>
    <t>Max hourly ave price is 34.22php/kwhr</t>
  </si>
  <si>
    <t>CAR No Data</t>
  </si>
  <si>
    <t>Monday</t>
  </si>
  <si>
    <t>25php/kwhr Average Price for the Day</t>
  </si>
  <si>
    <t>TAL, CAR No Data</t>
  </si>
  <si>
    <t>31php/kwhr Average Price for the Day</t>
  </si>
  <si>
    <t>Max hourly ave price is 17.46php/kwhr</t>
  </si>
  <si>
    <t>ALG, CAR No Data</t>
  </si>
  <si>
    <t>30php/kwhr Average Price for the Day</t>
  </si>
  <si>
    <t>**Tuesday</t>
  </si>
  <si>
    <t>Price Surge Occurs (321php/kwhr MAX RECORDED)</t>
  </si>
  <si>
    <t>NGCP Power Interruption</t>
  </si>
  <si>
    <t>Max hourly ave price is 15.09php/kwhr</t>
  </si>
  <si>
    <t>35php/kwhr Average Price for the Day</t>
  </si>
  <si>
    <t>*Wednesday</t>
  </si>
  <si>
    <t>High negative and Zero prices occurs</t>
  </si>
  <si>
    <t>Max hourly ave price is 138php/kwhr</t>
  </si>
  <si>
    <t>Max hourly ave price is 60.31php/kwhr</t>
  </si>
  <si>
    <t>TAL, MNZ,CAR No Data</t>
  </si>
  <si>
    <t>21php/kwhr Average Price for the Day</t>
  </si>
  <si>
    <t>*Thursday</t>
  </si>
  <si>
    <t>Low and Zero prices occurs</t>
  </si>
  <si>
    <t>Max hourly ave price is 16php/kwhr</t>
  </si>
  <si>
    <t>QZN, CAR No Data</t>
  </si>
  <si>
    <t>Max hourly ave price is 12.60php/kwhr</t>
  </si>
  <si>
    <t>27php/kwhr Average Price for the Day</t>
  </si>
  <si>
    <t>Tuesday (H)</t>
  </si>
  <si>
    <t>*Friday</t>
  </si>
  <si>
    <t>Max hourly ave price is 30+php/kwhr</t>
  </si>
  <si>
    <t>Max hourly ave price is 28php/kwhr</t>
  </si>
  <si>
    <t>Max hourly ave price is 34.44php/kwhr</t>
  </si>
  <si>
    <t>QZN, GBA, CAR No Data</t>
  </si>
  <si>
    <t>29php/kwhr Average Price for the Day</t>
  </si>
  <si>
    <t>*Saturday</t>
  </si>
  <si>
    <t>NGCP Power  Unsched P.Interruption</t>
  </si>
  <si>
    <t>Max hourly ave price is 18php/kwhr</t>
  </si>
  <si>
    <t>QZN, ALG, CAR No Data</t>
  </si>
  <si>
    <t>Max hourly ave price is 68.18php/kwhr</t>
  </si>
  <si>
    <t>TAL,QZN, GBA, ALG, LUPAO, CAR No Data</t>
  </si>
  <si>
    <t>*Sunday</t>
  </si>
  <si>
    <t>Max hourly ave price is 92php/kwhr</t>
  </si>
  <si>
    <t>QZN, GBA, ALG, CAR No Data</t>
  </si>
  <si>
    <t>Max hourly ave price is 14.46php/kwhr</t>
  </si>
  <si>
    <t>Max hourly ave price is 15php/kwhr</t>
  </si>
  <si>
    <t>GBA, LPO, CAR No Data</t>
  </si>
  <si>
    <t>TAL,QZN, GBA, ALG, CAR No Data</t>
  </si>
  <si>
    <t>4.93php/kwhr Average Price for the Day</t>
  </si>
  <si>
    <t>Max hourly ave price is 35php/kwhr</t>
  </si>
  <si>
    <t>TAL, QZN, GBA, ALG, CAR No Data</t>
  </si>
  <si>
    <t>TAL,QZN, CAR No Data</t>
  </si>
  <si>
    <t>58php/kwhr Average Price for the Day</t>
  </si>
  <si>
    <t>4.52php/kwhr Average Price for the Day</t>
  </si>
  <si>
    <t>TAL, QZN, GBA, ALG,LPO, CAR No Data)</t>
  </si>
  <si>
    <t>41php/kwhr Average Price for the Day</t>
  </si>
  <si>
    <t>4.85php/kwhr Average Price for the Day</t>
  </si>
  <si>
    <t>Min hourly ave price is 0.2php/kwhr</t>
  </si>
  <si>
    <t>TAL, QZN, ALG,LPO, CAR No Data</t>
  </si>
  <si>
    <t>4.05php/kwhr Average Price for the Day</t>
  </si>
  <si>
    <t>Min hourly ave price is -0.8php/kwhr</t>
  </si>
  <si>
    <t>TAL, QZN,GBA, ALG,LPO, CAR No Data</t>
  </si>
  <si>
    <t>3.32php/kwhr Average Price for the Day</t>
  </si>
  <si>
    <t>NGCP Power Interruption but prices are higher at night</t>
  </si>
  <si>
    <t>Max hourly ave price is 22php/kwhr</t>
  </si>
  <si>
    <t>Max hourly ave price is 13php/kwhr</t>
  </si>
  <si>
    <t>14php/kwhr Average Price for the Day</t>
  </si>
  <si>
    <t>5.61php/kwhr Average Price for the Day</t>
  </si>
  <si>
    <t>Max hourly ave price is 41php/kwhr</t>
  </si>
  <si>
    <t>22php/kwhr Average Price for the Day</t>
  </si>
  <si>
    <t>5.35php/kwhr Average Price for the Day</t>
  </si>
  <si>
    <t>Price Surge Occurs</t>
  </si>
  <si>
    <t>Max hourly ave price is 64php/kwhr</t>
  </si>
  <si>
    <t>TAL,LPO, CAR No Data</t>
  </si>
  <si>
    <t>17php/kwhr Average Price for the Day</t>
  </si>
  <si>
    <t>4.62php/kwhr Average Price for the Day</t>
  </si>
  <si>
    <t>Price Surge Occurs (100+php/kwhr)</t>
  </si>
  <si>
    <t>Min hourly ave price is -70php/kwhr</t>
  </si>
  <si>
    <t>TAL, QZN,LPO, CAR No Data</t>
  </si>
  <si>
    <t>5.51php/kwhr Average Price for the Day</t>
  </si>
  <si>
    <t>Most of the intervals do not have indicated price</t>
  </si>
  <si>
    <t>Min hourly ave price is 25php/kwhr</t>
  </si>
  <si>
    <t>(LPO, CAR No Data)</t>
  </si>
  <si>
    <t>7.07php/kwhr Average Price for the Day</t>
  </si>
  <si>
    <t>LPO, CAR No Data</t>
  </si>
  <si>
    <t xml:space="preserve">Maximum Hourly Average Price 32.67 
</t>
  </si>
  <si>
    <t>7.36php/kwhr Average Price for the Day</t>
  </si>
  <si>
    <t xml:space="preserve">Maximum Hourly Average Price      20.70 
</t>
  </si>
  <si>
    <t>6.14php/kwhr Average Price for the Day</t>
  </si>
  <si>
    <t>GBA, CAR No Data</t>
  </si>
  <si>
    <t>24php/kwhr Average Price for the Day</t>
  </si>
  <si>
    <t>7.24php/kwhr Average Price for the Day</t>
  </si>
  <si>
    <t>Max hourly ave price is 24php/kwhr</t>
  </si>
  <si>
    <t>13php/kwhr Average Price for the Day</t>
  </si>
  <si>
    <t>7.61php/kwhr Average Price for the Day</t>
  </si>
  <si>
    <t>8php/kwhr Average Price for the Day</t>
  </si>
  <si>
    <t>7.26php/kwhr Average Price for the Day</t>
  </si>
  <si>
    <t>Price dip Occurs (0php/kwhr) on most intervals and interruptions on some ss</t>
  </si>
  <si>
    <t>9php/kwhr Average Price for the Day</t>
  </si>
  <si>
    <t>7.64php/kwhr Average Price for the Day</t>
  </si>
  <si>
    <t>7php/kwhr Average Price for the Day</t>
  </si>
  <si>
    <t>7.08php/kwhr Average Price for the Day</t>
  </si>
  <si>
    <t>low price on off peak dip unto 0php/kwhr mostly in high resale interval</t>
  </si>
  <si>
    <t>Max hourly ave price is 130+php/kwhr</t>
  </si>
  <si>
    <t>Max hourly ave price is 40php/kwhr</t>
  </si>
  <si>
    <t>With oliver ricemill (Prelim Data)</t>
  </si>
  <si>
    <t>6php/kwhr Average Price for the Day</t>
  </si>
  <si>
    <t>11.52php/kwhr Average Price for the Day</t>
  </si>
  <si>
    <t>Max hourly ave price is260+php/kwhr</t>
  </si>
  <si>
    <t>Max hourly ave price is 78php/kwhr</t>
  </si>
  <si>
    <t>With oliver ricemill</t>
  </si>
  <si>
    <t>5php/kwhr Average Price for the Day</t>
  </si>
  <si>
    <t>7.65php/kwhr Average Price for the Day</t>
  </si>
  <si>
    <t>Price Surge Occurs (70-80+php/kwhr)</t>
  </si>
  <si>
    <t>Max hourly ave price is 101php/kwhr</t>
  </si>
  <si>
    <t>TAL,CAR No Data</t>
  </si>
  <si>
    <t>Max ave. price of 33.41</t>
  </si>
  <si>
    <t>2php/kwhr Average Price for the Day</t>
  </si>
  <si>
    <t>8.00php/kwhr Average Price for the Day</t>
  </si>
  <si>
    <t>Max hourly ave price is 88php/kwhr</t>
  </si>
  <si>
    <t>1php/kwhr Average Price for the Day</t>
  </si>
  <si>
    <t>7.73php/kwhr Average Price for the Day</t>
  </si>
  <si>
    <t>Friday (H)</t>
  </si>
  <si>
    <t>*Monday</t>
  </si>
  <si>
    <t>Min hourly ave price is 34php/kwhr</t>
  </si>
  <si>
    <t>7.63php/kwhr Average Price for the Day</t>
  </si>
  <si>
    <t>Days of nomination</t>
  </si>
  <si>
    <t>Remaining Days</t>
  </si>
  <si>
    <t>Meter Quantity</t>
  </si>
  <si>
    <t>Ave./day</t>
  </si>
  <si>
    <t>Estimated Purchased</t>
  </si>
  <si>
    <t>Estimated Purchased - APRI</t>
  </si>
  <si>
    <t>energy needed for demand @ 35MW</t>
  </si>
  <si>
    <t>energy needed for demand @ 37MW (from Dec 26, 2022- Dec. 25, 2023)</t>
  </si>
  <si>
    <t>**Estimated Buy/Sell Amount is based on 5 minute interval price</t>
  </si>
  <si>
    <t>buy</t>
  </si>
  <si>
    <t>sell</t>
  </si>
  <si>
    <t>FOR APRIL 2022 RATE COMPUTATION:</t>
  </si>
  <si>
    <t>FOR MAY 2022 RATE COMPUTATION:  POWER BILLS-</t>
  </si>
  <si>
    <t>FOR JUNE 2022 RATE COMPUTATION:  POWER BILLS-</t>
  </si>
  <si>
    <t>FOR JULY 2022 RATE COMPUTATION:  POWER BILLS-</t>
  </si>
  <si>
    <t>FOR AUGUST 2022 RATE COMPUTATION:  POWER BILLS-</t>
  </si>
  <si>
    <t>FOR SEPTEMBER 2022 RATE COMPUTATION:  POWER BILLS-</t>
  </si>
  <si>
    <t>FOR OCTOBER 2022 RATE COMPUTATION:  POWER BILLS-</t>
  </si>
  <si>
    <t>FOR NOVEMBER 2022 RATE COMPUTATION:  POWER BILLS-</t>
  </si>
  <si>
    <t>FOR DECEMBER 2022 RATE COMPUTATION:  POWER BILLS-</t>
  </si>
  <si>
    <t>FEB 26-MAR 25, 2022</t>
  </si>
  <si>
    <t>kWh</t>
  </si>
  <si>
    <t>POWER</t>
  </si>
  <si>
    <t>VAT</t>
  </si>
  <si>
    <t>DISCOUNTS</t>
  </si>
  <si>
    <t>EWT</t>
  </si>
  <si>
    <t>NET AMOUNT</t>
  </si>
  <si>
    <t>MAR 26-APR 25, 2022</t>
  </si>
  <si>
    <t>DISC</t>
  </si>
  <si>
    <t>APR 26-MAY 25, 2022</t>
  </si>
  <si>
    <t>AMOUNT</t>
  </si>
  <si>
    <t>MAY 26-JUNE 25, 2022</t>
  </si>
  <si>
    <t>JUNE 26-JULY 25, 2022</t>
  </si>
  <si>
    <t>JUL 26-AUG 25, 2022</t>
  </si>
  <si>
    <t>AUG 26-SEP 25, 2022</t>
  </si>
  <si>
    <t>Amount</t>
  </si>
  <si>
    <t>SEP 26-OCT 25, 2022</t>
  </si>
  <si>
    <t>OCT 26-NOV 25, 2022</t>
  </si>
  <si>
    <t>must be zero--&gt;</t>
  </si>
  <si>
    <t>AMQ</t>
  </si>
  <si>
    <t>NGCP</t>
  </si>
  <si>
    <t>diff</t>
  </si>
  <si>
    <t>adj. / Line Rental</t>
  </si>
  <si>
    <t>adj.</t>
  </si>
  <si>
    <t>prelim</t>
  </si>
  <si>
    <t>FINAL</t>
  </si>
  <si>
    <t>Final</t>
  </si>
  <si>
    <t>IEMOP-final</t>
  </si>
  <si>
    <t>IEMOP (Payble)-Final</t>
  </si>
  <si>
    <t>IEMOP (Payable)-Final</t>
  </si>
  <si>
    <t>IEMOP-adj</t>
  </si>
  <si>
    <t>recbles.</t>
  </si>
  <si>
    <t>IEMOP(Receivable)-Final</t>
  </si>
  <si>
    <t>IEMOP(Adjustments)</t>
  </si>
  <si>
    <t>Php</t>
  </si>
  <si>
    <t>totall bill net of 50% PPD</t>
  </si>
  <si>
    <t>ave. gen/trans rate</t>
  </si>
  <si>
    <t>inc/(dec) current vs. prior mo.</t>
  </si>
  <si>
    <t>php/kwhr Average Price for the Day</t>
  </si>
  <si>
    <t>No Data Estimated 5mins interval of SS NGCP Reading</t>
  </si>
  <si>
    <t>Talavera, Munoz, Quezon, Guimba</t>
  </si>
  <si>
    <t>Talavera, Quezon</t>
  </si>
  <si>
    <t>Quezon, Guimba</t>
  </si>
  <si>
    <t>Talavera, Quezon, Aliaga</t>
  </si>
  <si>
    <t>Talavera, Guimba, Aliaga</t>
  </si>
  <si>
    <t>Talavera, Munoz, Quezon, Guimba, Aliaga, Oliver, Carranglan</t>
  </si>
  <si>
    <t>Guimba, Aliaga</t>
  </si>
  <si>
    <t>Aliaga, Oliver</t>
  </si>
  <si>
    <t>Guimba, Aliaga, Carr</t>
  </si>
  <si>
    <t>Talavera, Aliaga, Carranglan</t>
  </si>
  <si>
    <t>Guimba, Aliaga, Lupao</t>
  </si>
  <si>
    <t>Talavera, Aliaga</t>
  </si>
  <si>
    <t>Talavera, Quezon, Guimba</t>
  </si>
  <si>
    <t>Quezon, Guimba, Aliaga, Carranglan</t>
  </si>
  <si>
    <t>Talavera, Guimba, Aliaga, Oliver</t>
  </si>
  <si>
    <t>Munoz, Quezon, Guimba, Aliaga</t>
  </si>
  <si>
    <t>Talavera, Guimba, Aliaga, Lupao</t>
  </si>
  <si>
    <t>Talavera, Guimba, Aliaga, Oliver, Carranglan</t>
  </si>
  <si>
    <t>Talavera, Quezon, Aliaga, Lupao</t>
  </si>
  <si>
    <t>Quezon, Aliaga, Carranglan</t>
  </si>
  <si>
    <t>Quezon, Guimba.</t>
  </si>
  <si>
    <t>Talavera, Quezon,Aliaga,Oliver,Carranglan</t>
  </si>
  <si>
    <t>Munoz,Guimba, Aliaga, Carranglan</t>
  </si>
  <si>
    <t>Talavera, Munoz, Quezon, Guimba, Aliaga,Lupao, Carranglan</t>
  </si>
  <si>
    <t>energy needed for demand @ 39MW (from Dec 26, 2023- Dec. 25, 2024)</t>
  </si>
  <si>
    <t>Monthly</t>
  </si>
  <si>
    <t>tentative</t>
  </si>
  <si>
    <t>pur</t>
  </si>
  <si>
    <t>sales</t>
  </si>
  <si>
    <t>sl</t>
  </si>
  <si>
    <t>For jULY 2024 RATE COMPUTATION:  POWER BILLS-</t>
  </si>
  <si>
    <t>October 26 - November 25,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</si>
</sst>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mmmm\,\ yyyy"/>
    <numFmt numFmtId="165" formatCode="#,##0.00;\(#,##0.00\)"/>
    <numFmt numFmtId="166" formatCode="_(* #,##0.0000_);_(* \(#,##0.0000\);_(* &quot;-&quot;??_);_(@_)"/>
    <numFmt numFmtId="167" formatCode="_(* #,##0.00_);_(* \(#,##0.00\);_(* &quot;-&quot;??_);_(@_)"/>
    <numFmt numFmtId="168" formatCode="0.0000"/>
    <numFmt numFmtId="169" formatCode="#,##0.0000_);[Red]\(#,##0.0000\)"/>
    <numFmt numFmtId="170" formatCode="#,##0.00_);[Red]\(#,##0.00\)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9C0006"/>
      <name val="Arial"/>
      <family val="2"/>
    </font>
    <font>
      <sz val="11"/>
      <color theme="1"/>
      <name val="Arial"/>
      <family val="2"/>
    </font>
    <font>
      <sz val="11"/>
      <color rgb="FF9C0006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9C0006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b/>
      <sz val="11"/>
      <color rgb="FF000000"/>
      <name val="Inconsolata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9C0006"/>
      <name val="Arial"/>
      <family val="2"/>
    </font>
    <font>
      <sz val="9"/>
      <color rgb="FF1155CC"/>
      <name val="Google Sans Mono"/>
    </font>
    <font>
      <b/>
      <sz val="11"/>
      <color theme="1"/>
      <name val="Inconsolata"/>
    </font>
    <font>
      <i/>
      <sz val="11"/>
      <color theme="1"/>
      <name val="Calibri"/>
      <family val="2"/>
    </font>
    <font>
      <sz val="11"/>
      <color rgb="FFFF0000"/>
      <name val="Roboto"/>
    </font>
    <font>
      <sz val="11"/>
      <color rgb="FF000000"/>
      <name val="Roboto"/>
    </font>
    <font>
      <sz val="14"/>
      <color theme="1"/>
      <name val="Calibri"/>
      <family val="2"/>
    </font>
    <font>
      <sz val="9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  <fill>
      <patternFill patternType="solid">
        <fgColor rgb="FFFFF96B"/>
        <bgColor rgb="FFFFF96B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rgb="FFFF99FF"/>
        <bgColor rgb="FFFF99FF"/>
      </patternFill>
    </fill>
    <fill>
      <patternFill patternType="solid">
        <fgColor rgb="FFDBDBDB"/>
        <bgColor rgb="FFDBDBDB"/>
      </patternFill>
    </fill>
    <fill>
      <patternFill patternType="solid">
        <fgColor rgb="FFD9D9D9"/>
        <bgColor rgb="FFD9D9D9"/>
      </patternFill>
    </fill>
    <fill>
      <patternFill patternType="solid">
        <fgColor rgb="FFFFE699"/>
        <bgColor rgb="FFFFE699"/>
      </patternFill>
    </fill>
    <fill>
      <patternFill patternType="solid">
        <fgColor theme="9"/>
        <bgColor theme="9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57BB8A"/>
        <bgColor rgb="FF57BB8A"/>
      </patternFill>
    </fill>
    <fill>
      <patternFill patternType="solid">
        <fgColor rgb="FF70AD47"/>
        <bgColor rgb="FF70AD47"/>
      </patternFill>
    </fill>
  </fills>
  <borders count="70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3" fillId="0" borderId="5" xfId="0" applyFont="1" applyBorder="1"/>
    <xf numFmtId="164" fontId="2" fillId="0" borderId="0" xfId="0" applyNumberFormat="1" applyFont="1" applyAlignment="1">
      <alignment horizontal="center"/>
    </xf>
    <xf numFmtId="164" fontId="2" fillId="2" borderId="9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65" fontId="4" fillId="0" borderId="34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7" fillId="3" borderId="34" xfId="0" applyFont="1" applyFill="1" applyBorder="1" applyAlignment="1">
      <alignment horizontal="left"/>
    </xf>
    <xf numFmtId="16" fontId="7" fillId="0" borderId="34" xfId="0" applyNumberFormat="1" applyFont="1" applyBorder="1" applyAlignment="1">
      <alignment horizontal="left"/>
    </xf>
    <xf numFmtId="167" fontId="9" fillId="0" borderId="33" xfId="0" applyNumberFormat="1" applyFont="1" applyBorder="1"/>
    <xf numFmtId="168" fontId="9" fillId="0" borderId="14" xfId="0" applyNumberFormat="1" applyFont="1" applyBorder="1" applyAlignment="1">
      <alignment horizontal="right"/>
    </xf>
    <xf numFmtId="0" fontId="6" fillId="0" borderId="37" xfId="0" applyFont="1" applyBorder="1" applyAlignment="1">
      <alignment horizontal="center"/>
    </xf>
    <xf numFmtId="0" fontId="7" fillId="5" borderId="34" xfId="0" applyFont="1" applyFill="1" applyBorder="1" applyAlignment="1">
      <alignment horizontal="left"/>
    </xf>
    <xf numFmtId="16" fontId="7" fillId="0" borderId="11" xfId="0" applyNumberFormat="1" applyFont="1" applyBorder="1" applyAlignment="1">
      <alignment horizontal="right"/>
    </xf>
    <xf numFmtId="167" fontId="7" fillId="0" borderId="33" xfId="0" applyNumberFormat="1" applyFont="1" applyBorder="1"/>
    <xf numFmtId="168" fontId="7" fillId="0" borderId="14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9" fillId="0" borderId="37" xfId="0" applyFont="1" applyBorder="1" applyAlignment="1">
      <alignment horizontal="center"/>
    </xf>
    <xf numFmtId="16" fontId="7" fillId="0" borderId="11" xfId="0" applyNumberFormat="1" applyFont="1" applyBorder="1" applyAlignment="1">
      <alignment horizontal="left"/>
    </xf>
    <xf numFmtId="0" fontId="9" fillId="0" borderId="38" xfId="0" applyFont="1" applyBorder="1" applyAlignment="1">
      <alignment horizontal="center"/>
    </xf>
    <xf numFmtId="4" fontId="7" fillId="0" borderId="33" xfId="0" applyNumberFormat="1" applyFont="1" applyBorder="1"/>
    <xf numFmtId="165" fontId="7" fillId="0" borderId="11" xfId="0" applyNumberFormat="1" applyFont="1" applyBorder="1"/>
    <xf numFmtId="4" fontId="7" fillId="0" borderId="14" xfId="0" applyNumberFormat="1" applyFont="1" applyBorder="1" applyAlignment="1">
      <alignment horizontal="right"/>
    </xf>
    <xf numFmtId="4" fontId="7" fillId="0" borderId="22" xfId="0" applyNumberFormat="1" applyFont="1" applyBorder="1" applyAlignment="1">
      <alignment horizontal="right"/>
    </xf>
    <xf numFmtId="165" fontId="7" fillId="0" borderId="34" xfId="0" applyNumberFormat="1" applyFont="1" applyBorder="1" applyAlignment="1">
      <alignment horizontal="right"/>
    </xf>
    <xf numFmtId="4" fontId="9" fillId="0" borderId="22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right"/>
    </xf>
    <xf numFmtId="0" fontId="9" fillId="6" borderId="34" xfId="0" applyFont="1" applyFill="1" applyBorder="1"/>
    <xf numFmtId="165" fontId="9" fillId="0" borderId="39" xfId="0" applyNumberFormat="1" applyFont="1" applyBorder="1" applyAlignment="1">
      <alignment horizontal="left"/>
    </xf>
    <xf numFmtId="165" fontId="9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6" fontId="8" fillId="4" borderId="34" xfId="0" applyNumberFormat="1" applyFont="1" applyFill="1" applyBorder="1"/>
    <xf numFmtId="0" fontId="6" fillId="0" borderId="0" xfId="0" applyFont="1" applyAlignment="1">
      <alignment horizontal="right"/>
    </xf>
    <xf numFmtId="167" fontId="8" fillId="4" borderId="34" xfId="0" applyNumberFormat="1" applyFont="1" applyFill="1" applyBorder="1"/>
    <xf numFmtId="167" fontId="10" fillId="4" borderId="34" xfId="0" applyNumberFormat="1" applyFont="1" applyFill="1" applyBorder="1"/>
    <xf numFmtId="4" fontId="9" fillId="0" borderId="33" xfId="0" applyNumberFormat="1" applyFont="1" applyBorder="1"/>
    <xf numFmtId="165" fontId="7" fillId="0" borderId="34" xfId="0" applyNumberFormat="1" applyFont="1" applyBorder="1"/>
    <xf numFmtId="4" fontId="9" fillId="0" borderId="14" xfId="0" applyNumberFormat="1" applyFont="1" applyBorder="1" applyAlignment="1">
      <alignment horizontal="right"/>
    </xf>
    <xf numFmtId="167" fontId="7" fillId="4" borderId="34" xfId="0" applyNumberFormat="1" applyFont="1" applyFill="1" applyBorder="1" applyAlignment="1">
      <alignment horizontal="right"/>
    </xf>
    <xf numFmtId="4" fontId="7" fillId="0" borderId="14" xfId="0" applyNumberFormat="1" applyFont="1" applyBorder="1" applyAlignment="1">
      <alignment horizontal="center"/>
    </xf>
    <xf numFmtId="167" fontId="9" fillId="0" borderId="40" xfId="0" applyNumberFormat="1" applyFont="1" applyBorder="1"/>
    <xf numFmtId="4" fontId="12" fillId="0" borderId="14" xfId="0" applyNumberFormat="1" applyFont="1" applyBorder="1" applyAlignment="1">
      <alignment horizontal="right"/>
    </xf>
    <xf numFmtId="4" fontId="7" fillId="0" borderId="14" xfId="0" applyNumberFormat="1" applyFont="1" applyBorder="1"/>
    <xf numFmtId="165" fontId="13" fillId="0" borderId="0" xfId="0" applyNumberFormat="1" applyFont="1" applyAlignment="1">
      <alignment horizontal="left"/>
    </xf>
    <xf numFmtId="165" fontId="14" fillId="3" borderId="34" xfId="0" applyNumberFormat="1" applyFont="1" applyFill="1" applyBorder="1" applyAlignment="1">
      <alignment horizontal="right"/>
    </xf>
    <xf numFmtId="165" fontId="9" fillId="3" borderId="39" xfId="0" applyNumberFormat="1" applyFont="1" applyFill="1" applyBorder="1" applyAlignment="1">
      <alignment horizontal="left"/>
    </xf>
    <xf numFmtId="4" fontId="7" fillId="0" borderId="22" xfId="0" applyNumberFormat="1" applyFont="1" applyBorder="1" applyAlignment="1">
      <alignment horizontal="center"/>
    </xf>
    <xf numFmtId="4" fontId="9" fillId="3" borderId="34" xfId="0" applyNumberFormat="1" applyFont="1" applyFill="1" applyBorder="1" applyAlignment="1">
      <alignment horizontal="right"/>
    </xf>
    <xf numFmtId="165" fontId="7" fillId="3" borderId="34" xfId="0" applyNumberFormat="1" applyFont="1" applyFill="1" applyBorder="1" applyAlignment="1">
      <alignment horizontal="right"/>
    </xf>
    <xf numFmtId="168" fontId="6" fillId="0" borderId="14" xfId="0" applyNumberFormat="1" applyFont="1" applyBorder="1" applyAlignment="1">
      <alignment horizontal="right"/>
    </xf>
    <xf numFmtId="0" fontId="7" fillId="8" borderId="34" xfId="0" applyFont="1" applyFill="1" applyBorder="1" applyAlignment="1">
      <alignment horizontal="left"/>
    </xf>
    <xf numFmtId="165" fontId="15" fillId="0" borderId="0" xfId="0" applyNumberFormat="1" applyFont="1" applyAlignment="1">
      <alignment horizontal="left"/>
    </xf>
    <xf numFmtId="165" fontId="9" fillId="3" borderId="34" xfId="0" applyNumberFormat="1" applyFont="1" applyFill="1" applyBorder="1" applyAlignment="1">
      <alignment horizontal="right"/>
    </xf>
    <xf numFmtId="167" fontId="7" fillId="0" borderId="10" xfId="0" applyNumberFormat="1" applyFont="1" applyBorder="1"/>
    <xf numFmtId="167" fontId="9" fillId="0" borderId="10" xfId="0" applyNumberFormat="1" applyFont="1" applyBorder="1"/>
    <xf numFmtId="167" fontId="7" fillId="0" borderId="40" xfId="0" applyNumberFormat="1" applyFont="1" applyBorder="1"/>
    <xf numFmtId="165" fontId="7" fillId="0" borderId="40" xfId="0" applyNumberFormat="1" applyFont="1" applyBorder="1" applyAlignment="1">
      <alignment horizontal="right"/>
    </xf>
    <xf numFmtId="167" fontId="7" fillId="0" borderId="0" xfId="0" applyNumberFormat="1" applyFont="1"/>
    <xf numFmtId="167" fontId="9" fillId="0" borderId="39" xfId="0" applyNumberFormat="1" applyFont="1" applyBorder="1" applyAlignment="1">
      <alignment horizontal="left"/>
    </xf>
    <xf numFmtId="167" fontId="9" fillId="0" borderId="0" xfId="0" applyNumberFormat="1" applyFont="1" applyAlignment="1">
      <alignment horizontal="left"/>
    </xf>
    <xf numFmtId="167" fontId="9" fillId="0" borderId="34" xfId="0" applyNumberFormat="1" applyFont="1" applyBorder="1"/>
    <xf numFmtId="168" fontId="6" fillId="0" borderId="41" xfId="0" applyNumberFormat="1" applyFont="1" applyBorder="1" applyAlignment="1">
      <alignment horizontal="right"/>
    </xf>
    <xf numFmtId="4" fontId="9" fillId="0" borderId="40" xfId="0" applyNumberFormat="1" applyFont="1" applyBorder="1"/>
    <xf numFmtId="4" fontId="7" fillId="0" borderId="40" xfId="0" applyNumberFormat="1" applyFont="1" applyBorder="1"/>
    <xf numFmtId="4" fontId="7" fillId="0" borderId="0" xfId="0" applyNumberFormat="1" applyFont="1"/>
    <xf numFmtId="4" fontId="9" fillId="0" borderId="39" xfId="0" applyNumberFormat="1" applyFont="1" applyBorder="1" applyAlignment="1">
      <alignment horizontal="left"/>
    </xf>
    <xf numFmtId="4" fontId="9" fillId="0" borderId="0" xfId="0" applyNumberFormat="1" applyFont="1" applyAlignment="1">
      <alignment horizontal="left"/>
    </xf>
    <xf numFmtId="165" fontId="8" fillId="4" borderId="34" xfId="0" applyNumberFormat="1" applyFont="1" applyFill="1" applyBorder="1"/>
    <xf numFmtId="165" fontId="9" fillId="0" borderId="33" xfId="0" applyNumberFormat="1" applyFont="1" applyBorder="1"/>
    <xf numFmtId="165" fontId="9" fillId="0" borderId="40" xfId="0" applyNumberFormat="1" applyFont="1" applyBorder="1" applyAlignment="1">
      <alignment horizontal="right"/>
    </xf>
    <xf numFmtId="165" fontId="7" fillId="4" borderId="34" xfId="0" applyNumberFormat="1" applyFont="1" applyFill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8" fontId="9" fillId="0" borderId="41" xfId="0" applyNumberFormat="1" applyFont="1" applyBorder="1" applyAlignment="1">
      <alignment horizontal="right"/>
    </xf>
    <xf numFmtId="165" fontId="9" fillId="0" borderId="40" xfId="0" applyNumberFormat="1" applyFont="1" applyBorder="1"/>
    <xf numFmtId="4" fontId="9" fillId="0" borderId="42" xfId="0" applyNumberFormat="1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horizontal="center" vertical="center" wrapText="1"/>
    </xf>
    <xf numFmtId="168" fontId="12" fillId="0" borderId="14" xfId="0" applyNumberFormat="1" applyFont="1" applyBorder="1" applyAlignment="1">
      <alignment horizontal="right"/>
    </xf>
    <xf numFmtId="168" fontId="12" fillId="0" borderId="40" xfId="0" applyNumberFormat="1" applyFont="1" applyBorder="1" applyAlignment="1">
      <alignment horizontal="right"/>
    </xf>
    <xf numFmtId="167" fontId="7" fillId="0" borderId="34" xfId="0" applyNumberFormat="1" applyFont="1" applyBorder="1" applyAlignment="1">
      <alignment horizontal="right"/>
    </xf>
    <xf numFmtId="4" fontId="9" fillId="0" borderId="40" xfId="0" applyNumberFormat="1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16" fontId="8" fillId="4" borderId="34" xfId="0" applyNumberFormat="1" applyFont="1" applyFill="1" applyBorder="1" applyAlignment="1">
      <alignment horizontal="left"/>
    </xf>
    <xf numFmtId="167" fontId="7" fillId="0" borderId="33" xfId="0" applyNumberFormat="1" applyFont="1" applyBorder="1" applyAlignment="1">
      <alignment horizontal="right"/>
    </xf>
    <xf numFmtId="168" fontId="12" fillId="0" borderId="41" xfId="0" applyNumberFormat="1" applyFont="1" applyBorder="1" applyAlignment="1">
      <alignment horizontal="right"/>
    </xf>
    <xf numFmtId="165" fontId="8" fillId="4" borderId="34" xfId="0" applyNumberFormat="1" applyFont="1" applyFill="1" applyBorder="1" applyAlignment="1">
      <alignment horizontal="right"/>
    </xf>
    <xf numFmtId="168" fontId="9" fillId="0" borderId="44" xfId="0" applyNumberFormat="1" applyFont="1" applyBorder="1" applyAlignment="1">
      <alignment horizontal="right"/>
    </xf>
    <xf numFmtId="167" fontId="12" fillId="0" borderId="33" xfId="0" applyNumberFormat="1" applyFont="1" applyBorder="1"/>
    <xf numFmtId="168" fontId="12" fillId="0" borderId="22" xfId="0" applyNumberFormat="1" applyFont="1" applyBorder="1" applyAlignment="1">
      <alignment horizontal="right"/>
    </xf>
    <xf numFmtId="168" fontId="12" fillId="0" borderId="34" xfId="0" applyNumberFormat="1" applyFont="1" applyBorder="1" applyAlignment="1">
      <alignment horizontal="right"/>
    </xf>
    <xf numFmtId="4" fontId="9" fillId="0" borderId="34" xfId="0" applyNumberFormat="1" applyFont="1" applyBorder="1" applyAlignment="1">
      <alignment horizontal="right"/>
    </xf>
    <xf numFmtId="168" fontId="9" fillId="0" borderId="22" xfId="0" applyNumberFormat="1" applyFont="1" applyBorder="1" applyAlignment="1">
      <alignment horizontal="right"/>
    </xf>
    <xf numFmtId="167" fontId="16" fillId="3" borderId="34" xfId="0" applyNumberFormat="1" applyFont="1" applyFill="1" applyBorder="1"/>
    <xf numFmtId="0" fontId="6" fillId="0" borderId="43" xfId="0" applyFont="1" applyBorder="1" applyAlignment="1">
      <alignment horizontal="center"/>
    </xf>
    <xf numFmtId="167" fontId="6" fillId="0" borderId="43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8" fontId="9" fillId="0" borderId="42" xfId="0" applyNumberFormat="1" applyFont="1" applyBorder="1" applyAlignment="1">
      <alignment horizontal="right"/>
    </xf>
    <xf numFmtId="0" fontId="6" fillId="0" borderId="45" xfId="0" applyFont="1" applyBorder="1" applyAlignment="1">
      <alignment horizontal="center"/>
    </xf>
    <xf numFmtId="16" fontId="7" fillId="0" borderId="12" xfId="0" applyNumberFormat="1" applyFont="1" applyBorder="1" applyAlignment="1">
      <alignment horizontal="right"/>
    </xf>
    <xf numFmtId="16" fontId="7" fillId="0" borderId="12" xfId="0" applyNumberFormat="1" applyFont="1" applyBorder="1" applyAlignment="1">
      <alignment horizontal="left"/>
    </xf>
    <xf numFmtId="168" fontId="9" fillId="0" borderId="0" xfId="0" applyNumberFormat="1" applyFont="1" applyAlignment="1">
      <alignment horizontal="right"/>
    </xf>
    <xf numFmtId="168" fontId="12" fillId="0" borderId="0" xfId="0" applyNumberFormat="1" applyFont="1" applyAlignment="1">
      <alignment horizontal="right"/>
    </xf>
    <xf numFmtId="168" fontId="12" fillId="0" borderId="42" xfId="0" applyNumberFormat="1" applyFont="1" applyBorder="1" applyAlignment="1">
      <alignment horizontal="right"/>
    </xf>
    <xf numFmtId="167" fontId="7" fillId="0" borderId="43" xfId="0" applyNumberFormat="1" applyFont="1" applyBorder="1" applyAlignment="1">
      <alignment horizontal="right"/>
    </xf>
    <xf numFmtId="167" fontId="7" fillId="0" borderId="10" xfId="0" applyNumberFormat="1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4" fontId="7" fillId="0" borderId="10" xfId="0" applyNumberFormat="1" applyFont="1" applyBorder="1"/>
    <xf numFmtId="165" fontId="7" fillId="0" borderId="43" xfId="0" applyNumberFormat="1" applyFont="1" applyBorder="1"/>
    <xf numFmtId="4" fontId="9" fillId="0" borderId="43" xfId="0" applyNumberFormat="1" applyFont="1" applyBorder="1" applyAlignment="1">
      <alignment horizontal="right"/>
    </xf>
    <xf numFmtId="4" fontId="9" fillId="0" borderId="31" xfId="0" applyNumberFormat="1" applyFont="1" applyBorder="1" applyAlignment="1">
      <alignment horizontal="left"/>
    </xf>
    <xf numFmtId="169" fontId="8" fillId="4" borderId="9" xfId="0" applyNumberFormat="1" applyFont="1" applyFill="1" applyBorder="1" applyAlignment="1">
      <alignment horizontal="right"/>
    </xf>
    <xf numFmtId="169" fontId="10" fillId="4" borderId="46" xfId="0" applyNumberFormat="1" applyFont="1" applyFill="1" applyBorder="1" applyAlignment="1">
      <alignment horizontal="right"/>
    </xf>
    <xf numFmtId="169" fontId="10" fillId="4" borderId="47" xfId="0" applyNumberFormat="1" applyFont="1" applyFill="1" applyBorder="1" applyAlignment="1">
      <alignment horizontal="right"/>
    </xf>
    <xf numFmtId="166" fontId="6" fillId="11" borderId="48" xfId="0" applyNumberFormat="1" applyFont="1" applyFill="1" applyBorder="1" applyAlignment="1">
      <alignment horizontal="right"/>
    </xf>
    <xf numFmtId="166" fontId="6" fillId="11" borderId="47" xfId="0" applyNumberFormat="1" applyFont="1" applyFill="1" applyBorder="1" applyAlignment="1">
      <alignment horizontal="right"/>
    </xf>
    <xf numFmtId="167" fontId="6" fillId="11" borderId="47" xfId="0" applyNumberFormat="1" applyFont="1" applyFill="1" applyBorder="1" applyAlignment="1">
      <alignment horizontal="right"/>
    </xf>
    <xf numFmtId="169" fontId="10" fillId="4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167" fontId="6" fillId="11" borderId="9" xfId="0" applyNumberFormat="1" applyFont="1" applyFill="1" applyBorder="1" applyAlignment="1">
      <alignment horizontal="right"/>
    </xf>
    <xf numFmtId="167" fontId="6" fillId="11" borderId="9" xfId="0" applyNumberFormat="1" applyFont="1" applyFill="1" applyBorder="1" applyAlignment="1">
      <alignment horizontal="left"/>
    </xf>
    <xf numFmtId="167" fontId="9" fillId="0" borderId="0" xfId="0" applyNumberFormat="1" applyFont="1"/>
    <xf numFmtId="17" fontId="9" fillId="0" borderId="0" xfId="0" applyNumberFormat="1" applyFont="1"/>
    <xf numFmtId="17" fontId="9" fillId="0" borderId="34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34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/>
    <xf numFmtId="0" fontId="21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0" fontId="22" fillId="0" borderId="49" xfId="0" applyFont="1" applyBorder="1"/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9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52" xfId="0" applyFont="1" applyBorder="1" applyAlignment="1">
      <alignment horizontal="right"/>
    </xf>
    <xf numFmtId="4" fontId="25" fillId="13" borderId="0" xfId="0" applyNumberFormat="1" applyFont="1" applyFill="1" applyAlignment="1">
      <alignment horizontal="right"/>
    </xf>
    <xf numFmtId="0" fontId="20" fillId="0" borderId="10" xfId="0" applyFont="1" applyBorder="1"/>
    <xf numFmtId="4" fontId="6" fillId="13" borderId="0" xfId="0" applyNumberFormat="1" applyFont="1" applyFill="1" applyAlignment="1">
      <alignment horizontal="right"/>
    </xf>
    <xf numFmtId="0" fontId="20" fillId="0" borderId="52" xfId="0" applyFont="1" applyBorder="1" applyAlignment="1">
      <alignment horizontal="right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4" fontId="20" fillId="0" borderId="1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0" fillId="0" borderId="10" xfId="0" applyFont="1" applyBorder="1" applyAlignment="1">
      <alignment horizontal="right"/>
    </xf>
    <xf numFmtId="4" fontId="20" fillId="0" borderId="0" xfId="0" applyNumberFormat="1" applyFont="1"/>
    <xf numFmtId="0" fontId="6" fillId="0" borderId="52" xfId="0" applyFont="1" applyBorder="1" applyAlignment="1">
      <alignment horizontal="right"/>
    </xf>
    <xf numFmtId="165" fontId="20" fillId="0" borderId="0" xfId="0" applyNumberFormat="1" applyFont="1"/>
    <xf numFmtId="0" fontId="24" fillId="0" borderId="52" xfId="0" applyFont="1" applyBorder="1" applyAlignment="1">
      <alignment horizontal="right"/>
    </xf>
    <xf numFmtId="165" fontId="20" fillId="0" borderId="0" xfId="0" applyNumberFormat="1" applyFont="1" applyAlignment="1">
      <alignment horizontal="right"/>
    </xf>
    <xf numFmtId="0" fontId="6" fillId="0" borderId="0" xfId="0" applyFont="1"/>
    <xf numFmtId="4" fontId="6" fillId="0" borderId="0" xfId="0" applyNumberFormat="1" applyFont="1"/>
    <xf numFmtId="4" fontId="24" fillId="0" borderId="0" xfId="0" applyNumberFormat="1" applyFont="1" applyAlignment="1">
      <alignment horizontal="right"/>
    </xf>
    <xf numFmtId="0" fontId="20" fillId="0" borderId="13" xfId="0" applyFont="1" applyBorder="1" applyAlignment="1">
      <alignment horizontal="right"/>
    </xf>
    <xf numFmtId="4" fontId="20" fillId="0" borderId="53" xfId="0" applyNumberFormat="1" applyFont="1" applyBorder="1" applyAlignment="1">
      <alignment horizontal="right"/>
    </xf>
    <xf numFmtId="0" fontId="18" fillId="0" borderId="0" xfId="0" applyFont="1"/>
    <xf numFmtId="0" fontId="1" fillId="0" borderId="0" xfId="0" applyFont="1"/>
    <xf numFmtId="0" fontId="6" fillId="0" borderId="24" xfId="0" applyFont="1" applyBorder="1"/>
    <xf numFmtId="0" fontId="23" fillId="0" borderId="3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4" fillId="6" borderId="54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165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26" fillId="4" borderId="33" xfId="0" applyFont="1" applyFill="1" applyBorder="1" applyAlignment="1">
      <alignment horizontal="center" wrapText="1"/>
    </xf>
    <xf numFmtId="0" fontId="9" fillId="16" borderId="38" xfId="0" applyFont="1" applyFill="1" applyBorder="1" applyAlignment="1">
      <alignment horizontal="center"/>
    </xf>
    <xf numFmtId="0" fontId="9" fillId="17" borderId="11" xfId="0" applyFont="1" applyFill="1" applyBorder="1"/>
    <xf numFmtId="16" fontId="9" fillId="7" borderId="11" xfId="0" applyNumberFormat="1" applyFont="1" applyFill="1" applyBorder="1" applyAlignment="1">
      <alignment horizontal="right"/>
    </xf>
    <xf numFmtId="167" fontId="8" fillId="4" borderId="14" xfId="0" applyNumberFormat="1" applyFont="1" applyFill="1" applyBorder="1" applyAlignment="1">
      <alignment horizontal="right"/>
    </xf>
    <xf numFmtId="4" fontId="7" fillId="6" borderId="40" xfId="0" applyNumberFormat="1" applyFont="1" applyFill="1" applyBorder="1" applyAlignment="1">
      <alignment horizontal="right"/>
    </xf>
    <xf numFmtId="165" fontId="7" fillId="6" borderId="34" xfId="0" applyNumberFormat="1" applyFont="1" applyFill="1" applyBorder="1" applyAlignment="1">
      <alignment horizontal="right"/>
    </xf>
    <xf numFmtId="165" fontId="7" fillId="6" borderId="34" xfId="0" applyNumberFormat="1" applyFont="1" applyFill="1" applyBorder="1" applyAlignment="1">
      <alignment horizontal="center"/>
    </xf>
    <xf numFmtId="165" fontId="8" fillId="4" borderId="34" xfId="0" applyNumberFormat="1" applyFont="1" applyFill="1" applyBorder="1" applyAlignment="1">
      <alignment horizontal="center"/>
    </xf>
    <xf numFmtId="0" fontId="6" fillId="6" borderId="38" xfId="0" applyFont="1" applyFill="1" applyBorder="1" applyAlignment="1">
      <alignment horizontal="center"/>
    </xf>
    <xf numFmtId="16" fontId="9" fillId="6" borderId="11" xfId="0" applyNumberFormat="1" applyFont="1" applyFill="1" applyBorder="1" applyAlignment="1">
      <alignment horizontal="right"/>
    </xf>
    <xf numFmtId="4" fontId="7" fillId="10" borderId="40" xfId="0" applyNumberFormat="1" applyFont="1" applyFill="1" applyBorder="1" applyAlignment="1">
      <alignment horizontal="right"/>
    </xf>
    <xf numFmtId="165" fontId="7" fillId="10" borderId="34" xfId="0" applyNumberFormat="1" applyFont="1" applyFill="1" applyBorder="1" applyAlignment="1">
      <alignment horizontal="right"/>
    </xf>
    <xf numFmtId="165" fontId="7" fillId="10" borderId="34" xfId="0" applyNumberFormat="1" applyFont="1" applyFill="1" applyBorder="1" applyAlignment="1">
      <alignment horizontal="center"/>
    </xf>
    <xf numFmtId="0" fontId="6" fillId="10" borderId="38" xfId="0" applyFont="1" applyFill="1" applyBorder="1" applyAlignment="1">
      <alignment horizontal="center"/>
    </xf>
    <xf numFmtId="16" fontId="9" fillId="10" borderId="11" xfId="0" applyNumberFormat="1" applyFont="1" applyFill="1" applyBorder="1" applyAlignment="1">
      <alignment horizontal="right"/>
    </xf>
    <xf numFmtId="4" fontId="7" fillId="10" borderId="34" xfId="0" applyNumberFormat="1" applyFont="1" applyFill="1" applyBorder="1" applyAlignment="1">
      <alignment horizontal="right"/>
    </xf>
    <xf numFmtId="4" fontId="7" fillId="6" borderId="34" xfId="0" applyNumberFormat="1" applyFont="1" applyFill="1" applyBorder="1" applyAlignment="1">
      <alignment horizontal="right"/>
    </xf>
    <xf numFmtId="0" fontId="7" fillId="10" borderId="34" xfId="0" applyFont="1" applyFill="1" applyBorder="1" applyAlignment="1">
      <alignment horizontal="right"/>
    </xf>
    <xf numFmtId="167" fontId="7" fillId="10" borderId="34" xfId="0" applyNumberFormat="1" applyFont="1" applyFill="1" applyBorder="1" applyAlignment="1">
      <alignment horizontal="right"/>
    </xf>
    <xf numFmtId="167" fontId="7" fillId="6" borderId="34" xfId="0" applyNumberFormat="1" applyFont="1" applyFill="1" applyBorder="1" applyAlignment="1">
      <alignment horizontal="right"/>
    </xf>
    <xf numFmtId="169" fontId="8" fillId="4" borderId="54" xfId="0" applyNumberFormat="1" applyFont="1" applyFill="1" applyBorder="1" applyAlignment="1">
      <alignment horizontal="right"/>
    </xf>
    <xf numFmtId="169" fontId="14" fillId="4" borderId="54" xfId="0" applyNumberFormat="1" applyFont="1" applyFill="1" applyBorder="1" applyAlignment="1">
      <alignment horizontal="right"/>
    </xf>
    <xf numFmtId="167" fontId="6" fillId="11" borderId="54" xfId="0" applyNumberFormat="1" applyFont="1" applyFill="1" applyBorder="1"/>
    <xf numFmtId="167" fontId="9" fillId="18" borderId="0" xfId="0" applyNumberFormat="1" applyFont="1" applyFill="1" applyAlignment="1">
      <alignment horizontal="right"/>
    </xf>
    <xf numFmtId="0" fontId="27" fillId="6" borderId="0" xfId="0" applyFont="1" applyFill="1" applyAlignment="1">
      <alignment horizontal="right"/>
    </xf>
    <xf numFmtId="169" fontId="6" fillId="0" borderId="0" xfId="0" applyNumberFormat="1" applyFont="1" applyAlignment="1">
      <alignment horizontal="right"/>
    </xf>
    <xf numFmtId="166" fontId="6" fillId="0" borderId="0" xfId="0" applyNumberFormat="1" applyFont="1"/>
    <xf numFmtId="167" fontId="9" fillId="0" borderId="0" xfId="0" applyNumberFormat="1" applyFont="1" applyAlignment="1">
      <alignment horizontal="right"/>
    </xf>
    <xf numFmtId="0" fontId="6" fillId="0" borderId="22" xfId="0" applyFont="1" applyBorder="1"/>
    <xf numFmtId="4" fontId="6" fillId="0" borderId="22" xfId="0" applyNumberFormat="1" applyFont="1" applyBorder="1"/>
    <xf numFmtId="0" fontId="6" fillId="0" borderId="33" xfId="0" applyFont="1" applyBorder="1"/>
    <xf numFmtId="167" fontId="6" fillId="0" borderId="33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0" xfId="0" applyFont="1" applyBorder="1"/>
    <xf numFmtId="17" fontId="6" fillId="0" borderId="33" xfId="0" applyNumberFormat="1" applyFont="1" applyBorder="1" applyAlignment="1">
      <alignment horizontal="center"/>
    </xf>
    <xf numFmtId="10" fontId="6" fillId="0" borderId="0" xfId="0" applyNumberFormat="1" applyFont="1"/>
    <xf numFmtId="165" fontId="6" fillId="0" borderId="0" xfId="0" applyNumberFormat="1" applyFont="1"/>
    <xf numFmtId="0" fontId="24" fillId="0" borderId="0" xfId="0" applyFont="1"/>
    <xf numFmtId="170" fontId="6" fillId="0" borderId="0" xfId="0" applyNumberFormat="1" applyFont="1"/>
    <xf numFmtId="0" fontId="28" fillId="6" borderId="0" xfId="0" applyFont="1" applyFill="1"/>
    <xf numFmtId="0" fontId="29" fillId="0" borderId="22" xfId="0" applyFont="1" applyBorder="1"/>
    <xf numFmtId="0" fontId="6" fillId="13" borderId="22" xfId="0" applyFont="1" applyFill="1" applyBorder="1"/>
    <xf numFmtId="0" fontId="23" fillId="1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4" fontId="6" fillId="6" borderId="0" xfId="0" applyNumberFormat="1" applyFont="1" applyFill="1"/>
    <xf numFmtId="4" fontId="6" fillId="0" borderId="10" xfId="0" applyNumberFormat="1" applyFont="1" applyBorder="1" applyAlignment="1">
      <alignment horizontal="right"/>
    </xf>
    <xf numFmtId="4" fontId="6" fillId="13" borderId="0" xfId="0" applyNumberFormat="1" applyFont="1" applyFill="1"/>
    <xf numFmtId="4" fontId="6" fillId="0" borderId="0" xfId="0" applyNumberFormat="1" applyFont="1" applyAlignment="1">
      <alignment horizontal="center"/>
    </xf>
    <xf numFmtId="4" fontId="6" fillId="0" borderId="10" xfId="0" applyNumberFormat="1" applyFont="1" applyBorder="1"/>
    <xf numFmtId="10" fontId="6" fillId="0" borderId="10" xfId="0" applyNumberFormat="1" applyFont="1" applyBorder="1"/>
    <xf numFmtId="0" fontId="6" fillId="13" borderId="0" xfId="0" applyFont="1" applyFill="1" applyAlignment="1">
      <alignment horizontal="right"/>
    </xf>
    <xf numFmtId="0" fontId="6" fillId="13" borderId="0" xfId="0" applyFont="1" applyFill="1"/>
    <xf numFmtId="4" fontId="6" fillId="14" borderId="0" xfId="0" applyNumberFormat="1" applyFont="1" applyFill="1" applyAlignment="1">
      <alignment horizontal="right"/>
    </xf>
    <xf numFmtId="4" fontId="30" fillId="6" borderId="0" xfId="0" applyNumberFormat="1" applyFont="1" applyFill="1" applyAlignment="1">
      <alignment horizontal="right"/>
    </xf>
    <xf numFmtId="4" fontId="24" fillId="0" borderId="10" xfId="0" applyNumberFormat="1" applyFont="1" applyBorder="1" applyAlignment="1">
      <alignment horizontal="right"/>
    </xf>
    <xf numFmtId="4" fontId="6" fillId="6" borderId="0" xfId="0" applyNumberFormat="1" applyFont="1" applyFill="1" applyAlignment="1">
      <alignment horizontal="right"/>
    </xf>
    <xf numFmtId="4" fontId="6" fillId="19" borderId="33" xfId="0" applyNumberFormat="1" applyFont="1" applyFill="1" applyBorder="1"/>
    <xf numFmtId="0" fontId="6" fillId="13" borderId="22" xfId="0" applyFont="1" applyFill="1" applyBorder="1" applyAlignment="1">
      <alignment horizontal="right"/>
    </xf>
    <xf numFmtId="4" fontId="6" fillId="0" borderId="24" xfId="0" applyNumberFormat="1" applyFont="1" applyBorder="1" applyAlignment="1">
      <alignment horizontal="right"/>
    </xf>
    <xf numFmtId="4" fontId="6" fillId="19" borderId="24" xfId="0" applyNumberFormat="1" applyFont="1" applyFill="1" applyBorder="1" applyAlignment="1">
      <alignment horizontal="right"/>
    </xf>
    <xf numFmtId="167" fontId="6" fillId="0" borderId="0" xfId="0" applyNumberFormat="1" applyFont="1"/>
    <xf numFmtId="169" fontId="6" fillId="0" borderId="0" xfId="0" applyNumberFormat="1" applyFont="1"/>
    <xf numFmtId="168" fontId="6" fillId="0" borderId="0" xfId="0" applyNumberFormat="1" applyFont="1"/>
    <xf numFmtId="164" fontId="2" fillId="3" borderId="56" xfId="0" applyNumberFormat="1" applyFont="1" applyFill="1" applyBorder="1" applyAlignment="1">
      <alignment horizontal="center"/>
    </xf>
    <xf numFmtId="164" fontId="2" fillId="2" borderId="56" xfId="0" applyNumberFormat="1" applyFont="1" applyFill="1" applyBorder="1" applyAlignment="1">
      <alignment horizontal="center"/>
    </xf>
    <xf numFmtId="164" fontId="2" fillId="2" borderId="56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166" fontId="8" fillId="4" borderId="57" xfId="0" applyNumberFormat="1" applyFont="1" applyFill="1" applyBorder="1"/>
    <xf numFmtId="0" fontId="6" fillId="3" borderId="56" xfId="0" applyFont="1" applyFill="1" applyBorder="1" applyAlignment="1">
      <alignment horizontal="center"/>
    </xf>
    <xf numFmtId="166" fontId="8" fillId="4" borderId="58" xfId="0" applyNumberFormat="1" applyFont="1" applyFill="1" applyBorder="1"/>
    <xf numFmtId="167" fontId="8" fillId="4" borderId="58" xfId="0" applyNumberFormat="1" applyFont="1" applyFill="1" applyBorder="1"/>
    <xf numFmtId="0" fontId="7" fillId="5" borderId="58" xfId="0" applyFont="1" applyFill="1" applyBorder="1" applyAlignment="1">
      <alignment horizontal="left"/>
    </xf>
    <xf numFmtId="167" fontId="10" fillId="4" borderId="58" xfId="0" applyNumberFormat="1" applyFont="1" applyFill="1" applyBorder="1"/>
    <xf numFmtId="167" fontId="7" fillId="4" borderId="58" xfId="0" applyNumberFormat="1" applyFont="1" applyFill="1" applyBorder="1" applyAlignment="1">
      <alignment horizontal="right"/>
    </xf>
    <xf numFmtId="167" fontId="7" fillId="4" borderId="57" xfId="0" applyNumberFormat="1" applyFont="1" applyFill="1" applyBorder="1" applyAlignment="1">
      <alignment horizontal="right"/>
    </xf>
    <xf numFmtId="0" fontId="9" fillId="7" borderId="58" xfId="0" applyFont="1" applyFill="1" applyBorder="1"/>
    <xf numFmtId="16" fontId="7" fillId="7" borderId="58" xfId="0" applyNumberFormat="1" applyFont="1" applyFill="1" applyBorder="1" applyAlignment="1">
      <alignment horizontal="right"/>
    </xf>
    <xf numFmtId="167" fontId="7" fillId="7" borderId="58" xfId="0" applyNumberFormat="1" applyFont="1" applyFill="1" applyBorder="1" applyAlignment="1">
      <alignment horizontal="right"/>
    </xf>
    <xf numFmtId="167" fontId="7" fillId="7" borderId="57" xfId="0" applyNumberFormat="1" applyFont="1" applyFill="1" applyBorder="1" applyAlignment="1">
      <alignment horizontal="right"/>
    </xf>
    <xf numFmtId="0" fontId="9" fillId="6" borderId="58" xfId="0" applyFont="1" applyFill="1" applyBorder="1"/>
    <xf numFmtId="166" fontId="8" fillId="4" borderId="59" xfId="0" applyNumberFormat="1" applyFont="1" applyFill="1" applyBorder="1"/>
    <xf numFmtId="4" fontId="14" fillId="3" borderId="60" xfId="0" applyNumberFormat="1" applyFont="1" applyFill="1" applyBorder="1" applyAlignment="1">
      <alignment horizontal="right"/>
    </xf>
    <xf numFmtId="4" fontId="9" fillId="3" borderId="60" xfId="0" applyNumberFormat="1" applyFont="1" applyFill="1" applyBorder="1" applyAlignment="1">
      <alignment horizontal="right"/>
    </xf>
    <xf numFmtId="165" fontId="14" fillId="3" borderId="56" xfId="0" applyNumberFormat="1" applyFont="1" applyFill="1" applyBorder="1" applyAlignment="1">
      <alignment horizontal="right"/>
    </xf>
    <xf numFmtId="4" fontId="31" fillId="6" borderId="56" xfId="0" applyNumberFormat="1" applyFont="1" applyFill="1" applyBorder="1"/>
    <xf numFmtId="165" fontId="31" fillId="6" borderId="56" xfId="0" applyNumberFormat="1" applyFont="1" applyFill="1" applyBorder="1"/>
    <xf numFmtId="165" fontId="15" fillId="3" borderId="56" xfId="0" applyNumberFormat="1" applyFont="1" applyFill="1" applyBorder="1" applyAlignment="1">
      <alignment horizontal="left"/>
    </xf>
    <xf numFmtId="165" fontId="13" fillId="3" borderId="56" xfId="0" applyNumberFormat="1" applyFont="1" applyFill="1" applyBorder="1" applyAlignment="1">
      <alignment horizontal="left"/>
    </xf>
    <xf numFmtId="165" fontId="7" fillId="3" borderId="56" xfId="0" applyNumberFormat="1" applyFont="1" applyFill="1" applyBorder="1" applyAlignment="1">
      <alignment horizontal="right"/>
    </xf>
    <xf numFmtId="16" fontId="7" fillId="9" borderId="58" xfId="0" applyNumberFormat="1" applyFont="1" applyFill="1" applyBorder="1" applyAlignment="1">
      <alignment horizontal="left"/>
    </xf>
    <xf numFmtId="167" fontId="14" fillId="3" borderId="57" xfId="0" applyNumberFormat="1" applyFont="1" applyFill="1" applyBorder="1"/>
    <xf numFmtId="167" fontId="9" fillId="3" borderId="57" xfId="0" applyNumberFormat="1" applyFont="1" applyFill="1" applyBorder="1"/>
    <xf numFmtId="4" fontId="31" fillId="6" borderId="56" xfId="0" applyNumberFormat="1" applyFont="1" applyFill="1" applyBorder="1" applyAlignment="1">
      <alignment horizontal="center"/>
    </xf>
    <xf numFmtId="165" fontId="31" fillId="6" borderId="34" xfId="0" applyNumberFormat="1" applyFont="1" applyFill="1" applyBorder="1"/>
    <xf numFmtId="167" fontId="31" fillId="6" borderId="56" xfId="0" applyNumberFormat="1" applyFont="1" applyFill="1" applyBorder="1"/>
    <xf numFmtId="167" fontId="31" fillId="6" borderId="34" xfId="0" applyNumberFormat="1" applyFont="1" applyFill="1" applyBorder="1"/>
    <xf numFmtId="4" fontId="7" fillId="4" borderId="57" xfId="0" applyNumberFormat="1" applyFont="1" applyFill="1" applyBorder="1" applyAlignment="1">
      <alignment horizontal="right"/>
    </xf>
    <xf numFmtId="167" fontId="7" fillId="6" borderId="56" xfId="0" applyNumberFormat="1" applyFont="1" applyFill="1" applyBorder="1"/>
    <xf numFmtId="4" fontId="7" fillId="4" borderId="59" xfId="0" applyNumberFormat="1" applyFont="1" applyFill="1" applyBorder="1" applyAlignment="1">
      <alignment horizontal="right"/>
    </xf>
    <xf numFmtId="4" fontId="9" fillId="0" borderId="0" xfId="0" applyNumberFormat="1" applyFont="1"/>
    <xf numFmtId="167" fontId="14" fillId="3" borderId="59" xfId="0" applyNumberFormat="1" applyFont="1" applyFill="1" applyBorder="1"/>
    <xf numFmtId="165" fontId="14" fillId="3" borderId="59" xfId="0" applyNumberFormat="1" applyFont="1" applyFill="1" applyBorder="1" applyAlignment="1">
      <alignment horizontal="right"/>
    </xf>
    <xf numFmtId="167" fontId="9" fillId="3" borderId="59" xfId="0" applyNumberFormat="1" applyFont="1" applyFill="1" applyBorder="1"/>
    <xf numFmtId="165" fontId="9" fillId="3" borderId="59" xfId="0" applyNumberFormat="1" applyFont="1" applyFill="1" applyBorder="1" applyAlignment="1">
      <alignment horizontal="right"/>
    </xf>
    <xf numFmtId="165" fontId="9" fillId="3" borderId="56" xfId="0" applyNumberFormat="1" applyFont="1" applyFill="1" applyBorder="1" applyAlignment="1">
      <alignment horizontal="right"/>
    </xf>
    <xf numFmtId="165" fontId="9" fillId="3" borderId="56" xfId="0" applyNumberFormat="1" applyFont="1" applyFill="1" applyBorder="1" applyAlignment="1">
      <alignment horizontal="left"/>
    </xf>
    <xf numFmtId="0" fontId="7" fillId="3" borderId="61" xfId="0" applyFont="1" applyFill="1" applyBorder="1" applyAlignment="1">
      <alignment horizontal="left"/>
    </xf>
    <xf numFmtId="165" fontId="7" fillId="4" borderId="57" xfId="0" applyNumberFormat="1" applyFont="1" applyFill="1" applyBorder="1" applyAlignment="1">
      <alignment horizontal="right"/>
    </xf>
    <xf numFmtId="0" fontId="9" fillId="10" borderId="58" xfId="0" applyFont="1" applyFill="1" applyBorder="1"/>
    <xf numFmtId="4" fontId="31" fillId="6" borderId="39" xfId="0" applyNumberFormat="1" applyFont="1" applyFill="1" applyBorder="1"/>
    <xf numFmtId="165" fontId="8" fillId="4" borderId="58" xfId="0" applyNumberFormat="1" applyFont="1" applyFill="1" applyBorder="1" applyAlignment="1">
      <alignment horizontal="right"/>
    </xf>
    <xf numFmtId="16" fontId="8" fillId="3" borderId="61" xfId="0" applyNumberFormat="1" applyFont="1" applyFill="1" applyBorder="1" applyAlignment="1">
      <alignment horizontal="right"/>
    </xf>
    <xf numFmtId="16" fontId="8" fillId="4" borderId="61" xfId="0" applyNumberFormat="1" applyFont="1" applyFill="1" applyBorder="1" applyAlignment="1">
      <alignment horizontal="right"/>
    </xf>
    <xf numFmtId="166" fontId="10" fillId="4" borderId="62" xfId="0" applyNumberFormat="1" applyFont="1" applyFill="1" applyBorder="1" applyAlignment="1">
      <alignment horizontal="right"/>
    </xf>
    <xf numFmtId="166" fontId="10" fillId="4" borderId="63" xfId="0" applyNumberFormat="1" applyFont="1" applyFill="1" applyBorder="1" applyAlignment="1">
      <alignment horizontal="right"/>
    </xf>
    <xf numFmtId="0" fontId="7" fillId="8" borderId="61" xfId="0" applyFont="1" applyFill="1" applyBorder="1" applyAlignment="1">
      <alignment horizontal="left"/>
    </xf>
    <xf numFmtId="167" fontId="8" fillId="4" borderId="61" xfId="0" applyNumberFormat="1" applyFont="1" applyFill="1" applyBorder="1"/>
    <xf numFmtId="169" fontId="6" fillId="0" borderId="46" xfId="0" applyNumberFormat="1" applyFont="1" applyBorder="1"/>
    <xf numFmtId="169" fontId="6" fillId="0" borderId="47" xfId="0" applyNumberFormat="1" applyFont="1" applyBorder="1"/>
    <xf numFmtId="166" fontId="6" fillId="11" borderId="48" xfId="0" applyNumberFormat="1" applyFont="1" applyFill="1" applyBorder="1"/>
    <xf numFmtId="0" fontId="6" fillId="3" borderId="56" xfId="0" applyFont="1" applyFill="1" applyBorder="1"/>
    <xf numFmtId="167" fontId="6" fillId="11" borderId="64" xfId="0" applyNumberFormat="1" applyFont="1" applyFill="1" applyBorder="1" applyAlignment="1">
      <alignment horizontal="right"/>
    </xf>
    <xf numFmtId="167" fontId="6" fillId="11" borderId="56" xfId="0" applyNumberFormat="1" applyFont="1" applyFill="1" applyBorder="1" applyAlignment="1">
      <alignment horizontal="right"/>
    </xf>
    <xf numFmtId="167" fontId="6" fillId="3" borderId="56" xfId="0" applyNumberFormat="1" applyFont="1" applyFill="1" applyBorder="1" applyAlignment="1">
      <alignment horizontal="right"/>
    </xf>
    <xf numFmtId="169" fontId="10" fillId="4" borderId="65" xfId="0" applyNumberFormat="1" applyFont="1" applyFill="1" applyBorder="1" applyAlignment="1">
      <alignment horizontal="right"/>
    </xf>
    <xf numFmtId="167" fontId="6" fillId="11" borderId="56" xfId="0" applyNumberFormat="1" applyFont="1" applyFill="1" applyBorder="1" applyAlignment="1">
      <alignment horizontal="left"/>
    </xf>
    <xf numFmtId="167" fontId="17" fillId="11" borderId="56" xfId="0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32" fillId="0" borderId="0" xfId="0" applyFont="1" applyAlignment="1">
      <alignment horizontal="center"/>
    </xf>
    <xf numFmtId="0" fontId="32" fillId="0" borderId="22" xfId="0" applyFont="1" applyBorder="1" applyAlignment="1">
      <alignment horizontal="center"/>
    </xf>
    <xf numFmtId="0" fontId="6" fillId="0" borderId="34" xfId="0" applyFont="1" applyBorder="1" applyAlignment="1">
      <alignment horizontal="left" vertical="center"/>
    </xf>
    <xf numFmtId="167" fontId="6" fillId="0" borderId="34" xfId="0" applyNumberFormat="1" applyFont="1" applyBorder="1"/>
    <xf numFmtId="0" fontId="32" fillId="0" borderId="0" xfId="0" applyFont="1" applyAlignment="1">
      <alignment horizontal="center" vertical="center"/>
    </xf>
    <xf numFmtId="165" fontId="6" fillId="0" borderId="34" xfId="0" applyNumberFormat="1" applyFont="1" applyBorder="1"/>
    <xf numFmtId="10" fontId="9" fillId="0" borderId="0" xfId="0" applyNumberFormat="1" applyFont="1"/>
    <xf numFmtId="10" fontId="6" fillId="0" borderId="0" xfId="0" applyNumberFormat="1" applyFont="1" applyAlignment="1">
      <alignment horizontal="center"/>
    </xf>
    <xf numFmtId="0" fontId="19" fillId="6" borderId="56" xfId="0" applyFont="1" applyFill="1" applyBorder="1"/>
    <xf numFmtId="0" fontId="20" fillId="12" borderId="56" xfId="0" applyFont="1" applyFill="1" applyBorder="1" applyAlignment="1">
      <alignment horizontal="center"/>
    </xf>
    <xf numFmtId="4" fontId="20" fillId="12" borderId="56" xfId="0" applyNumberFormat="1" applyFont="1" applyFill="1" applyBorder="1"/>
    <xf numFmtId="0" fontId="20" fillId="13" borderId="56" xfId="0" applyFont="1" applyFill="1" applyBorder="1"/>
    <xf numFmtId="0" fontId="20" fillId="12" borderId="56" xfId="0" applyFont="1" applyFill="1" applyBorder="1"/>
    <xf numFmtId="4" fontId="22" fillId="12" borderId="56" xfId="0" applyNumberFormat="1" applyFont="1" applyFill="1" applyBorder="1"/>
    <xf numFmtId="0" fontId="22" fillId="13" borderId="66" xfId="0" applyFont="1" applyFill="1" applyBorder="1" applyAlignment="1">
      <alignment horizontal="center"/>
    </xf>
    <xf numFmtId="4" fontId="24" fillId="0" borderId="0" xfId="0" applyNumberFormat="1" applyFont="1" applyAlignment="1">
      <alignment horizontal="center"/>
    </xf>
    <xf numFmtId="4" fontId="25" fillId="13" borderId="56" xfId="0" applyNumberFormat="1" applyFont="1" applyFill="1" applyBorder="1" applyAlignment="1">
      <alignment horizontal="right"/>
    </xf>
    <xf numFmtId="4" fontId="6" fillId="13" borderId="56" xfId="0" applyNumberFormat="1" applyFont="1" applyFill="1" applyBorder="1" applyAlignment="1">
      <alignment horizontal="right"/>
    </xf>
    <xf numFmtId="4" fontId="20" fillId="13" borderId="56" xfId="0" applyNumberFormat="1" applyFont="1" applyFill="1" applyBorder="1" applyAlignment="1">
      <alignment horizontal="right"/>
    </xf>
    <xf numFmtId="0" fontId="20" fillId="13" borderId="56" xfId="0" applyFont="1" applyFill="1" applyBorder="1" applyAlignment="1">
      <alignment horizontal="right"/>
    </xf>
    <xf numFmtId="4" fontId="20" fillId="14" borderId="56" xfId="0" applyNumberFormat="1" applyFont="1" applyFill="1" applyBorder="1" applyAlignment="1">
      <alignment horizontal="right"/>
    </xf>
    <xf numFmtId="4" fontId="6" fillId="14" borderId="56" xfId="0" applyNumberFormat="1" applyFont="1" applyFill="1" applyBorder="1" applyAlignment="1">
      <alignment horizontal="left"/>
    </xf>
    <xf numFmtId="0" fontId="24" fillId="13" borderId="56" xfId="0" applyFont="1" applyFill="1" applyBorder="1" applyAlignment="1">
      <alignment horizontal="right"/>
    </xf>
    <xf numFmtId="0" fontId="31" fillId="6" borderId="56" xfId="0" applyFont="1" applyFill="1" applyBorder="1" applyAlignment="1">
      <alignment horizontal="right"/>
    </xf>
    <xf numFmtId="4" fontId="31" fillId="6" borderId="56" xfId="0" applyNumberFormat="1" applyFont="1" applyFill="1" applyBorder="1" applyAlignment="1">
      <alignment horizontal="right"/>
    </xf>
    <xf numFmtId="4" fontId="20" fillId="15" borderId="56" xfId="0" applyNumberFormat="1" applyFont="1" applyFill="1" applyBorder="1" applyAlignment="1">
      <alignment horizontal="right"/>
    </xf>
    <xf numFmtId="4" fontId="6" fillId="15" borderId="56" xfId="0" applyNumberFormat="1" applyFont="1" applyFill="1" applyBorder="1" applyAlignment="1">
      <alignment horizontal="left"/>
    </xf>
    <xf numFmtId="0" fontId="20" fillId="13" borderId="60" xfId="0" applyFont="1" applyFill="1" applyBorder="1" applyAlignment="1">
      <alignment horizontal="right"/>
    </xf>
    <xf numFmtId="4" fontId="20" fillId="15" borderId="69" xfId="0" applyNumberFormat="1" applyFont="1" applyFill="1" applyBorder="1" applyAlignment="1">
      <alignment horizontal="right"/>
    </xf>
    <xf numFmtId="2" fontId="6" fillId="0" borderId="0" xfId="0" applyNumberFormat="1" applyFont="1"/>
    <xf numFmtId="0" fontId="33" fillId="0" borderId="0" xfId="0" applyFont="1"/>
    <xf numFmtId="164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23" fillId="0" borderId="10" xfId="0" applyFont="1" applyBorder="1" applyAlignment="1">
      <alignment horizontal="center" wrapText="1"/>
    </xf>
    <xf numFmtId="0" fontId="3" fillId="0" borderId="33" xfId="0" applyFont="1" applyBorder="1"/>
    <xf numFmtId="0" fontId="18" fillId="0" borderId="0" xfId="0" applyFont="1" applyAlignment="1">
      <alignment horizontal="center" wrapText="1"/>
    </xf>
    <xf numFmtId="0" fontId="0" fillId="0" borderId="0" xfId="0"/>
    <xf numFmtId="0" fontId="6" fillId="0" borderId="24" xfId="0" applyFont="1" applyBorder="1"/>
    <xf numFmtId="0" fontId="3" fillId="0" borderId="24" xfId="0" applyFont="1" applyBorder="1"/>
    <xf numFmtId="0" fontId="3" fillId="0" borderId="54" xfId="0" applyFont="1" applyBorder="1"/>
    <xf numFmtId="0" fontId="9" fillId="0" borderId="21" xfId="0" applyFont="1" applyBorder="1" applyAlignment="1">
      <alignment horizontal="center"/>
    </xf>
    <xf numFmtId="0" fontId="3" fillId="0" borderId="42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14" xfId="0" applyFont="1" applyBorder="1"/>
    <xf numFmtId="0" fontId="23" fillId="0" borderId="1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3" xfId="0" applyFont="1" applyBorder="1" applyAlignment="1">
      <alignment horizontal="left" vertical="center" wrapText="1"/>
    </xf>
    <xf numFmtId="0" fontId="3" fillId="0" borderId="11" xfId="0" applyFont="1" applyBorder="1"/>
    <xf numFmtId="0" fontId="6" fillId="0" borderId="3" xfId="0" applyFont="1" applyBorder="1" applyAlignment="1">
      <alignment horizontal="center"/>
    </xf>
    <xf numFmtId="0" fontId="3" fillId="0" borderId="5" xfId="0" applyFont="1" applyBorder="1"/>
    <xf numFmtId="0" fontId="6" fillId="0" borderId="3" xfId="0" applyFont="1" applyBorder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4" fontId="9" fillId="0" borderId="42" xfId="0" applyNumberFormat="1" applyFont="1" applyBorder="1" applyAlignment="1">
      <alignment horizontal="center" vertical="center" wrapText="1"/>
    </xf>
    <xf numFmtId="4" fontId="6" fillId="13" borderId="67" xfId="0" applyNumberFormat="1" applyFont="1" applyFill="1" applyBorder="1" applyAlignment="1">
      <alignment horizontal="right" vertical="center"/>
    </xf>
    <xf numFmtId="0" fontId="3" fillId="0" borderId="68" xfId="0" applyFont="1" applyBorder="1"/>
    <xf numFmtId="0" fontId="4" fillId="0" borderId="23" xfId="0" applyFont="1" applyBorder="1" applyAlignment="1">
      <alignment horizontal="center" vertical="center" wrapText="1"/>
    </xf>
    <xf numFmtId="0" fontId="3" fillId="0" borderId="36" xfId="0" applyFont="1" applyBorder="1"/>
    <xf numFmtId="0" fontId="6" fillId="0" borderId="21" xfId="0" applyFont="1" applyBorder="1" applyAlignment="1">
      <alignment horizontal="center" vertical="center"/>
    </xf>
    <xf numFmtId="0" fontId="3" fillId="0" borderId="10" xfId="0" applyFont="1" applyBorder="1"/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3" fillId="0" borderId="29" xfId="0" applyFont="1" applyBorder="1"/>
    <xf numFmtId="0" fontId="3" fillId="0" borderId="25" xfId="0" applyFont="1" applyBorder="1"/>
    <xf numFmtId="0" fontId="23" fillId="0" borderId="17" xfId="0" applyFont="1" applyBorder="1" applyAlignment="1">
      <alignment horizontal="center" vertical="center"/>
    </xf>
    <xf numFmtId="0" fontId="3" fillId="0" borderId="27" xfId="0" applyFont="1" applyBorder="1"/>
    <xf numFmtId="0" fontId="23" fillId="0" borderId="18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9" xfId="0" applyFont="1" applyBorder="1"/>
    <xf numFmtId="0" fontId="23" fillId="0" borderId="0" xfId="0" applyFont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164" fontId="2" fillId="2" borderId="55" xfId="0" applyNumberFormat="1" applyFont="1" applyFill="1" applyBorder="1" applyAlignment="1">
      <alignment horizontal="center"/>
    </xf>
  </cellXfs>
  <cellStyles count="1">
    <cellStyle name="Normal" xfId="0" builtinId="0"/>
  </cellStyles>
  <dxfs count="9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0">
    <tableStyle name="Sheet8-style" pivot="0" count="3" xr9:uid="{00000000-0011-0000-FFFF-FFFF00000000}">
      <tableStyleElement type="headerRow" dxfId="94"/>
      <tableStyleElement type="firstRowStripe" dxfId="93"/>
      <tableStyleElement type="secondRowStripe" dxfId="92"/>
    </tableStyle>
    <tableStyle name="Sheet8-style 2" pivot="0" count="3" xr9:uid="{00000000-0011-0000-FFFF-FFFF01000000}">
      <tableStyleElement type="headerRow" dxfId="91"/>
      <tableStyleElement type="firstRowStripe" dxfId="90"/>
      <tableStyleElement type="secondRowStripe" dxfId="89"/>
    </tableStyle>
    <tableStyle name="Sheet8-style 3" pivot="0" count="3" xr9:uid="{00000000-0011-0000-FFFF-FFFF02000000}">
      <tableStyleElement type="headerRow" dxfId="88"/>
      <tableStyleElement type="firstRowStripe" dxfId="87"/>
      <tableStyleElement type="secondRowStripe" dxfId="86"/>
    </tableStyle>
    <tableStyle name="Sheet8-style 4" pivot="0" count="3" xr9:uid="{00000000-0011-0000-FFFF-FFFF03000000}">
      <tableStyleElement type="headerRow" dxfId="85"/>
      <tableStyleElement type="firstRowStripe" dxfId="84"/>
      <tableStyleElement type="secondRowStripe" dxfId="83"/>
    </tableStyle>
    <tableStyle name="Sheet8-style 5" pivot="0" count="3" xr9:uid="{00000000-0011-0000-FFFF-FFFF04000000}">
      <tableStyleElement type="headerRow" dxfId="82"/>
      <tableStyleElement type="firstRowStripe" dxfId="81"/>
      <tableStyleElement type="secondRowStripe" dxfId="80"/>
    </tableStyle>
    <tableStyle name="Sheet8-style 6" pivot="0" count="3" xr9:uid="{00000000-0011-0000-FFFF-FFFF05000000}">
      <tableStyleElement type="headerRow" dxfId="79"/>
      <tableStyleElement type="firstRowStripe" dxfId="78"/>
      <tableStyleElement type="secondRowStripe" dxfId="77"/>
    </tableStyle>
    <tableStyle name="Sheet8-style 7" pivot="0" count="3" xr9:uid="{00000000-0011-0000-FFFF-FFFF06000000}">
      <tableStyleElement type="headerRow" dxfId="76"/>
      <tableStyleElement type="firstRowStripe" dxfId="75"/>
      <tableStyleElement type="secondRowStripe" dxfId="74"/>
    </tableStyle>
    <tableStyle name="Sheet8-style 8" pivot="0" count="3" xr9:uid="{00000000-0011-0000-FFFF-FFFF07000000}">
      <tableStyleElement type="headerRow" dxfId="73"/>
      <tableStyleElement type="firstRowStripe" dxfId="72"/>
      <tableStyleElement type="secondRowStripe" dxfId="71"/>
    </tableStyle>
    <tableStyle name="Sheet8-style 9" pivot="0" count="3" xr9:uid="{00000000-0011-0000-FFFF-FFFF08000000}">
      <tableStyleElement type="headerRow" dxfId="70"/>
      <tableStyleElement type="firstRowStripe" dxfId="69"/>
      <tableStyleElement type="secondRowStripe" dxfId="68"/>
    </tableStyle>
    <tableStyle name="Sheet8-style 10" pivot="0" count="3" xr9:uid="{00000000-0011-0000-FFFF-FFFF09000000}">
      <tableStyleElement type="headerRow" dxfId="67"/>
      <tableStyleElement type="firstRowStripe" dxfId="66"/>
      <tableStyleElement type="secondRowStripe" dxfId="65"/>
    </tableStyle>
    <tableStyle name="Sheet8-style 11" pivot="0" count="3" xr9:uid="{00000000-0011-0000-FFFF-FFFF0A000000}">
      <tableStyleElement type="headerRow" dxfId="64"/>
      <tableStyleElement type="firstRowStripe" dxfId="63"/>
      <tableStyleElement type="secondRowStripe" dxfId="62"/>
    </tableStyle>
    <tableStyle name="Sheet8-style 12" pivot="0" count="3" xr9:uid="{00000000-0011-0000-FFFF-FFFF0B000000}">
      <tableStyleElement type="headerRow" dxfId="61"/>
      <tableStyleElement type="firstRowStripe" dxfId="60"/>
      <tableStyleElement type="secondRowStripe" dxfId="59"/>
    </tableStyle>
    <tableStyle name="Sheet8-style 13" pivot="0" count="3" xr9:uid="{00000000-0011-0000-FFFF-FFFF0C000000}">
      <tableStyleElement type="headerRow" dxfId="58"/>
      <tableStyleElement type="firstRowStripe" dxfId="57"/>
      <tableStyleElement type="secondRowStripe" dxfId="56"/>
    </tableStyle>
    <tableStyle name="Sheet8-style 14" pivot="0" count="3" xr9:uid="{00000000-0011-0000-FFFF-FFFF0D000000}">
      <tableStyleElement type="headerRow" dxfId="55"/>
      <tableStyleElement type="firstRowStripe" dxfId="54"/>
      <tableStyleElement type="secondRowStripe" dxfId="53"/>
    </tableStyle>
    <tableStyle name="Daily Purchases-style" pivot="0" count="3" xr9:uid="{00000000-0011-0000-FFFF-FFFF0E000000}">
      <tableStyleElement type="headerRow" dxfId="52"/>
      <tableStyleElement type="firstRowStripe" dxfId="51"/>
      <tableStyleElement type="secondRowStripe" dxfId="50"/>
    </tableStyle>
    <tableStyle name="Daily Purchases-style 2" pivot="0" count="3" xr9:uid="{00000000-0011-0000-FFFF-FFFF0F000000}">
      <tableStyleElement type="headerRow" dxfId="49"/>
      <tableStyleElement type="firstRowStripe" dxfId="48"/>
      <tableStyleElement type="secondRowStripe" dxfId="47"/>
    </tableStyle>
    <tableStyle name="Daily Purchases for 20212022-style" pivot="0" count="3" xr9:uid="{00000000-0011-0000-FFFF-FFFF10000000}">
      <tableStyleElement type="headerRow" dxfId="46"/>
      <tableStyleElement type="firstRowStripe" dxfId="45"/>
      <tableStyleElement type="secondRowStripe" dxfId="44"/>
    </tableStyle>
    <tableStyle name="Daily Purchases for 20212022-style 2" pivot="0" count="3" xr9:uid="{00000000-0011-0000-FFFF-FFFF11000000}">
      <tableStyleElement type="headerRow" dxfId="43"/>
      <tableStyleElement type="firstRowStripe" dxfId="42"/>
      <tableStyleElement type="secondRowStripe" dxfId="41"/>
    </tableStyle>
    <tableStyle name="Daily Purchases for 20212022-style 3" pivot="0" count="3" xr9:uid="{00000000-0011-0000-FFFF-FFFF12000000}">
      <tableStyleElement type="headerRow" dxfId="40"/>
      <tableStyleElement type="firstRowStripe" dxfId="39"/>
      <tableStyleElement type="secondRowStripe" dxfId="38"/>
    </tableStyle>
    <tableStyle name="Daily Purchases for 20212022-style 4" pivot="0" count="3" xr9:uid="{00000000-0011-0000-FFFF-FFFF13000000}">
      <tableStyleElement type="headerRow" dxfId="37"/>
      <tableStyleElement type="firstRowStripe" dxfId="36"/>
      <tableStyleElement type="secondRowStripe" dxfId="35"/>
    </tableStyle>
    <tableStyle name="Daily Purchases for 20212022-style 5" pivot="0" count="3" xr9:uid="{00000000-0011-0000-FFFF-FFFF14000000}">
      <tableStyleElement type="headerRow" dxfId="34"/>
      <tableStyleElement type="firstRowStripe" dxfId="33"/>
      <tableStyleElement type="secondRowStripe" dxfId="32"/>
    </tableStyle>
    <tableStyle name="Daily Purchases for 20212022-style 6" pivot="0" count="3" xr9:uid="{00000000-0011-0000-FFFF-FFFF15000000}">
      <tableStyleElement type="headerRow" dxfId="31"/>
      <tableStyleElement type="firstRowStripe" dxfId="30"/>
      <tableStyleElement type="secondRowStripe" dxfId="29"/>
    </tableStyle>
    <tableStyle name="Daily Purchases for 20212022-style 7" pivot="0" count="3" xr9:uid="{00000000-0011-0000-FFFF-FFFF16000000}">
      <tableStyleElement type="headerRow" dxfId="28"/>
      <tableStyleElement type="firstRowStripe" dxfId="27"/>
      <tableStyleElement type="secondRowStripe" dxfId="26"/>
    </tableStyle>
    <tableStyle name="Daily Purchases for 20212022-style 8" pivot="0" count="3" xr9:uid="{00000000-0011-0000-FFFF-FFFF17000000}">
      <tableStyleElement type="headerRow" dxfId="25"/>
      <tableStyleElement type="firstRowStripe" dxfId="24"/>
      <tableStyleElement type="secondRowStripe" dxfId="23"/>
    </tableStyle>
    <tableStyle name="Daily Purchases for 20212022-style 9" pivot="0" count="3" xr9:uid="{00000000-0011-0000-FFFF-FFFF18000000}">
      <tableStyleElement type="headerRow" dxfId="22"/>
      <tableStyleElement type="firstRowStripe" dxfId="21"/>
      <tableStyleElement type="secondRowStripe" dxfId="20"/>
    </tableStyle>
    <tableStyle name="Daily Purchases for 20212022-style 10" pivot="0" count="3" xr9:uid="{00000000-0011-0000-FFFF-FFFF19000000}">
      <tableStyleElement type="headerRow" dxfId="19"/>
      <tableStyleElement type="firstRowStripe" dxfId="18"/>
      <tableStyleElement type="secondRowStripe" dxfId="17"/>
    </tableStyle>
    <tableStyle name="Daily Purchases for 20212022-style 11" pivot="0" count="3" xr9:uid="{00000000-0011-0000-FFFF-FFFF1A000000}">
      <tableStyleElement type="headerRow" dxfId="16"/>
      <tableStyleElement type="firstRowStripe" dxfId="15"/>
      <tableStyleElement type="secondRowStripe" dxfId="14"/>
    </tableStyle>
    <tableStyle name="Daily Purchases for 20212022-style 12" pivot="0" count="3" xr9:uid="{00000000-0011-0000-FFFF-FFFF1B000000}">
      <tableStyleElement type="headerRow" dxfId="13"/>
      <tableStyleElement type="firstRowStripe" dxfId="12"/>
      <tableStyleElement type="secondRowStripe" dxfId="11"/>
    </tableStyle>
    <tableStyle name="Daily Purchases for 20212022-style 13" pivot="0" count="3" xr9:uid="{00000000-0011-0000-FFFF-FFFF1C000000}">
      <tableStyleElement type="headerRow" dxfId="10"/>
      <tableStyleElement type="firstRowStripe" dxfId="9"/>
      <tableStyleElement type="secondRowStripe" dxfId="8"/>
    </tableStyle>
    <tableStyle name="Daily Purchases for 20212022-style 14" pivot="0" count="3" xr9:uid="{00000000-0011-0000-FFFF-FFFF1D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7:K36" headerRowCount="0">
  <tableColumns count="11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  <tableColumn id="10" xr3:uid="{00000000-0010-0000-0E00-00000A000000}" name="Column10"/>
    <tableColumn id="83" xr3:uid="{00000000-0010-0000-0E00-000053000000}" name="Column83"/>
  </tableColumns>
  <tableStyleInfo name="Daily Purchas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C7:CF37" headerRowCount="0">
  <tableColumns count="4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</tableColumns>
  <tableStyleInfo name="Daily Purchases for 20212022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CO7:CR37" headerRowCount="0">
  <tableColumns count="4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</tableColumns>
  <tableStyleInfo name="Daily Purchases for 20212022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DA7:DD37" headerRowCount="0">
  <tableColumns count="4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</tableColumns>
  <tableStyleInfo name="Daily Purchases for 20212022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DM7:DP37" headerRowCount="0">
  <tableColumns count="4">
    <tableColumn id="1" xr3:uid="{00000000-0010-0000-1B00-000001000000}" name="Column1"/>
    <tableColumn id="2" xr3:uid="{00000000-0010-0000-1B00-000002000000}" name="Column2"/>
    <tableColumn id="3" xr3:uid="{00000000-0010-0000-1B00-000003000000}" name="Column3"/>
    <tableColumn id="4" xr3:uid="{00000000-0010-0000-1B00-000004000000}" name="Column4"/>
  </tableColumns>
  <tableStyleInfo name="Daily Purchases for 20212022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DY7:EB37" headerRowCount="0">
  <tableColumns count="4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</tableColumns>
  <tableStyleInfo name="Daily Purchases for 20212022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EK7:EN37" headerRowCount="0">
  <tableColumns count="4">
    <tableColumn id="1" xr3:uid="{00000000-0010-0000-1D00-000001000000}" name="Column1"/>
    <tableColumn id="2" xr3:uid="{00000000-0010-0000-1D00-000002000000}" name="Column2"/>
    <tableColumn id="3" xr3:uid="{00000000-0010-0000-1D00-000003000000}" name="Column3"/>
    <tableColumn id="4" xr3:uid="{00000000-0010-0000-1D00-000004000000}" name="Column4"/>
  </tableColumns>
  <tableStyleInfo name="Daily Purchases for 20212022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7:C37" headerRowCount="0">
  <tableColumns count="2">
    <tableColumn id="1" xr3:uid="{00000000-0010-0000-1000-000001000000}" name="Column1"/>
    <tableColumn id="2" xr3:uid="{00000000-0010-0000-1000-000002000000}" name="Column2"/>
  </tableColumns>
  <tableStyleInfo name="Daily Purchases for 2021202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J7:K37" headerRowCount="0">
  <tableColumns count="2">
    <tableColumn id="1" xr3:uid="{00000000-0010-0000-1100-000001000000}" name="Column1"/>
    <tableColumn id="2" xr3:uid="{00000000-0010-0000-1100-000002000000}" name="Column2"/>
  </tableColumns>
  <tableStyleInfo name="Daily Purchases for 20212022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R7:S37" headerRowCount="0">
  <tableColumns count="2">
    <tableColumn id="1" xr3:uid="{00000000-0010-0000-1200-000001000000}" name="Column1"/>
    <tableColumn id="2" xr3:uid="{00000000-0010-0000-1200-000002000000}" name="Column2"/>
  </tableColumns>
  <tableStyleInfo name="Daily Purchases for 2021202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Z7:AA37" headerRowCount="0">
  <tableColumns count="2">
    <tableColumn id="1" xr3:uid="{00000000-0010-0000-1300-000001000000}" name="Column1"/>
    <tableColumn id="2" xr3:uid="{00000000-0010-0000-1300-000002000000}" name="Column2"/>
  </tableColumns>
  <tableStyleInfo name="Daily Purchases for 20212022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K7:AM37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Daily Purchases for 20212022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V7:AY37" headerRowCount="0">
  <tableColumns count="4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</tableColumns>
  <tableStyleInfo name="Daily Purchases for 20212022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G7:BJ37" headerRowCount="0">
  <tableColumns count="4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</tableColumns>
  <tableStyleInfo name="Daily Purchases for 20212022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BR7:BU37" headerRowCount="0">
  <tableColumns count="4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</tableColumns>
  <tableStyleInfo name="Daily Purchases for 20212022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</sheetPr>
  <dimension ref="A1:K1000"/>
  <sheetViews>
    <sheetView tabSelected="1" topLeftCell="A29" workbookViewId="0">
      <selection activeCell="A37" sqref="A37"/>
    </sheetView>
  </sheetViews>
  <sheetFormatPr defaultColWidth="14.44140625" defaultRowHeight="15" customHeight="1"/>
  <cols>
    <col min="1" max="3" width="17.109375" customWidth="1"/>
    <col min="4" max="4" width="21.33203125" customWidth="1"/>
    <col min="5" max="10" width="17.109375" customWidth="1"/>
    <col min="11" max="11" width="57" bestFit="1" customWidth="1"/>
  </cols>
  <sheetData>
    <row r="1" spans="1:11" ht="14.25" customHeight="1">
      <c r="A1" s="163"/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4.25" customHeight="1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1" ht="14.25" customHeight="1" thickBot="1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</row>
    <row r="4" spans="1:11" ht="14.25" customHeight="1" thickTop="1" thickBot="1">
      <c r="A4" s="346">
        <v>45659</v>
      </c>
      <c r="B4" s="347"/>
      <c r="C4" s="347"/>
      <c r="D4" s="347"/>
      <c r="E4" s="347"/>
      <c r="F4" s="347"/>
      <c r="G4" s="347"/>
      <c r="H4" s="347"/>
      <c r="I4" s="347"/>
      <c r="J4" s="347"/>
      <c r="K4" s="1"/>
    </row>
    <row r="5" spans="1:11" ht="14.25" customHeight="1" thickTop="1" thickBot="1">
      <c r="A5" s="355" t="s">
        <v>0</v>
      </c>
      <c r="B5" s="351"/>
      <c r="C5" s="356"/>
      <c r="D5" s="171" t="s">
        <v>1</v>
      </c>
      <c r="E5" s="360" t="s">
        <v>2</v>
      </c>
      <c r="F5" s="361" t="s">
        <v>3</v>
      </c>
      <c r="G5" s="358"/>
      <c r="H5" s="358"/>
      <c r="I5" s="358"/>
      <c r="J5" s="359"/>
      <c r="K5" s="173" t="s">
        <v>4</v>
      </c>
    </row>
    <row r="6" spans="1:11" ht="62.25" customHeight="1" thickTop="1">
      <c r="A6" s="357"/>
      <c r="B6" s="358"/>
      <c r="C6" s="359"/>
      <c r="D6" s="171" t="s">
        <v>5</v>
      </c>
      <c r="E6" s="349"/>
      <c r="F6" s="174" t="s">
        <v>8</v>
      </c>
      <c r="G6" s="175" t="s">
        <v>9</v>
      </c>
      <c r="H6" s="176" t="s">
        <v>11</v>
      </c>
      <c r="I6" s="177" t="s">
        <v>12</v>
      </c>
      <c r="J6" s="178" t="s">
        <v>202</v>
      </c>
      <c r="K6" s="178" t="s">
        <v>203</v>
      </c>
    </row>
    <row r="7" spans="1:11" ht="14.25" customHeight="1">
      <c r="A7" s="179">
        <v>1</v>
      </c>
      <c r="B7" s="180" t="str">
        <f t="shared" ref="B7:B36" si="0">TEXT(C7, "dddd")</f>
        <v>Thursday</v>
      </c>
      <c r="C7" s="181">
        <v>45652</v>
      </c>
      <c r="D7" s="182">
        <v>1092531.96</v>
      </c>
      <c r="E7" s="182">
        <v>984000.1</v>
      </c>
      <c r="F7" s="183">
        <v>108531.86</v>
      </c>
      <c r="G7" s="184">
        <v>0</v>
      </c>
      <c r="H7" s="184">
        <v>-529171.12</v>
      </c>
      <c r="I7" s="184"/>
      <c r="J7" s="185">
        <v>0.92</v>
      </c>
      <c r="K7" s="186" t="s">
        <v>206</v>
      </c>
    </row>
    <row r="8" spans="1:11" ht="14.25" customHeight="1">
      <c r="A8" s="187">
        <v>2</v>
      </c>
      <c r="B8" s="180" t="str">
        <f t="shared" si="0"/>
        <v>Friday</v>
      </c>
      <c r="C8" s="188">
        <f t="shared" ref="C8:C36" si="1">C7+1</f>
        <v>45653</v>
      </c>
      <c r="D8" s="182">
        <v>1194306.57</v>
      </c>
      <c r="E8" s="182">
        <v>984000.1</v>
      </c>
      <c r="F8" s="189">
        <v>210306.47</v>
      </c>
      <c r="G8" s="190">
        <v>0</v>
      </c>
      <c r="H8" s="190">
        <v>-708658.29</v>
      </c>
      <c r="I8" s="190"/>
      <c r="J8" s="191">
        <v>2.8</v>
      </c>
      <c r="K8" s="191"/>
    </row>
    <row r="9" spans="1:11" ht="14.25" customHeight="1">
      <c r="A9" s="192">
        <v>3</v>
      </c>
      <c r="B9" s="20" t="str">
        <f t="shared" si="0"/>
        <v>Saturday</v>
      </c>
      <c r="C9" s="193">
        <f t="shared" si="1"/>
        <v>45654</v>
      </c>
      <c r="D9" s="182">
        <v>1126674.5900000001</v>
      </c>
      <c r="E9" s="182">
        <v>984000.1</v>
      </c>
      <c r="F9" s="183">
        <v>142674.49</v>
      </c>
      <c r="G9" s="184">
        <v>0</v>
      </c>
      <c r="H9" s="184">
        <v>-425008.95</v>
      </c>
      <c r="I9" s="184"/>
      <c r="J9" s="185">
        <v>2.79</v>
      </c>
      <c r="K9" s="186" t="s">
        <v>211</v>
      </c>
    </row>
    <row r="10" spans="1:11" ht="14.25" customHeight="1">
      <c r="A10" s="187">
        <v>4</v>
      </c>
      <c r="B10" s="20" t="str">
        <f t="shared" si="0"/>
        <v>Sunday</v>
      </c>
      <c r="C10" s="188">
        <f t="shared" si="1"/>
        <v>45655</v>
      </c>
      <c r="D10" s="182">
        <v>1048439.29</v>
      </c>
      <c r="E10" s="182">
        <v>984009.6</v>
      </c>
      <c r="F10" s="189">
        <v>64429.69</v>
      </c>
      <c r="G10" s="190">
        <v>0</v>
      </c>
      <c r="H10" s="190">
        <v>-185891.66</v>
      </c>
      <c r="I10" s="194"/>
      <c r="J10" s="191">
        <v>1.84</v>
      </c>
      <c r="K10" s="186" t="s">
        <v>212</v>
      </c>
    </row>
    <row r="11" spans="1:11" ht="14.25" customHeight="1">
      <c r="A11" s="192">
        <v>5</v>
      </c>
      <c r="B11" s="180" t="str">
        <f t="shared" si="0"/>
        <v>Monday</v>
      </c>
      <c r="C11" s="193">
        <f t="shared" si="1"/>
        <v>45656</v>
      </c>
      <c r="D11" s="182">
        <v>1029359.48</v>
      </c>
      <c r="E11" s="182">
        <v>984009.6</v>
      </c>
      <c r="F11" s="183">
        <v>45349.88</v>
      </c>
      <c r="G11" s="184">
        <v>0</v>
      </c>
      <c r="H11" s="184">
        <v>-154435.64000000001</v>
      </c>
      <c r="I11" s="184"/>
      <c r="J11" s="185">
        <v>1.37</v>
      </c>
      <c r="K11" s="186" t="s">
        <v>210</v>
      </c>
    </row>
    <row r="12" spans="1:11" ht="14.25" customHeight="1">
      <c r="A12" s="187">
        <v>6</v>
      </c>
      <c r="B12" s="180" t="str">
        <f t="shared" si="0"/>
        <v>Tuesday</v>
      </c>
      <c r="C12" s="188">
        <f t="shared" si="1"/>
        <v>45657</v>
      </c>
      <c r="D12" s="182">
        <v>1094110.29</v>
      </c>
      <c r="E12" s="182">
        <v>984009.6</v>
      </c>
      <c r="F12" s="189">
        <v>110100.69</v>
      </c>
      <c r="G12" s="190">
        <v>0</v>
      </c>
      <c r="H12" s="190">
        <v>-360819.66</v>
      </c>
      <c r="I12" s="196"/>
      <c r="J12" s="191">
        <v>2</v>
      </c>
      <c r="K12" s="186" t="s">
        <v>215</v>
      </c>
    </row>
    <row r="13" spans="1:11" ht="14.25" customHeight="1">
      <c r="A13" s="192">
        <v>7</v>
      </c>
      <c r="B13" s="180" t="str">
        <f t="shared" si="0"/>
        <v>Wednesday</v>
      </c>
      <c r="C13" s="193">
        <f t="shared" si="1"/>
        <v>45658</v>
      </c>
      <c r="D13" s="182">
        <v>1079610.57</v>
      </c>
      <c r="E13" s="182">
        <v>984000.1</v>
      </c>
      <c r="F13" s="183">
        <v>95610.48</v>
      </c>
      <c r="G13" s="184">
        <v>0</v>
      </c>
      <c r="H13" s="184">
        <v>-191545.98</v>
      </c>
      <c r="I13" s="195"/>
      <c r="J13" s="185">
        <v>-0.55000000000000004</v>
      </c>
      <c r="K13" s="186" t="s">
        <v>209</v>
      </c>
    </row>
    <row r="14" spans="1:11" ht="14.25" customHeight="1">
      <c r="A14" s="187">
        <v>8</v>
      </c>
      <c r="B14" s="180" t="str">
        <f t="shared" si="0"/>
        <v>Thursday</v>
      </c>
      <c r="C14" s="188">
        <f t="shared" si="1"/>
        <v>45659</v>
      </c>
      <c r="D14" s="182">
        <v>1188338.1200000001</v>
      </c>
      <c r="E14" s="182">
        <v>984000.1</v>
      </c>
      <c r="F14" s="189">
        <v>204338.02</v>
      </c>
      <c r="G14" s="190">
        <v>0</v>
      </c>
      <c r="H14" s="197">
        <v>-675016.33</v>
      </c>
      <c r="I14" s="197"/>
      <c r="J14" s="191">
        <v>2.61</v>
      </c>
      <c r="K14" s="186" t="s">
        <v>216</v>
      </c>
    </row>
    <row r="15" spans="1:11" ht="14.25" customHeight="1">
      <c r="A15" s="192">
        <v>9</v>
      </c>
      <c r="B15" s="180" t="str">
        <f t="shared" si="0"/>
        <v>Friday</v>
      </c>
      <c r="C15" s="193">
        <f t="shared" si="1"/>
        <v>45660</v>
      </c>
      <c r="D15" s="182">
        <v>1158484.54</v>
      </c>
      <c r="E15" s="182">
        <v>984000.1</v>
      </c>
      <c r="F15" s="183">
        <v>174484.44</v>
      </c>
      <c r="G15" s="184">
        <v>0</v>
      </c>
      <c r="H15" s="198">
        <v>-703048.2</v>
      </c>
      <c r="I15" s="198"/>
      <c r="J15" s="186">
        <v>3.67</v>
      </c>
      <c r="K15" s="186" t="s">
        <v>218</v>
      </c>
    </row>
    <row r="16" spans="1:11" ht="14.25" customHeight="1">
      <c r="A16" s="187">
        <v>10</v>
      </c>
      <c r="B16" s="20" t="str">
        <f t="shared" si="0"/>
        <v>Saturday</v>
      </c>
      <c r="C16" s="188">
        <f t="shared" si="1"/>
        <v>45661</v>
      </c>
      <c r="D16" s="182">
        <v>1029406.62</v>
      </c>
      <c r="E16" s="182">
        <v>984000.1</v>
      </c>
      <c r="F16" s="189">
        <v>45406.53</v>
      </c>
      <c r="G16" s="190">
        <v>0</v>
      </c>
      <c r="H16" s="197">
        <v>-183919.28</v>
      </c>
      <c r="I16" s="197"/>
      <c r="J16" s="186">
        <v>4.1500000000000004</v>
      </c>
      <c r="K16" s="186" t="s">
        <v>220</v>
      </c>
    </row>
    <row r="17" spans="1:11" ht="14.25" customHeight="1">
      <c r="A17" s="192">
        <v>11</v>
      </c>
      <c r="B17" s="20" t="str">
        <f t="shared" si="0"/>
        <v>Sunday</v>
      </c>
      <c r="C17" s="193">
        <f t="shared" si="1"/>
        <v>45662</v>
      </c>
      <c r="D17" s="182">
        <v>923683.53</v>
      </c>
      <c r="E17" s="182">
        <v>984000.1</v>
      </c>
      <c r="F17" s="183">
        <v>0</v>
      </c>
      <c r="G17" s="184">
        <v>60316.56</v>
      </c>
      <c r="H17" s="198"/>
      <c r="I17" s="198">
        <v>70177.929999999993</v>
      </c>
      <c r="J17" s="185">
        <v>2.17</v>
      </c>
      <c r="K17" s="186" t="s">
        <v>215</v>
      </c>
    </row>
    <row r="18" spans="1:11" ht="14.25" customHeight="1">
      <c r="A18" s="187">
        <v>12</v>
      </c>
      <c r="B18" s="180" t="str">
        <f t="shared" si="0"/>
        <v>Monday</v>
      </c>
      <c r="C18" s="188">
        <f t="shared" si="1"/>
        <v>45663</v>
      </c>
      <c r="D18" s="182">
        <v>1029849.5</v>
      </c>
      <c r="E18" s="182">
        <v>984000.1</v>
      </c>
      <c r="F18" s="189">
        <v>45849.4</v>
      </c>
      <c r="G18" s="190">
        <v>0</v>
      </c>
      <c r="H18" s="197">
        <v>-271977.40999999997</v>
      </c>
      <c r="I18" s="190"/>
      <c r="J18" s="191">
        <v>2.76</v>
      </c>
      <c r="K18" s="186" t="s">
        <v>213</v>
      </c>
    </row>
    <row r="19" spans="1:11" ht="14.25" customHeight="1">
      <c r="A19" s="192">
        <v>13</v>
      </c>
      <c r="B19" s="180" t="str">
        <f t="shared" si="0"/>
        <v>Tuesday</v>
      </c>
      <c r="C19" s="193">
        <f t="shared" si="1"/>
        <v>45664</v>
      </c>
      <c r="D19" s="182">
        <v>1036503.59</v>
      </c>
      <c r="E19" s="182">
        <v>984000</v>
      </c>
      <c r="F19" s="183">
        <v>52503.59</v>
      </c>
      <c r="G19" s="184">
        <v>0</v>
      </c>
      <c r="H19" s="198">
        <v>-246115.28</v>
      </c>
      <c r="I19" s="198"/>
      <c r="J19" s="185">
        <v>3.47</v>
      </c>
      <c r="K19" s="186" t="s">
        <v>216</v>
      </c>
    </row>
    <row r="20" spans="1:11" ht="14.25" customHeight="1">
      <c r="A20" s="187">
        <v>14</v>
      </c>
      <c r="B20" s="180" t="str">
        <f t="shared" si="0"/>
        <v>Wednesday</v>
      </c>
      <c r="C20" s="188">
        <f t="shared" si="1"/>
        <v>45665</v>
      </c>
      <c r="D20" s="182">
        <v>1039381.31</v>
      </c>
      <c r="E20" s="182">
        <v>984000</v>
      </c>
      <c r="F20" s="189">
        <v>55381.32</v>
      </c>
      <c r="G20" s="190">
        <v>0</v>
      </c>
      <c r="H20" s="197">
        <v>-271184.26</v>
      </c>
      <c r="I20" s="197"/>
      <c r="J20" s="186">
        <v>4.2</v>
      </c>
      <c r="K20" s="186" t="s">
        <v>216</v>
      </c>
    </row>
    <row r="21" spans="1:11" ht="14.25" customHeight="1">
      <c r="A21" s="192">
        <v>15</v>
      </c>
      <c r="B21" s="180" t="str">
        <f t="shared" si="0"/>
        <v>Thursday</v>
      </c>
      <c r="C21" s="193">
        <f t="shared" si="1"/>
        <v>45666</v>
      </c>
      <c r="D21" s="182">
        <v>1014739.76</v>
      </c>
      <c r="E21" s="182">
        <v>984000</v>
      </c>
      <c r="F21" s="183">
        <v>30739.759999999998</v>
      </c>
      <c r="G21" s="184">
        <v>0</v>
      </c>
      <c r="H21" s="198">
        <v>-140627.25</v>
      </c>
      <c r="I21" s="198"/>
      <c r="J21" s="186">
        <v>3.97</v>
      </c>
      <c r="K21" s="186" t="s">
        <v>221</v>
      </c>
    </row>
    <row r="22" spans="1:11" ht="14.25" customHeight="1">
      <c r="A22" s="187">
        <v>16</v>
      </c>
      <c r="B22" s="180" t="str">
        <f t="shared" si="0"/>
        <v>Friday</v>
      </c>
      <c r="C22" s="188">
        <f t="shared" si="1"/>
        <v>45667</v>
      </c>
      <c r="D22" s="182">
        <v>938092.03</v>
      </c>
      <c r="E22" s="182">
        <v>984000</v>
      </c>
      <c r="F22" s="189">
        <v>0</v>
      </c>
      <c r="G22" s="190">
        <v>45907.96</v>
      </c>
      <c r="H22" s="197"/>
      <c r="I22" s="197">
        <v>139477.76999999999</v>
      </c>
      <c r="J22" s="186">
        <v>3.76</v>
      </c>
      <c r="K22" s="186" t="s">
        <v>222</v>
      </c>
    </row>
    <row r="23" spans="1:11" ht="14.25" customHeight="1">
      <c r="A23" s="192">
        <v>17</v>
      </c>
      <c r="B23" s="20" t="str">
        <f t="shared" si="0"/>
        <v>Saturday</v>
      </c>
      <c r="C23" s="193">
        <f t="shared" si="1"/>
        <v>45668</v>
      </c>
      <c r="D23" s="182">
        <v>984123.64</v>
      </c>
      <c r="E23" s="182">
        <v>984000</v>
      </c>
      <c r="F23" s="183">
        <v>123.64</v>
      </c>
      <c r="G23" s="184">
        <v>0</v>
      </c>
      <c r="H23" s="198">
        <v>-12195.6</v>
      </c>
      <c r="I23" s="198"/>
      <c r="J23" s="186">
        <v>3.73</v>
      </c>
      <c r="K23" s="186" t="s">
        <v>205</v>
      </c>
    </row>
    <row r="24" spans="1:11" ht="14.25" customHeight="1">
      <c r="A24" s="187">
        <v>18</v>
      </c>
      <c r="B24" s="20" t="str">
        <f t="shared" si="0"/>
        <v>Sunday</v>
      </c>
      <c r="C24" s="188">
        <f t="shared" si="1"/>
        <v>45669</v>
      </c>
      <c r="D24" s="182">
        <v>940994.35</v>
      </c>
      <c r="E24" s="182">
        <v>984000</v>
      </c>
      <c r="F24" s="189">
        <v>0</v>
      </c>
      <c r="G24" s="190">
        <v>43005.64</v>
      </c>
      <c r="H24" s="197"/>
      <c r="I24" s="197">
        <v>98722.84</v>
      </c>
      <c r="J24" s="191">
        <v>2.89</v>
      </c>
      <c r="K24" s="186" t="s">
        <v>219</v>
      </c>
    </row>
    <row r="25" spans="1:11" ht="14.25" customHeight="1">
      <c r="A25" s="192">
        <v>19</v>
      </c>
      <c r="B25" s="180" t="str">
        <f t="shared" si="0"/>
        <v>Monday</v>
      </c>
      <c r="C25" s="193">
        <f t="shared" si="1"/>
        <v>45670</v>
      </c>
      <c r="D25" s="182">
        <v>984033.58</v>
      </c>
      <c r="E25" s="182">
        <v>984000</v>
      </c>
      <c r="F25" s="183">
        <v>33.58</v>
      </c>
      <c r="G25" s="184">
        <v>0</v>
      </c>
      <c r="H25" s="198">
        <v>-70583.3</v>
      </c>
      <c r="I25" s="198"/>
      <c r="J25" s="185">
        <v>2.76</v>
      </c>
      <c r="K25" s="186" t="s">
        <v>204</v>
      </c>
    </row>
    <row r="26" spans="1:11" ht="14.25" customHeight="1">
      <c r="A26" s="187">
        <v>20</v>
      </c>
      <c r="B26" s="180" t="str">
        <f t="shared" si="0"/>
        <v>Tuesday</v>
      </c>
      <c r="C26" s="188">
        <f t="shared" si="1"/>
        <v>45671</v>
      </c>
      <c r="D26" s="182">
        <v>1006937.73</v>
      </c>
      <c r="E26" s="182">
        <v>984000</v>
      </c>
      <c r="F26" s="189">
        <v>22937.73</v>
      </c>
      <c r="G26" s="190">
        <v>0</v>
      </c>
      <c r="H26" s="197">
        <v>-189923.95</v>
      </c>
      <c r="I26" s="197"/>
      <c r="J26" s="191">
        <v>2.97</v>
      </c>
      <c r="K26" s="186" t="s">
        <v>216</v>
      </c>
    </row>
    <row r="27" spans="1:11" ht="14.25" customHeight="1">
      <c r="A27" s="192">
        <v>21</v>
      </c>
      <c r="B27" s="180" t="str">
        <f t="shared" si="0"/>
        <v>Wednesday</v>
      </c>
      <c r="C27" s="193">
        <f t="shared" si="1"/>
        <v>45672</v>
      </c>
      <c r="D27" s="182">
        <v>1046547.54</v>
      </c>
      <c r="E27" s="182">
        <v>984000</v>
      </c>
      <c r="F27" s="183">
        <v>62547.54</v>
      </c>
      <c r="G27" s="184">
        <v>0</v>
      </c>
      <c r="H27" s="184">
        <v>-290282.57</v>
      </c>
      <c r="I27" s="198"/>
      <c r="J27" s="185">
        <v>3.31</v>
      </c>
      <c r="K27" s="186" t="s">
        <v>217</v>
      </c>
    </row>
    <row r="28" spans="1:11" ht="14.25" customHeight="1">
      <c r="A28" s="187">
        <v>22</v>
      </c>
      <c r="B28" s="180" t="str">
        <f t="shared" si="0"/>
        <v>Thursday</v>
      </c>
      <c r="C28" s="188">
        <f t="shared" si="1"/>
        <v>45673</v>
      </c>
      <c r="D28" s="182">
        <v>1030211.92</v>
      </c>
      <c r="E28" s="182">
        <v>984000</v>
      </c>
      <c r="F28" s="189">
        <v>46211.92</v>
      </c>
      <c r="G28" s="190">
        <v>0</v>
      </c>
      <c r="H28" s="197">
        <v>-173245.29</v>
      </c>
      <c r="I28" s="197"/>
      <c r="J28" s="191">
        <v>3.12</v>
      </c>
      <c r="K28" s="186" t="s">
        <v>207</v>
      </c>
    </row>
    <row r="29" spans="1:11" ht="14.25" customHeight="1">
      <c r="A29" s="192">
        <v>23</v>
      </c>
      <c r="B29" s="180" t="str">
        <f t="shared" si="0"/>
        <v>Friday</v>
      </c>
      <c r="C29" s="193">
        <f t="shared" si="1"/>
        <v>45674</v>
      </c>
      <c r="D29" s="182">
        <v>1038878.05</v>
      </c>
      <c r="E29" s="182">
        <v>984000</v>
      </c>
      <c r="F29" s="183">
        <v>54878.06</v>
      </c>
      <c r="G29" s="195">
        <v>0</v>
      </c>
      <c r="H29" s="198">
        <v>-201863.04000000001</v>
      </c>
      <c r="I29" s="198"/>
      <c r="J29" s="185">
        <v>3.09</v>
      </c>
      <c r="K29" s="186" t="s">
        <v>208</v>
      </c>
    </row>
    <row r="30" spans="1:11" ht="14.25" customHeight="1">
      <c r="A30" s="187">
        <v>24</v>
      </c>
      <c r="B30" s="20" t="str">
        <f t="shared" si="0"/>
        <v>Saturday</v>
      </c>
      <c r="C30" s="188">
        <f t="shared" si="1"/>
        <v>45675</v>
      </c>
      <c r="D30" s="182">
        <v>1023471.56</v>
      </c>
      <c r="E30" s="182">
        <v>984000</v>
      </c>
      <c r="F30" s="189">
        <v>39471.57</v>
      </c>
      <c r="G30" s="190">
        <v>0</v>
      </c>
      <c r="H30" s="197">
        <v>-177835.43</v>
      </c>
      <c r="I30" s="197"/>
      <c r="J30" s="191">
        <v>2.91</v>
      </c>
      <c r="K30" s="186" t="s">
        <v>210</v>
      </c>
    </row>
    <row r="31" spans="1:11" ht="14.25" customHeight="1">
      <c r="A31" s="192">
        <v>25</v>
      </c>
      <c r="B31" s="20" t="str">
        <f t="shared" si="0"/>
        <v>Sunday</v>
      </c>
      <c r="C31" s="193">
        <f t="shared" si="1"/>
        <v>45676</v>
      </c>
      <c r="D31" s="182">
        <v>981667.98</v>
      </c>
      <c r="E31" s="182">
        <v>984000</v>
      </c>
      <c r="F31" s="183">
        <v>0</v>
      </c>
      <c r="G31" s="184">
        <v>2332.0100000000002</v>
      </c>
      <c r="H31" s="198"/>
      <c r="I31" s="198">
        <v>13801.79</v>
      </c>
      <c r="J31" s="185">
        <v>3.17</v>
      </c>
      <c r="K31" s="186" t="s">
        <v>214</v>
      </c>
    </row>
    <row r="32" spans="1:11" ht="14.25" customHeight="1">
      <c r="A32" s="187">
        <v>26</v>
      </c>
      <c r="B32" s="180" t="str">
        <f t="shared" si="0"/>
        <v>Monday</v>
      </c>
      <c r="C32" s="188">
        <f t="shared" si="1"/>
        <v>45677</v>
      </c>
      <c r="D32" s="182">
        <v>1110334.7</v>
      </c>
      <c r="E32" s="182">
        <v>984000</v>
      </c>
      <c r="F32" s="189">
        <v>126334.71</v>
      </c>
      <c r="G32" s="190">
        <v>0</v>
      </c>
      <c r="H32" s="197">
        <v>-913094.49</v>
      </c>
      <c r="I32" s="196"/>
      <c r="J32" s="186">
        <v>5.53</v>
      </c>
      <c r="K32" s="186" t="s">
        <v>224</v>
      </c>
    </row>
    <row r="33" spans="1:11" ht="14.25" customHeight="1">
      <c r="A33" s="192">
        <v>27</v>
      </c>
      <c r="B33" s="180" t="str">
        <f t="shared" si="0"/>
        <v>Tuesday</v>
      </c>
      <c r="C33" s="193">
        <f t="shared" si="1"/>
        <v>45678</v>
      </c>
      <c r="D33" s="182">
        <v>1139037.1100000001</v>
      </c>
      <c r="E33" s="182">
        <v>984000</v>
      </c>
      <c r="F33" s="183">
        <v>155037.12</v>
      </c>
      <c r="G33" s="184">
        <v>0</v>
      </c>
      <c r="H33" s="198">
        <v>-723275.52</v>
      </c>
      <c r="I33" s="198"/>
      <c r="J33" s="186">
        <v>4.2699999999999996</v>
      </c>
      <c r="K33" s="186" t="s">
        <v>225</v>
      </c>
    </row>
    <row r="34" spans="1:11" ht="14.25" customHeight="1">
      <c r="A34" s="187">
        <v>28</v>
      </c>
      <c r="B34" s="180" t="str">
        <f t="shared" si="0"/>
        <v>Wednesday</v>
      </c>
      <c r="C34" s="188">
        <f t="shared" si="1"/>
        <v>45679</v>
      </c>
      <c r="D34" s="182">
        <v>1073575.51</v>
      </c>
      <c r="E34" s="182">
        <v>984000</v>
      </c>
      <c r="F34" s="189">
        <v>89575.52</v>
      </c>
      <c r="G34" s="190">
        <v>0</v>
      </c>
      <c r="H34" s="197">
        <v>-300970.92</v>
      </c>
      <c r="I34" s="194"/>
      <c r="J34" s="191">
        <v>3.28</v>
      </c>
      <c r="K34" s="186" t="s">
        <v>223</v>
      </c>
    </row>
    <row r="35" spans="1:11" ht="14.25" customHeight="1">
      <c r="A35" s="192">
        <v>29</v>
      </c>
      <c r="B35" s="180" t="str">
        <f t="shared" si="0"/>
        <v>Thursday</v>
      </c>
      <c r="C35" s="193">
        <f t="shared" si="1"/>
        <v>45680</v>
      </c>
      <c r="D35" s="182">
        <v>1088248.75</v>
      </c>
      <c r="E35" s="182">
        <v>984000</v>
      </c>
      <c r="F35" s="183">
        <v>104248.75</v>
      </c>
      <c r="G35" s="184">
        <v>0</v>
      </c>
      <c r="H35" s="198">
        <v>-443572.84</v>
      </c>
      <c r="I35" s="195"/>
      <c r="J35" s="186">
        <v>3.67</v>
      </c>
      <c r="K35" s="186" t="s">
        <v>226</v>
      </c>
    </row>
    <row r="36" spans="1:11" ht="14.25" customHeight="1">
      <c r="A36" s="187">
        <v>30</v>
      </c>
      <c r="B36" s="180" t="str">
        <f t="shared" si="0"/>
        <v>Friday</v>
      </c>
      <c r="C36" s="188">
        <f t="shared" si="1"/>
        <v>45681</v>
      </c>
      <c r="D36" s="182">
        <v>1151428.42</v>
      </c>
      <c r="E36" s="182">
        <v>984000</v>
      </c>
      <c r="F36" s="189">
        <v>167428.43</v>
      </c>
      <c r="G36" s="190">
        <v>0</v>
      </c>
      <c r="H36" s="197">
        <v>-784813.99</v>
      </c>
      <c r="I36" s="194"/>
      <c r="J36" s="186">
        <v>4.03</v>
      </c>
      <c r="K36" s="186" t="s">
        <v>227</v>
      </c>
    </row>
    <row r="37" spans="1:11" ht="14.25" customHeight="1" thickBot="1">
      <c r="A37" s="352"/>
      <c r="B37" s="353"/>
      <c r="C37" s="354"/>
      <c r="D37" s="182">
        <f>SUM(D7:D36)</f>
        <v>31623002.590000004</v>
      </c>
      <c r="E37" s="199">
        <f>SUM(E7:E36)</f>
        <v>29520029.699999996</v>
      </c>
      <c r="F37" s="199">
        <f>SUM(F7:F36)</f>
        <v>2254535.1900000004</v>
      </c>
      <c r="G37" s="199">
        <f>SUM(G7:G36)</f>
        <v>151562.16999999998</v>
      </c>
      <c r="H37" s="200">
        <f>SUM(H7:H36)</f>
        <v>-9329076.25</v>
      </c>
      <c r="I37" s="199">
        <f>SUM(I7:I36)</f>
        <v>322180.32999999996</v>
      </c>
      <c r="J37" s="199">
        <f>AVERAGE(J7:J36)</f>
        <v>3.0219999999999994</v>
      </c>
      <c r="K37" s="201"/>
    </row>
    <row r="38" spans="1:11" ht="14.25" customHeight="1" thickTop="1">
      <c r="A38" s="163"/>
      <c r="B38" s="163"/>
      <c r="C38" s="163"/>
      <c r="D38" s="163" t="s">
        <v>144</v>
      </c>
      <c r="E38" s="202">
        <f>COUNT(E7:E36)</f>
        <v>30</v>
      </c>
      <c r="F38" s="203">
        <f>6241.08*1000</f>
        <v>6241080</v>
      </c>
      <c r="G38" s="204">
        <f>F38+E37</f>
        <v>35761109.699999996</v>
      </c>
      <c r="H38" s="163"/>
      <c r="I38" s="205"/>
      <c r="J38" s="163"/>
      <c r="K38" s="163"/>
    </row>
    <row r="39" spans="1:11" ht="14.25" customHeight="1">
      <c r="A39" s="163"/>
      <c r="B39" s="163"/>
      <c r="C39" s="163"/>
      <c r="D39" s="163" t="s">
        <v>145</v>
      </c>
      <c r="E39" s="206">
        <f>31-COUNT(E7:E36)</f>
        <v>1</v>
      </c>
      <c r="F39" s="163"/>
      <c r="G39" s="163"/>
      <c r="H39" s="163"/>
      <c r="I39" s="163"/>
      <c r="J39" s="163"/>
      <c r="K39" s="163"/>
    </row>
    <row r="40" spans="1:11" ht="14.25" customHeight="1">
      <c r="A40" s="163"/>
      <c r="B40" s="163"/>
      <c r="C40" s="163"/>
      <c r="D40" s="207"/>
      <c r="E40" s="208"/>
      <c r="F40" s="207"/>
      <c r="G40" s="163"/>
      <c r="H40" s="163"/>
      <c r="I40" s="163"/>
      <c r="J40" s="163"/>
      <c r="K40" s="163"/>
    </row>
    <row r="41" spans="1:11" ht="14.25" customHeight="1">
      <c r="A41" s="207"/>
      <c r="B41" s="207"/>
      <c r="C41" s="209"/>
      <c r="D41" s="171" t="s">
        <v>146</v>
      </c>
      <c r="E41" s="210">
        <f>D37/E38</f>
        <v>1054100.0863333335</v>
      </c>
      <c r="F41" s="211" t="s">
        <v>147</v>
      </c>
      <c r="G41" s="164"/>
      <c r="H41" s="164"/>
      <c r="I41" s="164"/>
      <c r="J41" s="164"/>
      <c r="K41" s="164"/>
    </row>
    <row r="42" spans="1:11" ht="14.25" customHeight="1">
      <c r="A42" s="163"/>
      <c r="B42" s="163"/>
      <c r="C42" s="212"/>
      <c r="D42" s="171" t="s">
        <v>148</v>
      </c>
      <c r="E42" s="210">
        <f>D37+(E41*E39)</f>
        <v>32677102.676333338</v>
      </c>
      <c r="F42" s="213">
        <v>45621</v>
      </c>
      <c r="G42" s="163"/>
      <c r="H42" s="163"/>
      <c r="I42" s="163"/>
      <c r="J42" s="163"/>
      <c r="K42" s="163"/>
    </row>
    <row r="43" spans="1:11" ht="14.25" customHeight="1">
      <c r="A43" s="163"/>
      <c r="B43" s="163"/>
      <c r="C43" s="212"/>
      <c r="D43" s="348" t="s">
        <v>149</v>
      </c>
      <c r="E43" s="210">
        <f>E37/E38</f>
        <v>984000.98999999987</v>
      </c>
      <c r="F43" s="211" t="s">
        <v>147</v>
      </c>
      <c r="G43" s="163"/>
      <c r="H43" s="163"/>
      <c r="I43" s="350" t="s">
        <v>228</v>
      </c>
      <c r="J43" s="163"/>
      <c r="K43" s="163"/>
    </row>
    <row r="44" spans="1:11" ht="14.25" customHeight="1">
      <c r="A44" s="163"/>
      <c r="B44" s="163"/>
      <c r="C44" s="212"/>
      <c r="D44" s="349"/>
      <c r="E44" s="210">
        <f>E37+(E43*E39)</f>
        <v>30504030.689999994</v>
      </c>
      <c r="F44" s="210" t="s">
        <v>229</v>
      </c>
      <c r="G44" s="214"/>
      <c r="H44" s="214"/>
      <c r="I44" s="351"/>
      <c r="J44" s="163"/>
      <c r="K44" s="163"/>
    </row>
    <row r="45" spans="1:11" ht="14.25" customHeight="1">
      <c r="A45" s="163"/>
      <c r="B45" s="163"/>
      <c r="C45" s="163"/>
      <c r="D45" s="163"/>
      <c r="E45" s="163"/>
      <c r="F45" s="215"/>
      <c r="G45" s="163"/>
      <c r="H45" s="163"/>
      <c r="I45" s="351"/>
      <c r="J45" s="163"/>
      <c r="K45" s="163"/>
    </row>
    <row r="46" spans="1:11" ht="14.25" customHeight="1">
      <c r="A46" s="163"/>
      <c r="B46" s="216" t="s">
        <v>230</v>
      </c>
      <c r="C46" s="163" t="s">
        <v>231</v>
      </c>
      <c r="D46" s="217"/>
      <c r="E46" s="164"/>
      <c r="F46" s="214"/>
      <c r="G46" s="163"/>
      <c r="H46" s="163"/>
      <c r="I46" s="163"/>
      <c r="J46" s="163"/>
      <c r="K46" s="163"/>
    </row>
    <row r="47" spans="1:11" ht="14.25" customHeight="1">
      <c r="A47" s="163"/>
      <c r="B47" s="163"/>
      <c r="C47" s="163" t="s">
        <v>232</v>
      </c>
      <c r="D47" s="215"/>
      <c r="E47" s="164"/>
      <c r="F47" s="214"/>
      <c r="G47" s="214"/>
      <c r="H47" s="164"/>
      <c r="I47" s="164"/>
      <c r="J47" s="164"/>
      <c r="K47" s="164"/>
    </row>
    <row r="48" spans="1:11" ht="14.25" customHeight="1">
      <c r="A48" s="163"/>
      <c r="B48" s="163"/>
      <c r="C48" s="163" t="s">
        <v>233</v>
      </c>
      <c r="D48" s="214"/>
      <c r="E48" s="163"/>
      <c r="F48" s="164"/>
      <c r="G48" s="163"/>
      <c r="H48" s="163"/>
      <c r="I48" s="163"/>
      <c r="J48" s="163"/>
      <c r="K48" s="163"/>
    </row>
    <row r="49" spans="1:11" ht="14.25" customHeight="1">
      <c r="A49" s="163"/>
      <c r="B49" s="163"/>
      <c r="C49" s="163"/>
      <c r="D49" s="218" t="s">
        <v>152</v>
      </c>
      <c r="E49" s="163"/>
      <c r="F49" s="163"/>
      <c r="G49" s="164"/>
      <c r="H49" s="164"/>
      <c r="I49" s="164"/>
      <c r="J49" s="164"/>
      <c r="K49" s="164"/>
    </row>
    <row r="50" spans="1:11" ht="14.25" customHeight="1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</row>
    <row r="51" spans="1:11" ht="14.25" customHeight="1">
      <c r="A51" s="163"/>
      <c r="B51" s="163"/>
      <c r="C51" s="219" t="s">
        <v>234</v>
      </c>
      <c r="D51" s="220"/>
      <c r="E51" s="207"/>
      <c r="F51" s="207" t="s">
        <v>235</v>
      </c>
      <c r="G51" s="207"/>
      <c r="H51" s="207"/>
      <c r="I51" s="207"/>
      <c r="J51" s="163"/>
      <c r="K51" s="163"/>
    </row>
    <row r="52" spans="1:11" ht="14.25" customHeight="1">
      <c r="A52" s="163"/>
      <c r="B52" s="163"/>
      <c r="C52" s="163"/>
      <c r="D52" s="221" t="s">
        <v>165</v>
      </c>
      <c r="E52" s="222" t="s">
        <v>174</v>
      </c>
      <c r="F52" s="222" t="s">
        <v>167</v>
      </c>
      <c r="G52" s="222" t="s">
        <v>5</v>
      </c>
      <c r="H52" s="222" t="s">
        <v>172</v>
      </c>
      <c r="I52" s="172" t="s">
        <v>170</v>
      </c>
      <c r="J52" s="163"/>
      <c r="K52" s="163"/>
    </row>
    <row r="53" spans="1:11" ht="14.25" customHeight="1">
      <c r="A53" s="163"/>
      <c r="B53" s="212"/>
      <c r="C53" s="223" t="s">
        <v>183</v>
      </c>
      <c r="D53" s="147">
        <f>D37</f>
        <v>31623002.590000004</v>
      </c>
      <c r="E53" s="163"/>
      <c r="F53" s="163"/>
      <c r="G53" s="163"/>
      <c r="H53" s="163"/>
      <c r="I53" s="212"/>
      <c r="J53" s="163"/>
      <c r="K53" s="163"/>
    </row>
    <row r="54" spans="1:11" ht="14.25" customHeight="1">
      <c r="A54" s="163"/>
      <c r="B54" s="212"/>
      <c r="C54" s="40" t="s">
        <v>184</v>
      </c>
      <c r="D54" s="149" t="e">
        <f>#REF!</f>
        <v>#REF!</v>
      </c>
      <c r="E54" s="164"/>
      <c r="F54" s="224"/>
      <c r="G54" s="155">
        <f t="shared" ref="G54:G57" si="2">E54+F54</f>
        <v>0</v>
      </c>
      <c r="H54" s="163"/>
      <c r="I54" s="225">
        <f t="shared" ref="I54:I55" si="3">G54+H54</f>
        <v>0</v>
      </c>
      <c r="J54" s="164"/>
      <c r="K54" s="164"/>
    </row>
    <row r="55" spans="1:11" ht="14.25" customHeight="1">
      <c r="A55" s="163"/>
      <c r="B55" s="228"/>
      <c r="C55" s="223" t="s">
        <v>185</v>
      </c>
      <c r="D55" s="147" t="e">
        <f>D53-D54</f>
        <v>#REF!</v>
      </c>
      <c r="E55" s="163"/>
      <c r="F55" s="163"/>
      <c r="G55" s="155">
        <f t="shared" si="2"/>
        <v>0</v>
      </c>
      <c r="H55" s="163"/>
      <c r="I55" s="225">
        <f t="shared" si="3"/>
        <v>0</v>
      </c>
      <c r="J55" s="164"/>
      <c r="K55" s="164"/>
    </row>
    <row r="56" spans="1:11" ht="14.25" customHeight="1">
      <c r="A56" s="163"/>
      <c r="B56" s="229"/>
      <c r="C56" s="40" t="s">
        <v>2</v>
      </c>
      <c r="D56" s="226"/>
      <c r="E56" s="164"/>
      <c r="F56" s="163"/>
      <c r="G56" s="155">
        <f t="shared" si="2"/>
        <v>0</v>
      </c>
      <c r="H56" s="164"/>
      <c r="I56" s="225">
        <f>G56-H56</f>
        <v>0</v>
      </c>
      <c r="J56" s="164"/>
      <c r="K56" s="164"/>
    </row>
    <row r="57" spans="1:11" ht="14.25" customHeight="1">
      <c r="A57" s="163"/>
      <c r="B57" s="163"/>
      <c r="C57" s="156" t="s">
        <v>186</v>
      </c>
      <c r="D57" s="230" t="s">
        <v>186</v>
      </c>
      <c r="E57" s="164"/>
      <c r="F57" s="163"/>
      <c r="G57" s="155">
        <f t="shared" si="2"/>
        <v>0</v>
      </c>
      <c r="H57" s="163"/>
      <c r="I57" s="225">
        <f>G57+H57</f>
        <v>0</v>
      </c>
      <c r="J57" s="164"/>
      <c r="K57" s="164"/>
    </row>
    <row r="58" spans="1:11" ht="14.25" customHeight="1">
      <c r="A58" s="163"/>
      <c r="B58" s="212"/>
      <c r="C58" s="163"/>
      <c r="D58" s="231"/>
      <c r="E58" s="232">
        <f t="shared" ref="E58:I58" si="4">SUM(E56:E57)</f>
        <v>0</v>
      </c>
      <c r="F58" s="232">
        <f t="shared" si="4"/>
        <v>0</v>
      </c>
      <c r="G58" s="232">
        <f t="shared" si="4"/>
        <v>0</v>
      </c>
      <c r="H58" s="232">
        <f t="shared" si="4"/>
        <v>0</v>
      </c>
      <c r="I58" s="232">
        <f t="shared" si="4"/>
        <v>0</v>
      </c>
      <c r="J58" s="224"/>
      <c r="K58" s="224"/>
    </row>
    <row r="59" spans="1:11" ht="14.25" customHeight="1">
      <c r="A59" s="227" t="e">
        <v>#DIV/0!</v>
      </c>
      <c r="B59" s="164"/>
      <c r="C59" s="233" t="s">
        <v>188</v>
      </c>
      <c r="D59" s="149">
        <f>D60+D61</f>
        <v>0</v>
      </c>
      <c r="E59" s="164"/>
      <c r="F59" s="164"/>
      <c r="G59" s="164"/>
      <c r="H59" s="164"/>
      <c r="I59" s="234">
        <v>0</v>
      </c>
      <c r="J59" s="224"/>
      <c r="K59" s="224"/>
    </row>
    <row r="60" spans="1:11" ht="14.25" customHeight="1">
      <c r="A60" s="163"/>
      <c r="B60" s="163"/>
      <c r="C60" s="163" t="s">
        <v>192</v>
      </c>
      <c r="D60" s="226"/>
      <c r="E60" s="164"/>
      <c r="F60" s="164"/>
      <c r="G60" s="155">
        <f t="shared" ref="G60:G61" si="5">E60+F60</f>
        <v>0</v>
      </c>
      <c r="H60" s="163"/>
      <c r="I60" s="225">
        <f t="shared" ref="I60:I61" si="6">G60+H60</f>
        <v>0</v>
      </c>
      <c r="J60" s="224"/>
      <c r="K60" s="224"/>
    </row>
    <row r="61" spans="1:11" ht="14.25" customHeight="1">
      <c r="A61" s="163"/>
      <c r="B61" s="163"/>
      <c r="C61" s="163" t="s">
        <v>196</v>
      </c>
      <c r="D61" s="231"/>
      <c r="E61" s="215"/>
      <c r="F61" s="215"/>
      <c r="G61" s="155">
        <f t="shared" si="5"/>
        <v>0</v>
      </c>
      <c r="H61" s="163"/>
      <c r="I61" s="225">
        <f t="shared" si="6"/>
        <v>0</v>
      </c>
      <c r="J61" s="235">
        <v>31353976.970000003</v>
      </c>
      <c r="K61" s="224"/>
    </row>
    <row r="62" spans="1:11" ht="14.25" customHeight="1">
      <c r="A62" s="163"/>
      <c r="B62" s="212"/>
      <c r="C62" s="163"/>
      <c r="D62" s="231"/>
      <c r="E62" s="215"/>
      <c r="F62" s="215"/>
      <c r="G62" s="215"/>
      <c r="H62" s="163"/>
      <c r="I62" s="228"/>
      <c r="J62" s="235">
        <v>6.4725181107891157</v>
      </c>
      <c r="K62" s="224"/>
    </row>
    <row r="63" spans="1:11" ht="14.25" customHeight="1">
      <c r="A63" s="163"/>
      <c r="B63" s="163"/>
      <c r="C63" s="163" t="s">
        <v>197</v>
      </c>
      <c r="D63" s="231"/>
      <c r="E63" s="208"/>
      <c r="F63" s="208"/>
      <c r="G63" s="208"/>
      <c r="H63" s="208"/>
      <c r="I63" s="236"/>
      <c r="J63" s="224"/>
      <c r="K63" s="224"/>
    </row>
    <row r="64" spans="1:11" ht="14.25" customHeight="1" thickBot="1">
      <c r="A64" s="163"/>
      <c r="B64" s="212"/>
      <c r="C64" s="207"/>
      <c r="D64" s="237" t="s">
        <v>198</v>
      </c>
      <c r="E64" s="238">
        <f t="shared" ref="E64:I64" si="7">E58+E60+E61+E54</f>
        <v>0</v>
      </c>
      <c r="F64" s="238">
        <f t="shared" si="7"/>
        <v>0</v>
      </c>
      <c r="G64" s="238">
        <f t="shared" si="7"/>
        <v>0</v>
      </c>
      <c r="H64" s="238">
        <f t="shared" si="7"/>
        <v>0</v>
      </c>
      <c r="I64" s="239">
        <f t="shared" si="7"/>
        <v>0</v>
      </c>
      <c r="J64" s="224"/>
      <c r="K64" s="224"/>
    </row>
    <row r="65" spans="1:11" ht="14.25" customHeight="1" thickTop="1">
      <c r="A65" s="163"/>
      <c r="B65" s="163"/>
      <c r="C65" s="163"/>
      <c r="D65" s="163"/>
      <c r="E65" s="163"/>
      <c r="F65" s="163"/>
      <c r="G65" s="163"/>
      <c r="H65" s="163"/>
      <c r="I65" s="164"/>
      <c r="J65" s="163"/>
      <c r="K65" s="163"/>
    </row>
    <row r="66" spans="1:11" ht="14.25" customHeight="1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</row>
    <row r="67" spans="1:11" ht="14.25" customHeight="1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</row>
    <row r="68" spans="1:11" ht="14.25" customHeight="1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</row>
    <row r="69" spans="1:11" ht="14.25" customHeight="1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</row>
    <row r="70" spans="1:11" ht="14.25" customHeight="1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</row>
    <row r="71" spans="1:11" ht="14.25" customHeight="1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</row>
    <row r="72" spans="1:11" ht="14.25" customHeight="1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</row>
    <row r="73" spans="1:11" ht="14.25" customHeight="1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</row>
    <row r="74" spans="1:11" ht="14.25" customHeight="1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</row>
    <row r="75" spans="1:11" ht="14.25" customHeight="1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</row>
    <row r="76" spans="1:11" ht="14.25" customHeight="1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</row>
    <row r="77" spans="1:11" ht="14.25" customHeight="1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</row>
    <row r="78" spans="1:11" ht="14.25" customHeight="1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</row>
    <row r="79" spans="1:11" ht="14.25" customHeight="1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</row>
    <row r="80" spans="1:11" ht="14.25" customHeight="1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</row>
    <row r="81" spans="1:11" ht="14.25" customHeight="1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</row>
    <row r="82" spans="1:11" ht="14.25" customHeight="1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</row>
    <row r="83" spans="1:11" ht="14.25" customHeight="1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</row>
    <row r="84" spans="1:11" ht="14.25" customHeight="1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</row>
    <row r="85" spans="1:11" ht="14.25" customHeight="1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</row>
    <row r="86" spans="1:11" ht="14.25" customHeight="1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</row>
    <row r="87" spans="1:11" ht="14.25" customHeight="1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</row>
    <row r="88" spans="1:11" ht="14.25" customHeight="1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</row>
    <row r="89" spans="1:11" ht="14.25" customHeight="1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</row>
    <row r="90" spans="1:11" ht="14.25" customHeight="1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</row>
    <row r="91" spans="1:11" ht="14.25" customHeight="1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</row>
    <row r="92" spans="1:11" ht="14.25" customHeight="1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</row>
    <row r="93" spans="1:11" ht="14.25" customHeight="1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</row>
    <row r="94" spans="1:11" ht="14.25" customHeight="1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</row>
    <row r="95" spans="1:11" ht="14.25" customHeight="1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</row>
    <row r="96" spans="1:11" ht="14.25" customHeight="1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</row>
    <row r="97" spans="1:11" ht="14.25" customHeight="1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</row>
    <row r="98" spans="1:11" ht="14.25" customHeight="1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</row>
    <row r="99" spans="1:11" ht="14.25" customHeight="1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</row>
    <row r="100" spans="1:11" ht="14.25" customHeight="1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</row>
    <row r="101" spans="1:11" ht="14.25" customHeight="1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</row>
    <row r="102" spans="1:11" ht="14.25" customHeight="1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</row>
    <row r="103" spans="1:11" ht="14.25" customHeight="1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</row>
    <row r="104" spans="1:11" ht="14.25" customHeight="1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</row>
    <row r="105" spans="1:11" ht="14.25" customHeight="1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</row>
    <row r="106" spans="1:11" ht="14.25" customHeight="1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</row>
    <row r="107" spans="1:11" ht="14.25" customHeight="1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</row>
    <row r="108" spans="1:11" ht="14.25" customHeight="1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</row>
    <row r="109" spans="1:11" ht="14.25" customHeight="1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</row>
    <row r="110" spans="1:11" ht="14.25" customHeight="1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</row>
    <row r="111" spans="1:11" ht="14.25" customHeight="1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</row>
    <row r="112" spans="1:11" ht="14.25" customHeight="1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</row>
    <row r="113" spans="1:11" ht="14.25" customHeight="1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</row>
    <row r="114" spans="1:11" ht="14.25" customHeight="1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</row>
    <row r="115" spans="1:11" ht="14.25" customHeight="1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</row>
    <row r="116" spans="1:11" ht="14.25" customHeight="1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</row>
    <row r="117" spans="1:11" ht="14.25" customHeight="1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</row>
    <row r="118" spans="1:11" ht="14.25" customHeight="1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</row>
    <row r="119" spans="1:11" ht="14.25" customHeight="1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</row>
    <row r="120" spans="1:11" ht="14.25" customHeight="1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</row>
    <row r="121" spans="1:11" ht="14.25" customHeight="1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</row>
    <row r="122" spans="1:11" ht="14.25" customHeight="1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</row>
    <row r="123" spans="1:11" ht="14.25" customHeight="1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</row>
    <row r="124" spans="1:11" ht="14.25" customHeight="1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</row>
    <row r="125" spans="1:11" ht="14.25" customHeight="1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</row>
    <row r="126" spans="1:11" ht="14.25" customHeight="1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</row>
    <row r="127" spans="1:11" ht="14.25" customHeight="1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</row>
    <row r="128" spans="1:11" ht="14.25" customHeight="1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</row>
    <row r="129" spans="1:11" ht="14.25" customHeight="1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</row>
    <row r="130" spans="1:11" ht="14.25" customHeight="1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</row>
    <row r="131" spans="1:11" ht="14.25" customHeight="1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</row>
    <row r="132" spans="1:11" ht="14.25" customHeight="1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</row>
    <row r="133" spans="1:11" ht="14.25" customHeight="1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</row>
    <row r="134" spans="1:11" ht="14.25" customHeight="1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</row>
    <row r="135" spans="1:11" ht="14.25" customHeight="1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</row>
    <row r="136" spans="1:11" ht="14.25" customHeight="1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</row>
    <row r="137" spans="1:11" ht="14.25" customHeight="1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</row>
    <row r="138" spans="1:11" ht="14.25" customHeight="1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</row>
    <row r="139" spans="1:11" ht="14.25" customHeight="1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</row>
    <row r="140" spans="1:11" ht="14.25" customHeight="1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</row>
    <row r="141" spans="1:11" ht="14.25" customHeight="1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</row>
    <row r="142" spans="1:11" ht="14.25" customHeight="1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</row>
    <row r="143" spans="1:11" ht="14.25" customHeight="1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</row>
    <row r="144" spans="1:11" ht="14.25" customHeight="1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</row>
    <row r="145" spans="1:11" ht="14.25" customHeight="1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</row>
    <row r="146" spans="1:11" ht="14.25" customHeight="1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</row>
    <row r="147" spans="1:11" ht="14.25" customHeight="1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</row>
    <row r="148" spans="1:11" ht="14.25" customHeight="1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</row>
    <row r="149" spans="1:11" ht="14.25" customHeight="1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</row>
    <row r="150" spans="1:11" ht="14.25" customHeight="1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</row>
    <row r="151" spans="1:11" ht="14.25" customHeight="1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</row>
    <row r="152" spans="1:11" ht="14.25" customHeight="1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</row>
    <row r="153" spans="1:11" ht="14.25" customHeight="1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</row>
    <row r="154" spans="1:11" ht="14.25" customHeight="1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</row>
    <row r="155" spans="1:11" ht="14.25" customHeight="1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</row>
    <row r="156" spans="1:11" ht="14.25" customHeight="1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</row>
    <row r="157" spans="1:11" ht="14.25" customHeight="1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</row>
    <row r="158" spans="1:11" ht="14.25" customHeight="1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</row>
    <row r="159" spans="1:11" ht="14.25" customHeight="1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</row>
    <row r="160" spans="1:11" ht="14.25" customHeight="1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</row>
    <row r="161" spans="1:11" ht="14.25" customHeight="1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</row>
    <row r="162" spans="1:11" ht="14.25" customHeight="1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</row>
    <row r="163" spans="1:11" ht="14.25" customHeight="1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</row>
    <row r="164" spans="1:11" ht="14.25" customHeight="1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</row>
    <row r="165" spans="1:11" ht="14.25" customHeight="1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</row>
    <row r="166" spans="1:11" ht="14.25" customHeight="1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</row>
    <row r="167" spans="1:11" ht="14.25" customHeight="1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</row>
    <row r="168" spans="1:11" ht="14.25" customHeight="1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</row>
    <row r="169" spans="1:11" ht="14.25" customHeight="1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</row>
    <row r="170" spans="1:11" ht="14.25" customHeight="1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</row>
    <row r="171" spans="1:11" ht="14.25" customHeight="1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</row>
    <row r="172" spans="1:11" ht="14.25" customHeight="1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</row>
    <row r="173" spans="1:11" ht="14.25" customHeight="1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</row>
    <row r="174" spans="1:11" ht="14.25" customHeight="1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</row>
    <row r="175" spans="1:11" ht="14.25" customHeight="1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</row>
    <row r="176" spans="1:11" ht="14.25" customHeight="1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</row>
    <row r="177" spans="1:11" ht="14.25" customHeight="1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</row>
    <row r="178" spans="1:11" ht="14.25" customHeight="1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</row>
    <row r="179" spans="1:11" ht="14.25" customHeight="1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</row>
    <row r="180" spans="1:11" ht="14.25" customHeight="1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</row>
    <row r="181" spans="1:11" ht="14.25" customHeight="1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</row>
    <row r="182" spans="1:11" ht="14.25" customHeight="1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</row>
    <row r="183" spans="1:11" ht="14.25" customHeight="1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</row>
    <row r="184" spans="1:11" ht="14.25" customHeight="1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</row>
    <row r="185" spans="1:11" ht="14.25" customHeight="1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</row>
    <row r="186" spans="1:11" ht="14.25" customHeight="1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</row>
    <row r="187" spans="1:11" ht="14.25" customHeight="1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</row>
    <row r="188" spans="1:11" ht="14.25" customHeight="1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</row>
    <row r="189" spans="1:11" ht="14.25" customHeight="1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</row>
    <row r="190" spans="1:11" ht="14.25" customHeight="1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</row>
    <row r="191" spans="1:11" ht="14.25" customHeight="1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</row>
    <row r="192" spans="1:11" ht="14.25" customHeight="1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</row>
    <row r="193" spans="1:11" ht="14.25" customHeight="1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</row>
    <row r="194" spans="1:11" ht="14.25" customHeight="1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</row>
    <row r="195" spans="1:11" ht="14.25" customHeight="1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</row>
    <row r="196" spans="1:11" ht="14.25" customHeight="1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</row>
    <row r="197" spans="1:11" ht="14.25" customHeight="1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</row>
    <row r="198" spans="1:11" ht="14.25" customHeight="1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</row>
    <row r="199" spans="1:11" ht="14.25" customHeight="1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</row>
    <row r="200" spans="1:11" ht="14.25" customHeight="1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</row>
    <row r="201" spans="1:11" ht="14.25" customHeight="1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</row>
    <row r="202" spans="1:11" ht="14.25" customHeight="1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</row>
    <row r="203" spans="1:11" ht="14.25" customHeight="1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</row>
    <row r="204" spans="1:11" ht="14.25" customHeight="1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</row>
    <row r="205" spans="1:11" ht="14.25" customHeight="1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</row>
    <row r="206" spans="1:11" ht="14.25" customHeight="1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</row>
    <row r="207" spans="1:11" ht="14.25" customHeight="1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</row>
    <row r="208" spans="1:11" ht="14.25" customHeight="1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</row>
    <row r="209" spans="1:11" ht="14.25" customHeight="1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</row>
    <row r="210" spans="1:11" ht="14.25" customHeight="1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</row>
    <row r="211" spans="1:11" ht="14.25" customHeight="1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</row>
    <row r="212" spans="1:11" ht="14.25" customHeight="1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</row>
    <row r="213" spans="1:11" ht="14.25" customHeight="1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</row>
    <row r="214" spans="1:11" ht="14.25" customHeight="1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</row>
    <row r="215" spans="1:11" ht="14.25" customHeight="1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</row>
    <row r="216" spans="1:11" ht="14.25" customHeight="1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</row>
    <row r="217" spans="1:11" ht="14.25" customHeight="1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</row>
    <row r="218" spans="1:11" ht="14.25" customHeight="1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</row>
    <row r="219" spans="1:11" ht="14.25" customHeight="1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</row>
    <row r="220" spans="1:11" ht="14.25" customHeight="1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</row>
    <row r="221" spans="1:11" ht="14.25" customHeight="1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</row>
    <row r="222" spans="1:11" ht="14.25" customHeight="1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</row>
    <row r="223" spans="1:11" ht="14.25" customHeight="1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</row>
    <row r="224" spans="1:11" ht="14.25" customHeight="1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</row>
    <row r="225" spans="1:11" ht="14.25" customHeight="1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</row>
    <row r="226" spans="1:11" ht="14.25" customHeight="1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</row>
    <row r="227" spans="1:11" ht="14.25" customHeight="1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</row>
    <row r="228" spans="1:11" ht="14.25" customHeight="1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</row>
    <row r="229" spans="1:11" ht="14.25" customHeight="1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</row>
    <row r="230" spans="1:11" ht="14.25" customHeight="1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</row>
    <row r="231" spans="1:11" ht="14.25" customHeight="1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</row>
    <row r="232" spans="1:11" ht="14.25" customHeight="1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</row>
    <row r="233" spans="1:11" ht="14.25" customHeight="1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</row>
    <row r="234" spans="1:11" ht="14.25" customHeight="1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</row>
    <row r="235" spans="1:11" ht="14.25" customHeight="1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</row>
    <row r="236" spans="1:11" ht="14.25" customHeight="1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</row>
    <row r="237" spans="1:11" ht="14.25" customHeight="1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</row>
    <row r="238" spans="1:11" ht="14.25" customHeight="1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</row>
    <row r="239" spans="1:11" ht="14.25" customHeight="1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</row>
    <row r="240" spans="1:11" ht="14.25" customHeight="1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</row>
    <row r="241" spans="1:11" ht="14.25" customHeight="1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</row>
    <row r="242" spans="1:11" ht="14.25" customHeight="1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</row>
    <row r="243" spans="1:11" ht="14.25" customHeight="1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</row>
    <row r="244" spans="1:11" ht="14.25" customHeight="1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</row>
    <row r="245" spans="1:11" ht="14.25" customHeight="1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</row>
    <row r="246" spans="1:11" ht="14.25" customHeight="1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</row>
    <row r="247" spans="1:11" ht="14.25" customHeight="1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</row>
    <row r="248" spans="1:11" ht="14.25" customHeight="1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</row>
    <row r="249" spans="1:11" ht="14.25" customHeight="1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</row>
    <row r="250" spans="1:11" ht="14.25" customHeight="1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</row>
    <row r="251" spans="1:11" ht="14.25" customHeight="1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</row>
    <row r="252" spans="1:11" ht="14.25" customHeight="1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</row>
    <row r="253" spans="1:11" ht="14.25" customHeight="1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</row>
    <row r="254" spans="1:11" ht="14.25" customHeight="1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</row>
    <row r="255" spans="1:11" ht="14.25" customHeight="1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</row>
    <row r="256" spans="1:11" ht="14.25" customHeight="1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</row>
    <row r="257" spans="1:11" ht="14.25" customHeight="1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</row>
    <row r="258" spans="1:11" ht="14.25" customHeight="1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</row>
    <row r="259" spans="1:11" ht="14.25" customHeight="1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</row>
    <row r="260" spans="1:11" ht="14.25" customHeight="1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</row>
    <row r="261" spans="1:11" ht="14.25" customHeight="1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</row>
    <row r="262" spans="1:11" ht="14.25" customHeight="1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</row>
    <row r="263" spans="1:11" ht="14.25" customHeight="1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</row>
    <row r="264" spans="1:11" ht="14.25" customHeight="1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</row>
    <row r="265" spans="1:11" ht="14.25" customHeight="1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</row>
    <row r="266" spans="1:11" ht="14.25" customHeight="1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</row>
    <row r="267" spans="1:11" ht="14.25" customHeight="1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</row>
    <row r="268" spans="1:11" ht="14.25" customHeight="1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</row>
    <row r="269" spans="1:11" ht="14.25" customHeight="1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</row>
    <row r="270" spans="1:11" ht="14.25" customHeight="1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</row>
    <row r="271" spans="1:11" ht="14.25" customHeight="1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</row>
    <row r="272" spans="1:11" ht="14.25" customHeight="1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</row>
    <row r="273" spans="1:11" ht="14.25" customHeight="1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</row>
    <row r="274" spans="1:11" ht="14.25" customHeight="1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</row>
    <row r="275" spans="1:11" ht="14.25" customHeight="1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</row>
    <row r="276" spans="1:11" ht="14.25" customHeight="1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</row>
    <row r="277" spans="1:11" ht="14.25" customHeight="1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</row>
    <row r="278" spans="1:11" ht="14.25" customHeight="1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</row>
    <row r="279" spans="1:11" ht="14.25" customHeight="1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</row>
    <row r="280" spans="1:11" ht="14.25" customHeight="1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</row>
    <row r="281" spans="1:11" ht="14.25" customHeight="1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</row>
    <row r="282" spans="1:11" ht="14.25" customHeight="1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</row>
    <row r="283" spans="1:11" ht="14.25" customHeight="1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</row>
    <row r="284" spans="1:11" ht="14.25" customHeight="1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</row>
    <row r="285" spans="1:11" ht="14.25" customHeight="1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</row>
    <row r="286" spans="1:11" ht="14.25" customHeight="1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</row>
    <row r="287" spans="1:11" ht="14.25" customHeight="1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</row>
    <row r="288" spans="1:11" ht="14.25" customHeight="1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</row>
    <row r="289" spans="1:11" ht="14.25" customHeight="1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</row>
    <row r="290" spans="1:11" ht="14.25" customHeight="1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</row>
    <row r="291" spans="1:11" ht="14.25" customHeight="1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</row>
    <row r="292" spans="1:11" ht="14.25" customHeight="1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</row>
    <row r="293" spans="1:11" ht="14.25" customHeight="1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</row>
    <row r="294" spans="1:11" ht="14.25" customHeight="1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</row>
    <row r="295" spans="1:11" ht="14.25" customHeight="1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</row>
    <row r="296" spans="1:11" ht="14.25" customHeight="1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</row>
    <row r="297" spans="1:11" ht="14.25" customHeight="1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</row>
    <row r="298" spans="1:11" ht="14.25" customHeight="1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</row>
    <row r="299" spans="1:11" ht="14.25" customHeight="1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</row>
    <row r="300" spans="1:11" ht="14.25" customHeight="1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</row>
    <row r="301" spans="1:11" ht="14.25" customHeight="1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</row>
    <row r="302" spans="1:11" ht="14.25" customHeight="1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</row>
    <row r="303" spans="1:11" ht="14.25" customHeight="1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</row>
    <row r="304" spans="1:11" ht="14.25" customHeight="1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</row>
    <row r="305" spans="1:11" ht="14.25" customHeight="1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</row>
    <row r="306" spans="1:11" ht="14.25" customHeight="1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</row>
    <row r="307" spans="1:11" ht="14.25" customHeight="1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</row>
    <row r="308" spans="1:11" ht="14.25" customHeight="1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</row>
    <row r="309" spans="1:11" ht="14.25" customHeight="1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</row>
    <row r="310" spans="1:11" ht="14.25" customHeight="1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</row>
    <row r="311" spans="1:11" ht="14.25" customHeight="1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</row>
    <row r="312" spans="1:11" ht="14.25" customHeight="1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</row>
    <row r="313" spans="1:11" ht="14.25" customHeight="1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</row>
    <row r="314" spans="1:11" ht="14.25" customHeight="1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</row>
    <row r="315" spans="1:11" ht="14.25" customHeight="1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</row>
    <row r="316" spans="1:11" ht="14.25" customHeight="1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</row>
    <row r="317" spans="1:11" ht="14.25" customHeight="1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</row>
    <row r="318" spans="1:11" ht="14.25" customHeight="1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</row>
    <row r="319" spans="1:11" ht="14.25" customHeight="1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</row>
    <row r="320" spans="1:11" ht="14.25" customHeight="1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</row>
    <row r="321" spans="1:11" ht="14.25" customHeight="1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</row>
    <row r="322" spans="1:11" ht="14.25" customHeight="1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</row>
    <row r="323" spans="1:11" ht="14.25" customHeight="1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</row>
    <row r="324" spans="1:11" ht="14.25" customHeight="1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</row>
    <row r="325" spans="1:11" ht="14.25" customHeight="1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</row>
    <row r="326" spans="1:11" ht="14.25" customHeight="1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</row>
    <row r="327" spans="1:11" ht="14.25" customHeight="1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</row>
    <row r="328" spans="1:11" ht="14.25" customHeight="1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</row>
    <row r="329" spans="1:11" ht="14.25" customHeight="1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</row>
    <row r="330" spans="1:11" ht="14.25" customHeight="1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</row>
    <row r="331" spans="1:11" ht="14.25" customHeight="1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</row>
    <row r="332" spans="1:11" ht="14.25" customHeight="1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</row>
    <row r="333" spans="1:11" ht="14.25" customHeight="1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</row>
    <row r="334" spans="1:11" ht="14.25" customHeight="1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</row>
    <row r="335" spans="1:11" ht="14.25" customHeight="1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</row>
    <row r="336" spans="1:11" ht="14.25" customHeight="1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</row>
    <row r="337" spans="1:11" ht="14.25" customHeight="1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</row>
    <row r="338" spans="1:11" ht="14.25" customHeight="1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</row>
    <row r="339" spans="1:11" ht="14.25" customHeight="1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</row>
    <row r="340" spans="1:11" ht="14.25" customHeight="1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</row>
    <row r="341" spans="1:11" ht="14.25" customHeight="1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</row>
    <row r="342" spans="1:11" ht="14.25" customHeight="1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</row>
    <row r="343" spans="1:11" ht="14.25" customHeight="1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</row>
    <row r="344" spans="1:11" ht="14.25" customHeight="1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</row>
    <row r="345" spans="1:11" ht="14.25" customHeight="1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</row>
    <row r="346" spans="1:11" ht="14.25" customHeight="1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</row>
    <row r="347" spans="1:11" ht="14.25" customHeight="1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</row>
    <row r="348" spans="1:11" ht="14.25" customHeight="1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</row>
    <row r="349" spans="1:11" ht="14.25" customHeight="1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</row>
    <row r="350" spans="1:11" ht="14.25" customHeight="1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</row>
    <row r="351" spans="1:11" ht="14.25" customHeight="1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</row>
    <row r="352" spans="1:11" ht="14.25" customHeight="1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</row>
    <row r="353" spans="1:11" ht="14.25" customHeight="1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</row>
    <row r="354" spans="1:11" ht="14.25" customHeight="1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</row>
    <row r="355" spans="1:11" ht="14.25" customHeight="1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</row>
    <row r="356" spans="1:11" ht="14.25" customHeight="1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</row>
    <row r="357" spans="1:11" ht="14.25" customHeight="1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</row>
    <row r="358" spans="1:11" ht="14.25" customHeight="1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</row>
    <row r="359" spans="1:11" ht="14.25" customHeight="1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</row>
    <row r="360" spans="1:11" ht="14.25" customHeight="1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</row>
    <row r="361" spans="1:11" ht="14.25" customHeight="1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</row>
    <row r="362" spans="1:11" ht="14.25" customHeight="1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</row>
    <row r="363" spans="1:11" ht="14.25" customHeight="1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</row>
    <row r="364" spans="1:11" ht="14.25" customHeight="1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</row>
    <row r="365" spans="1:11" ht="14.25" customHeight="1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</row>
    <row r="366" spans="1:11" ht="14.25" customHeight="1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</row>
    <row r="367" spans="1:11" ht="14.25" customHeight="1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</row>
    <row r="368" spans="1:11" ht="14.25" customHeight="1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</row>
    <row r="369" spans="1:11" ht="14.25" customHeight="1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</row>
    <row r="370" spans="1:11" ht="14.25" customHeight="1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</row>
    <row r="371" spans="1:11" ht="14.25" customHeight="1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</row>
    <row r="372" spans="1:11" ht="14.25" customHeight="1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</row>
    <row r="373" spans="1:11" ht="14.25" customHeight="1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</row>
    <row r="374" spans="1:11" ht="14.25" customHeight="1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</row>
    <row r="375" spans="1:11" ht="14.25" customHeight="1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</row>
    <row r="376" spans="1:11" ht="14.25" customHeight="1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</row>
    <row r="377" spans="1:11" ht="14.25" customHeight="1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</row>
    <row r="378" spans="1:11" ht="14.25" customHeight="1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</row>
    <row r="379" spans="1:11" ht="14.25" customHeight="1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</row>
    <row r="380" spans="1:11" ht="14.25" customHeight="1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</row>
    <row r="381" spans="1:11" ht="14.25" customHeight="1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</row>
    <row r="382" spans="1:11" ht="14.25" customHeight="1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</row>
    <row r="383" spans="1:11" ht="14.25" customHeight="1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</row>
    <row r="384" spans="1:11" ht="14.25" customHeight="1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</row>
    <row r="385" spans="1:11" ht="14.25" customHeight="1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</row>
    <row r="386" spans="1:11" ht="14.25" customHeight="1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</row>
    <row r="387" spans="1:11" ht="14.25" customHeight="1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</row>
    <row r="388" spans="1:11" ht="14.25" customHeight="1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</row>
    <row r="389" spans="1:11" ht="14.25" customHeight="1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</row>
    <row r="390" spans="1:11" ht="14.25" customHeight="1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</row>
    <row r="391" spans="1:11" ht="14.25" customHeight="1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</row>
    <row r="392" spans="1:11" ht="14.25" customHeight="1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</row>
    <row r="393" spans="1:11" ht="14.25" customHeight="1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</row>
    <row r="394" spans="1:11" ht="14.25" customHeight="1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</row>
    <row r="395" spans="1:11" ht="14.25" customHeight="1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</row>
    <row r="396" spans="1:11" ht="14.25" customHeight="1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</row>
    <row r="397" spans="1:11" ht="14.25" customHeight="1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</row>
    <row r="398" spans="1:11" ht="14.25" customHeight="1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</row>
    <row r="399" spans="1:11" ht="14.25" customHeight="1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</row>
    <row r="400" spans="1:11" ht="14.25" customHeight="1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</row>
    <row r="401" spans="1:11" ht="14.25" customHeight="1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</row>
    <row r="402" spans="1:11" ht="14.25" customHeight="1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</row>
    <row r="403" spans="1:11" ht="14.25" customHeight="1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</row>
    <row r="404" spans="1:11" ht="14.25" customHeight="1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</row>
    <row r="405" spans="1:11" ht="14.25" customHeight="1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</row>
    <row r="406" spans="1:11" ht="14.25" customHeight="1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</row>
    <row r="407" spans="1:11" ht="14.25" customHeight="1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</row>
    <row r="408" spans="1:11" ht="14.25" customHeight="1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</row>
    <row r="409" spans="1:11" ht="14.25" customHeight="1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</row>
    <row r="410" spans="1:11" ht="14.25" customHeight="1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</row>
    <row r="411" spans="1:11" ht="14.25" customHeight="1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</row>
    <row r="412" spans="1:11" ht="14.25" customHeight="1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</row>
    <row r="413" spans="1:11" ht="14.25" customHeight="1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</row>
    <row r="414" spans="1:11" ht="14.25" customHeight="1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</row>
    <row r="415" spans="1:11" ht="14.25" customHeight="1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</row>
    <row r="416" spans="1:11" ht="14.25" customHeight="1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</row>
    <row r="417" spans="1:11" ht="14.25" customHeight="1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</row>
    <row r="418" spans="1:11" ht="14.25" customHeight="1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</row>
    <row r="419" spans="1:11" ht="14.25" customHeight="1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</row>
    <row r="420" spans="1:11" ht="14.25" customHeight="1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</row>
    <row r="421" spans="1:11" ht="14.25" customHeight="1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</row>
    <row r="422" spans="1:11" ht="14.25" customHeight="1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</row>
    <row r="423" spans="1:11" ht="14.25" customHeight="1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</row>
    <row r="424" spans="1:11" ht="14.25" customHeight="1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</row>
    <row r="425" spans="1:11" ht="14.25" customHeight="1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</row>
    <row r="426" spans="1:11" ht="14.25" customHeight="1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</row>
    <row r="427" spans="1:11" ht="14.25" customHeight="1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</row>
    <row r="428" spans="1:11" ht="14.25" customHeight="1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</row>
    <row r="429" spans="1:11" ht="14.25" customHeight="1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</row>
    <row r="430" spans="1:11" ht="14.25" customHeight="1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</row>
    <row r="431" spans="1:11" ht="14.25" customHeight="1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</row>
    <row r="432" spans="1:11" ht="14.25" customHeight="1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</row>
    <row r="433" spans="1:11" ht="14.25" customHeight="1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</row>
    <row r="434" spans="1:11" ht="14.25" customHeight="1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</row>
    <row r="435" spans="1:11" ht="14.25" customHeight="1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</row>
    <row r="436" spans="1:11" ht="14.25" customHeight="1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</row>
    <row r="437" spans="1:11" ht="14.25" customHeight="1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</row>
    <row r="438" spans="1:11" ht="14.25" customHeight="1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</row>
    <row r="439" spans="1:11" ht="14.25" customHeight="1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</row>
    <row r="440" spans="1:11" ht="14.25" customHeight="1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</row>
    <row r="441" spans="1:11" ht="14.25" customHeight="1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</row>
    <row r="442" spans="1:11" ht="14.25" customHeight="1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</row>
    <row r="443" spans="1:11" ht="14.25" customHeight="1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</row>
    <row r="444" spans="1:11" ht="14.25" customHeight="1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</row>
    <row r="445" spans="1:11" ht="14.25" customHeight="1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</row>
    <row r="446" spans="1:11" ht="14.25" customHeight="1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</row>
    <row r="447" spans="1:11" ht="14.25" customHeight="1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</row>
    <row r="448" spans="1:11" ht="14.25" customHeight="1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</row>
    <row r="449" spans="1:11" ht="14.25" customHeight="1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</row>
    <row r="450" spans="1:11" ht="14.25" customHeight="1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</row>
    <row r="451" spans="1:11" ht="14.25" customHeight="1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</row>
    <row r="452" spans="1:11" ht="14.25" customHeight="1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</row>
    <row r="453" spans="1:11" ht="14.25" customHeight="1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</row>
    <row r="454" spans="1:11" ht="14.25" customHeight="1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</row>
    <row r="455" spans="1:11" ht="14.25" customHeight="1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</row>
    <row r="456" spans="1:11" ht="14.25" customHeight="1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</row>
    <row r="457" spans="1:11" ht="14.25" customHeight="1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</row>
    <row r="458" spans="1:11" ht="14.25" customHeight="1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</row>
    <row r="459" spans="1:11" ht="14.25" customHeight="1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</row>
    <row r="460" spans="1:11" ht="14.25" customHeight="1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</row>
    <row r="461" spans="1:11" ht="14.25" customHeight="1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</row>
    <row r="462" spans="1:11" ht="14.25" customHeight="1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</row>
    <row r="463" spans="1:11" ht="14.25" customHeight="1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</row>
    <row r="464" spans="1:11" ht="14.25" customHeight="1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</row>
    <row r="465" spans="1:11" ht="14.25" customHeight="1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</row>
    <row r="466" spans="1:11" ht="14.25" customHeight="1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</row>
    <row r="467" spans="1:11" ht="14.25" customHeight="1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</row>
    <row r="468" spans="1:11" ht="14.25" customHeight="1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</row>
    <row r="469" spans="1:11" ht="14.25" customHeight="1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</row>
    <row r="470" spans="1:11" ht="14.25" customHeight="1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</row>
    <row r="471" spans="1:11" ht="14.25" customHeight="1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</row>
    <row r="472" spans="1:11" ht="14.25" customHeight="1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</row>
    <row r="473" spans="1:11" ht="14.25" customHeight="1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</row>
    <row r="474" spans="1:11" ht="14.25" customHeight="1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</row>
    <row r="475" spans="1:11" ht="14.25" customHeight="1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</row>
    <row r="476" spans="1:11" ht="14.25" customHeight="1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</row>
    <row r="477" spans="1:11" ht="14.25" customHeight="1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</row>
    <row r="478" spans="1:11" ht="14.25" customHeight="1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</row>
    <row r="479" spans="1:11" ht="14.25" customHeight="1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</row>
    <row r="480" spans="1:11" ht="14.25" customHeight="1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</row>
    <row r="481" spans="1:11" ht="14.25" customHeight="1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</row>
    <row r="482" spans="1:11" ht="14.25" customHeight="1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</row>
    <row r="483" spans="1:11" ht="14.25" customHeight="1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</row>
    <row r="484" spans="1:11" ht="14.25" customHeight="1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</row>
    <row r="485" spans="1:11" ht="14.25" customHeight="1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</row>
    <row r="486" spans="1:11" ht="14.25" customHeight="1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</row>
    <row r="487" spans="1:11" ht="14.25" customHeight="1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</row>
    <row r="488" spans="1:11" ht="14.25" customHeight="1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</row>
    <row r="489" spans="1:11" ht="14.25" customHeight="1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</row>
    <row r="490" spans="1:11" ht="14.25" customHeight="1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</row>
    <row r="491" spans="1:11" ht="14.25" customHeight="1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</row>
    <row r="492" spans="1:11" ht="14.25" customHeight="1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</row>
    <row r="493" spans="1:11" ht="14.25" customHeight="1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</row>
    <row r="494" spans="1:11" ht="14.25" customHeight="1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</row>
    <row r="495" spans="1:11" ht="14.25" customHeight="1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</row>
    <row r="496" spans="1:11" ht="14.25" customHeight="1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</row>
    <row r="497" spans="1:11" ht="14.25" customHeight="1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</row>
    <row r="498" spans="1:11" ht="14.25" customHeight="1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</row>
    <row r="499" spans="1:11" ht="14.25" customHeight="1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</row>
    <row r="500" spans="1:11" ht="14.25" customHeight="1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</row>
    <row r="501" spans="1:11" ht="14.25" customHeight="1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</row>
    <row r="502" spans="1:11" ht="14.25" customHeight="1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</row>
    <row r="503" spans="1:11" ht="14.25" customHeight="1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</row>
    <row r="504" spans="1:11" ht="14.25" customHeight="1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</row>
    <row r="505" spans="1:11" ht="14.25" customHeight="1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</row>
    <row r="506" spans="1:11" ht="14.25" customHeight="1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</row>
    <row r="507" spans="1:11" ht="14.25" customHeight="1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</row>
    <row r="508" spans="1:11" ht="14.25" customHeight="1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</row>
    <row r="509" spans="1:11" ht="14.25" customHeight="1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</row>
    <row r="510" spans="1:11" ht="14.25" customHeight="1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</row>
    <row r="511" spans="1:11" ht="14.25" customHeight="1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</row>
    <row r="512" spans="1:11" ht="14.25" customHeight="1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</row>
    <row r="513" spans="1:11" ht="14.25" customHeight="1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</row>
    <row r="514" spans="1:11" ht="14.25" customHeight="1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</row>
    <row r="515" spans="1:11" ht="14.25" customHeight="1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</row>
    <row r="516" spans="1:11" ht="14.25" customHeight="1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</row>
    <row r="517" spans="1:11" ht="14.25" customHeight="1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</row>
    <row r="518" spans="1:11" ht="14.25" customHeight="1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</row>
    <row r="519" spans="1:11" ht="14.25" customHeight="1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</row>
    <row r="520" spans="1:11" ht="14.25" customHeight="1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</row>
    <row r="521" spans="1:11" ht="14.25" customHeight="1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</row>
    <row r="522" spans="1:11" ht="14.25" customHeight="1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</row>
    <row r="523" spans="1:11" ht="14.25" customHeight="1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</row>
    <row r="524" spans="1:11" ht="14.25" customHeight="1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</row>
    <row r="525" spans="1:11" ht="14.25" customHeight="1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</row>
    <row r="526" spans="1:11" ht="14.25" customHeight="1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</row>
    <row r="527" spans="1:11" ht="14.25" customHeight="1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</row>
    <row r="528" spans="1:11" ht="14.25" customHeight="1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</row>
    <row r="529" spans="1:11" ht="14.25" customHeight="1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</row>
    <row r="530" spans="1:11" ht="14.25" customHeight="1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</row>
    <row r="531" spans="1:11" ht="14.25" customHeight="1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</row>
    <row r="532" spans="1:11" ht="14.25" customHeight="1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</row>
    <row r="533" spans="1:11" ht="14.25" customHeight="1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</row>
    <row r="534" spans="1:11" ht="14.25" customHeight="1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</row>
    <row r="535" spans="1:11" ht="14.25" customHeight="1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</row>
    <row r="536" spans="1:11" ht="14.25" customHeight="1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</row>
    <row r="537" spans="1:11" ht="14.25" customHeight="1">
      <c r="A537" s="163"/>
      <c r="B537" s="163"/>
      <c r="C537" s="163"/>
      <c r="D537" s="163"/>
      <c r="E537" s="163"/>
      <c r="F537" s="163"/>
      <c r="G537" s="163"/>
      <c r="H537" s="163"/>
      <c r="I537" s="163"/>
      <c r="J537" s="163"/>
      <c r="K537" s="163"/>
    </row>
    <row r="538" spans="1:11" ht="14.25" customHeight="1">
      <c r="A538" s="163"/>
      <c r="B538" s="163"/>
      <c r="C538" s="163"/>
      <c r="D538" s="163"/>
      <c r="E538" s="163"/>
      <c r="F538" s="163"/>
      <c r="G538" s="163"/>
      <c r="H538" s="163"/>
      <c r="I538" s="163"/>
      <c r="J538" s="163"/>
      <c r="K538" s="163"/>
    </row>
    <row r="539" spans="1:11" ht="14.25" customHeight="1">
      <c r="A539" s="163"/>
      <c r="B539" s="163"/>
      <c r="C539" s="163"/>
      <c r="D539" s="163"/>
      <c r="E539" s="163"/>
      <c r="F539" s="163"/>
      <c r="G539" s="163"/>
      <c r="H539" s="163"/>
      <c r="I539" s="163"/>
      <c r="J539" s="163"/>
      <c r="K539" s="163"/>
    </row>
    <row r="540" spans="1:11" ht="14.25" customHeight="1">
      <c r="A540" s="163"/>
      <c r="B540" s="163"/>
      <c r="C540" s="163"/>
      <c r="D540" s="163"/>
      <c r="E540" s="163"/>
      <c r="F540" s="163"/>
      <c r="G540" s="163"/>
      <c r="H540" s="163"/>
      <c r="I540" s="163"/>
      <c r="J540" s="163"/>
      <c r="K540" s="163"/>
    </row>
    <row r="541" spans="1:11" ht="14.25" customHeight="1">
      <c r="A541" s="163"/>
      <c r="B541" s="163"/>
      <c r="C541" s="163"/>
      <c r="D541" s="163"/>
      <c r="E541" s="163"/>
      <c r="F541" s="163"/>
      <c r="G541" s="163"/>
      <c r="H541" s="163"/>
      <c r="I541" s="163"/>
      <c r="J541" s="163"/>
      <c r="K541" s="163"/>
    </row>
    <row r="542" spans="1:11" ht="14.25" customHeight="1">
      <c r="A542" s="163"/>
      <c r="B542" s="163"/>
      <c r="C542" s="163"/>
      <c r="D542" s="163"/>
      <c r="E542" s="163"/>
      <c r="F542" s="163"/>
      <c r="G542" s="163"/>
      <c r="H542" s="163"/>
      <c r="I542" s="163"/>
      <c r="J542" s="163"/>
      <c r="K542" s="163"/>
    </row>
    <row r="543" spans="1:11" ht="14.25" customHeight="1">
      <c r="A543" s="163"/>
      <c r="B543" s="163"/>
      <c r="C543" s="163"/>
      <c r="D543" s="163"/>
      <c r="E543" s="163"/>
      <c r="F543" s="163"/>
      <c r="G543" s="163"/>
      <c r="H543" s="163"/>
      <c r="I543" s="163"/>
      <c r="J543" s="163"/>
      <c r="K543" s="163"/>
    </row>
    <row r="544" spans="1:11" ht="14.25" customHeight="1">
      <c r="A544" s="163"/>
      <c r="B544" s="163"/>
      <c r="C544" s="163"/>
      <c r="D544" s="163"/>
      <c r="E544" s="163"/>
      <c r="F544" s="163"/>
      <c r="G544" s="163"/>
      <c r="H544" s="163"/>
      <c r="I544" s="163"/>
      <c r="J544" s="163"/>
      <c r="K544" s="163"/>
    </row>
    <row r="545" spans="1:11" ht="14.25" customHeight="1">
      <c r="A545" s="163"/>
      <c r="B545" s="163"/>
      <c r="C545" s="163"/>
      <c r="D545" s="163"/>
      <c r="E545" s="163"/>
      <c r="F545" s="163"/>
      <c r="G545" s="163"/>
      <c r="H545" s="163"/>
      <c r="I545" s="163"/>
      <c r="J545" s="163"/>
      <c r="K545" s="163"/>
    </row>
    <row r="546" spans="1:11" ht="14.25" customHeight="1">
      <c r="A546" s="163"/>
      <c r="B546" s="163"/>
      <c r="C546" s="163"/>
      <c r="D546" s="163"/>
      <c r="E546" s="163"/>
      <c r="F546" s="163"/>
      <c r="G546" s="163"/>
      <c r="H546" s="163"/>
      <c r="I546" s="163"/>
      <c r="J546" s="163"/>
      <c r="K546" s="163"/>
    </row>
    <row r="547" spans="1:11" ht="14.25" customHeight="1">
      <c r="A547" s="163"/>
      <c r="B547" s="163"/>
      <c r="C547" s="163"/>
      <c r="D547" s="163"/>
      <c r="E547" s="163"/>
      <c r="F547" s="163"/>
      <c r="G547" s="163"/>
      <c r="H547" s="163"/>
      <c r="I547" s="163"/>
      <c r="J547" s="163"/>
      <c r="K547" s="163"/>
    </row>
    <row r="548" spans="1:11" ht="14.25" customHeight="1">
      <c r="A548" s="163"/>
      <c r="B548" s="163"/>
      <c r="C548" s="163"/>
      <c r="D548" s="163"/>
      <c r="E548" s="163"/>
      <c r="F548" s="163"/>
      <c r="G548" s="163"/>
      <c r="H548" s="163"/>
      <c r="I548" s="163"/>
      <c r="J548" s="163"/>
      <c r="K548" s="163"/>
    </row>
    <row r="549" spans="1:11" ht="14.25" customHeight="1">
      <c r="A549" s="163"/>
      <c r="B549" s="163"/>
      <c r="C549" s="163"/>
      <c r="D549" s="163"/>
      <c r="E549" s="163"/>
      <c r="F549" s="163"/>
      <c r="G549" s="163"/>
      <c r="H549" s="163"/>
      <c r="I549" s="163"/>
      <c r="J549" s="163"/>
      <c r="K549" s="163"/>
    </row>
    <row r="550" spans="1:11" ht="14.25" customHeight="1">
      <c r="A550" s="163"/>
      <c r="B550" s="163"/>
      <c r="C550" s="163"/>
      <c r="D550" s="163"/>
      <c r="E550" s="163"/>
      <c r="F550" s="163"/>
      <c r="G550" s="163"/>
      <c r="H550" s="163"/>
      <c r="I550" s="163"/>
      <c r="J550" s="163"/>
      <c r="K550" s="163"/>
    </row>
    <row r="551" spans="1:11" ht="14.25" customHeight="1">
      <c r="A551" s="163"/>
      <c r="B551" s="163"/>
      <c r="C551" s="163"/>
      <c r="D551" s="163"/>
      <c r="E551" s="163"/>
      <c r="F551" s="163"/>
      <c r="G551" s="163"/>
      <c r="H551" s="163"/>
      <c r="I551" s="163"/>
      <c r="J551" s="163"/>
      <c r="K551" s="163"/>
    </row>
    <row r="552" spans="1:11" ht="14.25" customHeight="1">
      <c r="A552" s="163"/>
      <c r="B552" s="163"/>
      <c r="C552" s="163"/>
      <c r="D552" s="163"/>
      <c r="E552" s="163"/>
      <c r="F552" s="163"/>
      <c r="G552" s="163"/>
      <c r="H552" s="163"/>
      <c r="I552" s="163"/>
      <c r="J552" s="163"/>
      <c r="K552" s="163"/>
    </row>
    <row r="553" spans="1:11" ht="14.25" customHeight="1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</row>
    <row r="554" spans="1:11" ht="14.25" customHeight="1">
      <c r="A554" s="163"/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</row>
    <row r="555" spans="1:11" ht="14.25" customHeight="1">
      <c r="A555" s="163"/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</row>
    <row r="556" spans="1:11" ht="14.25" customHeight="1">
      <c r="A556" s="163"/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</row>
    <row r="557" spans="1:11" ht="14.25" customHeight="1">
      <c r="A557" s="163"/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</row>
    <row r="558" spans="1:11" ht="14.25" customHeight="1">
      <c r="A558" s="163"/>
      <c r="B558" s="163"/>
      <c r="C558" s="163"/>
      <c r="D558" s="163"/>
      <c r="E558" s="163"/>
      <c r="F558" s="163"/>
      <c r="G558" s="163"/>
      <c r="H558" s="163"/>
      <c r="I558" s="163"/>
      <c r="J558" s="163"/>
      <c r="K558" s="163"/>
    </row>
    <row r="559" spans="1:11" ht="14.25" customHeight="1">
      <c r="A559" s="163"/>
      <c r="B559" s="163"/>
      <c r="C559" s="163"/>
      <c r="D559" s="163"/>
      <c r="E559" s="163"/>
      <c r="F559" s="163"/>
      <c r="G559" s="163"/>
      <c r="H559" s="163"/>
      <c r="I559" s="163"/>
      <c r="J559" s="163"/>
      <c r="K559" s="163"/>
    </row>
    <row r="560" spans="1:11" ht="14.25" customHeight="1">
      <c r="A560" s="163"/>
      <c r="B560" s="163"/>
      <c r="C560" s="163"/>
      <c r="D560" s="163"/>
      <c r="E560" s="163"/>
      <c r="F560" s="163"/>
      <c r="G560" s="163"/>
      <c r="H560" s="163"/>
      <c r="I560" s="163"/>
      <c r="J560" s="163"/>
      <c r="K560" s="163"/>
    </row>
    <row r="561" spans="1:11" ht="14.25" customHeight="1">
      <c r="A561" s="163"/>
      <c r="B561" s="163"/>
      <c r="C561" s="163"/>
      <c r="D561" s="163"/>
      <c r="E561" s="163"/>
      <c r="F561" s="163"/>
      <c r="G561" s="163"/>
      <c r="H561" s="163"/>
      <c r="I561" s="163"/>
      <c r="J561" s="163"/>
      <c r="K561" s="163"/>
    </row>
    <row r="562" spans="1:11" ht="14.25" customHeight="1">
      <c r="A562" s="163"/>
      <c r="B562" s="163"/>
      <c r="C562" s="163"/>
      <c r="D562" s="163"/>
      <c r="E562" s="163"/>
      <c r="F562" s="163"/>
      <c r="G562" s="163"/>
      <c r="H562" s="163"/>
      <c r="I562" s="163"/>
      <c r="J562" s="163"/>
      <c r="K562" s="163"/>
    </row>
    <row r="563" spans="1:11" ht="14.25" customHeight="1">
      <c r="A563" s="163"/>
      <c r="B563" s="163"/>
      <c r="C563" s="163"/>
      <c r="D563" s="163"/>
      <c r="E563" s="163"/>
      <c r="F563" s="163"/>
      <c r="G563" s="163"/>
      <c r="H563" s="163"/>
      <c r="I563" s="163"/>
      <c r="J563" s="163"/>
      <c r="K563" s="163"/>
    </row>
    <row r="564" spans="1:11" ht="14.25" customHeight="1">
      <c r="A564" s="163"/>
      <c r="B564" s="163"/>
      <c r="C564" s="163"/>
      <c r="D564" s="163"/>
      <c r="E564" s="163"/>
      <c r="F564" s="163"/>
      <c r="G564" s="163"/>
      <c r="H564" s="163"/>
      <c r="I564" s="163"/>
      <c r="J564" s="163"/>
      <c r="K564" s="163"/>
    </row>
    <row r="565" spans="1:11" ht="14.25" customHeight="1">
      <c r="A565" s="163"/>
      <c r="B565" s="163"/>
      <c r="C565" s="163"/>
      <c r="D565" s="163"/>
      <c r="E565" s="163"/>
      <c r="F565" s="163"/>
      <c r="G565" s="163"/>
      <c r="H565" s="163"/>
      <c r="I565" s="163"/>
      <c r="J565" s="163"/>
      <c r="K565" s="163"/>
    </row>
    <row r="566" spans="1:11" ht="14.25" customHeight="1">
      <c r="A566" s="163"/>
      <c r="B566" s="163"/>
      <c r="C566" s="163"/>
      <c r="D566" s="163"/>
      <c r="E566" s="163"/>
      <c r="F566" s="163"/>
      <c r="G566" s="163"/>
      <c r="H566" s="163"/>
      <c r="I566" s="163"/>
      <c r="J566" s="163"/>
      <c r="K566" s="163"/>
    </row>
    <row r="567" spans="1:11" ht="14.25" customHeight="1">
      <c r="A567" s="163"/>
      <c r="B567" s="163"/>
      <c r="C567" s="163"/>
      <c r="D567" s="163"/>
      <c r="E567" s="163"/>
      <c r="F567" s="163"/>
      <c r="G567" s="163"/>
      <c r="H567" s="163"/>
      <c r="I567" s="163"/>
      <c r="J567" s="163"/>
      <c r="K567" s="163"/>
    </row>
    <row r="568" spans="1:11" ht="14.25" customHeight="1">
      <c r="A568" s="163"/>
      <c r="B568" s="163"/>
      <c r="C568" s="163"/>
      <c r="D568" s="163"/>
      <c r="E568" s="163"/>
      <c r="F568" s="163"/>
      <c r="G568" s="163"/>
      <c r="H568" s="163"/>
      <c r="I568" s="163"/>
      <c r="J568" s="163"/>
      <c r="K568" s="163"/>
    </row>
    <row r="569" spans="1:11" ht="14.25" customHeight="1">
      <c r="A569" s="163"/>
      <c r="B569" s="163"/>
      <c r="C569" s="163"/>
      <c r="D569" s="163"/>
      <c r="E569" s="163"/>
      <c r="F569" s="163"/>
      <c r="G569" s="163"/>
      <c r="H569" s="163"/>
      <c r="I569" s="163"/>
      <c r="J569" s="163"/>
      <c r="K569" s="163"/>
    </row>
    <row r="570" spans="1:11" ht="14.25" customHeight="1">
      <c r="A570" s="163"/>
      <c r="B570" s="163"/>
      <c r="C570" s="163"/>
      <c r="D570" s="163"/>
      <c r="E570" s="163"/>
      <c r="F570" s="163"/>
      <c r="G570" s="163"/>
      <c r="H570" s="163"/>
      <c r="I570" s="163"/>
      <c r="J570" s="163"/>
      <c r="K570" s="163"/>
    </row>
    <row r="571" spans="1:11" ht="14.25" customHeight="1">
      <c r="A571" s="163"/>
      <c r="B571" s="163"/>
      <c r="C571" s="163"/>
      <c r="D571" s="163"/>
      <c r="E571" s="163"/>
      <c r="F571" s="163"/>
      <c r="G571" s="163"/>
      <c r="H571" s="163"/>
      <c r="I571" s="163"/>
      <c r="J571" s="163"/>
      <c r="K571" s="163"/>
    </row>
    <row r="572" spans="1:11" ht="14.25" customHeight="1">
      <c r="A572" s="163"/>
      <c r="B572" s="163"/>
      <c r="C572" s="163"/>
      <c r="D572" s="163"/>
      <c r="E572" s="163"/>
      <c r="F572" s="163"/>
      <c r="G572" s="163"/>
      <c r="H572" s="163"/>
      <c r="I572" s="163"/>
      <c r="J572" s="163"/>
      <c r="K572" s="163"/>
    </row>
    <row r="573" spans="1:11" ht="14.25" customHeight="1">
      <c r="A573" s="163"/>
      <c r="B573" s="163"/>
      <c r="C573" s="163"/>
      <c r="D573" s="163"/>
      <c r="E573" s="163"/>
      <c r="F573" s="163"/>
      <c r="G573" s="163"/>
      <c r="H573" s="163"/>
      <c r="I573" s="163"/>
      <c r="J573" s="163"/>
      <c r="K573" s="163"/>
    </row>
    <row r="574" spans="1:11" ht="14.25" customHeight="1">
      <c r="A574" s="163"/>
      <c r="B574" s="163"/>
      <c r="C574" s="163"/>
      <c r="D574" s="163"/>
      <c r="E574" s="163"/>
      <c r="F574" s="163"/>
      <c r="G574" s="163"/>
      <c r="H574" s="163"/>
      <c r="I574" s="163"/>
      <c r="J574" s="163"/>
      <c r="K574" s="163"/>
    </row>
    <row r="575" spans="1:11" ht="14.25" customHeight="1">
      <c r="A575" s="163"/>
      <c r="B575" s="163"/>
      <c r="C575" s="163"/>
      <c r="D575" s="163"/>
      <c r="E575" s="163"/>
      <c r="F575" s="163"/>
      <c r="G575" s="163"/>
      <c r="H575" s="163"/>
      <c r="I575" s="163"/>
      <c r="J575" s="163"/>
      <c r="K575" s="163"/>
    </row>
    <row r="576" spans="1:11" ht="14.25" customHeight="1">
      <c r="A576" s="163"/>
      <c r="B576" s="163"/>
      <c r="C576" s="163"/>
      <c r="D576" s="163"/>
      <c r="E576" s="163"/>
      <c r="F576" s="163"/>
      <c r="G576" s="163"/>
      <c r="H576" s="163"/>
      <c r="I576" s="163"/>
      <c r="J576" s="163"/>
      <c r="K576" s="163"/>
    </row>
    <row r="577" spans="1:11" ht="14.25" customHeight="1">
      <c r="A577" s="163"/>
      <c r="B577" s="163"/>
      <c r="C577" s="163"/>
      <c r="D577" s="163"/>
      <c r="E577" s="163"/>
      <c r="F577" s="163"/>
      <c r="G577" s="163"/>
      <c r="H577" s="163"/>
      <c r="I577" s="163"/>
      <c r="J577" s="163"/>
      <c r="K577" s="163"/>
    </row>
    <row r="578" spans="1:11" ht="14.25" customHeight="1">
      <c r="A578" s="163"/>
      <c r="B578" s="163"/>
      <c r="C578" s="163"/>
      <c r="D578" s="163"/>
      <c r="E578" s="163"/>
      <c r="F578" s="163"/>
      <c r="G578" s="163"/>
      <c r="H578" s="163"/>
      <c r="I578" s="163"/>
      <c r="J578" s="163"/>
      <c r="K578" s="163"/>
    </row>
    <row r="579" spans="1:11" ht="14.25" customHeight="1">
      <c r="A579" s="163"/>
      <c r="B579" s="163"/>
      <c r="C579" s="163"/>
      <c r="D579" s="163"/>
      <c r="E579" s="163"/>
      <c r="F579" s="163"/>
      <c r="G579" s="163"/>
      <c r="H579" s="163"/>
      <c r="I579" s="163"/>
      <c r="J579" s="163"/>
      <c r="K579" s="163"/>
    </row>
    <row r="580" spans="1:11" ht="14.25" customHeight="1">
      <c r="A580" s="163"/>
      <c r="B580" s="163"/>
      <c r="C580" s="163"/>
      <c r="D580" s="163"/>
      <c r="E580" s="163"/>
      <c r="F580" s="163"/>
      <c r="G580" s="163"/>
      <c r="H580" s="163"/>
      <c r="I580" s="163"/>
      <c r="J580" s="163"/>
      <c r="K580" s="163"/>
    </row>
    <row r="581" spans="1:11" ht="14.25" customHeight="1">
      <c r="A581" s="163"/>
      <c r="B581" s="163"/>
      <c r="C581" s="163"/>
      <c r="D581" s="163"/>
      <c r="E581" s="163"/>
      <c r="F581" s="163"/>
      <c r="G581" s="163"/>
      <c r="H581" s="163"/>
      <c r="I581" s="163"/>
      <c r="J581" s="163"/>
      <c r="K581" s="163"/>
    </row>
    <row r="582" spans="1:11" ht="14.25" customHeight="1">
      <c r="A582" s="163"/>
      <c r="B582" s="163"/>
      <c r="C582" s="163"/>
      <c r="D582" s="163"/>
      <c r="E582" s="163"/>
      <c r="F582" s="163"/>
      <c r="G582" s="163"/>
      <c r="H582" s="163"/>
      <c r="I582" s="163"/>
      <c r="J582" s="163"/>
      <c r="K582" s="163"/>
    </row>
    <row r="583" spans="1:11" ht="14.25" customHeight="1">
      <c r="A583" s="163"/>
      <c r="B583" s="163"/>
      <c r="C583" s="163"/>
      <c r="D583" s="163"/>
      <c r="E583" s="163"/>
      <c r="F583" s="163"/>
      <c r="G583" s="163"/>
      <c r="H583" s="163"/>
      <c r="I583" s="163"/>
      <c r="J583" s="163"/>
      <c r="K583" s="163"/>
    </row>
    <row r="584" spans="1:11" ht="14.25" customHeight="1">
      <c r="A584" s="163"/>
      <c r="B584" s="163"/>
      <c r="C584" s="163"/>
      <c r="D584" s="163"/>
      <c r="E584" s="163"/>
      <c r="F584" s="163"/>
      <c r="G584" s="163"/>
      <c r="H584" s="163"/>
      <c r="I584" s="163"/>
      <c r="J584" s="163"/>
      <c r="K584" s="163"/>
    </row>
    <row r="585" spans="1:11" ht="14.25" customHeight="1">
      <c r="A585" s="163"/>
      <c r="B585" s="163"/>
      <c r="C585" s="163"/>
      <c r="D585" s="163"/>
      <c r="E585" s="163"/>
      <c r="F585" s="163"/>
      <c r="G585" s="163"/>
      <c r="H585" s="163"/>
      <c r="I585" s="163"/>
      <c r="J585" s="163"/>
      <c r="K585" s="163"/>
    </row>
    <row r="586" spans="1:11" ht="14.25" customHeight="1">
      <c r="A586" s="163"/>
      <c r="B586" s="163"/>
      <c r="C586" s="163"/>
      <c r="D586" s="163"/>
      <c r="E586" s="163"/>
      <c r="F586" s="163"/>
      <c r="G586" s="163"/>
      <c r="H586" s="163"/>
      <c r="I586" s="163"/>
      <c r="J586" s="163"/>
      <c r="K586" s="163"/>
    </row>
    <row r="587" spans="1:11" ht="14.25" customHeight="1">
      <c r="A587" s="163"/>
      <c r="B587" s="163"/>
      <c r="C587" s="163"/>
      <c r="D587" s="163"/>
      <c r="E587" s="163"/>
      <c r="F587" s="163"/>
      <c r="G587" s="163"/>
      <c r="H587" s="163"/>
      <c r="I587" s="163"/>
      <c r="J587" s="163"/>
      <c r="K587" s="163"/>
    </row>
    <row r="588" spans="1:11" ht="14.25" customHeight="1">
      <c r="A588" s="163"/>
      <c r="B588" s="163"/>
      <c r="C588" s="163"/>
      <c r="D588" s="163"/>
      <c r="E588" s="163"/>
      <c r="F588" s="163"/>
      <c r="G588" s="163"/>
      <c r="H588" s="163"/>
      <c r="I588" s="163"/>
      <c r="J588" s="163"/>
      <c r="K588" s="163"/>
    </row>
    <row r="589" spans="1:11" ht="14.25" customHeight="1">
      <c r="A589" s="163"/>
      <c r="B589" s="163"/>
      <c r="C589" s="163"/>
      <c r="D589" s="163"/>
      <c r="E589" s="163"/>
      <c r="F589" s="163"/>
      <c r="G589" s="163"/>
      <c r="H589" s="163"/>
      <c r="I589" s="163"/>
      <c r="J589" s="163"/>
      <c r="K589" s="163"/>
    </row>
    <row r="590" spans="1:11" ht="14.25" customHeight="1">
      <c r="A590" s="163"/>
      <c r="B590" s="163"/>
      <c r="C590" s="163"/>
      <c r="D590" s="163"/>
      <c r="E590" s="163"/>
      <c r="F590" s="163"/>
      <c r="G590" s="163"/>
      <c r="H590" s="163"/>
      <c r="I590" s="163"/>
      <c r="J590" s="163"/>
      <c r="K590" s="163"/>
    </row>
    <row r="591" spans="1:11" ht="14.25" customHeight="1">
      <c r="A591" s="163"/>
      <c r="B591" s="163"/>
      <c r="C591" s="163"/>
      <c r="D591" s="163"/>
      <c r="E591" s="163"/>
      <c r="F591" s="163"/>
      <c r="G591" s="163"/>
      <c r="H591" s="163"/>
      <c r="I591" s="163"/>
      <c r="J591" s="163"/>
      <c r="K591" s="163"/>
    </row>
    <row r="592" spans="1:11" ht="14.25" customHeight="1">
      <c r="A592" s="163"/>
      <c r="B592" s="163"/>
      <c r="C592" s="163"/>
      <c r="D592" s="163"/>
      <c r="E592" s="163"/>
      <c r="F592" s="163"/>
      <c r="G592" s="163"/>
      <c r="H592" s="163"/>
      <c r="I592" s="163"/>
      <c r="J592" s="163"/>
      <c r="K592" s="163"/>
    </row>
    <row r="593" spans="1:11" ht="14.25" customHeight="1">
      <c r="A593" s="163"/>
      <c r="B593" s="163"/>
      <c r="C593" s="163"/>
      <c r="D593" s="163"/>
      <c r="E593" s="163"/>
      <c r="F593" s="163"/>
      <c r="G593" s="163"/>
      <c r="H593" s="163"/>
      <c r="I593" s="163"/>
      <c r="J593" s="163"/>
      <c r="K593" s="163"/>
    </row>
    <row r="594" spans="1:11" ht="14.25" customHeight="1">
      <c r="A594" s="163"/>
      <c r="B594" s="163"/>
      <c r="C594" s="163"/>
      <c r="D594" s="163"/>
      <c r="E594" s="163"/>
      <c r="F594" s="163"/>
      <c r="G594" s="163"/>
      <c r="H594" s="163"/>
      <c r="I594" s="163"/>
      <c r="J594" s="163"/>
      <c r="K594" s="163"/>
    </row>
    <row r="595" spans="1:11" ht="14.25" customHeight="1">
      <c r="A595" s="163"/>
      <c r="B595" s="163"/>
      <c r="C595" s="163"/>
      <c r="D595" s="163"/>
      <c r="E595" s="163"/>
      <c r="F595" s="163"/>
      <c r="G595" s="163"/>
      <c r="H595" s="163"/>
      <c r="I595" s="163"/>
      <c r="J595" s="163"/>
      <c r="K595" s="163"/>
    </row>
    <row r="596" spans="1:11" ht="14.25" customHeight="1">
      <c r="A596" s="163"/>
      <c r="B596" s="163"/>
      <c r="C596" s="163"/>
      <c r="D596" s="163"/>
      <c r="E596" s="163"/>
      <c r="F596" s="163"/>
      <c r="G596" s="163"/>
      <c r="H596" s="163"/>
      <c r="I596" s="163"/>
      <c r="J596" s="163"/>
      <c r="K596" s="163"/>
    </row>
    <row r="597" spans="1:11" ht="14.25" customHeight="1">
      <c r="A597" s="163"/>
      <c r="B597" s="163"/>
      <c r="C597" s="163"/>
      <c r="D597" s="163"/>
      <c r="E597" s="163"/>
      <c r="F597" s="163"/>
      <c r="G597" s="163"/>
      <c r="H597" s="163"/>
      <c r="I597" s="163"/>
      <c r="J597" s="163"/>
      <c r="K597" s="163"/>
    </row>
    <row r="598" spans="1:11" ht="14.25" customHeight="1">
      <c r="A598" s="163"/>
      <c r="B598" s="163"/>
      <c r="C598" s="163"/>
      <c r="D598" s="163"/>
      <c r="E598" s="163"/>
      <c r="F598" s="163"/>
      <c r="G598" s="163"/>
      <c r="H598" s="163"/>
      <c r="I598" s="163"/>
      <c r="J598" s="163"/>
      <c r="K598" s="163"/>
    </row>
    <row r="599" spans="1:11" ht="14.25" customHeight="1">
      <c r="A599" s="163"/>
      <c r="B599" s="163"/>
      <c r="C599" s="163"/>
      <c r="D599" s="163"/>
      <c r="E599" s="163"/>
      <c r="F599" s="163"/>
      <c r="G599" s="163"/>
      <c r="H599" s="163"/>
      <c r="I599" s="163"/>
      <c r="J599" s="163"/>
      <c r="K599" s="163"/>
    </row>
    <row r="600" spans="1:11" ht="14.25" customHeight="1">
      <c r="A600" s="163"/>
      <c r="B600" s="163"/>
      <c r="C600" s="163"/>
      <c r="D600" s="163"/>
      <c r="E600" s="163"/>
      <c r="F600" s="163"/>
      <c r="G600" s="163"/>
      <c r="H600" s="163"/>
      <c r="I600" s="163"/>
      <c r="J600" s="163"/>
      <c r="K600" s="163"/>
    </row>
    <row r="601" spans="1:11" ht="14.25" customHeight="1">
      <c r="A601" s="163"/>
      <c r="B601" s="163"/>
      <c r="C601" s="163"/>
      <c r="D601" s="163"/>
      <c r="E601" s="163"/>
      <c r="F601" s="163"/>
      <c r="G601" s="163"/>
      <c r="H601" s="163"/>
      <c r="I601" s="163"/>
      <c r="J601" s="163"/>
      <c r="K601" s="163"/>
    </row>
    <row r="602" spans="1:11" ht="14.25" customHeight="1">
      <c r="A602" s="163"/>
      <c r="B602" s="163"/>
      <c r="C602" s="163"/>
      <c r="D602" s="163"/>
      <c r="E602" s="163"/>
      <c r="F602" s="163"/>
      <c r="G602" s="163"/>
      <c r="H602" s="163"/>
      <c r="I602" s="163"/>
      <c r="J602" s="163"/>
      <c r="K602" s="163"/>
    </row>
    <row r="603" spans="1:11" ht="14.25" customHeight="1">
      <c r="A603" s="163"/>
      <c r="B603" s="163"/>
      <c r="C603" s="163"/>
      <c r="D603" s="163"/>
      <c r="E603" s="163"/>
      <c r="F603" s="163"/>
      <c r="G603" s="163"/>
      <c r="H603" s="163"/>
      <c r="I603" s="163"/>
      <c r="J603" s="163"/>
      <c r="K603" s="163"/>
    </row>
    <row r="604" spans="1:11" ht="14.25" customHeight="1">
      <c r="A604" s="163"/>
      <c r="B604" s="163"/>
      <c r="C604" s="163"/>
      <c r="D604" s="163"/>
      <c r="E604" s="163"/>
      <c r="F604" s="163"/>
      <c r="G604" s="163"/>
      <c r="H604" s="163"/>
      <c r="I604" s="163"/>
      <c r="J604" s="163"/>
      <c r="K604" s="163"/>
    </row>
    <row r="605" spans="1:11" ht="14.25" customHeight="1">
      <c r="A605" s="163"/>
      <c r="B605" s="163"/>
      <c r="C605" s="163"/>
      <c r="D605" s="163"/>
      <c r="E605" s="163"/>
      <c r="F605" s="163"/>
      <c r="G605" s="163"/>
      <c r="H605" s="163"/>
      <c r="I605" s="163"/>
      <c r="J605" s="163"/>
      <c r="K605" s="163"/>
    </row>
    <row r="606" spans="1:11" ht="14.25" customHeight="1">
      <c r="A606" s="163"/>
      <c r="B606" s="163"/>
      <c r="C606" s="163"/>
      <c r="D606" s="163"/>
      <c r="E606" s="163"/>
      <c r="F606" s="163"/>
      <c r="G606" s="163"/>
      <c r="H606" s="163"/>
      <c r="I606" s="163"/>
      <c r="J606" s="163"/>
      <c r="K606" s="163"/>
    </row>
    <row r="607" spans="1:11" ht="14.25" customHeight="1">
      <c r="A607" s="163"/>
      <c r="B607" s="163"/>
      <c r="C607" s="163"/>
      <c r="D607" s="163"/>
      <c r="E607" s="163"/>
      <c r="F607" s="163"/>
      <c r="G607" s="163"/>
      <c r="H607" s="163"/>
      <c r="I607" s="163"/>
      <c r="J607" s="163"/>
      <c r="K607" s="163"/>
    </row>
    <row r="608" spans="1:11" ht="14.25" customHeight="1">
      <c r="A608" s="163"/>
      <c r="B608" s="163"/>
      <c r="C608" s="163"/>
      <c r="D608" s="163"/>
      <c r="E608" s="163"/>
      <c r="F608" s="163"/>
      <c r="G608" s="163"/>
      <c r="H608" s="163"/>
      <c r="I608" s="163"/>
      <c r="J608" s="163"/>
      <c r="K608" s="163"/>
    </row>
    <row r="609" spans="1:11" ht="14.25" customHeight="1">
      <c r="A609" s="163"/>
      <c r="B609" s="163"/>
      <c r="C609" s="163"/>
      <c r="D609" s="163"/>
      <c r="E609" s="163"/>
      <c r="F609" s="163"/>
      <c r="G609" s="163"/>
      <c r="H609" s="163"/>
      <c r="I609" s="163"/>
      <c r="J609" s="163"/>
      <c r="K609" s="163"/>
    </row>
    <row r="610" spans="1:11" ht="14.25" customHeight="1">
      <c r="A610" s="163"/>
      <c r="B610" s="163"/>
      <c r="C610" s="163"/>
      <c r="D610" s="163"/>
      <c r="E610" s="163"/>
      <c r="F610" s="163"/>
      <c r="G610" s="163"/>
      <c r="H610" s="163"/>
      <c r="I610" s="163"/>
      <c r="J610" s="163"/>
      <c r="K610" s="163"/>
    </row>
    <row r="611" spans="1:11" ht="14.25" customHeight="1">
      <c r="A611" s="163"/>
      <c r="B611" s="163"/>
      <c r="C611" s="163"/>
      <c r="D611" s="163"/>
      <c r="E611" s="163"/>
      <c r="F611" s="163"/>
      <c r="G611" s="163"/>
      <c r="H611" s="163"/>
      <c r="I611" s="163"/>
      <c r="J611" s="163"/>
      <c r="K611" s="163"/>
    </row>
    <row r="612" spans="1:11" ht="14.25" customHeight="1">
      <c r="A612" s="163"/>
      <c r="B612" s="163"/>
      <c r="C612" s="163"/>
      <c r="D612" s="163"/>
      <c r="E612" s="163"/>
      <c r="F612" s="163"/>
      <c r="G612" s="163"/>
      <c r="H612" s="163"/>
      <c r="I612" s="163"/>
      <c r="J612" s="163"/>
      <c r="K612" s="163"/>
    </row>
    <row r="613" spans="1:11" ht="14.25" customHeight="1">
      <c r="A613" s="163"/>
      <c r="B613" s="163"/>
      <c r="C613" s="163"/>
      <c r="D613" s="163"/>
      <c r="E613" s="163"/>
      <c r="F613" s="163"/>
      <c r="G613" s="163"/>
      <c r="H613" s="163"/>
      <c r="I613" s="163"/>
      <c r="J613" s="163"/>
      <c r="K613" s="163"/>
    </row>
    <row r="614" spans="1:11" ht="14.25" customHeight="1">
      <c r="A614" s="163"/>
      <c r="B614" s="163"/>
      <c r="C614" s="163"/>
      <c r="D614" s="163"/>
      <c r="E614" s="163"/>
      <c r="F614" s="163"/>
      <c r="G614" s="163"/>
      <c r="H614" s="163"/>
      <c r="I614" s="163"/>
      <c r="J614" s="163"/>
      <c r="K614" s="163"/>
    </row>
    <row r="615" spans="1:11" ht="14.25" customHeight="1">
      <c r="A615" s="163"/>
      <c r="B615" s="163"/>
      <c r="C615" s="163"/>
      <c r="D615" s="163"/>
      <c r="E615" s="163"/>
      <c r="F615" s="163"/>
      <c r="G615" s="163"/>
      <c r="H615" s="163"/>
      <c r="I615" s="163"/>
      <c r="J615" s="163"/>
      <c r="K615" s="163"/>
    </row>
    <row r="616" spans="1:11" ht="14.25" customHeight="1">
      <c r="A616" s="163"/>
      <c r="B616" s="163"/>
      <c r="C616" s="163"/>
      <c r="D616" s="163"/>
      <c r="E616" s="163"/>
      <c r="F616" s="163"/>
      <c r="G616" s="163"/>
      <c r="H616" s="163"/>
      <c r="I616" s="163"/>
      <c r="J616" s="163"/>
      <c r="K616" s="163"/>
    </row>
    <row r="617" spans="1:11" ht="14.25" customHeight="1">
      <c r="A617" s="163"/>
      <c r="B617" s="163"/>
      <c r="C617" s="163"/>
      <c r="D617" s="163"/>
      <c r="E617" s="163"/>
      <c r="F617" s="163"/>
      <c r="G617" s="163"/>
      <c r="H617" s="163"/>
      <c r="I617" s="163"/>
      <c r="J617" s="163"/>
      <c r="K617" s="163"/>
    </row>
    <row r="618" spans="1:11" ht="14.25" customHeight="1">
      <c r="A618" s="163"/>
      <c r="B618" s="163"/>
      <c r="C618" s="163"/>
      <c r="D618" s="163"/>
      <c r="E618" s="163"/>
      <c r="F618" s="163"/>
      <c r="G618" s="163"/>
      <c r="H618" s="163"/>
      <c r="I618" s="163"/>
      <c r="J618" s="163"/>
      <c r="K618" s="163"/>
    </row>
    <row r="619" spans="1:11" ht="14.25" customHeight="1">
      <c r="A619" s="163"/>
      <c r="B619" s="163"/>
      <c r="C619" s="163"/>
      <c r="D619" s="163"/>
      <c r="E619" s="163"/>
      <c r="F619" s="163"/>
      <c r="G619" s="163"/>
      <c r="H619" s="163"/>
      <c r="I619" s="163"/>
      <c r="J619" s="163"/>
      <c r="K619" s="163"/>
    </row>
    <row r="620" spans="1:11" ht="14.25" customHeight="1">
      <c r="A620" s="163"/>
      <c r="B620" s="163"/>
      <c r="C620" s="163"/>
      <c r="D620" s="163"/>
      <c r="E620" s="163"/>
      <c r="F620" s="163"/>
      <c r="G620" s="163"/>
      <c r="H620" s="163"/>
      <c r="I620" s="163"/>
      <c r="J620" s="163"/>
      <c r="K620" s="163"/>
    </row>
    <row r="621" spans="1:11" ht="14.25" customHeight="1">
      <c r="A621" s="163"/>
      <c r="B621" s="163"/>
      <c r="C621" s="163"/>
      <c r="D621" s="163"/>
      <c r="E621" s="163"/>
      <c r="F621" s="163"/>
      <c r="G621" s="163"/>
      <c r="H621" s="163"/>
      <c r="I621" s="163"/>
      <c r="J621" s="163"/>
      <c r="K621" s="163"/>
    </row>
    <row r="622" spans="1:11" ht="14.25" customHeight="1">
      <c r="A622" s="163"/>
      <c r="B622" s="163"/>
      <c r="C622" s="163"/>
      <c r="D622" s="163"/>
      <c r="E622" s="163"/>
      <c r="F622" s="163"/>
      <c r="G622" s="163"/>
      <c r="H622" s="163"/>
      <c r="I622" s="163"/>
      <c r="J622" s="163"/>
      <c r="K622" s="163"/>
    </row>
    <row r="623" spans="1:11" ht="14.25" customHeight="1">
      <c r="A623" s="163"/>
      <c r="B623" s="163"/>
      <c r="C623" s="163"/>
      <c r="D623" s="163"/>
      <c r="E623" s="163"/>
      <c r="F623" s="163"/>
      <c r="G623" s="163"/>
      <c r="H623" s="163"/>
      <c r="I623" s="163"/>
      <c r="J623" s="163"/>
      <c r="K623" s="163"/>
    </row>
    <row r="624" spans="1:11" ht="14.25" customHeight="1">
      <c r="A624" s="163"/>
      <c r="B624" s="163"/>
      <c r="C624" s="163"/>
      <c r="D624" s="163"/>
      <c r="E624" s="163"/>
      <c r="F624" s="163"/>
      <c r="G624" s="163"/>
      <c r="H624" s="163"/>
      <c r="I624" s="163"/>
      <c r="J624" s="163"/>
      <c r="K624" s="163"/>
    </row>
    <row r="625" spans="1:11" ht="14.25" customHeight="1">
      <c r="A625" s="163"/>
      <c r="B625" s="163"/>
      <c r="C625" s="163"/>
      <c r="D625" s="163"/>
      <c r="E625" s="163"/>
      <c r="F625" s="163"/>
      <c r="G625" s="163"/>
      <c r="H625" s="163"/>
      <c r="I625" s="163"/>
      <c r="J625" s="163"/>
      <c r="K625" s="163"/>
    </row>
    <row r="626" spans="1:11" ht="14.25" customHeight="1">
      <c r="A626" s="163"/>
      <c r="B626" s="163"/>
      <c r="C626" s="163"/>
      <c r="D626" s="163"/>
      <c r="E626" s="163"/>
      <c r="F626" s="163"/>
      <c r="G626" s="163"/>
      <c r="H626" s="163"/>
      <c r="I626" s="163"/>
      <c r="J626" s="163"/>
      <c r="K626" s="163"/>
    </row>
    <row r="627" spans="1:11" ht="14.25" customHeight="1">
      <c r="A627" s="163"/>
      <c r="B627" s="163"/>
      <c r="C627" s="163"/>
      <c r="D627" s="163"/>
      <c r="E627" s="163"/>
      <c r="F627" s="163"/>
      <c r="G627" s="163"/>
      <c r="H627" s="163"/>
      <c r="I627" s="163"/>
      <c r="J627" s="163"/>
      <c r="K627" s="163"/>
    </row>
    <row r="628" spans="1:11" ht="14.25" customHeight="1">
      <c r="A628" s="163"/>
      <c r="B628" s="163"/>
      <c r="C628" s="163"/>
      <c r="D628" s="163"/>
      <c r="E628" s="163"/>
      <c r="F628" s="163"/>
      <c r="G628" s="163"/>
      <c r="H628" s="163"/>
      <c r="I628" s="163"/>
      <c r="J628" s="163"/>
      <c r="K628" s="163"/>
    </row>
    <row r="629" spans="1:11" ht="14.25" customHeight="1">
      <c r="A629" s="163"/>
      <c r="B629" s="163"/>
      <c r="C629" s="163"/>
      <c r="D629" s="163"/>
      <c r="E629" s="163"/>
      <c r="F629" s="163"/>
      <c r="G629" s="163"/>
      <c r="H629" s="163"/>
      <c r="I629" s="163"/>
      <c r="J629" s="163"/>
      <c r="K629" s="163"/>
    </row>
    <row r="630" spans="1:11" ht="14.25" customHeight="1">
      <c r="A630" s="163"/>
      <c r="B630" s="163"/>
      <c r="C630" s="163"/>
      <c r="D630" s="163"/>
      <c r="E630" s="163"/>
      <c r="F630" s="163"/>
      <c r="G630" s="163"/>
      <c r="H630" s="163"/>
      <c r="I630" s="163"/>
      <c r="J630" s="163"/>
      <c r="K630" s="163"/>
    </row>
    <row r="631" spans="1:11" ht="14.25" customHeight="1">
      <c r="A631" s="163"/>
      <c r="B631" s="163"/>
      <c r="C631" s="163"/>
      <c r="D631" s="163"/>
      <c r="E631" s="163"/>
      <c r="F631" s="163"/>
      <c r="G631" s="163"/>
      <c r="H631" s="163"/>
      <c r="I631" s="163"/>
      <c r="J631" s="163"/>
      <c r="K631" s="163"/>
    </row>
    <row r="632" spans="1:11" ht="14.25" customHeight="1">
      <c r="A632" s="163"/>
      <c r="B632" s="163"/>
      <c r="C632" s="163"/>
      <c r="D632" s="163"/>
      <c r="E632" s="163"/>
      <c r="F632" s="163"/>
      <c r="G632" s="163"/>
      <c r="H632" s="163"/>
      <c r="I632" s="163"/>
      <c r="J632" s="163"/>
      <c r="K632" s="163"/>
    </row>
    <row r="633" spans="1:11" ht="14.25" customHeight="1">
      <c r="A633" s="163"/>
      <c r="B633" s="163"/>
      <c r="C633" s="163"/>
      <c r="D633" s="163"/>
      <c r="E633" s="163"/>
      <c r="F633" s="163"/>
      <c r="G633" s="163"/>
      <c r="H633" s="163"/>
      <c r="I633" s="163"/>
      <c r="J633" s="163"/>
      <c r="K633" s="163"/>
    </row>
    <row r="634" spans="1:11" ht="14.25" customHeight="1">
      <c r="A634" s="163"/>
      <c r="B634" s="163"/>
      <c r="C634" s="163"/>
      <c r="D634" s="163"/>
      <c r="E634" s="163"/>
      <c r="F634" s="163"/>
      <c r="G634" s="163"/>
      <c r="H634" s="163"/>
      <c r="I634" s="163"/>
      <c r="J634" s="163"/>
      <c r="K634" s="163"/>
    </row>
    <row r="635" spans="1:11" ht="14.25" customHeight="1">
      <c r="A635" s="163"/>
      <c r="B635" s="163"/>
      <c r="C635" s="163"/>
      <c r="D635" s="163"/>
      <c r="E635" s="163"/>
      <c r="F635" s="163"/>
      <c r="G635" s="163"/>
      <c r="H635" s="163"/>
      <c r="I635" s="163"/>
      <c r="J635" s="163"/>
      <c r="K635" s="163"/>
    </row>
    <row r="636" spans="1:11" ht="14.25" customHeight="1">
      <c r="A636" s="163"/>
      <c r="B636" s="163"/>
      <c r="C636" s="163"/>
      <c r="D636" s="163"/>
      <c r="E636" s="163"/>
      <c r="F636" s="163"/>
      <c r="G636" s="163"/>
      <c r="H636" s="163"/>
      <c r="I636" s="163"/>
      <c r="J636" s="163"/>
      <c r="K636" s="163"/>
    </row>
    <row r="637" spans="1:11" ht="14.25" customHeight="1">
      <c r="A637" s="163"/>
      <c r="B637" s="163"/>
      <c r="C637" s="163"/>
      <c r="D637" s="163"/>
      <c r="E637" s="163"/>
      <c r="F637" s="163"/>
      <c r="G637" s="163"/>
      <c r="H637" s="163"/>
      <c r="I637" s="163"/>
      <c r="J637" s="163"/>
      <c r="K637" s="163"/>
    </row>
    <row r="638" spans="1:11" ht="14.25" customHeight="1">
      <c r="A638" s="163"/>
      <c r="B638" s="163"/>
      <c r="C638" s="163"/>
      <c r="D638" s="163"/>
      <c r="E638" s="163"/>
      <c r="F638" s="163"/>
      <c r="G638" s="163"/>
      <c r="H638" s="163"/>
      <c r="I638" s="163"/>
      <c r="J638" s="163"/>
      <c r="K638" s="163"/>
    </row>
    <row r="639" spans="1:11" ht="14.25" customHeight="1">
      <c r="A639" s="163"/>
      <c r="B639" s="163"/>
      <c r="C639" s="163"/>
      <c r="D639" s="163"/>
      <c r="E639" s="163"/>
      <c r="F639" s="163"/>
      <c r="G639" s="163"/>
      <c r="H639" s="163"/>
      <c r="I639" s="163"/>
      <c r="J639" s="163"/>
      <c r="K639" s="163"/>
    </row>
    <row r="640" spans="1:11" ht="14.25" customHeight="1">
      <c r="A640" s="163"/>
      <c r="B640" s="163"/>
      <c r="C640" s="163"/>
      <c r="D640" s="163"/>
      <c r="E640" s="163"/>
      <c r="F640" s="163"/>
      <c r="G640" s="163"/>
      <c r="H640" s="163"/>
      <c r="I640" s="163"/>
      <c r="J640" s="163"/>
      <c r="K640" s="163"/>
    </row>
    <row r="641" spans="1:11" ht="14.25" customHeight="1">
      <c r="A641" s="163"/>
      <c r="B641" s="163"/>
      <c r="C641" s="163"/>
      <c r="D641" s="163"/>
      <c r="E641" s="163"/>
      <c r="F641" s="163"/>
      <c r="G641" s="163"/>
      <c r="H641" s="163"/>
      <c r="I641" s="163"/>
      <c r="J641" s="163"/>
      <c r="K641" s="163"/>
    </row>
    <row r="642" spans="1:11" ht="14.25" customHeight="1">
      <c r="A642" s="163"/>
      <c r="B642" s="163"/>
      <c r="C642" s="163"/>
      <c r="D642" s="163"/>
      <c r="E642" s="163"/>
      <c r="F642" s="163"/>
      <c r="G642" s="163"/>
      <c r="H642" s="163"/>
      <c r="I642" s="163"/>
      <c r="J642" s="163"/>
      <c r="K642" s="163"/>
    </row>
    <row r="643" spans="1:11" ht="14.25" customHeight="1">
      <c r="A643" s="163"/>
      <c r="B643" s="163"/>
      <c r="C643" s="163"/>
      <c r="D643" s="163"/>
      <c r="E643" s="163"/>
      <c r="F643" s="163"/>
      <c r="G643" s="163"/>
      <c r="H643" s="163"/>
      <c r="I643" s="163"/>
      <c r="J643" s="163"/>
      <c r="K643" s="163"/>
    </row>
    <row r="644" spans="1:11" ht="14.25" customHeight="1">
      <c r="A644" s="163"/>
      <c r="B644" s="163"/>
      <c r="C644" s="163"/>
      <c r="D644" s="163"/>
      <c r="E644" s="163"/>
      <c r="F644" s="163"/>
      <c r="G644" s="163"/>
      <c r="H644" s="163"/>
      <c r="I644" s="163"/>
      <c r="J644" s="163"/>
      <c r="K644" s="163"/>
    </row>
    <row r="645" spans="1:11" ht="14.25" customHeight="1">
      <c r="A645" s="163"/>
      <c r="B645" s="163"/>
      <c r="C645" s="163"/>
      <c r="D645" s="163"/>
      <c r="E645" s="163"/>
      <c r="F645" s="163"/>
      <c r="G645" s="163"/>
      <c r="H645" s="163"/>
      <c r="I645" s="163"/>
      <c r="J645" s="163"/>
      <c r="K645" s="163"/>
    </row>
    <row r="646" spans="1:11" ht="14.25" customHeight="1">
      <c r="A646" s="163"/>
      <c r="B646" s="163"/>
      <c r="C646" s="163"/>
      <c r="D646" s="163"/>
      <c r="E646" s="163"/>
      <c r="F646" s="163"/>
      <c r="G646" s="163"/>
      <c r="H646" s="163"/>
      <c r="I646" s="163"/>
      <c r="J646" s="163"/>
      <c r="K646" s="163"/>
    </row>
    <row r="647" spans="1:11" ht="14.25" customHeight="1">
      <c r="A647" s="163"/>
      <c r="B647" s="163"/>
      <c r="C647" s="163"/>
      <c r="D647" s="163"/>
      <c r="E647" s="163"/>
      <c r="F647" s="163"/>
      <c r="G647" s="163"/>
      <c r="H647" s="163"/>
      <c r="I647" s="163"/>
      <c r="J647" s="163"/>
      <c r="K647" s="163"/>
    </row>
    <row r="648" spans="1:11" ht="14.25" customHeight="1">
      <c r="A648" s="163"/>
      <c r="B648" s="163"/>
      <c r="C648" s="163"/>
      <c r="D648" s="163"/>
      <c r="E648" s="163"/>
      <c r="F648" s="163"/>
      <c r="G648" s="163"/>
      <c r="H648" s="163"/>
      <c r="I648" s="163"/>
      <c r="J648" s="163"/>
      <c r="K648" s="163"/>
    </row>
    <row r="649" spans="1:11" ht="14.25" customHeight="1">
      <c r="A649" s="163"/>
      <c r="B649" s="163"/>
      <c r="C649" s="163"/>
      <c r="D649" s="163"/>
      <c r="E649" s="163"/>
      <c r="F649" s="163"/>
      <c r="G649" s="163"/>
      <c r="H649" s="163"/>
      <c r="I649" s="163"/>
      <c r="J649" s="163"/>
      <c r="K649" s="163"/>
    </row>
    <row r="650" spans="1:11" ht="14.25" customHeight="1">
      <c r="A650" s="163"/>
      <c r="B650" s="163"/>
      <c r="C650" s="163"/>
      <c r="D650" s="163"/>
      <c r="E650" s="163"/>
      <c r="F650" s="163"/>
      <c r="G650" s="163"/>
      <c r="H650" s="163"/>
      <c r="I650" s="163"/>
      <c r="J650" s="163"/>
      <c r="K650" s="163"/>
    </row>
    <row r="651" spans="1:11" ht="14.25" customHeight="1">
      <c r="A651" s="163"/>
      <c r="B651" s="163"/>
      <c r="C651" s="163"/>
      <c r="D651" s="163"/>
      <c r="E651" s="163"/>
      <c r="F651" s="163"/>
      <c r="G651" s="163"/>
      <c r="H651" s="163"/>
      <c r="I651" s="163"/>
      <c r="J651" s="163"/>
      <c r="K651" s="163"/>
    </row>
    <row r="652" spans="1:11" ht="14.25" customHeight="1">
      <c r="A652" s="163"/>
      <c r="B652" s="163"/>
      <c r="C652" s="163"/>
      <c r="D652" s="163"/>
      <c r="E652" s="163"/>
      <c r="F652" s="163"/>
      <c r="G652" s="163"/>
      <c r="H652" s="163"/>
      <c r="I652" s="163"/>
      <c r="J652" s="163"/>
      <c r="K652" s="163"/>
    </row>
    <row r="653" spans="1:11" ht="14.25" customHeight="1">
      <c r="A653" s="163"/>
      <c r="B653" s="163"/>
      <c r="C653" s="163"/>
      <c r="D653" s="163"/>
      <c r="E653" s="163"/>
      <c r="F653" s="163"/>
      <c r="G653" s="163"/>
      <c r="H653" s="163"/>
      <c r="I653" s="163"/>
      <c r="J653" s="163"/>
      <c r="K653" s="163"/>
    </row>
    <row r="654" spans="1:11" ht="14.25" customHeight="1">
      <c r="A654" s="163"/>
      <c r="B654" s="163"/>
      <c r="C654" s="163"/>
      <c r="D654" s="163"/>
      <c r="E654" s="163"/>
      <c r="F654" s="163"/>
      <c r="G654" s="163"/>
      <c r="H654" s="163"/>
      <c r="I654" s="163"/>
      <c r="J654" s="163"/>
      <c r="K654" s="163"/>
    </row>
    <row r="655" spans="1:11" ht="14.25" customHeight="1">
      <c r="A655" s="163"/>
      <c r="B655" s="163"/>
      <c r="C655" s="163"/>
      <c r="D655" s="163"/>
      <c r="E655" s="163"/>
      <c r="F655" s="163"/>
      <c r="G655" s="163"/>
      <c r="H655" s="163"/>
      <c r="I655" s="163"/>
      <c r="J655" s="163"/>
      <c r="K655" s="163"/>
    </row>
    <row r="656" spans="1:11" ht="14.25" customHeight="1">
      <c r="A656" s="163"/>
      <c r="B656" s="163"/>
      <c r="C656" s="163"/>
      <c r="D656" s="163"/>
      <c r="E656" s="163"/>
      <c r="F656" s="163"/>
      <c r="G656" s="163"/>
      <c r="H656" s="163"/>
      <c r="I656" s="163"/>
      <c r="J656" s="163"/>
      <c r="K656" s="163"/>
    </row>
    <row r="657" spans="1:11" ht="14.25" customHeight="1">
      <c r="A657" s="163"/>
      <c r="B657" s="163"/>
      <c r="C657" s="163"/>
      <c r="D657" s="163"/>
      <c r="E657" s="163"/>
      <c r="F657" s="163"/>
      <c r="G657" s="163"/>
      <c r="H657" s="163"/>
      <c r="I657" s="163"/>
      <c r="J657" s="163"/>
      <c r="K657" s="163"/>
    </row>
    <row r="658" spans="1:11" ht="14.25" customHeight="1">
      <c r="A658" s="163"/>
      <c r="B658" s="163"/>
      <c r="C658" s="163"/>
      <c r="D658" s="163"/>
      <c r="E658" s="163"/>
      <c r="F658" s="163"/>
      <c r="G658" s="163"/>
      <c r="H658" s="163"/>
      <c r="I658" s="163"/>
      <c r="J658" s="163"/>
      <c r="K658" s="163"/>
    </row>
    <row r="659" spans="1:11" ht="14.25" customHeight="1">
      <c r="A659" s="163"/>
      <c r="B659" s="163"/>
      <c r="C659" s="163"/>
      <c r="D659" s="163"/>
      <c r="E659" s="163"/>
      <c r="F659" s="163"/>
      <c r="G659" s="163"/>
      <c r="H659" s="163"/>
      <c r="I659" s="163"/>
      <c r="J659" s="163"/>
      <c r="K659" s="163"/>
    </row>
    <row r="660" spans="1:11" ht="14.25" customHeight="1">
      <c r="A660" s="163"/>
      <c r="B660" s="163"/>
      <c r="C660" s="163"/>
      <c r="D660" s="163"/>
      <c r="E660" s="163"/>
      <c r="F660" s="163"/>
      <c r="G660" s="163"/>
      <c r="H660" s="163"/>
      <c r="I660" s="163"/>
      <c r="J660" s="163"/>
      <c r="K660" s="163"/>
    </row>
    <row r="661" spans="1:11" ht="14.25" customHeight="1">
      <c r="A661" s="163"/>
      <c r="B661" s="163"/>
      <c r="C661" s="163"/>
      <c r="D661" s="163"/>
      <c r="E661" s="163"/>
      <c r="F661" s="163"/>
      <c r="G661" s="163"/>
      <c r="H661" s="163"/>
      <c r="I661" s="163"/>
      <c r="J661" s="163"/>
      <c r="K661" s="163"/>
    </row>
    <row r="662" spans="1:11" ht="14.25" customHeight="1">
      <c r="A662" s="163"/>
      <c r="B662" s="163"/>
      <c r="C662" s="163"/>
      <c r="D662" s="163"/>
      <c r="E662" s="163"/>
      <c r="F662" s="163"/>
      <c r="G662" s="163"/>
      <c r="H662" s="163"/>
      <c r="I662" s="163"/>
      <c r="J662" s="163"/>
      <c r="K662" s="163"/>
    </row>
    <row r="663" spans="1:11" ht="14.25" customHeight="1">
      <c r="A663" s="163"/>
      <c r="B663" s="163"/>
      <c r="C663" s="163"/>
      <c r="D663" s="163"/>
      <c r="E663" s="163"/>
      <c r="F663" s="163"/>
      <c r="G663" s="163"/>
      <c r="H663" s="163"/>
      <c r="I663" s="163"/>
      <c r="J663" s="163"/>
      <c r="K663" s="163"/>
    </row>
    <row r="664" spans="1:11" ht="14.25" customHeight="1">
      <c r="A664" s="163"/>
      <c r="B664" s="163"/>
      <c r="C664" s="163"/>
      <c r="D664" s="163"/>
      <c r="E664" s="163"/>
      <c r="F664" s="163"/>
      <c r="G664" s="163"/>
      <c r="H664" s="163"/>
      <c r="I664" s="163"/>
      <c r="J664" s="163"/>
      <c r="K664" s="163"/>
    </row>
    <row r="665" spans="1:11" ht="14.25" customHeight="1">
      <c r="A665" s="163"/>
      <c r="B665" s="163"/>
      <c r="C665" s="163"/>
      <c r="D665" s="163"/>
      <c r="E665" s="163"/>
      <c r="F665" s="163"/>
      <c r="G665" s="163"/>
      <c r="H665" s="163"/>
      <c r="I665" s="163"/>
      <c r="J665" s="163"/>
      <c r="K665" s="163"/>
    </row>
    <row r="666" spans="1:11" ht="14.25" customHeight="1">
      <c r="A666" s="163"/>
      <c r="B666" s="163"/>
      <c r="C666" s="163"/>
      <c r="D666" s="163"/>
      <c r="E666" s="163"/>
      <c r="F666" s="163"/>
      <c r="G666" s="163"/>
      <c r="H666" s="163"/>
      <c r="I666" s="163"/>
      <c r="J666" s="163"/>
      <c r="K666" s="163"/>
    </row>
    <row r="667" spans="1:11" ht="14.25" customHeight="1">
      <c r="A667" s="163"/>
      <c r="B667" s="163"/>
      <c r="C667" s="163"/>
      <c r="D667" s="163"/>
      <c r="E667" s="163"/>
      <c r="F667" s="163"/>
      <c r="G667" s="163"/>
      <c r="H667" s="163"/>
      <c r="I667" s="163"/>
      <c r="J667" s="163"/>
      <c r="K667" s="163"/>
    </row>
    <row r="668" spans="1:11" ht="14.25" customHeight="1">
      <c r="A668" s="163"/>
      <c r="B668" s="163"/>
      <c r="C668" s="163"/>
      <c r="D668" s="163"/>
      <c r="E668" s="163"/>
      <c r="F668" s="163"/>
      <c r="G668" s="163"/>
      <c r="H668" s="163"/>
      <c r="I668" s="163"/>
      <c r="J668" s="163"/>
      <c r="K668" s="163"/>
    </row>
    <row r="669" spans="1:11" ht="14.25" customHeight="1">
      <c r="A669" s="163"/>
      <c r="B669" s="163"/>
      <c r="C669" s="163"/>
      <c r="D669" s="163"/>
      <c r="E669" s="163"/>
      <c r="F669" s="163"/>
      <c r="G669" s="163"/>
      <c r="H669" s="163"/>
      <c r="I669" s="163"/>
      <c r="J669" s="163"/>
      <c r="K669" s="163"/>
    </row>
    <row r="670" spans="1:11" ht="14.25" customHeight="1">
      <c r="A670" s="163"/>
      <c r="B670" s="163"/>
      <c r="C670" s="163"/>
      <c r="D670" s="163"/>
      <c r="E670" s="163"/>
      <c r="F670" s="163"/>
      <c r="G670" s="163"/>
      <c r="H670" s="163"/>
      <c r="I670" s="163"/>
      <c r="J670" s="163"/>
      <c r="K670" s="163"/>
    </row>
    <row r="671" spans="1:11" ht="14.25" customHeight="1">
      <c r="A671" s="163"/>
      <c r="B671" s="163"/>
      <c r="C671" s="163"/>
      <c r="D671" s="163"/>
      <c r="E671" s="163"/>
      <c r="F671" s="163"/>
      <c r="G671" s="163"/>
      <c r="H671" s="163"/>
      <c r="I671" s="163"/>
      <c r="J671" s="163"/>
      <c r="K671" s="163"/>
    </row>
    <row r="672" spans="1:11" ht="14.25" customHeight="1">
      <c r="A672" s="163"/>
      <c r="B672" s="163"/>
      <c r="C672" s="163"/>
      <c r="D672" s="163"/>
      <c r="E672" s="163"/>
      <c r="F672" s="163"/>
      <c r="G672" s="163"/>
      <c r="H672" s="163"/>
      <c r="I672" s="163"/>
      <c r="J672" s="163"/>
      <c r="K672" s="163"/>
    </row>
    <row r="673" spans="1:11" ht="14.25" customHeight="1">
      <c r="A673" s="163"/>
      <c r="B673" s="163"/>
      <c r="C673" s="163"/>
      <c r="D673" s="163"/>
      <c r="E673" s="163"/>
      <c r="F673" s="163"/>
      <c r="G673" s="163"/>
      <c r="H673" s="163"/>
      <c r="I673" s="163"/>
      <c r="J673" s="163"/>
      <c r="K673" s="163"/>
    </row>
    <row r="674" spans="1:11" ht="14.25" customHeight="1">
      <c r="A674" s="163"/>
      <c r="B674" s="163"/>
      <c r="C674" s="163"/>
      <c r="D674" s="163"/>
      <c r="E674" s="163"/>
      <c r="F674" s="163"/>
      <c r="G674" s="163"/>
      <c r="H674" s="163"/>
      <c r="I674" s="163"/>
      <c r="J674" s="163"/>
      <c r="K674" s="163"/>
    </row>
    <row r="675" spans="1:11" ht="14.25" customHeight="1">
      <c r="A675" s="163"/>
      <c r="B675" s="163"/>
      <c r="C675" s="163"/>
      <c r="D675" s="163"/>
      <c r="E675" s="163"/>
      <c r="F675" s="163"/>
      <c r="G675" s="163"/>
      <c r="H675" s="163"/>
      <c r="I675" s="163"/>
      <c r="J675" s="163"/>
      <c r="K675" s="163"/>
    </row>
    <row r="676" spans="1:11" ht="14.25" customHeight="1">
      <c r="A676" s="163"/>
      <c r="B676" s="163"/>
      <c r="C676" s="163"/>
      <c r="D676" s="163"/>
      <c r="E676" s="163"/>
      <c r="F676" s="163"/>
      <c r="G676" s="163"/>
      <c r="H676" s="163"/>
      <c r="I676" s="163"/>
      <c r="J676" s="163"/>
      <c r="K676" s="163"/>
    </row>
    <row r="677" spans="1:11" ht="14.25" customHeight="1">
      <c r="A677" s="163"/>
      <c r="B677" s="163"/>
      <c r="C677" s="163"/>
      <c r="D677" s="163"/>
      <c r="E677" s="163"/>
      <c r="F677" s="163"/>
      <c r="G677" s="163"/>
      <c r="H677" s="163"/>
      <c r="I677" s="163"/>
      <c r="J677" s="163"/>
      <c r="K677" s="163"/>
    </row>
    <row r="678" spans="1:11" ht="14.25" customHeight="1">
      <c r="A678" s="163"/>
      <c r="B678" s="163"/>
      <c r="C678" s="163"/>
      <c r="D678" s="163"/>
      <c r="E678" s="163"/>
      <c r="F678" s="163"/>
      <c r="G678" s="163"/>
      <c r="H678" s="163"/>
      <c r="I678" s="163"/>
      <c r="J678" s="163"/>
      <c r="K678" s="163"/>
    </row>
    <row r="679" spans="1:11" ht="14.25" customHeight="1">
      <c r="A679" s="163"/>
      <c r="B679" s="163"/>
      <c r="C679" s="163"/>
      <c r="D679" s="163"/>
      <c r="E679" s="163"/>
      <c r="F679" s="163"/>
      <c r="G679" s="163"/>
      <c r="H679" s="163"/>
      <c r="I679" s="163"/>
      <c r="J679" s="163"/>
      <c r="K679" s="163"/>
    </row>
    <row r="680" spans="1:11" ht="14.25" customHeight="1">
      <c r="A680" s="163"/>
      <c r="B680" s="163"/>
      <c r="C680" s="163"/>
      <c r="D680" s="163"/>
      <c r="E680" s="163"/>
      <c r="F680" s="163"/>
      <c r="G680" s="163"/>
      <c r="H680" s="163"/>
      <c r="I680" s="163"/>
      <c r="J680" s="163"/>
      <c r="K680" s="163"/>
    </row>
    <row r="681" spans="1:11" ht="14.25" customHeight="1">
      <c r="A681" s="163"/>
      <c r="B681" s="163"/>
      <c r="C681" s="163"/>
      <c r="D681" s="163"/>
      <c r="E681" s="163"/>
      <c r="F681" s="163"/>
      <c r="G681" s="163"/>
      <c r="H681" s="163"/>
      <c r="I681" s="163"/>
      <c r="J681" s="163"/>
      <c r="K681" s="163"/>
    </row>
    <row r="682" spans="1:11" ht="14.25" customHeight="1">
      <c r="A682" s="163"/>
      <c r="B682" s="163"/>
      <c r="C682" s="163"/>
      <c r="D682" s="163"/>
      <c r="E682" s="163"/>
      <c r="F682" s="163"/>
      <c r="G682" s="163"/>
      <c r="H682" s="163"/>
      <c r="I682" s="163"/>
      <c r="J682" s="163"/>
      <c r="K682" s="163"/>
    </row>
    <row r="683" spans="1:11" ht="14.25" customHeight="1">
      <c r="A683" s="163"/>
      <c r="B683" s="163"/>
      <c r="C683" s="163"/>
      <c r="D683" s="163"/>
      <c r="E683" s="163"/>
      <c r="F683" s="163"/>
      <c r="G683" s="163"/>
      <c r="H683" s="163"/>
      <c r="I683" s="163"/>
      <c r="J683" s="163"/>
      <c r="K683" s="163"/>
    </row>
    <row r="684" spans="1:11" ht="14.25" customHeight="1">
      <c r="A684" s="163"/>
      <c r="B684" s="163"/>
      <c r="C684" s="163"/>
      <c r="D684" s="163"/>
      <c r="E684" s="163"/>
      <c r="F684" s="163"/>
      <c r="G684" s="163"/>
      <c r="H684" s="163"/>
      <c r="I684" s="163"/>
      <c r="J684" s="163"/>
      <c r="K684" s="163"/>
    </row>
    <row r="685" spans="1:11" ht="14.25" customHeight="1">
      <c r="A685" s="163"/>
      <c r="B685" s="163"/>
      <c r="C685" s="163"/>
      <c r="D685" s="163"/>
      <c r="E685" s="163"/>
      <c r="F685" s="163"/>
      <c r="G685" s="163"/>
      <c r="H685" s="163"/>
      <c r="I685" s="163"/>
      <c r="J685" s="163"/>
      <c r="K685" s="163"/>
    </row>
    <row r="686" spans="1:11" ht="14.25" customHeight="1">
      <c r="A686" s="163"/>
      <c r="B686" s="163"/>
      <c r="C686" s="163"/>
      <c r="D686" s="163"/>
      <c r="E686" s="163"/>
      <c r="F686" s="163"/>
      <c r="G686" s="163"/>
      <c r="H686" s="163"/>
      <c r="I686" s="163"/>
      <c r="J686" s="163"/>
      <c r="K686" s="163"/>
    </row>
    <row r="687" spans="1:11" ht="14.25" customHeight="1">
      <c r="A687" s="163"/>
      <c r="B687" s="163"/>
      <c r="C687" s="163"/>
      <c r="D687" s="163"/>
      <c r="E687" s="163"/>
      <c r="F687" s="163"/>
      <c r="G687" s="163"/>
      <c r="H687" s="163"/>
      <c r="I687" s="163"/>
      <c r="J687" s="163"/>
      <c r="K687" s="163"/>
    </row>
    <row r="688" spans="1:11" ht="14.25" customHeight="1">
      <c r="A688" s="163"/>
      <c r="B688" s="163"/>
      <c r="C688" s="163"/>
      <c r="D688" s="163"/>
      <c r="E688" s="163"/>
      <c r="F688" s="163"/>
      <c r="G688" s="163"/>
      <c r="H688" s="163"/>
      <c r="I688" s="163"/>
      <c r="J688" s="163"/>
      <c r="K688" s="163"/>
    </row>
    <row r="689" spans="1:11" ht="14.25" customHeight="1">
      <c r="A689" s="163"/>
      <c r="B689" s="163"/>
      <c r="C689" s="163"/>
      <c r="D689" s="163"/>
      <c r="E689" s="163"/>
      <c r="F689" s="163"/>
      <c r="G689" s="163"/>
      <c r="H689" s="163"/>
      <c r="I689" s="163"/>
      <c r="J689" s="163"/>
      <c r="K689" s="163"/>
    </row>
    <row r="690" spans="1:11" ht="14.25" customHeight="1">
      <c r="A690" s="163"/>
      <c r="B690" s="163"/>
      <c r="C690" s="163"/>
      <c r="D690" s="163"/>
      <c r="E690" s="163"/>
      <c r="F690" s="163"/>
      <c r="G690" s="163"/>
      <c r="H690" s="163"/>
      <c r="I690" s="163"/>
      <c r="J690" s="163"/>
      <c r="K690" s="163"/>
    </row>
    <row r="691" spans="1:11" ht="14.25" customHeight="1">
      <c r="A691" s="163"/>
      <c r="B691" s="163"/>
      <c r="C691" s="163"/>
      <c r="D691" s="163"/>
      <c r="E691" s="163"/>
      <c r="F691" s="163"/>
      <c r="G691" s="163"/>
      <c r="H691" s="163"/>
      <c r="I691" s="163"/>
      <c r="J691" s="163"/>
      <c r="K691" s="163"/>
    </row>
    <row r="692" spans="1:11" ht="14.25" customHeight="1">
      <c r="A692" s="163"/>
      <c r="B692" s="163"/>
      <c r="C692" s="163"/>
      <c r="D692" s="163"/>
      <c r="E692" s="163"/>
      <c r="F692" s="163"/>
      <c r="G692" s="163"/>
      <c r="H692" s="163"/>
      <c r="I692" s="163"/>
      <c r="J692" s="163"/>
      <c r="K692" s="163"/>
    </row>
    <row r="693" spans="1:11" ht="14.25" customHeight="1">
      <c r="A693" s="163"/>
      <c r="B693" s="163"/>
      <c r="C693" s="163"/>
      <c r="D693" s="163"/>
      <c r="E693" s="163"/>
      <c r="F693" s="163"/>
      <c r="G693" s="163"/>
      <c r="H693" s="163"/>
      <c r="I693" s="163"/>
      <c r="J693" s="163"/>
      <c r="K693" s="163"/>
    </row>
    <row r="694" spans="1:11" ht="14.25" customHeight="1">
      <c r="A694" s="163"/>
      <c r="B694" s="163"/>
      <c r="C694" s="163"/>
      <c r="D694" s="163"/>
      <c r="E694" s="163"/>
      <c r="F694" s="163"/>
      <c r="G694" s="163"/>
      <c r="H694" s="163"/>
      <c r="I694" s="163"/>
      <c r="J694" s="163"/>
      <c r="K694" s="163"/>
    </row>
    <row r="695" spans="1:11" ht="14.25" customHeight="1">
      <c r="A695" s="163"/>
      <c r="B695" s="163"/>
      <c r="C695" s="163"/>
      <c r="D695" s="163"/>
      <c r="E695" s="163"/>
      <c r="F695" s="163"/>
      <c r="G695" s="163"/>
      <c r="H695" s="163"/>
      <c r="I695" s="163"/>
      <c r="J695" s="163"/>
      <c r="K695" s="163"/>
    </row>
    <row r="696" spans="1:11" ht="14.25" customHeight="1">
      <c r="A696" s="163"/>
      <c r="B696" s="163"/>
      <c r="C696" s="163"/>
      <c r="D696" s="163"/>
      <c r="E696" s="163"/>
      <c r="F696" s="163"/>
      <c r="G696" s="163"/>
      <c r="H696" s="163"/>
      <c r="I696" s="163"/>
      <c r="J696" s="163"/>
      <c r="K696" s="163"/>
    </row>
    <row r="697" spans="1:11" ht="14.25" customHeight="1">
      <c r="A697" s="163"/>
      <c r="B697" s="163"/>
      <c r="C697" s="163"/>
      <c r="D697" s="163"/>
      <c r="E697" s="163"/>
      <c r="F697" s="163"/>
      <c r="G697" s="163"/>
      <c r="H697" s="163"/>
      <c r="I697" s="163"/>
      <c r="J697" s="163"/>
      <c r="K697" s="163"/>
    </row>
    <row r="698" spans="1:11" ht="14.25" customHeight="1">
      <c r="A698" s="163"/>
      <c r="B698" s="163"/>
      <c r="C698" s="163"/>
      <c r="D698" s="163"/>
      <c r="E698" s="163"/>
      <c r="F698" s="163"/>
      <c r="G698" s="163"/>
      <c r="H698" s="163"/>
      <c r="I698" s="163"/>
      <c r="J698" s="163"/>
      <c r="K698" s="163"/>
    </row>
    <row r="699" spans="1:11" ht="14.25" customHeight="1">
      <c r="A699" s="163"/>
      <c r="B699" s="163"/>
      <c r="C699" s="163"/>
      <c r="D699" s="163"/>
      <c r="E699" s="163"/>
      <c r="F699" s="163"/>
      <c r="G699" s="163"/>
      <c r="H699" s="163"/>
      <c r="I699" s="163"/>
      <c r="J699" s="163"/>
      <c r="K699" s="163"/>
    </row>
    <row r="700" spans="1:11" ht="14.25" customHeight="1">
      <c r="A700" s="163"/>
      <c r="B700" s="163"/>
      <c r="C700" s="163"/>
      <c r="D700" s="163"/>
      <c r="E700" s="163"/>
      <c r="F700" s="163"/>
      <c r="G700" s="163"/>
      <c r="H700" s="163"/>
      <c r="I700" s="163"/>
      <c r="J700" s="163"/>
      <c r="K700" s="163"/>
    </row>
    <row r="701" spans="1:11" ht="14.25" customHeight="1">
      <c r="A701" s="163"/>
      <c r="B701" s="163"/>
      <c r="C701" s="163"/>
      <c r="D701" s="163"/>
      <c r="E701" s="163"/>
      <c r="F701" s="163"/>
      <c r="G701" s="163"/>
      <c r="H701" s="163"/>
      <c r="I701" s="163"/>
      <c r="J701" s="163"/>
      <c r="K701" s="163"/>
    </row>
    <row r="702" spans="1:11" ht="14.25" customHeight="1">
      <c r="A702" s="163"/>
      <c r="B702" s="163"/>
      <c r="C702" s="163"/>
      <c r="D702" s="163"/>
      <c r="E702" s="163"/>
      <c r="F702" s="163"/>
      <c r="G702" s="163"/>
      <c r="H702" s="163"/>
      <c r="I702" s="163"/>
      <c r="J702" s="163"/>
      <c r="K702" s="163"/>
    </row>
    <row r="703" spans="1:11" ht="14.25" customHeight="1">
      <c r="A703" s="163"/>
      <c r="B703" s="163"/>
      <c r="C703" s="163"/>
      <c r="D703" s="163"/>
      <c r="E703" s="163"/>
      <c r="F703" s="163"/>
      <c r="G703" s="163"/>
      <c r="H703" s="163"/>
      <c r="I703" s="163"/>
      <c r="J703" s="163"/>
      <c r="K703" s="163"/>
    </row>
    <row r="704" spans="1:11" ht="14.25" customHeight="1">
      <c r="A704" s="163"/>
      <c r="B704" s="163"/>
      <c r="C704" s="163"/>
      <c r="D704" s="163"/>
      <c r="E704" s="163"/>
      <c r="F704" s="163"/>
      <c r="G704" s="163"/>
      <c r="H704" s="163"/>
      <c r="I704" s="163"/>
      <c r="J704" s="163"/>
      <c r="K704" s="163"/>
    </row>
    <row r="705" spans="1:11" ht="14.25" customHeight="1">
      <c r="A705" s="163"/>
      <c r="B705" s="163"/>
      <c r="C705" s="163"/>
      <c r="D705" s="163"/>
      <c r="E705" s="163"/>
      <c r="F705" s="163"/>
      <c r="G705" s="163"/>
      <c r="H705" s="163"/>
      <c r="I705" s="163"/>
      <c r="J705" s="163"/>
      <c r="K705" s="163"/>
    </row>
    <row r="706" spans="1:11" ht="14.25" customHeight="1">
      <c r="A706" s="163"/>
      <c r="B706" s="163"/>
      <c r="C706" s="163"/>
      <c r="D706" s="163"/>
      <c r="E706" s="163"/>
      <c r="F706" s="163"/>
      <c r="G706" s="163"/>
      <c r="H706" s="163"/>
      <c r="I706" s="163"/>
      <c r="J706" s="163"/>
      <c r="K706" s="163"/>
    </row>
    <row r="707" spans="1:11" ht="14.25" customHeight="1">
      <c r="A707" s="163"/>
      <c r="B707" s="163"/>
      <c r="C707" s="163"/>
      <c r="D707" s="163"/>
      <c r="E707" s="163"/>
      <c r="F707" s="163"/>
      <c r="G707" s="163"/>
      <c r="H707" s="163"/>
      <c r="I707" s="163"/>
      <c r="J707" s="163"/>
      <c r="K707" s="163"/>
    </row>
    <row r="708" spans="1:11" ht="14.25" customHeight="1">
      <c r="A708" s="163"/>
      <c r="B708" s="163"/>
      <c r="C708" s="163"/>
      <c r="D708" s="163"/>
      <c r="E708" s="163"/>
      <c r="F708" s="163"/>
      <c r="G708" s="163"/>
      <c r="H708" s="163"/>
      <c r="I708" s="163"/>
      <c r="J708" s="163"/>
      <c r="K708" s="163"/>
    </row>
    <row r="709" spans="1:11" ht="14.25" customHeight="1">
      <c r="A709" s="163"/>
      <c r="B709" s="163"/>
      <c r="C709" s="163"/>
      <c r="D709" s="163"/>
      <c r="E709" s="163"/>
      <c r="F709" s="163"/>
      <c r="G709" s="163"/>
      <c r="H709" s="163"/>
      <c r="I709" s="163"/>
      <c r="J709" s="163"/>
      <c r="K709" s="163"/>
    </row>
    <row r="710" spans="1:11" ht="14.25" customHeight="1">
      <c r="A710" s="163"/>
      <c r="B710" s="163"/>
      <c r="C710" s="163"/>
      <c r="D710" s="163"/>
      <c r="E710" s="163"/>
      <c r="F710" s="163"/>
      <c r="G710" s="163"/>
      <c r="H710" s="163"/>
      <c r="I710" s="163"/>
      <c r="J710" s="163"/>
      <c r="K710" s="163"/>
    </row>
    <row r="711" spans="1:11" ht="14.25" customHeight="1">
      <c r="A711" s="163"/>
      <c r="B711" s="163"/>
      <c r="C711" s="163"/>
      <c r="D711" s="163"/>
      <c r="E711" s="163"/>
      <c r="F711" s="163"/>
      <c r="G711" s="163"/>
      <c r="H711" s="163"/>
      <c r="I711" s="163"/>
      <c r="J711" s="163"/>
      <c r="K711" s="163"/>
    </row>
    <row r="712" spans="1:11" ht="14.25" customHeight="1">
      <c r="A712" s="163"/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</row>
    <row r="713" spans="1:11" ht="14.25" customHeight="1">
      <c r="A713" s="163"/>
      <c r="B713" s="163"/>
      <c r="C713" s="163"/>
      <c r="D713" s="163"/>
      <c r="E713" s="163"/>
      <c r="F713" s="163"/>
      <c r="G713" s="163"/>
      <c r="H713" s="163"/>
      <c r="I713" s="163"/>
      <c r="J713" s="163"/>
      <c r="K713" s="163"/>
    </row>
    <row r="714" spans="1:11" ht="14.25" customHeight="1">
      <c r="A714" s="163"/>
      <c r="B714" s="163"/>
      <c r="C714" s="163"/>
      <c r="D714" s="163"/>
      <c r="E714" s="163"/>
      <c r="F714" s="163"/>
      <c r="G714" s="163"/>
      <c r="H714" s="163"/>
      <c r="I714" s="163"/>
      <c r="J714" s="163"/>
      <c r="K714" s="163"/>
    </row>
    <row r="715" spans="1:11" ht="14.25" customHeight="1">
      <c r="A715" s="163"/>
      <c r="B715" s="163"/>
      <c r="C715" s="163"/>
      <c r="D715" s="163"/>
      <c r="E715" s="163"/>
      <c r="F715" s="163"/>
      <c r="G715" s="163"/>
      <c r="H715" s="163"/>
      <c r="I715" s="163"/>
      <c r="J715" s="163"/>
      <c r="K715" s="163"/>
    </row>
    <row r="716" spans="1:11" ht="14.25" customHeight="1">
      <c r="A716" s="163"/>
      <c r="B716" s="163"/>
      <c r="C716" s="163"/>
      <c r="D716" s="163"/>
      <c r="E716" s="163"/>
      <c r="F716" s="163"/>
      <c r="G716" s="163"/>
      <c r="H716" s="163"/>
      <c r="I716" s="163"/>
      <c r="J716" s="163"/>
      <c r="K716" s="163"/>
    </row>
    <row r="717" spans="1:11" ht="14.25" customHeight="1">
      <c r="A717" s="163"/>
      <c r="B717" s="163"/>
      <c r="C717" s="163"/>
      <c r="D717" s="163"/>
      <c r="E717" s="163"/>
      <c r="F717" s="163"/>
      <c r="G717" s="163"/>
      <c r="H717" s="163"/>
      <c r="I717" s="163"/>
      <c r="J717" s="163"/>
      <c r="K717" s="163"/>
    </row>
    <row r="718" spans="1:11" ht="14.25" customHeight="1">
      <c r="A718" s="163"/>
      <c r="B718" s="163"/>
      <c r="C718" s="163"/>
      <c r="D718" s="163"/>
      <c r="E718" s="163"/>
      <c r="F718" s="163"/>
      <c r="G718" s="163"/>
      <c r="H718" s="163"/>
      <c r="I718" s="163"/>
      <c r="J718" s="163"/>
      <c r="K718" s="163"/>
    </row>
    <row r="719" spans="1:11" ht="14.25" customHeight="1">
      <c r="A719" s="163"/>
      <c r="B719" s="163"/>
      <c r="C719" s="163"/>
      <c r="D719" s="163"/>
      <c r="E719" s="163"/>
      <c r="F719" s="163"/>
      <c r="G719" s="163"/>
      <c r="H719" s="163"/>
      <c r="I719" s="163"/>
      <c r="J719" s="163"/>
      <c r="K719" s="163"/>
    </row>
    <row r="720" spans="1:11" ht="14.25" customHeight="1">
      <c r="A720" s="163"/>
      <c r="B720" s="163"/>
      <c r="C720" s="163"/>
      <c r="D720" s="163"/>
      <c r="E720" s="163"/>
      <c r="F720" s="163"/>
      <c r="G720" s="163"/>
      <c r="H720" s="163"/>
      <c r="I720" s="163"/>
      <c r="J720" s="163"/>
      <c r="K720" s="163"/>
    </row>
    <row r="721" spans="1:11" ht="14.25" customHeight="1">
      <c r="A721" s="163"/>
      <c r="B721" s="163"/>
      <c r="C721" s="163"/>
      <c r="D721" s="163"/>
      <c r="E721" s="163"/>
      <c r="F721" s="163"/>
      <c r="G721" s="163"/>
      <c r="H721" s="163"/>
      <c r="I721" s="163"/>
      <c r="J721" s="163"/>
      <c r="K721" s="163"/>
    </row>
    <row r="722" spans="1:11" ht="14.25" customHeight="1">
      <c r="A722" s="163"/>
      <c r="B722" s="163"/>
      <c r="C722" s="163"/>
      <c r="D722" s="163"/>
      <c r="E722" s="163"/>
      <c r="F722" s="163"/>
      <c r="G722" s="163"/>
      <c r="H722" s="163"/>
      <c r="I722" s="163"/>
      <c r="J722" s="163"/>
      <c r="K722" s="163"/>
    </row>
    <row r="723" spans="1:11" ht="14.25" customHeight="1">
      <c r="A723" s="163"/>
      <c r="B723" s="163"/>
      <c r="C723" s="163"/>
      <c r="D723" s="163"/>
      <c r="E723" s="163"/>
      <c r="F723" s="163"/>
      <c r="G723" s="163"/>
      <c r="H723" s="163"/>
      <c r="I723" s="163"/>
      <c r="J723" s="163"/>
      <c r="K723" s="163"/>
    </row>
    <row r="724" spans="1:11" ht="14.25" customHeight="1">
      <c r="A724" s="163"/>
      <c r="B724" s="163"/>
      <c r="C724" s="163"/>
      <c r="D724" s="163"/>
      <c r="E724" s="163"/>
      <c r="F724" s="163"/>
      <c r="G724" s="163"/>
      <c r="H724" s="163"/>
      <c r="I724" s="163"/>
      <c r="J724" s="163"/>
      <c r="K724" s="163"/>
    </row>
    <row r="725" spans="1:11" ht="14.25" customHeight="1">
      <c r="A725" s="163"/>
      <c r="B725" s="163"/>
      <c r="C725" s="163"/>
      <c r="D725" s="163"/>
      <c r="E725" s="163"/>
      <c r="F725" s="163"/>
      <c r="G725" s="163"/>
      <c r="H725" s="163"/>
      <c r="I725" s="163"/>
      <c r="J725" s="163"/>
      <c r="K725" s="163"/>
    </row>
    <row r="726" spans="1:11" ht="14.25" customHeight="1">
      <c r="A726" s="163"/>
      <c r="B726" s="163"/>
      <c r="C726" s="163"/>
      <c r="D726" s="163"/>
      <c r="E726" s="163"/>
      <c r="F726" s="163"/>
      <c r="G726" s="163"/>
      <c r="H726" s="163"/>
      <c r="I726" s="163"/>
      <c r="J726" s="163"/>
      <c r="K726" s="163"/>
    </row>
    <row r="727" spans="1:11" ht="14.25" customHeight="1">
      <c r="A727" s="163"/>
      <c r="B727" s="163"/>
      <c r="C727" s="163"/>
      <c r="D727" s="163"/>
      <c r="E727" s="163"/>
      <c r="F727" s="163"/>
      <c r="G727" s="163"/>
      <c r="H727" s="163"/>
      <c r="I727" s="163"/>
      <c r="J727" s="163"/>
      <c r="K727" s="163"/>
    </row>
    <row r="728" spans="1:11" ht="14.25" customHeight="1">
      <c r="A728" s="163"/>
      <c r="B728" s="163"/>
      <c r="C728" s="163"/>
      <c r="D728" s="163"/>
      <c r="E728" s="163"/>
      <c r="F728" s="163"/>
      <c r="G728" s="163"/>
      <c r="H728" s="163"/>
      <c r="I728" s="163"/>
      <c r="J728" s="163"/>
      <c r="K728" s="163"/>
    </row>
    <row r="729" spans="1:11" ht="14.25" customHeight="1">
      <c r="A729" s="163"/>
      <c r="B729" s="163"/>
      <c r="C729" s="163"/>
      <c r="D729" s="163"/>
      <c r="E729" s="163"/>
      <c r="F729" s="163"/>
      <c r="G729" s="163"/>
      <c r="H729" s="163"/>
      <c r="I729" s="163"/>
      <c r="J729" s="163"/>
      <c r="K729" s="163"/>
    </row>
    <row r="730" spans="1:11" ht="14.25" customHeight="1">
      <c r="A730" s="163"/>
      <c r="B730" s="163"/>
      <c r="C730" s="163"/>
      <c r="D730" s="163"/>
      <c r="E730" s="163"/>
      <c r="F730" s="163"/>
      <c r="G730" s="163"/>
      <c r="H730" s="163"/>
      <c r="I730" s="163"/>
      <c r="J730" s="163"/>
      <c r="K730" s="163"/>
    </row>
    <row r="731" spans="1:11" ht="14.25" customHeight="1">
      <c r="A731" s="163"/>
      <c r="B731" s="163"/>
      <c r="C731" s="163"/>
      <c r="D731" s="163"/>
      <c r="E731" s="163"/>
      <c r="F731" s="163"/>
      <c r="G731" s="163"/>
      <c r="H731" s="163"/>
      <c r="I731" s="163"/>
      <c r="J731" s="163"/>
      <c r="K731" s="163"/>
    </row>
    <row r="732" spans="1:11" ht="14.25" customHeight="1">
      <c r="A732" s="163"/>
      <c r="B732" s="163"/>
      <c r="C732" s="163"/>
      <c r="D732" s="163"/>
      <c r="E732" s="163"/>
      <c r="F732" s="163"/>
      <c r="G732" s="163"/>
      <c r="H732" s="163"/>
      <c r="I732" s="163"/>
      <c r="J732" s="163"/>
      <c r="K732" s="163"/>
    </row>
    <row r="733" spans="1:11" ht="14.25" customHeight="1">
      <c r="A733" s="163"/>
      <c r="B733" s="163"/>
      <c r="C733" s="163"/>
      <c r="D733" s="163"/>
      <c r="E733" s="163"/>
      <c r="F733" s="163"/>
      <c r="G733" s="163"/>
      <c r="H733" s="163"/>
      <c r="I733" s="163"/>
      <c r="J733" s="163"/>
      <c r="K733" s="163"/>
    </row>
    <row r="734" spans="1:11" ht="14.25" customHeight="1">
      <c r="A734" s="163"/>
      <c r="B734" s="163"/>
      <c r="C734" s="163"/>
      <c r="D734" s="163"/>
      <c r="E734" s="163"/>
      <c r="F734" s="163"/>
      <c r="G734" s="163"/>
      <c r="H734" s="163"/>
      <c r="I734" s="163"/>
      <c r="J734" s="163"/>
      <c r="K734" s="163"/>
    </row>
    <row r="735" spans="1:11" ht="14.25" customHeight="1">
      <c r="A735" s="163"/>
      <c r="B735" s="163"/>
      <c r="C735" s="163"/>
      <c r="D735" s="163"/>
      <c r="E735" s="163"/>
      <c r="F735" s="163"/>
      <c r="G735" s="163"/>
      <c r="H735" s="163"/>
      <c r="I735" s="163"/>
      <c r="J735" s="163"/>
      <c r="K735" s="163"/>
    </row>
    <row r="736" spans="1:11" ht="14.25" customHeight="1">
      <c r="A736" s="163"/>
      <c r="B736" s="163"/>
      <c r="C736" s="163"/>
      <c r="D736" s="163"/>
      <c r="E736" s="163"/>
      <c r="F736" s="163"/>
      <c r="G736" s="163"/>
      <c r="H736" s="163"/>
      <c r="I736" s="163"/>
      <c r="J736" s="163"/>
      <c r="K736" s="163"/>
    </row>
    <row r="737" spans="1:11" ht="14.25" customHeight="1">
      <c r="A737" s="163"/>
      <c r="B737" s="163"/>
      <c r="C737" s="163"/>
      <c r="D737" s="163"/>
      <c r="E737" s="163"/>
      <c r="F737" s="163"/>
      <c r="G737" s="163"/>
      <c r="H737" s="163"/>
      <c r="I737" s="163"/>
      <c r="J737" s="163"/>
      <c r="K737" s="163"/>
    </row>
    <row r="738" spans="1:11" ht="14.25" customHeight="1">
      <c r="A738" s="163"/>
      <c r="B738" s="163"/>
      <c r="C738" s="163"/>
      <c r="D738" s="163"/>
      <c r="E738" s="163"/>
      <c r="F738" s="163"/>
      <c r="G738" s="163"/>
      <c r="H738" s="163"/>
      <c r="I738" s="163"/>
      <c r="J738" s="163"/>
      <c r="K738" s="163"/>
    </row>
    <row r="739" spans="1:11" ht="14.25" customHeight="1">
      <c r="A739" s="163"/>
      <c r="B739" s="163"/>
      <c r="C739" s="163"/>
      <c r="D739" s="163"/>
      <c r="E739" s="163"/>
      <c r="F739" s="163"/>
      <c r="G739" s="163"/>
      <c r="H739" s="163"/>
      <c r="I739" s="163"/>
      <c r="J739" s="163"/>
      <c r="K739" s="163"/>
    </row>
    <row r="740" spans="1:11" ht="14.25" customHeight="1">
      <c r="A740" s="163"/>
      <c r="B740" s="163"/>
      <c r="C740" s="163"/>
      <c r="D740" s="163"/>
      <c r="E740" s="163"/>
      <c r="F740" s="163"/>
      <c r="G740" s="163"/>
      <c r="H740" s="163"/>
      <c r="I740" s="163"/>
      <c r="J740" s="163"/>
      <c r="K740" s="163"/>
    </row>
    <row r="741" spans="1:11" ht="14.25" customHeight="1">
      <c r="A741" s="163"/>
      <c r="B741" s="163"/>
      <c r="C741" s="163"/>
      <c r="D741" s="163"/>
      <c r="E741" s="163"/>
      <c r="F741" s="163"/>
      <c r="G741" s="163"/>
      <c r="H741" s="163"/>
      <c r="I741" s="163"/>
      <c r="J741" s="163"/>
      <c r="K741" s="163"/>
    </row>
    <row r="742" spans="1:11" ht="14.25" customHeight="1">
      <c r="A742" s="163"/>
      <c r="B742" s="163"/>
      <c r="C742" s="163"/>
      <c r="D742" s="163"/>
      <c r="E742" s="163"/>
      <c r="F742" s="163"/>
      <c r="G742" s="163"/>
      <c r="H742" s="163"/>
      <c r="I742" s="163"/>
      <c r="J742" s="163"/>
      <c r="K742" s="163"/>
    </row>
    <row r="743" spans="1:11" ht="14.25" customHeight="1">
      <c r="A743" s="163"/>
      <c r="B743" s="163"/>
      <c r="C743" s="163"/>
      <c r="D743" s="163"/>
      <c r="E743" s="163"/>
      <c r="F743" s="163"/>
      <c r="G743" s="163"/>
      <c r="H743" s="163"/>
      <c r="I743" s="163"/>
      <c r="J743" s="163"/>
      <c r="K743" s="163"/>
    </row>
    <row r="744" spans="1:11" ht="14.25" customHeight="1">
      <c r="A744" s="163"/>
      <c r="B744" s="163"/>
      <c r="C744" s="163"/>
      <c r="D744" s="163"/>
      <c r="E744" s="163"/>
      <c r="F744" s="163"/>
      <c r="G744" s="163"/>
      <c r="H744" s="163"/>
      <c r="I744" s="163"/>
      <c r="J744" s="163"/>
      <c r="K744" s="163"/>
    </row>
    <row r="745" spans="1:11" ht="14.25" customHeight="1">
      <c r="A745" s="163"/>
      <c r="B745" s="163"/>
      <c r="C745" s="163"/>
      <c r="D745" s="163"/>
      <c r="E745" s="163"/>
      <c r="F745" s="163"/>
      <c r="G745" s="163"/>
      <c r="H745" s="163"/>
      <c r="I745" s="163"/>
      <c r="J745" s="163"/>
      <c r="K745" s="163"/>
    </row>
    <row r="746" spans="1:11" ht="14.25" customHeight="1">
      <c r="A746" s="163"/>
      <c r="B746" s="163"/>
      <c r="C746" s="163"/>
      <c r="D746" s="163"/>
      <c r="E746" s="163"/>
      <c r="F746" s="163"/>
      <c r="G746" s="163"/>
      <c r="H746" s="163"/>
      <c r="I746" s="163"/>
      <c r="J746" s="163"/>
      <c r="K746" s="163"/>
    </row>
    <row r="747" spans="1:11" ht="14.25" customHeight="1">
      <c r="A747" s="163"/>
      <c r="B747" s="163"/>
      <c r="C747" s="163"/>
      <c r="D747" s="163"/>
      <c r="E747" s="163"/>
      <c r="F747" s="163"/>
      <c r="G747" s="163"/>
      <c r="H747" s="163"/>
      <c r="I747" s="163"/>
      <c r="J747" s="163"/>
      <c r="K747" s="163"/>
    </row>
    <row r="748" spans="1:11" ht="14.25" customHeight="1">
      <c r="A748" s="163"/>
      <c r="B748" s="163"/>
      <c r="C748" s="163"/>
      <c r="D748" s="163"/>
      <c r="E748" s="163"/>
      <c r="F748" s="163"/>
      <c r="G748" s="163"/>
      <c r="H748" s="163"/>
      <c r="I748" s="163"/>
      <c r="J748" s="163"/>
      <c r="K748" s="163"/>
    </row>
    <row r="749" spans="1:11" ht="14.25" customHeight="1">
      <c r="A749" s="163"/>
      <c r="B749" s="163"/>
      <c r="C749" s="163"/>
      <c r="D749" s="163"/>
      <c r="E749" s="163"/>
      <c r="F749" s="163"/>
      <c r="G749" s="163"/>
      <c r="H749" s="163"/>
      <c r="I749" s="163"/>
      <c r="J749" s="163"/>
      <c r="K749" s="163"/>
    </row>
    <row r="750" spans="1:11" ht="14.25" customHeight="1">
      <c r="A750" s="163"/>
      <c r="B750" s="163"/>
      <c r="C750" s="163"/>
      <c r="D750" s="163"/>
      <c r="E750" s="163"/>
      <c r="F750" s="163"/>
      <c r="G750" s="163"/>
      <c r="H750" s="163"/>
      <c r="I750" s="163"/>
      <c r="J750" s="163"/>
      <c r="K750" s="163"/>
    </row>
    <row r="751" spans="1:11" ht="14.25" customHeight="1">
      <c r="A751" s="163"/>
      <c r="B751" s="163"/>
      <c r="C751" s="163"/>
      <c r="D751" s="163"/>
      <c r="E751" s="163"/>
      <c r="F751" s="163"/>
      <c r="G751" s="163"/>
      <c r="H751" s="163"/>
      <c r="I751" s="163"/>
      <c r="J751" s="163"/>
      <c r="K751" s="163"/>
    </row>
    <row r="752" spans="1:11" ht="14.25" customHeight="1">
      <c r="A752" s="163"/>
      <c r="B752" s="163"/>
      <c r="C752" s="163"/>
      <c r="D752" s="163"/>
      <c r="E752" s="163"/>
      <c r="F752" s="163"/>
      <c r="G752" s="163"/>
      <c r="H752" s="163"/>
      <c r="I752" s="163"/>
      <c r="J752" s="163"/>
      <c r="K752" s="163"/>
    </row>
    <row r="753" spans="1:11" ht="14.25" customHeight="1">
      <c r="A753" s="163"/>
      <c r="B753" s="163"/>
      <c r="C753" s="163"/>
      <c r="D753" s="163"/>
      <c r="E753" s="163"/>
      <c r="F753" s="163"/>
      <c r="G753" s="163"/>
      <c r="H753" s="163"/>
      <c r="I753" s="163"/>
      <c r="J753" s="163"/>
      <c r="K753" s="163"/>
    </row>
    <row r="754" spans="1:11" ht="14.25" customHeight="1">
      <c r="A754" s="163"/>
      <c r="B754" s="163"/>
      <c r="C754" s="163"/>
      <c r="D754" s="163"/>
      <c r="E754" s="163"/>
      <c r="F754" s="163"/>
      <c r="G754" s="163"/>
      <c r="H754" s="163"/>
      <c r="I754" s="163"/>
      <c r="J754" s="163"/>
      <c r="K754" s="163"/>
    </row>
    <row r="755" spans="1:11" ht="14.25" customHeight="1">
      <c r="A755" s="163"/>
      <c r="B755" s="163"/>
      <c r="C755" s="163"/>
      <c r="D755" s="163"/>
      <c r="E755" s="163"/>
      <c r="F755" s="163"/>
      <c r="G755" s="163"/>
      <c r="H755" s="163"/>
      <c r="I755" s="163"/>
      <c r="J755" s="163"/>
      <c r="K755" s="163"/>
    </row>
    <row r="756" spans="1:11" ht="14.25" customHeight="1">
      <c r="A756" s="163"/>
      <c r="B756" s="163"/>
      <c r="C756" s="163"/>
      <c r="D756" s="163"/>
      <c r="E756" s="163"/>
      <c r="F756" s="163"/>
      <c r="G756" s="163"/>
      <c r="H756" s="163"/>
      <c r="I756" s="163"/>
      <c r="J756" s="163"/>
      <c r="K756" s="163"/>
    </row>
    <row r="757" spans="1:11" ht="14.25" customHeight="1">
      <c r="A757" s="163"/>
      <c r="B757" s="163"/>
      <c r="C757" s="163"/>
      <c r="D757" s="163"/>
      <c r="E757" s="163"/>
      <c r="F757" s="163"/>
      <c r="G757" s="163"/>
      <c r="H757" s="163"/>
      <c r="I757" s="163"/>
      <c r="J757" s="163"/>
      <c r="K757" s="163"/>
    </row>
    <row r="758" spans="1:11" ht="14.25" customHeight="1">
      <c r="A758" s="163"/>
      <c r="B758" s="163"/>
      <c r="C758" s="163"/>
      <c r="D758" s="163"/>
      <c r="E758" s="163"/>
      <c r="F758" s="163"/>
      <c r="G758" s="163"/>
      <c r="H758" s="163"/>
      <c r="I758" s="163"/>
      <c r="J758" s="163"/>
      <c r="K758" s="163"/>
    </row>
    <row r="759" spans="1:11" ht="14.25" customHeight="1">
      <c r="A759" s="163"/>
      <c r="B759" s="163"/>
      <c r="C759" s="163"/>
      <c r="D759" s="163"/>
      <c r="E759" s="163"/>
      <c r="F759" s="163"/>
      <c r="G759" s="163"/>
      <c r="H759" s="163"/>
      <c r="I759" s="163"/>
      <c r="J759" s="163"/>
      <c r="K759" s="163"/>
    </row>
    <row r="760" spans="1:11" ht="14.25" customHeight="1">
      <c r="A760" s="163"/>
      <c r="B760" s="163"/>
      <c r="C760" s="163"/>
      <c r="D760" s="163"/>
      <c r="E760" s="163"/>
      <c r="F760" s="163"/>
      <c r="G760" s="163"/>
      <c r="H760" s="163"/>
      <c r="I760" s="163"/>
      <c r="J760" s="163"/>
      <c r="K760" s="163"/>
    </row>
    <row r="761" spans="1:11" ht="14.25" customHeight="1">
      <c r="A761" s="163"/>
      <c r="B761" s="163"/>
      <c r="C761" s="163"/>
      <c r="D761" s="163"/>
      <c r="E761" s="163"/>
      <c r="F761" s="163"/>
      <c r="G761" s="163"/>
      <c r="H761" s="163"/>
      <c r="I761" s="163"/>
      <c r="J761" s="163"/>
      <c r="K761" s="163"/>
    </row>
    <row r="762" spans="1:11" ht="14.25" customHeight="1">
      <c r="A762" s="163"/>
      <c r="B762" s="163"/>
      <c r="C762" s="163"/>
      <c r="D762" s="163"/>
      <c r="E762" s="163"/>
      <c r="F762" s="163"/>
      <c r="G762" s="163"/>
      <c r="H762" s="163"/>
      <c r="I762" s="163"/>
      <c r="J762" s="163"/>
      <c r="K762" s="163"/>
    </row>
    <row r="763" spans="1:11" ht="14.25" customHeight="1">
      <c r="A763" s="163"/>
      <c r="B763" s="163"/>
      <c r="C763" s="163"/>
      <c r="D763" s="163"/>
      <c r="E763" s="163"/>
      <c r="F763" s="163"/>
      <c r="G763" s="163"/>
      <c r="H763" s="163"/>
      <c r="I763" s="163"/>
      <c r="J763" s="163"/>
      <c r="K763" s="163"/>
    </row>
    <row r="764" spans="1:11" ht="14.25" customHeight="1">
      <c r="A764" s="163"/>
      <c r="B764" s="163"/>
      <c r="C764" s="163"/>
      <c r="D764" s="163"/>
      <c r="E764" s="163"/>
      <c r="F764" s="163"/>
      <c r="G764" s="163"/>
      <c r="H764" s="163"/>
      <c r="I764" s="163"/>
      <c r="J764" s="163"/>
      <c r="K764" s="163"/>
    </row>
    <row r="765" spans="1:11" ht="14.25" customHeight="1">
      <c r="A765" s="163"/>
      <c r="B765" s="163"/>
      <c r="C765" s="163"/>
      <c r="D765" s="163"/>
      <c r="E765" s="163"/>
      <c r="F765" s="163"/>
      <c r="G765" s="163"/>
      <c r="H765" s="163"/>
      <c r="I765" s="163"/>
      <c r="J765" s="163"/>
      <c r="K765" s="163"/>
    </row>
    <row r="766" spans="1:11" ht="14.25" customHeight="1">
      <c r="A766" s="163"/>
      <c r="B766" s="163"/>
      <c r="C766" s="163"/>
      <c r="D766" s="163"/>
      <c r="E766" s="163"/>
      <c r="F766" s="163"/>
      <c r="G766" s="163"/>
      <c r="H766" s="163"/>
      <c r="I766" s="163"/>
      <c r="J766" s="163"/>
      <c r="K766" s="163"/>
    </row>
    <row r="767" spans="1:11" ht="14.25" customHeight="1">
      <c r="A767" s="163"/>
      <c r="B767" s="163"/>
      <c r="C767" s="163"/>
      <c r="D767" s="163"/>
      <c r="E767" s="163"/>
      <c r="F767" s="163"/>
      <c r="G767" s="163"/>
      <c r="H767" s="163"/>
      <c r="I767" s="163"/>
      <c r="J767" s="163"/>
      <c r="K767" s="163"/>
    </row>
    <row r="768" spans="1:11" ht="14.25" customHeight="1">
      <c r="A768" s="163"/>
      <c r="B768" s="163"/>
      <c r="C768" s="163"/>
      <c r="D768" s="163"/>
      <c r="E768" s="163"/>
      <c r="F768" s="163"/>
      <c r="G768" s="163"/>
      <c r="H768" s="163"/>
      <c r="I768" s="163"/>
      <c r="J768" s="163"/>
      <c r="K768" s="163"/>
    </row>
    <row r="769" spans="1:11" ht="14.25" customHeight="1">
      <c r="A769" s="163"/>
      <c r="B769" s="163"/>
      <c r="C769" s="163"/>
      <c r="D769" s="163"/>
      <c r="E769" s="163"/>
      <c r="F769" s="163"/>
      <c r="G769" s="163"/>
      <c r="H769" s="163"/>
      <c r="I769" s="163"/>
      <c r="J769" s="163"/>
      <c r="K769" s="163"/>
    </row>
    <row r="770" spans="1:11" ht="14.25" customHeight="1">
      <c r="A770" s="163"/>
      <c r="B770" s="163"/>
      <c r="C770" s="163"/>
      <c r="D770" s="163"/>
      <c r="E770" s="163"/>
      <c r="F770" s="163"/>
      <c r="G770" s="163"/>
      <c r="H770" s="163"/>
      <c r="I770" s="163"/>
      <c r="J770" s="163"/>
      <c r="K770" s="163"/>
    </row>
    <row r="771" spans="1:11" ht="14.25" customHeight="1">
      <c r="A771" s="163"/>
      <c r="B771" s="163"/>
      <c r="C771" s="163"/>
      <c r="D771" s="163"/>
      <c r="E771" s="163"/>
      <c r="F771" s="163"/>
      <c r="G771" s="163"/>
      <c r="H771" s="163"/>
      <c r="I771" s="163"/>
      <c r="J771" s="163"/>
      <c r="K771" s="163"/>
    </row>
    <row r="772" spans="1:11" ht="14.25" customHeight="1">
      <c r="A772" s="163"/>
      <c r="B772" s="163"/>
      <c r="C772" s="163"/>
      <c r="D772" s="163"/>
      <c r="E772" s="163"/>
      <c r="F772" s="163"/>
      <c r="G772" s="163"/>
      <c r="H772" s="163"/>
      <c r="I772" s="163"/>
      <c r="J772" s="163"/>
      <c r="K772" s="163"/>
    </row>
    <row r="773" spans="1:11" ht="14.25" customHeight="1">
      <c r="A773" s="163"/>
      <c r="B773" s="163"/>
      <c r="C773" s="163"/>
      <c r="D773" s="163"/>
      <c r="E773" s="163"/>
      <c r="F773" s="163"/>
      <c r="G773" s="163"/>
      <c r="H773" s="163"/>
      <c r="I773" s="163"/>
      <c r="J773" s="163"/>
      <c r="K773" s="163"/>
    </row>
    <row r="774" spans="1:11" ht="14.25" customHeight="1">
      <c r="A774" s="163"/>
      <c r="B774" s="163"/>
      <c r="C774" s="163"/>
      <c r="D774" s="163"/>
      <c r="E774" s="163"/>
      <c r="F774" s="163"/>
      <c r="G774" s="163"/>
      <c r="H774" s="163"/>
      <c r="I774" s="163"/>
      <c r="J774" s="163"/>
      <c r="K774" s="163"/>
    </row>
    <row r="775" spans="1:11" ht="14.25" customHeight="1">
      <c r="A775" s="163"/>
      <c r="B775" s="163"/>
      <c r="C775" s="163"/>
      <c r="D775" s="163"/>
      <c r="E775" s="163"/>
      <c r="F775" s="163"/>
      <c r="G775" s="163"/>
      <c r="H775" s="163"/>
      <c r="I775" s="163"/>
      <c r="J775" s="163"/>
      <c r="K775" s="163"/>
    </row>
    <row r="776" spans="1:11" ht="14.25" customHeight="1">
      <c r="A776" s="163"/>
      <c r="B776" s="163"/>
      <c r="C776" s="163"/>
      <c r="D776" s="163"/>
      <c r="E776" s="163"/>
      <c r="F776" s="163"/>
      <c r="G776" s="163"/>
      <c r="H776" s="163"/>
      <c r="I776" s="163"/>
      <c r="J776" s="163"/>
      <c r="K776" s="163"/>
    </row>
    <row r="777" spans="1:11" ht="14.25" customHeight="1">
      <c r="A777" s="163"/>
      <c r="B777" s="163"/>
      <c r="C777" s="163"/>
      <c r="D777" s="163"/>
      <c r="E777" s="163"/>
      <c r="F777" s="163"/>
      <c r="G777" s="163"/>
      <c r="H777" s="163"/>
      <c r="I777" s="163"/>
      <c r="J777" s="163"/>
      <c r="K777" s="163"/>
    </row>
    <row r="778" spans="1:11" ht="14.25" customHeight="1">
      <c r="A778" s="163"/>
      <c r="B778" s="163"/>
      <c r="C778" s="163"/>
      <c r="D778" s="163"/>
      <c r="E778" s="163"/>
      <c r="F778" s="163"/>
      <c r="G778" s="163"/>
      <c r="H778" s="163"/>
      <c r="I778" s="163"/>
      <c r="J778" s="163"/>
      <c r="K778" s="163"/>
    </row>
    <row r="779" spans="1:11" ht="14.25" customHeight="1">
      <c r="A779" s="163"/>
      <c r="B779" s="163"/>
      <c r="C779" s="163"/>
      <c r="D779" s="163"/>
      <c r="E779" s="163"/>
      <c r="F779" s="163"/>
      <c r="G779" s="163"/>
      <c r="H779" s="163"/>
      <c r="I779" s="163"/>
      <c r="J779" s="163"/>
      <c r="K779" s="163"/>
    </row>
    <row r="780" spans="1:11" ht="14.25" customHeight="1">
      <c r="A780" s="163"/>
      <c r="B780" s="163"/>
      <c r="C780" s="163"/>
      <c r="D780" s="163"/>
      <c r="E780" s="163"/>
      <c r="F780" s="163"/>
      <c r="G780" s="163"/>
      <c r="H780" s="163"/>
      <c r="I780" s="163"/>
      <c r="J780" s="163"/>
      <c r="K780" s="163"/>
    </row>
    <row r="781" spans="1:11" ht="14.25" customHeight="1">
      <c r="A781" s="163"/>
      <c r="B781" s="163"/>
      <c r="C781" s="163"/>
      <c r="D781" s="163"/>
      <c r="E781" s="163"/>
      <c r="F781" s="163"/>
      <c r="G781" s="163"/>
      <c r="H781" s="163"/>
      <c r="I781" s="163"/>
      <c r="J781" s="163"/>
      <c r="K781" s="163"/>
    </row>
    <row r="782" spans="1:11" ht="14.25" customHeight="1">
      <c r="A782" s="163"/>
      <c r="B782" s="163"/>
      <c r="C782" s="163"/>
      <c r="D782" s="163"/>
      <c r="E782" s="163"/>
      <c r="F782" s="163"/>
      <c r="G782" s="163"/>
      <c r="H782" s="163"/>
      <c r="I782" s="163"/>
      <c r="J782" s="163"/>
      <c r="K782" s="163"/>
    </row>
    <row r="783" spans="1:11" ht="14.25" customHeight="1">
      <c r="A783" s="163"/>
      <c r="B783" s="163"/>
      <c r="C783" s="163"/>
      <c r="D783" s="163"/>
      <c r="E783" s="163"/>
      <c r="F783" s="163"/>
      <c r="G783" s="163"/>
      <c r="H783" s="163"/>
      <c r="I783" s="163"/>
      <c r="J783" s="163"/>
      <c r="K783" s="163"/>
    </row>
    <row r="784" spans="1:11" ht="14.25" customHeight="1">
      <c r="A784" s="163"/>
      <c r="B784" s="163"/>
      <c r="C784" s="163"/>
      <c r="D784" s="163"/>
      <c r="E784" s="163"/>
      <c r="F784" s="163"/>
      <c r="G784" s="163"/>
      <c r="H784" s="163"/>
      <c r="I784" s="163"/>
      <c r="J784" s="163"/>
      <c r="K784" s="163"/>
    </row>
    <row r="785" spans="1:11" ht="14.25" customHeight="1">
      <c r="A785" s="163"/>
      <c r="B785" s="163"/>
      <c r="C785" s="163"/>
      <c r="D785" s="163"/>
      <c r="E785" s="163"/>
      <c r="F785" s="163"/>
      <c r="G785" s="163"/>
      <c r="H785" s="163"/>
      <c r="I785" s="163"/>
      <c r="J785" s="163"/>
      <c r="K785" s="163"/>
    </row>
    <row r="786" spans="1:11" ht="14.25" customHeight="1">
      <c r="A786" s="163"/>
      <c r="B786" s="163"/>
      <c r="C786" s="163"/>
      <c r="D786" s="163"/>
      <c r="E786" s="163"/>
      <c r="F786" s="163"/>
      <c r="G786" s="163"/>
      <c r="H786" s="163"/>
      <c r="I786" s="163"/>
      <c r="J786" s="163"/>
      <c r="K786" s="163"/>
    </row>
    <row r="787" spans="1:11" ht="14.25" customHeight="1">
      <c r="A787" s="163"/>
      <c r="B787" s="163"/>
      <c r="C787" s="163"/>
      <c r="D787" s="163"/>
      <c r="E787" s="163"/>
      <c r="F787" s="163"/>
      <c r="G787" s="163"/>
      <c r="H787" s="163"/>
      <c r="I787" s="163"/>
      <c r="J787" s="163"/>
      <c r="K787" s="163"/>
    </row>
    <row r="788" spans="1:11" ht="14.25" customHeight="1">
      <c r="A788" s="163"/>
      <c r="B788" s="163"/>
      <c r="C788" s="163"/>
      <c r="D788" s="163"/>
      <c r="E788" s="163"/>
      <c r="F788" s="163"/>
      <c r="G788" s="163"/>
      <c r="H788" s="163"/>
      <c r="I788" s="163"/>
      <c r="J788" s="163"/>
      <c r="K788" s="163"/>
    </row>
    <row r="789" spans="1:11" ht="14.25" customHeight="1">
      <c r="A789" s="163"/>
      <c r="B789" s="163"/>
      <c r="C789" s="163"/>
      <c r="D789" s="163"/>
      <c r="E789" s="163"/>
      <c r="F789" s="163"/>
      <c r="G789" s="163"/>
      <c r="H789" s="163"/>
      <c r="I789" s="163"/>
      <c r="J789" s="163"/>
      <c r="K789" s="163"/>
    </row>
    <row r="790" spans="1:11" ht="14.25" customHeight="1">
      <c r="A790" s="163"/>
      <c r="B790" s="163"/>
      <c r="C790" s="163"/>
      <c r="D790" s="163"/>
      <c r="E790" s="163"/>
      <c r="F790" s="163"/>
      <c r="G790" s="163"/>
      <c r="H790" s="163"/>
      <c r="I790" s="163"/>
      <c r="J790" s="163"/>
      <c r="K790" s="163"/>
    </row>
    <row r="791" spans="1:11" ht="14.25" customHeight="1">
      <c r="A791" s="163"/>
      <c r="B791" s="163"/>
      <c r="C791" s="163"/>
      <c r="D791" s="163"/>
      <c r="E791" s="163"/>
      <c r="F791" s="163"/>
      <c r="G791" s="163"/>
      <c r="H791" s="163"/>
      <c r="I791" s="163"/>
      <c r="J791" s="163"/>
      <c r="K791" s="163"/>
    </row>
    <row r="792" spans="1:11" ht="14.25" customHeight="1">
      <c r="A792" s="163"/>
      <c r="B792" s="163"/>
      <c r="C792" s="163"/>
      <c r="D792" s="163"/>
      <c r="E792" s="163"/>
      <c r="F792" s="163"/>
      <c r="G792" s="163"/>
      <c r="H792" s="163"/>
      <c r="I792" s="163"/>
      <c r="J792" s="163"/>
      <c r="K792" s="163"/>
    </row>
    <row r="793" spans="1:11" ht="14.25" customHeight="1">
      <c r="A793" s="163"/>
      <c r="B793" s="163"/>
      <c r="C793" s="163"/>
      <c r="D793" s="163"/>
      <c r="E793" s="163"/>
      <c r="F793" s="163"/>
      <c r="G793" s="163"/>
      <c r="H793" s="163"/>
      <c r="I793" s="163"/>
      <c r="J793" s="163"/>
      <c r="K793" s="163"/>
    </row>
    <row r="794" spans="1:11" ht="14.25" customHeight="1">
      <c r="A794" s="163"/>
      <c r="B794" s="163"/>
      <c r="C794" s="163"/>
      <c r="D794" s="163"/>
      <c r="E794" s="163"/>
      <c r="F794" s="163"/>
      <c r="G794" s="163"/>
      <c r="H794" s="163"/>
      <c r="I794" s="163"/>
      <c r="J794" s="163"/>
      <c r="K794" s="163"/>
    </row>
    <row r="795" spans="1:11" ht="14.25" customHeight="1">
      <c r="A795" s="163"/>
      <c r="B795" s="163"/>
      <c r="C795" s="163"/>
      <c r="D795" s="163"/>
      <c r="E795" s="163"/>
      <c r="F795" s="163"/>
      <c r="G795" s="163"/>
      <c r="H795" s="163"/>
      <c r="I795" s="163"/>
      <c r="J795" s="163"/>
      <c r="K795" s="163"/>
    </row>
    <row r="796" spans="1:11" ht="14.25" customHeight="1">
      <c r="A796" s="163"/>
      <c r="B796" s="163"/>
      <c r="C796" s="163"/>
      <c r="D796" s="163"/>
      <c r="E796" s="163"/>
      <c r="F796" s="163"/>
      <c r="G796" s="163"/>
      <c r="H796" s="163"/>
      <c r="I796" s="163"/>
      <c r="J796" s="163"/>
      <c r="K796" s="163"/>
    </row>
    <row r="797" spans="1:11" ht="14.25" customHeight="1">
      <c r="A797" s="163"/>
      <c r="B797" s="163"/>
      <c r="C797" s="163"/>
      <c r="D797" s="163"/>
      <c r="E797" s="163"/>
      <c r="F797" s="163"/>
      <c r="G797" s="163"/>
      <c r="H797" s="163"/>
      <c r="I797" s="163"/>
      <c r="J797" s="163"/>
      <c r="K797" s="163"/>
    </row>
    <row r="798" spans="1:11" ht="14.25" customHeight="1">
      <c r="A798" s="163"/>
      <c r="B798" s="163"/>
      <c r="C798" s="163"/>
      <c r="D798" s="163"/>
      <c r="E798" s="163"/>
      <c r="F798" s="163"/>
      <c r="G798" s="163"/>
      <c r="H798" s="163"/>
      <c r="I798" s="163"/>
      <c r="J798" s="163"/>
      <c r="K798" s="163"/>
    </row>
    <row r="799" spans="1:11" ht="14.25" customHeight="1">
      <c r="A799" s="163"/>
      <c r="B799" s="163"/>
      <c r="C799" s="163"/>
      <c r="D799" s="163"/>
      <c r="E799" s="163"/>
      <c r="F799" s="163"/>
      <c r="G799" s="163"/>
      <c r="H799" s="163"/>
      <c r="I799" s="163"/>
      <c r="J799" s="163"/>
      <c r="K799" s="163"/>
    </row>
    <row r="800" spans="1:11" ht="14.25" customHeight="1">
      <c r="A800" s="163"/>
      <c r="B800" s="163"/>
      <c r="C800" s="163"/>
      <c r="D800" s="163"/>
      <c r="E800" s="163"/>
      <c r="F800" s="163"/>
      <c r="G800" s="163"/>
      <c r="H800" s="163"/>
      <c r="I800" s="163"/>
      <c r="J800" s="163"/>
      <c r="K800" s="163"/>
    </row>
    <row r="801" spans="1:11" ht="14.25" customHeight="1">
      <c r="A801" s="163"/>
      <c r="B801" s="163"/>
      <c r="C801" s="163"/>
      <c r="D801" s="163"/>
      <c r="E801" s="163"/>
      <c r="F801" s="163"/>
      <c r="G801" s="163"/>
      <c r="H801" s="163"/>
      <c r="I801" s="163"/>
      <c r="J801" s="163"/>
      <c r="K801" s="163"/>
    </row>
    <row r="802" spans="1:11" ht="14.25" customHeight="1">
      <c r="A802" s="163"/>
      <c r="B802" s="163"/>
      <c r="C802" s="163"/>
      <c r="D802" s="163"/>
      <c r="E802" s="163"/>
      <c r="F802" s="163"/>
      <c r="G802" s="163"/>
      <c r="H802" s="163"/>
      <c r="I802" s="163"/>
      <c r="J802" s="163"/>
      <c r="K802" s="163"/>
    </row>
    <row r="803" spans="1:11" ht="14.25" customHeight="1">
      <c r="A803" s="163"/>
      <c r="B803" s="163"/>
      <c r="C803" s="163"/>
      <c r="D803" s="163"/>
      <c r="E803" s="163"/>
      <c r="F803" s="163"/>
      <c r="G803" s="163"/>
      <c r="H803" s="163"/>
      <c r="I803" s="163"/>
      <c r="J803" s="163"/>
      <c r="K803" s="163"/>
    </row>
    <row r="804" spans="1:11" ht="14.25" customHeight="1">
      <c r="A804" s="163"/>
      <c r="B804" s="163"/>
      <c r="C804" s="163"/>
      <c r="D804" s="163"/>
      <c r="E804" s="163"/>
      <c r="F804" s="163"/>
      <c r="G804" s="163"/>
      <c r="H804" s="163"/>
      <c r="I804" s="163"/>
      <c r="J804" s="163"/>
      <c r="K804" s="163"/>
    </row>
    <row r="805" spans="1:11" ht="14.25" customHeight="1">
      <c r="A805" s="163"/>
      <c r="B805" s="163"/>
      <c r="C805" s="163"/>
      <c r="D805" s="163"/>
      <c r="E805" s="163"/>
      <c r="F805" s="163"/>
      <c r="G805" s="163"/>
      <c r="H805" s="163"/>
      <c r="I805" s="163"/>
      <c r="J805" s="163"/>
      <c r="K805" s="163"/>
    </row>
    <row r="806" spans="1:11" ht="14.25" customHeight="1">
      <c r="A806" s="163"/>
      <c r="B806" s="163"/>
      <c r="C806" s="163"/>
      <c r="D806" s="163"/>
      <c r="E806" s="163"/>
      <c r="F806" s="163"/>
      <c r="G806" s="163"/>
      <c r="H806" s="163"/>
      <c r="I806" s="163"/>
      <c r="J806" s="163"/>
      <c r="K806" s="163"/>
    </row>
    <row r="807" spans="1:11" ht="14.25" customHeight="1">
      <c r="A807" s="163"/>
      <c r="B807" s="163"/>
      <c r="C807" s="163"/>
      <c r="D807" s="163"/>
      <c r="E807" s="163"/>
      <c r="F807" s="163"/>
      <c r="G807" s="163"/>
      <c r="H807" s="163"/>
      <c r="I807" s="163"/>
      <c r="J807" s="163"/>
      <c r="K807" s="163"/>
    </row>
    <row r="808" spans="1:11" ht="14.25" customHeight="1">
      <c r="A808" s="163"/>
      <c r="B808" s="163"/>
      <c r="C808" s="163"/>
      <c r="D808" s="163"/>
      <c r="E808" s="163"/>
      <c r="F808" s="163"/>
      <c r="G808" s="163"/>
      <c r="H808" s="163"/>
      <c r="I808" s="163"/>
      <c r="J808" s="163"/>
      <c r="K808" s="163"/>
    </row>
    <row r="809" spans="1:11" ht="14.25" customHeight="1">
      <c r="A809" s="163"/>
      <c r="B809" s="163"/>
      <c r="C809" s="163"/>
      <c r="D809" s="163"/>
      <c r="E809" s="163"/>
      <c r="F809" s="163"/>
      <c r="G809" s="163"/>
      <c r="H809" s="163"/>
      <c r="I809" s="163"/>
      <c r="J809" s="163"/>
      <c r="K809" s="163"/>
    </row>
    <row r="810" spans="1:11" ht="14.25" customHeight="1">
      <c r="A810" s="163"/>
      <c r="B810" s="163"/>
      <c r="C810" s="163"/>
      <c r="D810" s="163"/>
      <c r="E810" s="163"/>
      <c r="F810" s="163"/>
      <c r="G810" s="163"/>
      <c r="H810" s="163"/>
      <c r="I810" s="163"/>
      <c r="J810" s="163"/>
      <c r="K810" s="163"/>
    </row>
    <row r="811" spans="1:11" ht="14.25" customHeight="1">
      <c r="A811" s="163"/>
      <c r="B811" s="163"/>
      <c r="C811" s="163"/>
      <c r="D811" s="163"/>
      <c r="E811" s="163"/>
      <c r="F811" s="163"/>
      <c r="G811" s="163"/>
      <c r="H811" s="163"/>
      <c r="I811" s="163"/>
      <c r="J811" s="163"/>
      <c r="K811" s="163"/>
    </row>
    <row r="812" spans="1:11" ht="14.25" customHeight="1">
      <c r="A812" s="163"/>
      <c r="B812" s="163"/>
      <c r="C812" s="163"/>
      <c r="D812" s="163"/>
      <c r="E812" s="163"/>
      <c r="F812" s="163"/>
      <c r="G812" s="163"/>
      <c r="H812" s="163"/>
      <c r="I812" s="163"/>
      <c r="J812" s="163"/>
      <c r="K812" s="163"/>
    </row>
    <row r="813" spans="1:11" ht="14.25" customHeight="1">
      <c r="A813" s="163"/>
      <c r="B813" s="163"/>
      <c r="C813" s="163"/>
      <c r="D813" s="163"/>
      <c r="E813" s="163"/>
      <c r="F813" s="163"/>
      <c r="G813" s="163"/>
      <c r="H813" s="163"/>
      <c r="I813" s="163"/>
      <c r="J813" s="163"/>
      <c r="K813" s="163"/>
    </row>
    <row r="814" spans="1:11" ht="14.25" customHeight="1">
      <c r="A814" s="163"/>
      <c r="B814" s="163"/>
      <c r="C814" s="163"/>
      <c r="D814" s="163"/>
      <c r="E814" s="163"/>
      <c r="F814" s="163"/>
      <c r="G814" s="163"/>
      <c r="H814" s="163"/>
      <c r="I814" s="163"/>
      <c r="J814" s="163"/>
      <c r="K814" s="163"/>
    </row>
    <row r="815" spans="1:11" ht="14.25" customHeight="1">
      <c r="A815" s="163"/>
      <c r="B815" s="163"/>
      <c r="C815" s="163"/>
      <c r="D815" s="163"/>
      <c r="E815" s="163"/>
      <c r="F815" s="163"/>
      <c r="G815" s="163"/>
      <c r="H815" s="163"/>
      <c r="I815" s="163"/>
      <c r="J815" s="163"/>
      <c r="K815" s="163"/>
    </row>
    <row r="816" spans="1:11" ht="14.25" customHeight="1">
      <c r="A816" s="163"/>
      <c r="B816" s="163"/>
      <c r="C816" s="163"/>
      <c r="D816" s="163"/>
      <c r="E816" s="163"/>
      <c r="F816" s="163"/>
      <c r="G816" s="163"/>
      <c r="H816" s="163"/>
      <c r="I816" s="163"/>
      <c r="J816" s="163"/>
      <c r="K816" s="163"/>
    </row>
    <row r="817" spans="1:11" ht="14.25" customHeight="1">
      <c r="A817" s="163"/>
      <c r="B817" s="163"/>
      <c r="C817" s="163"/>
      <c r="D817" s="163"/>
      <c r="E817" s="163"/>
      <c r="F817" s="163"/>
      <c r="G817" s="163"/>
      <c r="H817" s="163"/>
      <c r="I817" s="163"/>
      <c r="J817" s="163"/>
      <c r="K817" s="163"/>
    </row>
    <row r="818" spans="1:11" ht="14.25" customHeight="1">
      <c r="A818" s="163"/>
      <c r="B818" s="163"/>
      <c r="C818" s="163"/>
      <c r="D818" s="163"/>
      <c r="E818" s="163"/>
      <c r="F818" s="163"/>
      <c r="G818" s="163"/>
      <c r="H818" s="163"/>
      <c r="I818" s="163"/>
      <c r="J818" s="163"/>
      <c r="K818" s="163"/>
    </row>
    <row r="819" spans="1:11" ht="14.25" customHeight="1">
      <c r="A819" s="163"/>
      <c r="B819" s="163"/>
      <c r="C819" s="163"/>
      <c r="D819" s="163"/>
      <c r="E819" s="163"/>
      <c r="F819" s="163"/>
      <c r="G819" s="163"/>
      <c r="H819" s="163"/>
      <c r="I819" s="163"/>
      <c r="J819" s="163"/>
      <c r="K819" s="163"/>
    </row>
    <row r="820" spans="1:11" ht="14.25" customHeight="1">
      <c r="A820" s="163"/>
      <c r="B820" s="163"/>
      <c r="C820" s="163"/>
      <c r="D820" s="163"/>
      <c r="E820" s="163"/>
      <c r="F820" s="163"/>
      <c r="G820" s="163"/>
      <c r="H820" s="163"/>
      <c r="I820" s="163"/>
      <c r="J820" s="163"/>
      <c r="K820" s="163"/>
    </row>
    <row r="821" spans="1:11" ht="14.25" customHeight="1">
      <c r="A821" s="163"/>
      <c r="B821" s="163"/>
      <c r="C821" s="163"/>
      <c r="D821" s="163"/>
      <c r="E821" s="163"/>
      <c r="F821" s="163"/>
      <c r="G821" s="163"/>
      <c r="H821" s="163"/>
      <c r="I821" s="163"/>
      <c r="J821" s="163"/>
      <c r="K821" s="163"/>
    </row>
    <row r="822" spans="1:11" ht="14.25" customHeight="1">
      <c r="A822" s="163"/>
      <c r="B822" s="163"/>
      <c r="C822" s="163"/>
      <c r="D822" s="163"/>
      <c r="E822" s="163"/>
      <c r="F822" s="163"/>
      <c r="G822" s="163"/>
      <c r="H822" s="163"/>
      <c r="I822" s="163"/>
      <c r="J822" s="163"/>
      <c r="K822" s="163"/>
    </row>
    <row r="823" spans="1:11" ht="14.25" customHeight="1">
      <c r="A823" s="163"/>
      <c r="B823" s="163"/>
      <c r="C823" s="163"/>
      <c r="D823" s="163"/>
      <c r="E823" s="163"/>
      <c r="F823" s="163"/>
      <c r="G823" s="163"/>
      <c r="H823" s="163"/>
      <c r="I823" s="163"/>
      <c r="J823" s="163"/>
      <c r="K823" s="163"/>
    </row>
    <row r="824" spans="1:11" ht="14.25" customHeight="1">
      <c r="A824" s="163"/>
      <c r="B824" s="163"/>
      <c r="C824" s="163"/>
      <c r="D824" s="163"/>
      <c r="E824" s="163"/>
      <c r="F824" s="163"/>
      <c r="G824" s="163"/>
      <c r="H824" s="163"/>
      <c r="I824" s="163"/>
      <c r="J824" s="163"/>
      <c r="K824" s="163"/>
    </row>
    <row r="825" spans="1:11" ht="14.25" customHeight="1">
      <c r="A825" s="163"/>
      <c r="B825" s="163"/>
      <c r="C825" s="163"/>
      <c r="D825" s="163"/>
      <c r="E825" s="163"/>
      <c r="F825" s="163"/>
      <c r="G825" s="163"/>
      <c r="H825" s="163"/>
      <c r="I825" s="163"/>
      <c r="J825" s="163"/>
      <c r="K825" s="163"/>
    </row>
    <row r="826" spans="1:11" ht="14.25" customHeight="1">
      <c r="A826" s="163"/>
      <c r="B826" s="163"/>
      <c r="C826" s="163"/>
      <c r="D826" s="163"/>
      <c r="E826" s="163"/>
      <c r="F826" s="163"/>
      <c r="G826" s="163"/>
      <c r="H826" s="163"/>
      <c r="I826" s="163"/>
      <c r="J826" s="163"/>
      <c r="K826" s="163"/>
    </row>
    <row r="827" spans="1:11" ht="14.25" customHeight="1">
      <c r="A827" s="163"/>
      <c r="B827" s="163"/>
      <c r="C827" s="163"/>
      <c r="D827" s="163"/>
      <c r="E827" s="163"/>
      <c r="F827" s="163"/>
      <c r="G827" s="163"/>
      <c r="H827" s="163"/>
      <c r="I827" s="163"/>
      <c r="J827" s="163"/>
      <c r="K827" s="163"/>
    </row>
    <row r="828" spans="1:11" ht="14.25" customHeight="1">
      <c r="A828" s="163"/>
      <c r="B828" s="163"/>
      <c r="C828" s="163"/>
      <c r="D828" s="163"/>
      <c r="E828" s="163"/>
      <c r="F828" s="163"/>
      <c r="G828" s="163"/>
      <c r="H828" s="163"/>
      <c r="I828" s="163"/>
      <c r="J828" s="163"/>
      <c r="K828" s="163"/>
    </row>
    <row r="829" spans="1:11" ht="14.25" customHeight="1">
      <c r="A829" s="163"/>
      <c r="B829" s="163"/>
      <c r="C829" s="163"/>
      <c r="D829" s="163"/>
      <c r="E829" s="163"/>
      <c r="F829" s="163"/>
      <c r="G829" s="163"/>
      <c r="H829" s="163"/>
      <c r="I829" s="163"/>
      <c r="J829" s="163"/>
      <c r="K829" s="163"/>
    </row>
    <row r="830" spans="1:11" ht="14.25" customHeight="1">
      <c r="A830" s="163"/>
      <c r="B830" s="163"/>
      <c r="C830" s="163"/>
      <c r="D830" s="163"/>
      <c r="E830" s="163"/>
      <c r="F830" s="163"/>
      <c r="G830" s="163"/>
      <c r="H830" s="163"/>
      <c r="I830" s="163"/>
      <c r="J830" s="163"/>
      <c r="K830" s="163"/>
    </row>
    <row r="831" spans="1:11" ht="14.25" customHeight="1">
      <c r="A831" s="163"/>
      <c r="B831" s="163"/>
      <c r="C831" s="163"/>
      <c r="D831" s="163"/>
      <c r="E831" s="163"/>
      <c r="F831" s="163"/>
      <c r="G831" s="163"/>
      <c r="H831" s="163"/>
      <c r="I831" s="163"/>
      <c r="J831" s="163"/>
      <c r="K831" s="163"/>
    </row>
    <row r="832" spans="1:11" ht="14.25" customHeight="1">
      <c r="A832" s="163"/>
      <c r="B832" s="163"/>
      <c r="C832" s="163"/>
      <c r="D832" s="163"/>
      <c r="E832" s="163"/>
      <c r="F832" s="163"/>
      <c r="G832" s="163"/>
      <c r="H832" s="163"/>
      <c r="I832" s="163"/>
      <c r="J832" s="163"/>
      <c r="K832" s="163"/>
    </row>
    <row r="833" spans="1:11" ht="14.25" customHeight="1">
      <c r="A833" s="163"/>
      <c r="B833" s="163"/>
      <c r="C833" s="163"/>
      <c r="D833" s="163"/>
      <c r="E833" s="163"/>
      <c r="F833" s="163"/>
      <c r="G833" s="163"/>
      <c r="H833" s="163"/>
      <c r="I833" s="163"/>
      <c r="J833" s="163"/>
      <c r="K833" s="163"/>
    </row>
    <row r="834" spans="1:11" ht="14.25" customHeight="1">
      <c r="A834" s="163"/>
      <c r="B834" s="163"/>
      <c r="C834" s="163"/>
      <c r="D834" s="163"/>
      <c r="E834" s="163"/>
      <c r="F834" s="163"/>
      <c r="G834" s="163"/>
      <c r="H834" s="163"/>
      <c r="I834" s="163"/>
      <c r="J834" s="163"/>
      <c r="K834" s="163"/>
    </row>
    <row r="835" spans="1:11" ht="14.25" customHeight="1">
      <c r="A835" s="163"/>
      <c r="B835" s="163"/>
      <c r="C835" s="163"/>
      <c r="D835" s="163"/>
      <c r="E835" s="163"/>
      <c r="F835" s="163"/>
      <c r="G835" s="163"/>
      <c r="H835" s="163"/>
      <c r="I835" s="163"/>
      <c r="J835" s="163"/>
      <c r="K835" s="163"/>
    </row>
    <row r="836" spans="1:11" ht="14.25" customHeight="1">
      <c r="A836" s="163"/>
      <c r="B836" s="163"/>
      <c r="C836" s="163"/>
      <c r="D836" s="163"/>
      <c r="E836" s="163"/>
      <c r="F836" s="163"/>
      <c r="G836" s="163"/>
      <c r="H836" s="163"/>
      <c r="I836" s="163"/>
      <c r="J836" s="163"/>
      <c r="K836" s="163"/>
    </row>
    <row r="837" spans="1:11" ht="14.25" customHeight="1">
      <c r="A837" s="163"/>
      <c r="B837" s="163"/>
      <c r="C837" s="163"/>
      <c r="D837" s="163"/>
      <c r="E837" s="163"/>
      <c r="F837" s="163"/>
      <c r="G837" s="163"/>
      <c r="H837" s="163"/>
      <c r="I837" s="163"/>
      <c r="J837" s="163"/>
      <c r="K837" s="163"/>
    </row>
    <row r="838" spans="1:11" ht="14.25" customHeight="1">
      <c r="A838" s="163"/>
      <c r="B838" s="163"/>
      <c r="C838" s="163"/>
      <c r="D838" s="163"/>
      <c r="E838" s="163"/>
      <c r="F838" s="163"/>
      <c r="G838" s="163"/>
      <c r="H838" s="163"/>
      <c r="I838" s="163"/>
      <c r="J838" s="163"/>
      <c r="K838" s="163"/>
    </row>
    <row r="839" spans="1:11" ht="14.25" customHeight="1">
      <c r="A839" s="163"/>
      <c r="B839" s="163"/>
      <c r="C839" s="163"/>
      <c r="D839" s="163"/>
      <c r="E839" s="163"/>
      <c r="F839" s="163"/>
      <c r="G839" s="163"/>
      <c r="H839" s="163"/>
      <c r="I839" s="163"/>
      <c r="J839" s="163"/>
      <c r="K839" s="163"/>
    </row>
    <row r="840" spans="1:11" ht="14.25" customHeight="1">
      <c r="A840" s="163"/>
      <c r="B840" s="163"/>
      <c r="C840" s="163"/>
      <c r="D840" s="163"/>
      <c r="E840" s="163"/>
      <c r="F840" s="163"/>
      <c r="G840" s="163"/>
      <c r="H840" s="163"/>
      <c r="I840" s="163"/>
      <c r="J840" s="163"/>
      <c r="K840" s="163"/>
    </row>
    <row r="841" spans="1:11" ht="14.25" customHeight="1">
      <c r="A841" s="163"/>
      <c r="B841" s="163"/>
      <c r="C841" s="163"/>
      <c r="D841" s="163"/>
      <c r="E841" s="163"/>
      <c r="F841" s="163"/>
      <c r="G841" s="163"/>
      <c r="H841" s="163"/>
      <c r="I841" s="163"/>
      <c r="J841" s="163"/>
      <c r="K841" s="163"/>
    </row>
    <row r="842" spans="1:11" ht="14.25" customHeight="1">
      <c r="A842" s="163"/>
      <c r="B842" s="163"/>
      <c r="C842" s="163"/>
      <c r="D842" s="163"/>
      <c r="E842" s="163"/>
      <c r="F842" s="163"/>
      <c r="G842" s="163"/>
      <c r="H842" s="163"/>
      <c r="I842" s="163"/>
      <c r="J842" s="163"/>
      <c r="K842" s="163"/>
    </row>
    <row r="843" spans="1:11" ht="14.25" customHeight="1">
      <c r="A843" s="163"/>
      <c r="B843" s="163"/>
      <c r="C843" s="163"/>
      <c r="D843" s="163"/>
      <c r="E843" s="163"/>
      <c r="F843" s="163"/>
      <c r="G843" s="163"/>
      <c r="H843" s="163"/>
      <c r="I843" s="163"/>
      <c r="J843" s="163"/>
      <c r="K843" s="163"/>
    </row>
    <row r="844" spans="1:11" ht="14.25" customHeight="1">
      <c r="A844" s="163"/>
      <c r="B844" s="163"/>
      <c r="C844" s="163"/>
      <c r="D844" s="163"/>
      <c r="E844" s="163"/>
      <c r="F844" s="163"/>
      <c r="G844" s="163"/>
      <c r="H844" s="163"/>
      <c r="I844" s="163"/>
      <c r="J844" s="163"/>
      <c r="K844" s="163"/>
    </row>
    <row r="845" spans="1:11" ht="14.25" customHeight="1">
      <c r="A845" s="163"/>
      <c r="B845" s="163"/>
      <c r="C845" s="163"/>
      <c r="D845" s="163"/>
      <c r="E845" s="163"/>
      <c r="F845" s="163"/>
      <c r="G845" s="163"/>
      <c r="H845" s="163"/>
      <c r="I845" s="163"/>
      <c r="J845" s="163"/>
      <c r="K845" s="163"/>
    </row>
    <row r="846" spans="1:11" ht="14.25" customHeight="1">
      <c r="A846" s="163"/>
      <c r="B846" s="163"/>
      <c r="C846" s="163"/>
      <c r="D846" s="163"/>
      <c r="E846" s="163"/>
      <c r="F846" s="163"/>
      <c r="G846" s="163"/>
      <c r="H846" s="163"/>
      <c r="I846" s="163"/>
      <c r="J846" s="163"/>
      <c r="K846" s="163"/>
    </row>
    <row r="847" spans="1:11" ht="14.25" customHeight="1">
      <c r="A847" s="163"/>
      <c r="B847" s="163"/>
      <c r="C847" s="163"/>
      <c r="D847" s="163"/>
      <c r="E847" s="163"/>
      <c r="F847" s="163"/>
      <c r="G847" s="163"/>
      <c r="H847" s="163"/>
      <c r="I847" s="163"/>
      <c r="J847" s="163"/>
      <c r="K847" s="163"/>
    </row>
    <row r="848" spans="1:11" ht="14.25" customHeight="1">
      <c r="A848" s="163"/>
      <c r="B848" s="163"/>
      <c r="C848" s="163"/>
      <c r="D848" s="163"/>
      <c r="E848" s="163"/>
      <c r="F848" s="163"/>
      <c r="G848" s="163"/>
      <c r="H848" s="163"/>
      <c r="I848" s="163"/>
      <c r="J848" s="163"/>
      <c r="K848" s="163"/>
    </row>
    <row r="849" spans="1:11" ht="14.25" customHeight="1">
      <c r="A849" s="163"/>
      <c r="B849" s="163"/>
      <c r="C849" s="163"/>
      <c r="D849" s="163"/>
      <c r="E849" s="163"/>
      <c r="F849" s="163"/>
      <c r="G849" s="163"/>
      <c r="H849" s="163"/>
      <c r="I849" s="163"/>
      <c r="J849" s="163"/>
      <c r="K849" s="163"/>
    </row>
    <row r="850" spans="1:11" ht="14.25" customHeight="1">
      <c r="A850" s="163"/>
      <c r="B850" s="163"/>
      <c r="C850" s="163"/>
      <c r="D850" s="163"/>
      <c r="E850" s="163"/>
      <c r="F850" s="163"/>
      <c r="G850" s="163"/>
      <c r="H850" s="163"/>
      <c r="I850" s="163"/>
      <c r="J850" s="163"/>
      <c r="K850" s="163"/>
    </row>
    <row r="851" spans="1:11" ht="14.25" customHeight="1">
      <c r="A851" s="163"/>
      <c r="B851" s="163"/>
      <c r="C851" s="163"/>
      <c r="D851" s="163"/>
      <c r="E851" s="163"/>
      <c r="F851" s="163"/>
      <c r="G851" s="163"/>
      <c r="H851" s="163"/>
      <c r="I851" s="163"/>
      <c r="J851" s="163"/>
      <c r="K851" s="163"/>
    </row>
    <row r="852" spans="1:11" ht="14.25" customHeight="1">
      <c r="A852" s="163"/>
      <c r="B852" s="163"/>
      <c r="C852" s="163"/>
      <c r="D852" s="163"/>
      <c r="E852" s="163"/>
      <c r="F852" s="163"/>
      <c r="G852" s="163"/>
      <c r="H852" s="163"/>
      <c r="I852" s="163"/>
      <c r="J852" s="163"/>
      <c r="K852" s="163"/>
    </row>
    <row r="853" spans="1:11" ht="14.25" customHeight="1">
      <c r="A853" s="163"/>
      <c r="B853" s="163"/>
      <c r="C853" s="163"/>
      <c r="D853" s="163"/>
      <c r="E853" s="163"/>
      <c r="F853" s="163"/>
      <c r="G853" s="163"/>
      <c r="H853" s="163"/>
      <c r="I853" s="163"/>
      <c r="J853" s="163"/>
      <c r="K853" s="163"/>
    </row>
    <row r="854" spans="1:11" ht="14.25" customHeight="1">
      <c r="A854" s="163"/>
      <c r="B854" s="163"/>
      <c r="C854" s="163"/>
      <c r="D854" s="163"/>
      <c r="E854" s="163"/>
      <c r="F854" s="163"/>
      <c r="G854" s="163"/>
      <c r="H854" s="163"/>
      <c r="I854" s="163"/>
      <c r="J854" s="163"/>
      <c r="K854" s="163"/>
    </row>
    <row r="855" spans="1:11" ht="14.25" customHeight="1">
      <c r="A855" s="163"/>
      <c r="B855" s="163"/>
      <c r="C855" s="163"/>
      <c r="D855" s="163"/>
      <c r="E855" s="163"/>
      <c r="F855" s="163"/>
      <c r="G855" s="163"/>
      <c r="H855" s="163"/>
      <c r="I855" s="163"/>
      <c r="J855" s="163"/>
      <c r="K855" s="163"/>
    </row>
    <row r="856" spans="1:11" ht="14.25" customHeight="1">
      <c r="A856" s="163"/>
      <c r="B856" s="163"/>
      <c r="C856" s="163"/>
      <c r="D856" s="163"/>
      <c r="E856" s="163"/>
      <c r="F856" s="163"/>
      <c r="G856" s="163"/>
      <c r="H856" s="163"/>
      <c r="I856" s="163"/>
      <c r="J856" s="163"/>
      <c r="K856" s="163"/>
    </row>
    <row r="857" spans="1:11" ht="14.25" customHeight="1">
      <c r="A857" s="163"/>
      <c r="B857" s="163"/>
      <c r="C857" s="163"/>
      <c r="D857" s="163"/>
      <c r="E857" s="163"/>
      <c r="F857" s="163"/>
      <c r="G857" s="163"/>
      <c r="H857" s="163"/>
      <c r="I857" s="163"/>
      <c r="J857" s="163"/>
      <c r="K857" s="163"/>
    </row>
    <row r="858" spans="1:11" ht="14.25" customHeight="1">
      <c r="A858" s="163"/>
      <c r="B858" s="163"/>
      <c r="C858" s="163"/>
      <c r="D858" s="163"/>
      <c r="E858" s="163"/>
      <c r="F858" s="163"/>
      <c r="G858" s="163"/>
      <c r="H858" s="163"/>
      <c r="I858" s="163"/>
      <c r="J858" s="163"/>
      <c r="K858" s="163"/>
    </row>
    <row r="859" spans="1:11" ht="14.25" customHeight="1">
      <c r="A859" s="163"/>
      <c r="B859" s="163"/>
      <c r="C859" s="163"/>
      <c r="D859" s="163"/>
      <c r="E859" s="163"/>
      <c r="F859" s="163"/>
      <c r="G859" s="163"/>
      <c r="H859" s="163"/>
      <c r="I859" s="163"/>
      <c r="J859" s="163"/>
      <c r="K859" s="163"/>
    </row>
    <row r="860" spans="1:11" ht="14.25" customHeight="1">
      <c r="A860" s="163"/>
      <c r="B860" s="163"/>
      <c r="C860" s="163"/>
      <c r="D860" s="163"/>
      <c r="E860" s="163"/>
      <c r="F860" s="163"/>
      <c r="G860" s="163"/>
      <c r="H860" s="163"/>
      <c r="I860" s="163"/>
      <c r="J860" s="163"/>
      <c r="K860" s="163"/>
    </row>
    <row r="861" spans="1:11" ht="14.25" customHeight="1">
      <c r="A861" s="163"/>
      <c r="B861" s="163"/>
      <c r="C861" s="163"/>
      <c r="D861" s="163"/>
      <c r="E861" s="163"/>
      <c r="F861" s="163"/>
      <c r="G861" s="163"/>
      <c r="H861" s="163"/>
      <c r="I861" s="163"/>
      <c r="J861" s="163"/>
      <c r="K861" s="163"/>
    </row>
    <row r="862" spans="1:11" ht="14.25" customHeight="1">
      <c r="A862" s="163"/>
      <c r="B862" s="163"/>
      <c r="C862" s="163"/>
      <c r="D862" s="163"/>
      <c r="E862" s="163"/>
      <c r="F862" s="163"/>
      <c r="G862" s="163"/>
      <c r="H862" s="163"/>
      <c r="I862" s="163"/>
      <c r="J862" s="163"/>
      <c r="K862" s="163"/>
    </row>
    <row r="863" spans="1:11" ht="14.25" customHeight="1">
      <c r="A863" s="163"/>
      <c r="B863" s="163"/>
      <c r="C863" s="163"/>
      <c r="D863" s="163"/>
      <c r="E863" s="163"/>
      <c r="F863" s="163"/>
      <c r="G863" s="163"/>
      <c r="H863" s="163"/>
      <c r="I863" s="163"/>
      <c r="J863" s="163"/>
      <c r="K863" s="163"/>
    </row>
    <row r="864" spans="1:11" ht="14.25" customHeight="1">
      <c r="A864" s="163"/>
      <c r="B864" s="163"/>
      <c r="C864" s="163"/>
      <c r="D864" s="163"/>
      <c r="E864" s="163"/>
      <c r="F864" s="163"/>
      <c r="G864" s="163"/>
      <c r="H864" s="163"/>
      <c r="I864" s="163"/>
      <c r="J864" s="163"/>
      <c r="K864" s="163"/>
    </row>
    <row r="865" spans="1:11" ht="14.25" customHeight="1">
      <c r="A865" s="163"/>
      <c r="B865" s="163"/>
      <c r="C865" s="163"/>
      <c r="D865" s="163"/>
      <c r="E865" s="163"/>
      <c r="F865" s="163"/>
      <c r="G865" s="163"/>
      <c r="H865" s="163"/>
      <c r="I865" s="163"/>
      <c r="J865" s="163"/>
      <c r="K865" s="163"/>
    </row>
    <row r="866" spans="1:11" ht="14.25" customHeight="1">
      <c r="A866" s="163"/>
      <c r="B866" s="163"/>
      <c r="C866" s="163"/>
      <c r="D866" s="163"/>
      <c r="E866" s="163"/>
      <c r="F866" s="163"/>
      <c r="G866" s="163"/>
      <c r="H866" s="163"/>
      <c r="I866" s="163"/>
      <c r="J866" s="163"/>
      <c r="K866" s="163"/>
    </row>
    <row r="867" spans="1:11" ht="14.25" customHeight="1">
      <c r="A867" s="163"/>
      <c r="B867" s="163"/>
      <c r="C867" s="163"/>
      <c r="D867" s="163"/>
      <c r="E867" s="163"/>
      <c r="F867" s="163"/>
      <c r="G867" s="163"/>
      <c r="H867" s="163"/>
      <c r="I867" s="163"/>
      <c r="J867" s="163"/>
      <c r="K867" s="163"/>
    </row>
    <row r="868" spans="1:11" ht="14.25" customHeight="1">
      <c r="A868" s="163"/>
      <c r="B868" s="163"/>
      <c r="C868" s="163"/>
      <c r="D868" s="163"/>
      <c r="E868" s="163"/>
      <c r="F868" s="163"/>
      <c r="G868" s="163"/>
      <c r="H868" s="163"/>
      <c r="I868" s="163"/>
      <c r="J868" s="163"/>
      <c r="K868" s="163"/>
    </row>
    <row r="869" spans="1:11" ht="14.25" customHeight="1">
      <c r="A869" s="163"/>
      <c r="B869" s="163"/>
      <c r="C869" s="163"/>
      <c r="D869" s="163"/>
      <c r="E869" s="163"/>
      <c r="F869" s="163"/>
      <c r="G869" s="163"/>
      <c r="H869" s="163"/>
      <c r="I869" s="163"/>
      <c r="J869" s="163"/>
      <c r="K869" s="163"/>
    </row>
    <row r="870" spans="1:11" ht="14.25" customHeight="1">
      <c r="A870" s="163"/>
      <c r="B870" s="163"/>
      <c r="C870" s="163"/>
      <c r="D870" s="163"/>
      <c r="E870" s="163"/>
      <c r="F870" s="163"/>
      <c r="G870" s="163"/>
      <c r="H870" s="163"/>
      <c r="I870" s="163"/>
      <c r="J870" s="163"/>
      <c r="K870" s="163"/>
    </row>
    <row r="871" spans="1:11" ht="14.25" customHeight="1">
      <c r="A871" s="163"/>
      <c r="B871" s="163"/>
      <c r="C871" s="163"/>
      <c r="D871" s="163"/>
      <c r="E871" s="163"/>
      <c r="F871" s="163"/>
      <c r="G871" s="163"/>
      <c r="H871" s="163"/>
      <c r="I871" s="163"/>
      <c r="J871" s="163"/>
      <c r="K871" s="163"/>
    </row>
    <row r="872" spans="1:11" ht="14.25" customHeight="1">
      <c r="A872" s="163"/>
      <c r="B872" s="163"/>
      <c r="C872" s="163"/>
      <c r="D872" s="163"/>
      <c r="E872" s="163"/>
      <c r="F872" s="163"/>
      <c r="G872" s="163"/>
      <c r="H872" s="163"/>
      <c r="I872" s="163"/>
      <c r="J872" s="163"/>
      <c r="K872" s="163"/>
    </row>
    <row r="873" spans="1:11" ht="14.25" customHeight="1">
      <c r="A873" s="163"/>
      <c r="B873" s="163"/>
      <c r="C873" s="163"/>
      <c r="D873" s="163"/>
      <c r="E873" s="163"/>
      <c r="F873" s="163"/>
      <c r="G873" s="163"/>
      <c r="H873" s="163"/>
      <c r="I873" s="163"/>
      <c r="J873" s="163"/>
      <c r="K873" s="163"/>
    </row>
    <row r="874" spans="1:11" ht="14.25" customHeight="1">
      <c r="A874" s="163"/>
      <c r="B874" s="163"/>
      <c r="C874" s="163"/>
      <c r="D874" s="163"/>
      <c r="E874" s="163"/>
      <c r="F874" s="163"/>
      <c r="G874" s="163"/>
      <c r="H874" s="163"/>
      <c r="I874" s="163"/>
      <c r="J874" s="163"/>
      <c r="K874" s="163"/>
    </row>
    <row r="875" spans="1:11" ht="14.25" customHeight="1">
      <c r="A875" s="163"/>
      <c r="B875" s="163"/>
      <c r="C875" s="163"/>
      <c r="D875" s="163"/>
      <c r="E875" s="163"/>
      <c r="F875" s="163"/>
      <c r="G875" s="163"/>
      <c r="H875" s="163"/>
      <c r="I875" s="163"/>
      <c r="J875" s="163"/>
      <c r="K875" s="163"/>
    </row>
    <row r="876" spans="1:11" ht="14.25" customHeight="1">
      <c r="A876" s="163"/>
      <c r="B876" s="163"/>
      <c r="C876" s="163"/>
      <c r="D876" s="163"/>
      <c r="E876" s="163"/>
      <c r="F876" s="163"/>
      <c r="G876" s="163"/>
      <c r="H876" s="163"/>
      <c r="I876" s="163"/>
      <c r="J876" s="163"/>
      <c r="K876" s="163"/>
    </row>
    <row r="877" spans="1:11" ht="14.25" customHeight="1">
      <c r="A877" s="163"/>
      <c r="B877" s="163"/>
      <c r="C877" s="163"/>
      <c r="D877" s="163"/>
      <c r="E877" s="163"/>
      <c r="F877" s="163"/>
      <c r="G877" s="163"/>
      <c r="H877" s="163"/>
      <c r="I877" s="163"/>
      <c r="J877" s="163"/>
      <c r="K877" s="163"/>
    </row>
    <row r="878" spans="1:11" ht="14.25" customHeight="1">
      <c r="A878" s="163"/>
      <c r="B878" s="163"/>
      <c r="C878" s="163"/>
      <c r="D878" s="163"/>
      <c r="E878" s="163"/>
      <c r="F878" s="163"/>
      <c r="G878" s="163"/>
      <c r="H878" s="163"/>
      <c r="I878" s="163"/>
      <c r="J878" s="163"/>
      <c r="K878" s="163"/>
    </row>
    <row r="879" spans="1:11" ht="14.25" customHeight="1">
      <c r="A879" s="163"/>
      <c r="B879" s="163"/>
      <c r="C879" s="163"/>
      <c r="D879" s="163"/>
      <c r="E879" s="163"/>
      <c r="F879" s="163"/>
      <c r="G879" s="163"/>
      <c r="H879" s="163"/>
      <c r="I879" s="163"/>
      <c r="J879" s="163"/>
      <c r="K879" s="163"/>
    </row>
    <row r="880" spans="1:11" ht="14.25" customHeight="1">
      <c r="A880" s="163"/>
      <c r="B880" s="163"/>
      <c r="C880" s="163"/>
      <c r="D880" s="163"/>
      <c r="E880" s="163"/>
      <c r="F880" s="163"/>
      <c r="G880" s="163"/>
      <c r="H880" s="163"/>
      <c r="I880" s="163"/>
      <c r="J880" s="163"/>
      <c r="K880" s="163"/>
    </row>
    <row r="881" spans="1:11" ht="14.25" customHeight="1">
      <c r="A881" s="163"/>
      <c r="B881" s="163"/>
      <c r="C881" s="163"/>
      <c r="D881" s="163"/>
      <c r="E881" s="163"/>
      <c r="F881" s="163"/>
      <c r="G881" s="163"/>
      <c r="H881" s="163"/>
      <c r="I881" s="163"/>
      <c r="J881" s="163"/>
      <c r="K881" s="163"/>
    </row>
    <row r="882" spans="1:11" ht="14.25" customHeight="1">
      <c r="A882" s="163"/>
      <c r="B882" s="163"/>
      <c r="C882" s="163"/>
      <c r="D882" s="163"/>
      <c r="E882" s="163"/>
      <c r="F882" s="163"/>
      <c r="G882" s="163"/>
      <c r="H882" s="163"/>
      <c r="I882" s="163"/>
      <c r="J882" s="163"/>
      <c r="K882" s="163"/>
    </row>
    <row r="883" spans="1:11" ht="14.25" customHeight="1">
      <c r="A883" s="163"/>
      <c r="B883" s="163"/>
      <c r="C883" s="163"/>
      <c r="D883" s="163"/>
      <c r="E883" s="163"/>
      <c r="F883" s="163"/>
      <c r="G883" s="163"/>
      <c r="H883" s="163"/>
      <c r="I883" s="163"/>
      <c r="J883" s="163"/>
      <c r="K883" s="163"/>
    </row>
    <row r="884" spans="1:11" ht="14.25" customHeight="1">
      <c r="A884" s="163"/>
      <c r="B884" s="163"/>
      <c r="C884" s="163"/>
      <c r="D884" s="163"/>
      <c r="E884" s="163"/>
      <c r="F884" s="163"/>
      <c r="G884" s="163"/>
      <c r="H884" s="163"/>
      <c r="I884" s="163"/>
      <c r="J884" s="163"/>
      <c r="K884" s="163"/>
    </row>
    <row r="885" spans="1:11" ht="14.25" customHeight="1">
      <c r="A885" s="163"/>
      <c r="B885" s="163"/>
      <c r="C885" s="163"/>
      <c r="D885" s="163"/>
      <c r="E885" s="163"/>
      <c r="F885" s="163"/>
      <c r="G885" s="163"/>
      <c r="H885" s="163"/>
      <c r="I885" s="163"/>
      <c r="J885" s="163"/>
      <c r="K885" s="163"/>
    </row>
    <row r="886" spans="1:11" ht="14.25" customHeight="1">
      <c r="A886" s="163"/>
      <c r="B886" s="163"/>
      <c r="C886" s="163"/>
      <c r="D886" s="163"/>
      <c r="E886" s="163"/>
      <c r="F886" s="163"/>
      <c r="G886" s="163"/>
      <c r="H886" s="163"/>
      <c r="I886" s="163"/>
      <c r="J886" s="163"/>
      <c r="K886" s="163"/>
    </row>
    <row r="887" spans="1:11" ht="14.25" customHeight="1">
      <c r="A887" s="163"/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</row>
    <row r="888" spans="1:11" ht="14.25" customHeight="1">
      <c r="A888" s="163"/>
      <c r="B888" s="163"/>
      <c r="C888" s="163"/>
      <c r="D888" s="163"/>
      <c r="E888" s="163"/>
      <c r="F888" s="163"/>
      <c r="G888" s="163"/>
      <c r="H888" s="163"/>
      <c r="I888" s="163"/>
      <c r="J888" s="163"/>
      <c r="K888" s="163"/>
    </row>
    <row r="889" spans="1:11" ht="14.25" customHeight="1">
      <c r="A889" s="163"/>
      <c r="B889" s="163"/>
      <c r="C889" s="163"/>
      <c r="D889" s="163"/>
      <c r="E889" s="163"/>
      <c r="F889" s="163"/>
      <c r="G889" s="163"/>
      <c r="H889" s="163"/>
      <c r="I889" s="163"/>
      <c r="J889" s="163"/>
      <c r="K889" s="163"/>
    </row>
    <row r="890" spans="1:11" ht="14.25" customHeight="1">
      <c r="A890" s="163"/>
      <c r="B890" s="163"/>
      <c r="C890" s="163"/>
      <c r="D890" s="163"/>
      <c r="E890" s="163"/>
      <c r="F890" s="163"/>
      <c r="G890" s="163"/>
      <c r="H890" s="163"/>
      <c r="I890" s="163"/>
      <c r="J890" s="163"/>
      <c r="K890" s="163"/>
    </row>
    <row r="891" spans="1:11" ht="14.25" customHeight="1">
      <c r="A891" s="163"/>
      <c r="B891" s="163"/>
      <c r="C891" s="163"/>
      <c r="D891" s="163"/>
      <c r="E891" s="163"/>
      <c r="F891" s="163"/>
      <c r="G891" s="163"/>
      <c r="H891" s="163"/>
      <c r="I891" s="163"/>
      <c r="J891" s="163"/>
      <c r="K891" s="163"/>
    </row>
    <row r="892" spans="1:11" ht="14.25" customHeight="1">
      <c r="A892" s="163"/>
      <c r="B892" s="163"/>
      <c r="C892" s="163"/>
      <c r="D892" s="163"/>
      <c r="E892" s="163"/>
      <c r="F892" s="163"/>
      <c r="G892" s="163"/>
      <c r="H892" s="163"/>
      <c r="I892" s="163"/>
      <c r="J892" s="163"/>
      <c r="K892" s="163"/>
    </row>
    <row r="893" spans="1:11" ht="14.25" customHeight="1">
      <c r="A893" s="163"/>
      <c r="B893" s="163"/>
      <c r="C893" s="163"/>
      <c r="D893" s="163"/>
      <c r="E893" s="163"/>
      <c r="F893" s="163"/>
      <c r="G893" s="163"/>
      <c r="H893" s="163"/>
      <c r="I893" s="163"/>
      <c r="J893" s="163"/>
      <c r="K893" s="163"/>
    </row>
    <row r="894" spans="1:11" ht="14.25" customHeight="1">
      <c r="A894" s="163"/>
      <c r="B894" s="163"/>
      <c r="C894" s="163"/>
      <c r="D894" s="163"/>
      <c r="E894" s="163"/>
      <c r="F894" s="163"/>
      <c r="G894" s="163"/>
      <c r="H894" s="163"/>
      <c r="I894" s="163"/>
      <c r="J894" s="163"/>
      <c r="K894" s="163"/>
    </row>
    <row r="895" spans="1:11" ht="14.25" customHeight="1">
      <c r="A895" s="163"/>
      <c r="B895" s="163"/>
      <c r="C895" s="163"/>
      <c r="D895" s="163"/>
      <c r="E895" s="163"/>
      <c r="F895" s="163"/>
      <c r="G895" s="163"/>
      <c r="H895" s="163"/>
      <c r="I895" s="163"/>
      <c r="J895" s="163"/>
      <c r="K895" s="163"/>
    </row>
    <row r="896" spans="1:11" ht="14.25" customHeight="1">
      <c r="A896" s="163"/>
      <c r="B896" s="163"/>
      <c r="C896" s="163"/>
      <c r="D896" s="163"/>
      <c r="E896" s="163"/>
      <c r="F896" s="163"/>
      <c r="G896" s="163"/>
      <c r="H896" s="163"/>
      <c r="I896" s="163"/>
      <c r="J896" s="163"/>
      <c r="K896" s="163"/>
    </row>
    <row r="897" spans="1:11" ht="14.25" customHeight="1">
      <c r="A897" s="163"/>
      <c r="B897" s="163"/>
      <c r="C897" s="163"/>
      <c r="D897" s="163"/>
      <c r="E897" s="163"/>
      <c r="F897" s="163"/>
      <c r="G897" s="163"/>
      <c r="H897" s="163"/>
      <c r="I897" s="163"/>
      <c r="J897" s="163"/>
      <c r="K897" s="163"/>
    </row>
    <row r="898" spans="1:11" ht="14.25" customHeight="1">
      <c r="A898" s="163"/>
      <c r="B898" s="163"/>
      <c r="C898" s="163"/>
      <c r="D898" s="163"/>
      <c r="E898" s="163"/>
      <c r="F898" s="163"/>
      <c r="G898" s="163"/>
      <c r="H898" s="163"/>
      <c r="I898" s="163"/>
      <c r="J898" s="163"/>
      <c r="K898" s="163"/>
    </row>
    <row r="899" spans="1:11" ht="14.25" customHeight="1">
      <c r="A899" s="163"/>
      <c r="B899" s="163"/>
      <c r="C899" s="163"/>
      <c r="D899" s="163"/>
      <c r="E899" s="163"/>
      <c r="F899" s="163"/>
      <c r="G899" s="163"/>
      <c r="H899" s="163"/>
      <c r="I899" s="163"/>
      <c r="J899" s="163"/>
      <c r="K899" s="163"/>
    </row>
    <row r="900" spans="1:11" ht="14.25" customHeight="1">
      <c r="A900" s="163"/>
      <c r="B900" s="163"/>
      <c r="C900" s="163"/>
      <c r="D900" s="163"/>
      <c r="E900" s="163"/>
      <c r="F900" s="163"/>
      <c r="G900" s="163"/>
      <c r="H900" s="163"/>
      <c r="I900" s="163"/>
      <c r="J900" s="163"/>
      <c r="K900" s="163"/>
    </row>
    <row r="901" spans="1:11" ht="14.25" customHeight="1">
      <c r="A901" s="163"/>
      <c r="B901" s="163"/>
      <c r="C901" s="163"/>
      <c r="D901" s="163"/>
      <c r="E901" s="163"/>
      <c r="F901" s="163"/>
      <c r="G901" s="163"/>
      <c r="H901" s="163"/>
      <c r="I901" s="163"/>
      <c r="J901" s="163"/>
      <c r="K901" s="163"/>
    </row>
    <row r="902" spans="1:11" ht="14.25" customHeight="1">
      <c r="A902" s="163"/>
      <c r="B902" s="163"/>
      <c r="C902" s="163"/>
      <c r="D902" s="163"/>
      <c r="E902" s="163"/>
      <c r="F902" s="163"/>
      <c r="G902" s="163"/>
      <c r="H902" s="163"/>
      <c r="I902" s="163"/>
      <c r="J902" s="163"/>
      <c r="K902" s="163"/>
    </row>
    <row r="903" spans="1:11" ht="14.25" customHeight="1">
      <c r="A903" s="163"/>
      <c r="B903" s="163"/>
      <c r="C903" s="163"/>
      <c r="D903" s="163"/>
      <c r="E903" s="163"/>
      <c r="F903" s="163"/>
      <c r="G903" s="163"/>
      <c r="H903" s="163"/>
      <c r="I903" s="163"/>
      <c r="J903" s="163"/>
      <c r="K903" s="163"/>
    </row>
    <row r="904" spans="1:11" ht="14.25" customHeight="1">
      <c r="A904" s="163"/>
      <c r="B904" s="163"/>
      <c r="C904" s="163"/>
      <c r="D904" s="163"/>
      <c r="E904" s="163"/>
      <c r="F904" s="163"/>
      <c r="G904" s="163"/>
      <c r="H904" s="163"/>
      <c r="I904" s="163"/>
      <c r="J904" s="163"/>
      <c r="K904" s="163"/>
    </row>
    <row r="905" spans="1:11" ht="14.25" customHeight="1">
      <c r="A905" s="163"/>
      <c r="B905" s="163"/>
      <c r="C905" s="163"/>
      <c r="D905" s="163"/>
      <c r="E905" s="163"/>
      <c r="F905" s="163"/>
      <c r="G905" s="163"/>
      <c r="H905" s="163"/>
      <c r="I905" s="163"/>
      <c r="J905" s="163"/>
      <c r="K905" s="163"/>
    </row>
    <row r="906" spans="1:11" ht="14.25" customHeight="1">
      <c r="A906" s="163"/>
      <c r="B906" s="163"/>
      <c r="C906" s="163"/>
      <c r="D906" s="163"/>
      <c r="E906" s="163"/>
      <c r="F906" s="163"/>
      <c r="G906" s="163"/>
      <c r="H906" s="163"/>
      <c r="I906" s="163"/>
      <c r="J906" s="163"/>
      <c r="K906" s="163"/>
    </row>
    <row r="907" spans="1:11" ht="14.25" customHeight="1">
      <c r="A907" s="163"/>
      <c r="B907" s="163"/>
      <c r="C907" s="163"/>
      <c r="D907" s="163"/>
      <c r="E907" s="163"/>
      <c r="F907" s="163"/>
      <c r="G907" s="163"/>
      <c r="H907" s="163"/>
      <c r="I907" s="163"/>
      <c r="J907" s="163"/>
      <c r="K907" s="163"/>
    </row>
    <row r="908" spans="1:11" ht="14.25" customHeight="1">
      <c r="A908" s="163"/>
      <c r="B908" s="163"/>
      <c r="C908" s="163"/>
      <c r="D908" s="163"/>
      <c r="E908" s="163"/>
      <c r="F908" s="163"/>
      <c r="G908" s="163"/>
      <c r="H908" s="163"/>
      <c r="I908" s="163"/>
      <c r="J908" s="163"/>
      <c r="K908" s="163"/>
    </row>
    <row r="909" spans="1:11" ht="14.25" customHeight="1">
      <c r="A909" s="163"/>
      <c r="B909" s="163"/>
      <c r="C909" s="163"/>
      <c r="D909" s="163"/>
      <c r="E909" s="163"/>
      <c r="F909" s="163"/>
      <c r="G909" s="163"/>
      <c r="H909" s="163"/>
      <c r="I909" s="163"/>
      <c r="J909" s="163"/>
      <c r="K909" s="163"/>
    </row>
    <row r="910" spans="1:11" ht="14.25" customHeight="1">
      <c r="A910" s="163"/>
      <c r="B910" s="163"/>
      <c r="C910" s="163"/>
      <c r="D910" s="163"/>
      <c r="E910" s="163"/>
      <c r="F910" s="163"/>
      <c r="G910" s="163"/>
      <c r="H910" s="163"/>
      <c r="I910" s="163"/>
      <c r="J910" s="163"/>
      <c r="K910" s="163"/>
    </row>
    <row r="911" spans="1:11" ht="14.25" customHeight="1">
      <c r="A911" s="163"/>
      <c r="B911" s="163"/>
      <c r="C911" s="163"/>
      <c r="D911" s="163"/>
      <c r="E911" s="163"/>
      <c r="F911" s="163"/>
      <c r="G911" s="163"/>
      <c r="H911" s="163"/>
      <c r="I911" s="163"/>
      <c r="J911" s="163"/>
      <c r="K911" s="163"/>
    </row>
    <row r="912" spans="1:11" ht="14.25" customHeight="1">
      <c r="A912" s="163"/>
      <c r="B912" s="163"/>
      <c r="C912" s="163"/>
      <c r="D912" s="163"/>
      <c r="E912" s="163"/>
      <c r="F912" s="163"/>
      <c r="G912" s="163"/>
      <c r="H912" s="163"/>
      <c r="I912" s="163"/>
      <c r="J912" s="163"/>
      <c r="K912" s="163"/>
    </row>
    <row r="913" spans="1:11" ht="14.25" customHeight="1">
      <c r="A913" s="163"/>
      <c r="B913" s="163"/>
      <c r="C913" s="163"/>
      <c r="D913" s="163"/>
      <c r="E913" s="163"/>
      <c r="F913" s="163"/>
      <c r="G913" s="163"/>
      <c r="H913" s="163"/>
      <c r="I913" s="163"/>
      <c r="J913" s="163"/>
      <c r="K913" s="163"/>
    </row>
    <row r="914" spans="1:11" ht="14.25" customHeight="1">
      <c r="A914" s="163"/>
      <c r="B914" s="163"/>
      <c r="C914" s="163"/>
      <c r="D914" s="163"/>
      <c r="E914" s="163"/>
      <c r="F914" s="163"/>
      <c r="G914" s="163"/>
      <c r="H914" s="163"/>
      <c r="I914" s="163"/>
      <c r="J914" s="163"/>
      <c r="K914" s="163"/>
    </row>
    <row r="915" spans="1:11" ht="14.25" customHeight="1">
      <c r="A915" s="163"/>
      <c r="B915" s="163"/>
      <c r="C915" s="163"/>
      <c r="D915" s="163"/>
      <c r="E915" s="163"/>
      <c r="F915" s="163"/>
      <c r="G915" s="163"/>
      <c r="H915" s="163"/>
      <c r="I915" s="163"/>
      <c r="J915" s="163"/>
      <c r="K915" s="163"/>
    </row>
    <row r="916" spans="1:11" ht="14.25" customHeight="1">
      <c r="A916" s="163"/>
      <c r="B916" s="163"/>
      <c r="C916" s="163"/>
      <c r="D916" s="163"/>
      <c r="E916" s="163"/>
      <c r="F916" s="163"/>
      <c r="G916" s="163"/>
      <c r="H916" s="163"/>
      <c r="I916" s="163"/>
      <c r="J916" s="163"/>
      <c r="K916" s="163"/>
    </row>
    <row r="917" spans="1:11" ht="14.25" customHeight="1">
      <c r="A917" s="163"/>
      <c r="B917" s="163"/>
      <c r="C917" s="163"/>
      <c r="D917" s="163"/>
      <c r="E917" s="163"/>
      <c r="F917" s="163"/>
      <c r="G917" s="163"/>
      <c r="H917" s="163"/>
      <c r="I917" s="163"/>
      <c r="J917" s="163"/>
      <c r="K917" s="163"/>
    </row>
    <row r="918" spans="1:11" ht="14.25" customHeight="1">
      <c r="A918" s="163"/>
      <c r="B918" s="163"/>
      <c r="C918" s="163"/>
      <c r="D918" s="163"/>
      <c r="E918" s="163"/>
      <c r="F918" s="163"/>
      <c r="G918" s="163"/>
      <c r="H918" s="163"/>
      <c r="I918" s="163"/>
      <c r="J918" s="163"/>
      <c r="K918" s="163"/>
    </row>
    <row r="919" spans="1:11" ht="14.25" customHeight="1">
      <c r="A919" s="163"/>
      <c r="B919" s="163"/>
      <c r="C919" s="163"/>
      <c r="D919" s="163"/>
      <c r="E919" s="163"/>
      <c r="F919" s="163"/>
      <c r="G919" s="163"/>
      <c r="H919" s="163"/>
      <c r="I919" s="163"/>
      <c r="J919" s="163"/>
      <c r="K919" s="163"/>
    </row>
    <row r="920" spans="1:11" ht="14.25" customHeight="1">
      <c r="A920" s="163"/>
      <c r="B920" s="163"/>
      <c r="C920" s="163"/>
      <c r="D920" s="163"/>
      <c r="E920" s="163"/>
      <c r="F920" s="163"/>
      <c r="G920" s="163"/>
      <c r="H920" s="163"/>
      <c r="I920" s="163"/>
      <c r="J920" s="163"/>
      <c r="K920" s="163"/>
    </row>
    <row r="921" spans="1:11" ht="14.25" customHeight="1">
      <c r="A921" s="163"/>
      <c r="B921" s="163"/>
      <c r="C921" s="163"/>
      <c r="D921" s="163"/>
      <c r="E921" s="163"/>
      <c r="F921" s="163"/>
      <c r="G921" s="163"/>
      <c r="H921" s="163"/>
      <c r="I921" s="163"/>
      <c r="J921" s="163"/>
      <c r="K921" s="163"/>
    </row>
    <row r="922" spans="1:11" ht="14.25" customHeight="1">
      <c r="A922" s="163"/>
      <c r="B922" s="163"/>
      <c r="C922" s="163"/>
      <c r="D922" s="163"/>
      <c r="E922" s="163"/>
      <c r="F922" s="163"/>
      <c r="G922" s="163"/>
      <c r="H922" s="163"/>
      <c r="I922" s="163"/>
      <c r="J922" s="163"/>
      <c r="K922" s="163"/>
    </row>
    <row r="923" spans="1:11" ht="14.25" customHeight="1">
      <c r="A923" s="163"/>
      <c r="B923" s="163"/>
      <c r="C923" s="163"/>
      <c r="D923" s="163"/>
      <c r="E923" s="163"/>
      <c r="F923" s="163"/>
      <c r="G923" s="163"/>
      <c r="H923" s="163"/>
      <c r="I923" s="163"/>
      <c r="J923" s="163"/>
      <c r="K923" s="163"/>
    </row>
    <row r="924" spans="1:11" ht="14.25" customHeight="1">
      <c r="A924" s="163"/>
      <c r="B924" s="163"/>
      <c r="C924" s="163"/>
      <c r="D924" s="163"/>
      <c r="E924" s="163"/>
      <c r="F924" s="163"/>
      <c r="G924" s="163"/>
      <c r="H924" s="163"/>
      <c r="I924" s="163"/>
      <c r="J924" s="163"/>
      <c r="K924" s="163"/>
    </row>
    <row r="925" spans="1:11" ht="14.25" customHeight="1">
      <c r="A925" s="163"/>
      <c r="B925" s="163"/>
      <c r="C925" s="163"/>
      <c r="D925" s="163"/>
      <c r="E925" s="163"/>
      <c r="F925" s="163"/>
      <c r="G925" s="163"/>
      <c r="H925" s="163"/>
      <c r="I925" s="163"/>
      <c r="J925" s="163"/>
      <c r="K925" s="163"/>
    </row>
    <row r="926" spans="1:11" ht="14.25" customHeight="1">
      <c r="A926" s="163"/>
      <c r="B926" s="163"/>
      <c r="C926" s="163"/>
      <c r="D926" s="163"/>
      <c r="E926" s="163"/>
      <c r="F926" s="163"/>
      <c r="G926" s="163"/>
      <c r="H926" s="163"/>
      <c r="I926" s="163"/>
      <c r="J926" s="163"/>
      <c r="K926" s="163"/>
    </row>
    <row r="927" spans="1:11" ht="14.25" customHeight="1">
      <c r="A927" s="163"/>
      <c r="B927" s="163"/>
      <c r="C927" s="163"/>
      <c r="D927" s="163"/>
      <c r="E927" s="163"/>
      <c r="F927" s="163"/>
      <c r="G927" s="163"/>
      <c r="H927" s="163"/>
      <c r="I927" s="163"/>
      <c r="J927" s="163"/>
      <c r="K927" s="163"/>
    </row>
    <row r="928" spans="1:11" ht="14.25" customHeight="1">
      <c r="A928" s="163"/>
      <c r="B928" s="163"/>
      <c r="C928" s="163"/>
      <c r="D928" s="163"/>
      <c r="E928" s="163"/>
      <c r="F928" s="163"/>
      <c r="G928" s="163"/>
      <c r="H928" s="163"/>
      <c r="I928" s="163"/>
      <c r="J928" s="163"/>
      <c r="K928" s="163"/>
    </row>
    <row r="929" spans="1:11" ht="14.25" customHeight="1">
      <c r="A929" s="163"/>
      <c r="B929" s="163"/>
      <c r="C929" s="163"/>
      <c r="D929" s="163"/>
      <c r="E929" s="163"/>
      <c r="F929" s="163"/>
      <c r="G929" s="163"/>
      <c r="H929" s="163"/>
      <c r="I929" s="163"/>
      <c r="J929" s="163"/>
      <c r="K929" s="163"/>
    </row>
    <row r="930" spans="1:11" ht="14.25" customHeight="1">
      <c r="A930" s="163"/>
      <c r="B930" s="163"/>
      <c r="C930" s="163"/>
      <c r="D930" s="163"/>
      <c r="E930" s="163"/>
      <c r="F930" s="163"/>
      <c r="G930" s="163"/>
      <c r="H930" s="163"/>
      <c r="I930" s="163"/>
      <c r="J930" s="163"/>
      <c r="K930" s="163"/>
    </row>
    <row r="931" spans="1:11" ht="14.25" customHeight="1">
      <c r="A931" s="163"/>
      <c r="B931" s="163"/>
      <c r="C931" s="163"/>
      <c r="D931" s="163"/>
      <c r="E931" s="163"/>
      <c r="F931" s="163"/>
      <c r="G931" s="163"/>
      <c r="H931" s="163"/>
      <c r="I931" s="163"/>
      <c r="J931" s="163"/>
      <c r="K931" s="163"/>
    </row>
    <row r="932" spans="1:11" ht="14.25" customHeight="1">
      <c r="A932" s="163"/>
      <c r="B932" s="163"/>
      <c r="C932" s="163"/>
      <c r="D932" s="163"/>
      <c r="E932" s="163"/>
      <c r="F932" s="163"/>
      <c r="G932" s="163"/>
      <c r="H932" s="163"/>
      <c r="I932" s="163"/>
      <c r="J932" s="163"/>
      <c r="K932" s="163"/>
    </row>
    <row r="933" spans="1:11" ht="14.25" customHeight="1">
      <c r="A933" s="163"/>
      <c r="B933" s="163"/>
      <c r="C933" s="163"/>
      <c r="D933" s="163"/>
      <c r="E933" s="163"/>
      <c r="F933" s="163"/>
      <c r="G933" s="163"/>
      <c r="H933" s="163"/>
      <c r="I933" s="163"/>
      <c r="J933" s="163"/>
      <c r="K933" s="163"/>
    </row>
    <row r="934" spans="1:11" ht="14.25" customHeight="1">
      <c r="A934" s="163"/>
      <c r="B934" s="163"/>
      <c r="C934" s="163"/>
      <c r="D934" s="163"/>
      <c r="E934" s="163"/>
      <c r="F934" s="163"/>
      <c r="G934" s="163"/>
      <c r="H934" s="163"/>
      <c r="I934" s="163"/>
      <c r="J934" s="163"/>
      <c r="K934" s="163"/>
    </row>
    <row r="935" spans="1:11" ht="14.25" customHeight="1">
      <c r="A935" s="163"/>
      <c r="B935" s="163"/>
      <c r="C935" s="163"/>
      <c r="D935" s="163"/>
      <c r="E935" s="163"/>
      <c r="F935" s="163"/>
      <c r="G935" s="163"/>
      <c r="H935" s="163"/>
      <c r="I935" s="163"/>
      <c r="J935" s="163"/>
      <c r="K935" s="163"/>
    </row>
    <row r="936" spans="1:11" ht="14.25" customHeight="1">
      <c r="A936" s="163"/>
      <c r="B936" s="163"/>
      <c r="C936" s="163"/>
      <c r="D936" s="163"/>
      <c r="E936" s="163"/>
      <c r="F936" s="163"/>
      <c r="G936" s="163"/>
      <c r="H936" s="163"/>
      <c r="I936" s="163"/>
      <c r="J936" s="163"/>
      <c r="K936" s="163"/>
    </row>
    <row r="937" spans="1:11" ht="14.25" customHeight="1">
      <c r="A937" s="163"/>
      <c r="B937" s="163"/>
      <c r="C937" s="163"/>
      <c r="D937" s="163"/>
      <c r="E937" s="163"/>
      <c r="F937" s="163"/>
      <c r="G937" s="163"/>
      <c r="H937" s="163"/>
      <c r="I937" s="163"/>
      <c r="J937" s="163"/>
      <c r="K937" s="163"/>
    </row>
    <row r="938" spans="1:11" ht="14.25" customHeight="1">
      <c r="A938" s="163"/>
      <c r="B938" s="163"/>
      <c r="C938" s="163"/>
      <c r="D938" s="163"/>
      <c r="E938" s="163"/>
      <c r="F938" s="163"/>
      <c r="G938" s="163"/>
      <c r="H938" s="163"/>
      <c r="I938" s="163"/>
      <c r="J938" s="163"/>
      <c r="K938" s="163"/>
    </row>
    <row r="939" spans="1:11" ht="14.25" customHeight="1">
      <c r="A939" s="163"/>
      <c r="B939" s="163"/>
      <c r="C939" s="163"/>
      <c r="D939" s="163"/>
      <c r="E939" s="163"/>
      <c r="F939" s="163"/>
      <c r="G939" s="163"/>
      <c r="H939" s="163"/>
      <c r="I939" s="163"/>
      <c r="J939" s="163"/>
      <c r="K939" s="163"/>
    </row>
    <row r="940" spans="1:11" ht="14.25" customHeight="1">
      <c r="A940" s="163"/>
      <c r="B940" s="163"/>
      <c r="C940" s="163"/>
      <c r="D940" s="163"/>
      <c r="E940" s="163"/>
      <c r="F940" s="163"/>
      <c r="G940" s="163"/>
      <c r="H940" s="163"/>
      <c r="I940" s="163"/>
      <c r="J940" s="163"/>
      <c r="K940" s="163"/>
    </row>
    <row r="941" spans="1:11" ht="14.25" customHeight="1">
      <c r="A941" s="163"/>
      <c r="B941" s="163"/>
      <c r="C941" s="163"/>
      <c r="D941" s="163"/>
      <c r="E941" s="163"/>
      <c r="F941" s="163"/>
      <c r="G941" s="163"/>
      <c r="H941" s="163"/>
      <c r="I941" s="163"/>
      <c r="J941" s="163"/>
      <c r="K941" s="163"/>
    </row>
    <row r="942" spans="1:11" ht="14.25" customHeight="1">
      <c r="A942" s="163"/>
      <c r="B942" s="163"/>
      <c r="C942" s="163"/>
      <c r="D942" s="163"/>
      <c r="E942" s="163"/>
      <c r="F942" s="163"/>
      <c r="G942" s="163"/>
      <c r="H942" s="163"/>
      <c r="I942" s="163"/>
      <c r="J942" s="163"/>
      <c r="K942" s="163"/>
    </row>
    <row r="943" spans="1:11" ht="14.25" customHeight="1">
      <c r="A943" s="163"/>
      <c r="B943" s="163"/>
      <c r="C943" s="163"/>
      <c r="D943" s="163"/>
      <c r="E943" s="163"/>
      <c r="F943" s="163"/>
      <c r="G943" s="163"/>
      <c r="H943" s="163"/>
      <c r="I943" s="163"/>
      <c r="J943" s="163"/>
      <c r="K943" s="163"/>
    </row>
    <row r="944" spans="1:11" ht="14.25" customHeight="1">
      <c r="A944" s="163"/>
      <c r="B944" s="163"/>
      <c r="C944" s="163"/>
      <c r="D944" s="163"/>
      <c r="E944" s="163"/>
      <c r="F944" s="163"/>
      <c r="G944" s="163"/>
      <c r="H944" s="163"/>
      <c r="I944" s="163"/>
      <c r="J944" s="163"/>
      <c r="K944" s="163"/>
    </row>
    <row r="945" spans="1:11" ht="14.25" customHeight="1">
      <c r="A945" s="163"/>
      <c r="B945" s="163"/>
      <c r="C945" s="163"/>
      <c r="D945" s="163"/>
      <c r="E945" s="163"/>
      <c r="F945" s="163"/>
      <c r="G945" s="163"/>
      <c r="H945" s="163"/>
      <c r="I945" s="163"/>
      <c r="J945" s="163"/>
      <c r="K945" s="163"/>
    </row>
    <row r="946" spans="1:11" ht="14.25" customHeight="1">
      <c r="A946" s="163"/>
      <c r="B946" s="163"/>
      <c r="C946" s="163"/>
      <c r="D946" s="163"/>
      <c r="E946" s="163"/>
      <c r="F946" s="163"/>
      <c r="G946" s="163"/>
      <c r="H946" s="163"/>
      <c r="I946" s="163"/>
      <c r="J946" s="163"/>
      <c r="K946" s="163"/>
    </row>
    <row r="947" spans="1:11" ht="14.25" customHeight="1">
      <c r="A947" s="163"/>
      <c r="B947" s="163"/>
      <c r="C947" s="163"/>
      <c r="D947" s="163"/>
      <c r="E947" s="163"/>
      <c r="F947" s="163"/>
      <c r="G947" s="163"/>
      <c r="H947" s="163"/>
      <c r="I947" s="163"/>
      <c r="J947" s="163"/>
      <c r="K947" s="163"/>
    </row>
    <row r="948" spans="1:11" ht="14.25" customHeight="1">
      <c r="A948" s="163"/>
      <c r="B948" s="163"/>
      <c r="C948" s="163"/>
      <c r="D948" s="163"/>
      <c r="E948" s="163"/>
      <c r="F948" s="163"/>
      <c r="G948" s="163"/>
      <c r="H948" s="163"/>
      <c r="I948" s="163"/>
      <c r="J948" s="163"/>
      <c r="K948" s="163"/>
    </row>
    <row r="949" spans="1:11" ht="14.25" customHeight="1">
      <c r="A949" s="163"/>
      <c r="B949" s="163"/>
      <c r="C949" s="163"/>
      <c r="D949" s="163"/>
      <c r="E949" s="163"/>
      <c r="F949" s="163"/>
      <c r="G949" s="163"/>
      <c r="H949" s="163"/>
      <c r="I949" s="163"/>
      <c r="J949" s="163"/>
      <c r="K949" s="163"/>
    </row>
    <row r="950" spans="1:11" ht="14.25" customHeight="1">
      <c r="A950" s="163"/>
      <c r="B950" s="163"/>
      <c r="C950" s="163"/>
      <c r="D950" s="163"/>
      <c r="E950" s="163"/>
      <c r="F950" s="163"/>
      <c r="G950" s="163"/>
      <c r="H950" s="163"/>
      <c r="I950" s="163"/>
      <c r="J950" s="163"/>
      <c r="K950" s="163"/>
    </row>
    <row r="951" spans="1:11" ht="14.25" customHeight="1">
      <c r="A951" s="163"/>
      <c r="B951" s="163"/>
      <c r="C951" s="163"/>
      <c r="D951" s="163"/>
      <c r="E951" s="163"/>
      <c r="F951" s="163"/>
      <c r="G951" s="163"/>
      <c r="H951" s="163"/>
      <c r="I951" s="163"/>
      <c r="J951" s="163"/>
      <c r="K951" s="163"/>
    </row>
    <row r="952" spans="1:11" ht="14.25" customHeight="1">
      <c r="A952" s="163"/>
      <c r="B952" s="163"/>
      <c r="C952" s="163"/>
      <c r="D952" s="163"/>
      <c r="E952" s="163"/>
      <c r="F952" s="163"/>
      <c r="G952" s="163"/>
      <c r="H952" s="163"/>
      <c r="I952" s="163"/>
      <c r="J952" s="163"/>
      <c r="K952" s="163"/>
    </row>
    <row r="953" spans="1:11" ht="14.25" customHeight="1">
      <c r="A953" s="163"/>
      <c r="B953" s="163"/>
      <c r="C953" s="163"/>
      <c r="D953" s="163"/>
      <c r="E953" s="163"/>
      <c r="F953" s="163"/>
      <c r="G953" s="163"/>
      <c r="H953" s="163"/>
      <c r="I953" s="163"/>
      <c r="J953" s="163"/>
      <c r="K953" s="163"/>
    </row>
    <row r="954" spans="1:11" ht="14.25" customHeight="1">
      <c r="A954" s="163"/>
      <c r="B954" s="163"/>
      <c r="C954" s="163"/>
      <c r="D954" s="163"/>
      <c r="E954" s="163"/>
      <c r="F954" s="163"/>
      <c r="G954" s="163"/>
      <c r="H954" s="163"/>
      <c r="I954" s="163"/>
      <c r="J954" s="163"/>
      <c r="K954" s="163"/>
    </row>
    <row r="955" spans="1:11" ht="14.25" customHeight="1">
      <c r="A955" s="163"/>
      <c r="B955" s="163"/>
      <c r="C955" s="163"/>
      <c r="D955" s="163"/>
      <c r="E955" s="163"/>
      <c r="F955" s="163"/>
      <c r="G955" s="163"/>
      <c r="H955" s="163"/>
      <c r="I955" s="163"/>
      <c r="J955" s="163"/>
      <c r="K955" s="163"/>
    </row>
    <row r="956" spans="1:11" ht="14.25" customHeight="1">
      <c r="A956" s="163"/>
      <c r="B956" s="163"/>
      <c r="C956" s="163"/>
      <c r="D956" s="163"/>
      <c r="E956" s="163"/>
      <c r="F956" s="163"/>
      <c r="G956" s="163"/>
      <c r="H956" s="163"/>
      <c r="I956" s="163"/>
      <c r="J956" s="163"/>
      <c r="K956" s="163"/>
    </row>
    <row r="957" spans="1:11" ht="14.25" customHeight="1">
      <c r="A957" s="163"/>
      <c r="B957" s="163"/>
      <c r="C957" s="163"/>
      <c r="D957" s="163"/>
      <c r="E957" s="163"/>
      <c r="F957" s="163"/>
      <c r="G957" s="163"/>
      <c r="H957" s="163"/>
      <c r="I957" s="163"/>
      <c r="J957" s="163"/>
      <c r="K957" s="163"/>
    </row>
    <row r="958" spans="1:11" ht="14.25" customHeight="1">
      <c r="A958" s="163"/>
      <c r="B958" s="163"/>
      <c r="C958" s="163"/>
      <c r="D958" s="163"/>
      <c r="E958" s="163"/>
      <c r="F958" s="163"/>
      <c r="G958" s="163"/>
      <c r="H958" s="163"/>
      <c r="I958" s="163"/>
      <c r="J958" s="163"/>
      <c r="K958" s="163"/>
    </row>
    <row r="959" spans="1:11" ht="14.25" customHeight="1">
      <c r="A959" s="163"/>
      <c r="B959" s="163"/>
      <c r="C959" s="163"/>
      <c r="D959" s="163"/>
      <c r="E959" s="163"/>
      <c r="F959" s="163"/>
      <c r="G959" s="163"/>
      <c r="H959" s="163"/>
      <c r="I959" s="163"/>
      <c r="J959" s="163"/>
      <c r="K959" s="163"/>
    </row>
    <row r="960" spans="1:11" ht="14.25" customHeight="1">
      <c r="A960" s="163"/>
      <c r="B960" s="163"/>
      <c r="C960" s="163"/>
      <c r="D960" s="163"/>
      <c r="E960" s="163"/>
      <c r="F960" s="163"/>
      <c r="G960" s="163"/>
      <c r="H960" s="163"/>
      <c r="I960" s="163"/>
      <c r="J960" s="163"/>
      <c r="K960" s="163"/>
    </row>
    <row r="961" spans="1:11" ht="14.25" customHeight="1">
      <c r="A961" s="163"/>
      <c r="B961" s="163"/>
      <c r="C961" s="163"/>
      <c r="D961" s="163"/>
      <c r="E961" s="163"/>
      <c r="F961" s="163"/>
      <c r="G961" s="163"/>
      <c r="H961" s="163"/>
      <c r="I961" s="163"/>
      <c r="J961" s="163"/>
      <c r="K961" s="163"/>
    </row>
    <row r="962" spans="1:11" ht="14.25" customHeight="1">
      <c r="A962" s="163"/>
      <c r="B962" s="163"/>
      <c r="C962" s="163"/>
      <c r="D962" s="163"/>
      <c r="E962" s="163"/>
      <c r="F962" s="163"/>
      <c r="G962" s="163"/>
      <c r="H962" s="163"/>
      <c r="I962" s="163"/>
      <c r="J962" s="163"/>
      <c r="K962" s="163"/>
    </row>
    <row r="963" spans="1:11" ht="14.25" customHeight="1">
      <c r="A963" s="163"/>
      <c r="B963" s="163"/>
      <c r="C963" s="163"/>
      <c r="D963" s="163"/>
      <c r="E963" s="163"/>
      <c r="F963" s="163"/>
      <c r="G963" s="163"/>
      <c r="H963" s="163"/>
      <c r="I963" s="163"/>
      <c r="J963" s="163"/>
      <c r="K963" s="163"/>
    </row>
    <row r="964" spans="1:11" ht="14.25" customHeight="1">
      <c r="A964" s="163"/>
      <c r="B964" s="163"/>
      <c r="C964" s="163"/>
      <c r="D964" s="163"/>
      <c r="E964" s="163"/>
      <c r="F964" s="163"/>
      <c r="G964" s="163"/>
      <c r="H964" s="163"/>
      <c r="I964" s="163"/>
      <c r="J964" s="163"/>
      <c r="K964" s="163"/>
    </row>
    <row r="965" spans="1:11" ht="14.25" customHeight="1">
      <c r="A965" s="163"/>
      <c r="B965" s="163"/>
      <c r="C965" s="163"/>
      <c r="D965" s="163"/>
      <c r="E965" s="163"/>
      <c r="F965" s="163"/>
      <c r="G965" s="163"/>
      <c r="H965" s="163"/>
      <c r="I965" s="163"/>
      <c r="J965" s="163"/>
      <c r="K965" s="163"/>
    </row>
    <row r="966" spans="1:11" ht="14.25" customHeight="1">
      <c r="A966" s="163"/>
      <c r="B966" s="163"/>
      <c r="C966" s="163"/>
      <c r="D966" s="163"/>
      <c r="E966" s="163"/>
      <c r="F966" s="163"/>
      <c r="G966" s="163"/>
      <c r="H966" s="163"/>
      <c r="I966" s="163"/>
      <c r="J966" s="163"/>
      <c r="K966" s="163"/>
    </row>
    <row r="967" spans="1:11" ht="14.25" customHeight="1">
      <c r="A967" s="163"/>
      <c r="B967" s="163"/>
      <c r="C967" s="163"/>
      <c r="D967" s="163"/>
      <c r="E967" s="163"/>
      <c r="F967" s="163"/>
      <c r="G967" s="163"/>
      <c r="H967" s="163"/>
      <c r="I967" s="163"/>
      <c r="J967" s="163"/>
      <c r="K967" s="163"/>
    </row>
    <row r="968" spans="1:11" ht="14.25" customHeight="1">
      <c r="A968" s="163"/>
      <c r="B968" s="163"/>
      <c r="C968" s="163"/>
      <c r="D968" s="163"/>
      <c r="E968" s="163"/>
      <c r="F968" s="163"/>
      <c r="G968" s="163"/>
      <c r="H968" s="163"/>
      <c r="I968" s="163"/>
      <c r="J968" s="163"/>
      <c r="K968" s="163"/>
    </row>
    <row r="969" spans="1:11" ht="14.25" customHeight="1">
      <c r="A969" s="163"/>
      <c r="B969" s="163"/>
      <c r="C969" s="163"/>
      <c r="D969" s="163"/>
      <c r="E969" s="163"/>
      <c r="F969" s="163"/>
      <c r="G969" s="163"/>
      <c r="H969" s="163"/>
      <c r="I969" s="163"/>
      <c r="J969" s="163"/>
      <c r="K969" s="163"/>
    </row>
    <row r="970" spans="1:11" ht="14.25" customHeight="1">
      <c r="A970" s="163"/>
      <c r="B970" s="163"/>
      <c r="C970" s="163"/>
      <c r="D970" s="163"/>
      <c r="E970" s="163"/>
      <c r="F970" s="163"/>
      <c r="G970" s="163"/>
      <c r="H970" s="163"/>
      <c r="I970" s="163"/>
      <c r="J970" s="163"/>
      <c r="K970" s="163"/>
    </row>
    <row r="971" spans="1:11" ht="14.25" customHeight="1">
      <c r="A971" s="163"/>
      <c r="B971" s="163"/>
      <c r="C971" s="163"/>
      <c r="D971" s="163"/>
      <c r="E971" s="163"/>
      <c r="F971" s="163"/>
      <c r="G971" s="163"/>
      <c r="H971" s="163"/>
      <c r="I971" s="163"/>
      <c r="J971" s="163"/>
      <c r="K971" s="163"/>
    </row>
    <row r="972" spans="1:11" ht="14.25" customHeight="1">
      <c r="A972" s="163"/>
      <c r="B972" s="163"/>
      <c r="C972" s="163"/>
      <c r="D972" s="163"/>
      <c r="E972" s="163"/>
      <c r="F972" s="163"/>
      <c r="G972" s="163"/>
      <c r="H972" s="163"/>
      <c r="I972" s="163"/>
      <c r="J972" s="163"/>
      <c r="K972" s="163"/>
    </row>
    <row r="973" spans="1:11" ht="14.25" customHeight="1">
      <c r="A973" s="163"/>
      <c r="B973" s="163"/>
      <c r="C973" s="163"/>
      <c r="D973" s="163"/>
      <c r="E973" s="163"/>
      <c r="F973" s="163"/>
      <c r="G973" s="163"/>
      <c r="H973" s="163"/>
      <c r="I973" s="163"/>
      <c r="J973" s="163"/>
      <c r="K973" s="163"/>
    </row>
    <row r="974" spans="1:11" ht="14.25" customHeight="1">
      <c r="A974" s="163"/>
      <c r="B974" s="163"/>
      <c r="C974" s="163"/>
      <c r="D974" s="163"/>
      <c r="E974" s="163"/>
      <c r="F974" s="163"/>
      <c r="G974" s="163"/>
      <c r="H974" s="163"/>
      <c r="I974" s="163"/>
      <c r="J974" s="163"/>
      <c r="K974" s="163"/>
    </row>
    <row r="975" spans="1:11" ht="14.25" customHeight="1">
      <c r="A975" s="163"/>
      <c r="B975" s="163"/>
      <c r="C975" s="163"/>
      <c r="D975" s="163"/>
      <c r="E975" s="163"/>
      <c r="F975" s="163"/>
      <c r="G975" s="163"/>
      <c r="H975" s="163"/>
      <c r="I975" s="163"/>
      <c r="J975" s="163"/>
      <c r="K975" s="163"/>
    </row>
    <row r="976" spans="1:11" ht="14.25" customHeight="1">
      <c r="A976" s="163"/>
      <c r="B976" s="163"/>
      <c r="C976" s="163"/>
      <c r="D976" s="163"/>
      <c r="E976" s="163"/>
      <c r="F976" s="163"/>
      <c r="G976" s="163"/>
      <c r="H976" s="163"/>
      <c r="I976" s="163"/>
      <c r="J976" s="163"/>
      <c r="K976" s="163"/>
    </row>
    <row r="977" spans="1:11" ht="14.25" customHeight="1">
      <c r="A977" s="163"/>
      <c r="B977" s="163"/>
      <c r="C977" s="163"/>
      <c r="D977" s="163"/>
      <c r="E977" s="163"/>
      <c r="F977" s="163"/>
      <c r="G977" s="163"/>
      <c r="H977" s="163"/>
      <c r="I977" s="163"/>
      <c r="J977" s="163"/>
      <c r="K977" s="163"/>
    </row>
    <row r="978" spans="1:11" ht="14.25" customHeight="1">
      <c r="A978" s="163"/>
      <c r="B978" s="163"/>
      <c r="C978" s="163"/>
      <c r="D978" s="163"/>
      <c r="E978" s="163"/>
      <c r="F978" s="163"/>
      <c r="G978" s="163"/>
      <c r="H978" s="163"/>
      <c r="I978" s="163"/>
      <c r="J978" s="163"/>
      <c r="K978" s="163"/>
    </row>
    <row r="979" spans="1:11" ht="14.25" customHeight="1">
      <c r="A979" s="163"/>
      <c r="B979" s="163"/>
      <c r="C979" s="163"/>
      <c r="D979" s="163"/>
      <c r="E979" s="163"/>
      <c r="F979" s="163"/>
      <c r="G979" s="163"/>
      <c r="H979" s="163"/>
      <c r="I979" s="163"/>
      <c r="J979" s="163"/>
      <c r="K979" s="163"/>
    </row>
    <row r="980" spans="1:11" ht="14.25" customHeight="1">
      <c r="A980" s="163"/>
      <c r="B980" s="163"/>
      <c r="C980" s="163"/>
      <c r="D980" s="163"/>
      <c r="E980" s="163"/>
      <c r="F980" s="163"/>
      <c r="G980" s="163"/>
      <c r="H980" s="163"/>
      <c r="I980" s="163"/>
      <c r="J980" s="163"/>
      <c r="K980" s="163"/>
    </row>
    <row r="981" spans="1:11" ht="14.25" customHeight="1">
      <c r="A981" s="163"/>
      <c r="B981" s="163"/>
      <c r="C981" s="163"/>
      <c r="D981" s="163"/>
      <c r="E981" s="163"/>
      <c r="F981" s="163"/>
      <c r="G981" s="163"/>
      <c r="H981" s="163"/>
      <c r="I981" s="163"/>
      <c r="J981" s="163"/>
      <c r="K981" s="163"/>
    </row>
    <row r="982" spans="1:11" ht="14.25" customHeight="1">
      <c r="A982" s="163"/>
      <c r="B982" s="163"/>
      <c r="C982" s="163"/>
      <c r="D982" s="163"/>
      <c r="E982" s="163"/>
      <c r="F982" s="163"/>
      <c r="G982" s="163"/>
      <c r="H982" s="163"/>
      <c r="I982" s="163"/>
      <c r="J982" s="163"/>
      <c r="K982" s="163"/>
    </row>
    <row r="983" spans="1:11" ht="14.25" customHeight="1">
      <c r="A983" s="163"/>
      <c r="B983" s="163"/>
      <c r="C983" s="163"/>
      <c r="D983" s="163"/>
      <c r="E983" s="163"/>
      <c r="F983" s="163"/>
      <c r="G983" s="163"/>
      <c r="H983" s="163"/>
      <c r="I983" s="163"/>
      <c r="J983" s="163"/>
      <c r="K983" s="163"/>
    </row>
    <row r="984" spans="1:11" ht="14.25" customHeight="1">
      <c r="A984" s="163"/>
      <c r="B984" s="163"/>
      <c r="C984" s="163"/>
      <c r="D984" s="163"/>
      <c r="E984" s="163"/>
      <c r="F984" s="163"/>
      <c r="G984" s="163"/>
      <c r="H984" s="163"/>
      <c r="I984" s="163"/>
      <c r="J984" s="163"/>
      <c r="K984" s="163"/>
    </row>
    <row r="985" spans="1:11" ht="14.25" customHeight="1">
      <c r="A985" s="163"/>
      <c r="B985" s="163"/>
      <c r="C985" s="163"/>
      <c r="D985" s="163"/>
      <c r="E985" s="163"/>
      <c r="F985" s="163"/>
      <c r="G985" s="163"/>
      <c r="H985" s="163"/>
      <c r="I985" s="163"/>
      <c r="J985" s="163"/>
      <c r="K985" s="163"/>
    </row>
    <row r="986" spans="1:11" ht="14.25" customHeight="1">
      <c r="A986" s="163"/>
      <c r="B986" s="163"/>
      <c r="C986" s="163"/>
      <c r="D986" s="163"/>
      <c r="E986" s="163"/>
      <c r="F986" s="163"/>
      <c r="G986" s="163"/>
      <c r="H986" s="163"/>
      <c r="I986" s="163"/>
      <c r="J986" s="163"/>
      <c r="K986" s="163"/>
    </row>
    <row r="987" spans="1:11" ht="14.25" customHeight="1">
      <c r="A987" s="163"/>
      <c r="B987" s="163"/>
      <c r="C987" s="163"/>
      <c r="D987" s="163"/>
      <c r="E987" s="163"/>
      <c r="F987" s="163"/>
      <c r="G987" s="163"/>
      <c r="H987" s="163"/>
      <c r="I987" s="163"/>
      <c r="J987" s="163"/>
      <c r="K987" s="163"/>
    </row>
    <row r="988" spans="1:11" ht="14.25" customHeight="1">
      <c r="A988" s="163"/>
      <c r="B988" s="163"/>
      <c r="C988" s="163"/>
      <c r="D988" s="163"/>
      <c r="E988" s="163"/>
      <c r="F988" s="163"/>
      <c r="G988" s="163"/>
      <c r="H988" s="163"/>
      <c r="I988" s="163"/>
      <c r="J988" s="163"/>
      <c r="K988" s="163"/>
    </row>
    <row r="989" spans="1:11" ht="14.25" customHeight="1">
      <c r="A989" s="163"/>
      <c r="B989" s="163"/>
      <c r="C989" s="163"/>
      <c r="D989" s="163"/>
      <c r="E989" s="163"/>
      <c r="F989" s="163"/>
      <c r="G989" s="163"/>
      <c r="H989" s="163"/>
      <c r="I989" s="163"/>
      <c r="J989" s="163"/>
      <c r="K989" s="163"/>
    </row>
    <row r="990" spans="1:11" ht="14.25" customHeight="1">
      <c r="A990" s="163"/>
      <c r="B990" s="163"/>
      <c r="C990" s="163"/>
      <c r="D990" s="163"/>
      <c r="E990" s="163"/>
      <c r="F990" s="163"/>
      <c r="G990" s="163"/>
      <c r="H990" s="163"/>
      <c r="I990" s="163"/>
      <c r="J990" s="163"/>
      <c r="K990" s="163"/>
    </row>
    <row r="991" spans="1:11" ht="14.25" customHeight="1">
      <c r="A991" s="163"/>
      <c r="B991" s="163"/>
      <c r="C991" s="163"/>
      <c r="D991" s="163"/>
      <c r="E991" s="163"/>
      <c r="F991" s="163"/>
      <c r="G991" s="163"/>
      <c r="H991" s="163"/>
      <c r="I991" s="163"/>
      <c r="J991" s="163"/>
      <c r="K991" s="163"/>
    </row>
    <row r="992" spans="1:11" ht="14.25" customHeight="1">
      <c r="A992" s="163"/>
      <c r="B992" s="163"/>
      <c r="C992" s="163"/>
      <c r="D992" s="163"/>
      <c r="E992" s="163"/>
      <c r="F992" s="163"/>
      <c r="G992" s="163"/>
      <c r="H992" s="163"/>
      <c r="I992" s="163"/>
      <c r="J992" s="163"/>
      <c r="K992" s="163"/>
    </row>
    <row r="993" spans="1:11" ht="14.25" customHeight="1">
      <c r="A993" s="163"/>
      <c r="B993" s="163"/>
      <c r="C993" s="163"/>
      <c r="D993" s="163"/>
      <c r="E993" s="163"/>
      <c r="F993" s="163"/>
      <c r="G993" s="163"/>
      <c r="H993" s="163"/>
      <c r="I993" s="163"/>
      <c r="J993" s="163"/>
      <c r="K993" s="163"/>
    </row>
    <row r="994" spans="1:11" ht="14.25" customHeight="1">
      <c r="A994" s="163"/>
      <c r="B994" s="163"/>
      <c r="C994" s="163"/>
      <c r="D994" s="163"/>
      <c r="E994" s="163"/>
      <c r="F994" s="163"/>
      <c r="G994" s="163"/>
      <c r="H994" s="163"/>
      <c r="I994" s="163"/>
      <c r="J994" s="163"/>
      <c r="K994" s="163"/>
    </row>
    <row r="995" spans="1:11" ht="14.25" customHeight="1">
      <c r="A995" s="163"/>
      <c r="B995" s="163"/>
      <c r="C995" s="163"/>
      <c r="D995" s="163"/>
      <c r="E995" s="163"/>
      <c r="F995" s="163"/>
      <c r="G995" s="163"/>
      <c r="H995" s="163"/>
      <c r="I995" s="163"/>
      <c r="J995" s="163"/>
      <c r="K995" s="163"/>
    </row>
    <row r="996" spans="1:11" ht="14.25" customHeight="1">
      <c r="A996" s="163"/>
      <c r="B996" s="163"/>
      <c r="C996" s="163"/>
      <c r="D996" s="163"/>
      <c r="E996" s="163"/>
      <c r="F996" s="163"/>
      <c r="G996" s="163"/>
      <c r="H996" s="163"/>
      <c r="I996" s="163"/>
      <c r="J996" s="163"/>
      <c r="K996" s="163"/>
    </row>
    <row r="997" spans="1:11" ht="14.25" customHeight="1">
      <c r="A997" s="163"/>
      <c r="B997" s="163"/>
      <c r="C997" s="163"/>
      <c r="D997" s="163"/>
      <c r="E997" s="163"/>
      <c r="F997" s="163"/>
      <c r="G997" s="163"/>
      <c r="H997" s="163"/>
      <c r="I997" s="163"/>
      <c r="J997" s="163"/>
      <c r="K997" s="163"/>
    </row>
    <row r="998" spans="1:11" ht="14.25" customHeight="1">
      <c r="A998" s="163"/>
      <c r="B998" s="163"/>
      <c r="C998" s="163"/>
      <c r="D998" s="163"/>
      <c r="E998" s="163"/>
      <c r="F998" s="163"/>
      <c r="G998" s="163"/>
      <c r="H998" s="163"/>
      <c r="I998" s="163"/>
      <c r="J998" s="163"/>
      <c r="K998" s="163"/>
    </row>
    <row r="999" spans="1:11" ht="14.25" customHeight="1">
      <c r="A999" s="163"/>
      <c r="B999" s="163"/>
      <c r="C999" s="163"/>
      <c r="D999" s="163"/>
      <c r="E999" s="163"/>
      <c r="F999" s="163"/>
      <c r="G999" s="163"/>
      <c r="H999" s="163"/>
      <c r="I999" s="163"/>
      <c r="J999" s="163"/>
      <c r="K999" s="163"/>
    </row>
    <row r="1000" spans="1:11" ht="14.25" customHeight="1"/>
  </sheetData>
  <mergeCells count="7">
    <mergeCell ref="A4:J4"/>
    <mergeCell ref="D43:D44"/>
    <mergeCell ref="I43:I45"/>
    <mergeCell ref="A37:C37"/>
    <mergeCell ref="A5:C6"/>
    <mergeCell ref="E5:E6"/>
    <mergeCell ref="F5:J5"/>
  </mergeCells>
  <conditionalFormatting sqref="A5:J6 W5:W6 U5:V7 P38:W38 L5:T6 K5:K7 L38:N38 A37:K37">
    <cfRule type="cellIs" dxfId="4" priority="1" operator="greaterThan">
      <formula>30000</formula>
    </cfRule>
  </conditionalFormatting>
  <conditionalFormatting sqref="L38:W38 A7:W37">
    <cfRule type="cellIs" dxfId="3" priority="2" operator="greaterThanOrEqual">
      <formula>8880000</formula>
    </cfRule>
  </conditionalFormatting>
  <conditionalFormatting sqref="P39">
    <cfRule type="colorScale" priority="3">
      <colorScale>
        <cfvo type="min"/>
        <cfvo type="max"/>
        <color rgb="FF57BB8A"/>
        <color rgb="FFFFFFFF"/>
      </colorScale>
    </cfRule>
  </conditionalFormatting>
  <printOptions horizontalCentered="1" verticalCentered="1"/>
  <pageMargins left="0.28000000000000003" right="0.2" top="0.25" bottom="0.25" header="0" footer="0"/>
  <pageSetup paperSize="14" scale="65" orientation="landscape"/>
  <headerFooter>
    <oddHeader>&amp;CNUEVA ECIJA II ELECTRIC COOPERATIVE, INC TALAVERA, NUEVA ECIJA SUMMARY OF DAILY KWH PURCHASED MONTH OF MAY, JUNE JULY, 2021</oddHeader>
    <oddFooter>&amp;LPrepared by:  Leah F. Persona Load Analyst&amp;CCheck by:  Anthony R. Alfonso Energy Trading Officer&amp;RNoted  by: William D. Cudapas CITET Manager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3C47D"/>
  </sheetPr>
  <dimension ref="A1:ET270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/>
  <cols>
    <col min="1" max="1" width="7.6640625" customWidth="1"/>
    <col min="2" max="2" width="12.109375" customWidth="1"/>
    <col min="3" max="3" width="7.88671875" customWidth="1"/>
    <col min="4" max="4" width="20.5546875" customWidth="1"/>
    <col min="5" max="5" width="17.5546875" customWidth="1"/>
    <col min="6" max="6" width="16.33203125" customWidth="1"/>
    <col min="7" max="7" width="13.6640625" customWidth="1"/>
    <col min="8" max="8" width="2.44140625" customWidth="1"/>
    <col min="9" max="9" width="7.6640625" customWidth="1"/>
    <col min="10" max="10" width="12.109375" customWidth="1"/>
    <col min="11" max="11" width="9.33203125" customWidth="1"/>
    <col min="12" max="12" width="22.33203125" customWidth="1"/>
    <col min="13" max="13" width="17.6640625" customWidth="1"/>
    <col min="14" max="14" width="16.33203125" customWidth="1"/>
    <col min="15" max="15" width="13.6640625" customWidth="1"/>
    <col min="16" max="17" width="6" customWidth="1"/>
    <col min="18" max="18" width="12.109375" customWidth="1"/>
    <col min="19" max="19" width="8" customWidth="1"/>
    <col min="20" max="20" width="20.5546875" customWidth="1"/>
    <col min="21" max="22" width="18.109375" customWidth="1"/>
    <col min="23" max="23" width="18.5546875" customWidth="1"/>
    <col min="24" max="25" width="6" customWidth="1"/>
    <col min="26" max="26" width="12.109375" customWidth="1"/>
    <col min="27" max="27" width="8" customWidth="1"/>
    <col min="28" max="28" width="19.44140625" customWidth="1"/>
    <col min="29" max="29" width="17.6640625" customWidth="1"/>
    <col min="30" max="30" width="16.5546875" customWidth="1"/>
    <col min="31" max="31" width="17.44140625" customWidth="1"/>
    <col min="32" max="32" width="22.109375" customWidth="1"/>
    <col min="33" max="33" width="25.109375" customWidth="1"/>
    <col min="34" max="34" width="26.33203125" customWidth="1"/>
    <col min="35" max="36" width="6" customWidth="1"/>
    <col min="37" max="37" width="12.109375" customWidth="1"/>
    <col min="38" max="38" width="8" customWidth="1"/>
    <col min="39" max="39" width="23.44140625" customWidth="1"/>
    <col min="40" max="40" width="17.6640625" customWidth="1"/>
    <col min="41" max="41" width="16.5546875" customWidth="1"/>
    <col min="42" max="42" width="17.44140625" customWidth="1"/>
    <col min="43" max="43" width="26.44140625" customWidth="1"/>
    <col min="44" max="44" width="20.88671875" customWidth="1"/>
    <col min="45" max="45" width="25.88671875" customWidth="1"/>
    <col min="46" max="47" width="6" customWidth="1"/>
    <col min="48" max="48" width="12.109375" customWidth="1"/>
    <col min="49" max="49" width="8" customWidth="1"/>
    <col min="50" max="50" width="23.44140625" customWidth="1"/>
    <col min="51" max="51" width="17.6640625" customWidth="1"/>
    <col min="52" max="52" width="16.5546875" customWidth="1"/>
    <col min="53" max="53" width="17.44140625" customWidth="1"/>
    <col min="54" max="54" width="26.44140625" customWidth="1"/>
    <col min="55" max="55" width="25.109375" customWidth="1"/>
    <col min="56" max="56" width="25.88671875" customWidth="1"/>
    <col min="57" max="58" width="6" customWidth="1"/>
    <col min="59" max="59" width="12.109375" customWidth="1"/>
    <col min="60" max="60" width="8" customWidth="1"/>
    <col min="61" max="61" width="23.44140625" customWidth="1"/>
    <col min="62" max="62" width="17.6640625" customWidth="1"/>
    <col min="63" max="63" width="16.5546875" customWidth="1"/>
    <col min="64" max="64" width="17.44140625" customWidth="1"/>
    <col min="65" max="65" width="26.44140625" customWidth="1"/>
    <col min="66" max="66" width="25.109375" customWidth="1"/>
    <col min="67" max="68" width="25.88671875" customWidth="1"/>
    <col min="69" max="69" width="6" customWidth="1"/>
    <col min="70" max="70" width="12.109375" customWidth="1"/>
    <col min="71" max="71" width="8" customWidth="1"/>
    <col min="72" max="72" width="23.44140625" customWidth="1"/>
    <col min="73" max="73" width="17.6640625" customWidth="1"/>
    <col min="74" max="74" width="16.5546875" customWidth="1"/>
    <col min="75" max="75" width="17.44140625" customWidth="1"/>
    <col min="76" max="76" width="26.44140625" customWidth="1"/>
    <col min="77" max="77" width="25.109375" customWidth="1"/>
    <col min="78" max="78" width="25.88671875" customWidth="1"/>
    <col min="79" max="79" width="7.33203125" customWidth="1"/>
    <col min="80" max="80" width="6" customWidth="1"/>
    <col min="81" max="81" width="12.109375" customWidth="1"/>
    <col min="82" max="82" width="8" customWidth="1"/>
    <col min="83" max="83" width="23.44140625" customWidth="1"/>
    <col min="84" max="84" width="17.6640625" customWidth="1"/>
    <col min="85" max="85" width="16.5546875" customWidth="1"/>
    <col min="86" max="86" width="17.44140625" customWidth="1"/>
    <col min="87" max="87" width="26.44140625" customWidth="1"/>
    <col min="88" max="88" width="25.109375" customWidth="1"/>
    <col min="89" max="89" width="23.109375" customWidth="1"/>
    <col min="90" max="90" width="40.88671875" customWidth="1"/>
    <col min="91" max="91" width="7.33203125" customWidth="1"/>
    <col min="92" max="92" width="6" customWidth="1"/>
    <col min="93" max="93" width="12.109375" customWidth="1"/>
    <col min="94" max="94" width="8" customWidth="1"/>
    <col min="95" max="95" width="23.44140625" customWidth="1"/>
    <col min="96" max="96" width="17.6640625" customWidth="1"/>
    <col min="97" max="97" width="16.5546875" customWidth="1"/>
    <col min="98" max="98" width="17.44140625" customWidth="1"/>
    <col min="99" max="99" width="39.6640625" customWidth="1"/>
    <col min="100" max="100" width="25.109375" customWidth="1"/>
    <col min="101" max="101" width="23.109375" customWidth="1"/>
    <col min="102" max="102" width="40.88671875" customWidth="1"/>
    <col min="103" max="103" width="6.33203125" customWidth="1"/>
    <col min="104" max="104" width="6" customWidth="1"/>
    <col min="105" max="105" width="12.109375" customWidth="1"/>
    <col min="106" max="106" width="8" customWidth="1"/>
    <col min="107" max="107" width="23.44140625" customWidth="1"/>
    <col min="108" max="108" width="17.6640625" customWidth="1"/>
    <col min="109" max="109" width="16.5546875" customWidth="1"/>
    <col min="110" max="110" width="17.44140625" customWidth="1"/>
    <col min="111" max="111" width="39.6640625" customWidth="1"/>
    <col min="112" max="112" width="25.109375" customWidth="1"/>
    <col min="113" max="113" width="23.109375" customWidth="1"/>
    <col min="114" max="114" width="40.88671875" customWidth="1"/>
    <col min="115" max="115" width="19.5546875" customWidth="1"/>
    <col min="116" max="116" width="6" customWidth="1"/>
    <col min="117" max="117" width="12.109375" customWidth="1"/>
    <col min="118" max="118" width="8" customWidth="1"/>
    <col min="119" max="119" width="23.44140625" customWidth="1"/>
    <col min="120" max="120" width="17.6640625" customWidth="1"/>
    <col min="121" max="121" width="16.5546875" customWidth="1"/>
    <col min="122" max="122" width="17.44140625" customWidth="1"/>
    <col min="123" max="123" width="39.6640625" hidden="1" customWidth="1"/>
    <col min="124" max="124" width="25.109375" customWidth="1"/>
    <col min="125" max="125" width="23.109375" customWidth="1"/>
    <col min="126" max="126" width="40.88671875" customWidth="1"/>
    <col min="127" max="127" width="13" customWidth="1"/>
    <col min="128" max="128" width="6" customWidth="1"/>
    <col min="129" max="129" width="12.109375" customWidth="1"/>
    <col min="130" max="130" width="8" customWidth="1"/>
    <col min="131" max="131" width="23.44140625" customWidth="1"/>
    <col min="132" max="132" width="17.6640625" customWidth="1"/>
    <col min="133" max="133" width="16.5546875" customWidth="1"/>
    <col min="134" max="134" width="17.44140625" customWidth="1"/>
    <col min="135" max="135" width="39.6640625" hidden="1" customWidth="1"/>
    <col min="136" max="136" width="25.109375" customWidth="1"/>
    <col min="137" max="137" width="23.109375" customWidth="1"/>
    <col min="138" max="138" width="39.109375" customWidth="1"/>
    <col min="139" max="139" width="13.6640625" customWidth="1"/>
    <col min="140" max="140" width="6" customWidth="1"/>
    <col min="141" max="141" width="12.109375" customWidth="1"/>
    <col min="142" max="142" width="8" customWidth="1"/>
    <col min="143" max="143" width="23.44140625" customWidth="1"/>
    <col min="144" max="144" width="17.6640625" customWidth="1"/>
    <col min="145" max="145" width="16.5546875" customWidth="1"/>
    <col min="146" max="146" width="17.44140625" customWidth="1"/>
    <col min="147" max="147" width="39.6640625" hidden="1" customWidth="1"/>
    <col min="148" max="148" width="17.5546875" customWidth="1"/>
    <col min="149" max="149" width="20.33203125" customWidth="1"/>
    <col min="150" max="150" width="39.109375" customWidth="1"/>
  </cols>
  <sheetData>
    <row r="1" spans="1:150" ht="14.25" customHeight="1">
      <c r="CL1" s="138"/>
      <c r="CX1" s="138"/>
      <c r="CY1" s="138"/>
      <c r="DJ1" s="138"/>
      <c r="DK1" s="138"/>
      <c r="DV1" s="138"/>
      <c r="DW1" s="138"/>
      <c r="EH1" s="138"/>
      <c r="EI1" s="138"/>
      <c r="ET1" s="138"/>
    </row>
    <row r="2" spans="1:150" ht="14.25" customHeight="1">
      <c r="CL2" s="138"/>
      <c r="CX2" s="138"/>
      <c r="CY2" s="138"/>
      <c r="DJ2" s="138"/>
      <c r="DK2" s="138"/>
      <c r="DV2" s="138"/>
      <c r="DW2" s="138"/>
      <c r="EH2" s="138"/>
      <c r="EI2" s="138"/>
      <c r="ET2" s="138"/>
    </row>
    <row r="3" spans="1:150" ht="14.25" customHeight="1">
      <c r="CL3" s="138"/>
      <c r="CX3" s="138"/>
      <c r="CY3" s="138"/>
      <c r="DJ3" s="138"/>
      <c r="DK3" s="138"/>
      <c r="DV3" s="138"/>
      <c r="DW3" s="138"/>
      <c r="EH3" s="138"/>
      <c r="EI3" s="138"/>
      <c r="ET3" s="138"/>
    </row>
    <row r="4" spans="1:150" ht="14.25" customHeight="1">
      <c r="A4" s="395">
        <v>44551</v>
      </c>
      <c r="B4" s="393"/>
      <c r="C4" s="393"/>
      <c r="D4" s="393"/>
      <c r="E4" s="393"/>
      <c r="F4" s="393"/>
      <c r="G4" s="394"/>
      <c r="H4" s="243"/>
      <c r="I4" s="346">
        <v>44562</v>
      </c>
      <c r="J4" s="347"/>
      <c r="K4" s="347"/>
      <c r="L4" s="347"/>
      <c r="M4" s="347"/>
      <c r="N4" s="347"/>
      <c r="O4" s="367"/>
      <c r="P4" s="2"/>
      <c r="Q4" s="392">
        <v>44593</v>
      </c>
      <c r="R4" s="393"/>
      <c r="S4" s="393"/>
      <c r="T4" s="393"/>
      <c r="U4" s="393"/>
      <c r="V4" s="393"/>
      <c r="W4" s="394"/>
      <c r="X4" s="2"/>
      <c r="Y4" s="392">
        <v>44621</v>
      </c>
      <c r="Z4" s="393"/>
      <c r="AA4" s="393"/>
      <c r="AB4" s="393"/>
      <c r="AC4" s="393"/>
      <c r="AD4" s="393"/>
      <c r="AE4" s="393"/>
      <c r="AF4" s="393"/>
      <c r="AG4" s="393"/>
      <c r="AH4" s="394"/>
      <c r="AI4" s="2"/>
      <c r="AJ4" s="392">
        <v>44652</v>
      </c>
      <c r="AK4" s="393"/>
      <c r="AL4" s="393"/>
      <c r="AM4" s="393"/>
      <c r="AN4" s="393"/>
      <c r="AO4" s="393"/>
      <c r="AP4" s="393"/>
      <c r="AQ4" s="393"/>
      <c r="AR4" s="393"/>
      <c r="AS4" s="394"/>
      <c r="AT4" s="2"/>
      <c r="AU4" s="392">
        <v>44682</v>
      </c>
      <c r="AV4" s="393"/>
      <c r="AW4" s="393"/>
      <c r="AX4" s="393"/>
      <c r="AY4" s="393"/>
      <c r="AZ4" s="393"/>
      <c r="BA4" s="393"/>
      <c r="BB4" s="393"/>
      <c r="BC4" s="393"/>
      <c r="BD4" s="394"/>
      <c r="BE4" s="2"/>
      <c r="BF4" s="392">
        <v>44713</v>
      </c>
      <c r="BG4" s="393"/>
      <c r="BH4" s="393"/>
      <c r="BI4" s="393"/>
      <c r="BJ4" s="393"/>
      <c r="BK4" s="393"/>
      <c r="BL4" s="393"/>
      <c r="BM4" s="393"/>
      <c r="BN4" s="393"/>
      <c r="BO4" s="394"/>
      <c r="BP4" s="244"/>
      <c r="BQ4" s="392">
        <v>44743</v>
      </c>
      <c r="BR4" s="393"/>
      <c r="BS4" s="393"/>
      <c r="BT4" s="393"/>
      <c r="BU4" s="393"/>
      <c r="BV4" s="393"/>
      <c r="BW4" s="393"/>
      <c r="BX4" s="393"/>
      <c r="BY4" s="393"/>
      <c r="BZ4" s="394"/>
      <c r="CA4" s="244"/>
      <c r="CB4" s="346">
        <v>44774</v>
      </c>
      <c r="CC4" s="347"/>
      <c r="CD4" s="347"/>
      <c r="CE4" s="347"/>
      <c r="CF4" s="347"/>
      <c r="CG4" s="347"/>
      <c r="CH4" s="347"/>
      <c r="CI4" s="347"/>
      <c r="CJ4" s="347"/>
      <c r="CK4" s="367"/>
      <c r="CL4" s="3"/>
      <c r="CM4" s="244"/>
      <c r="CN4" s="346">
        <v>44805</v>
      </c>
      <c r="CO4" s="347"/>
      <c r="CP4" s="347"/>
      <c r="CQ4" s="347"/>
      <c r="CR4" s="347"/>
      <c r="CS4" s="347"/>
      <c r="CT4" s="347"/>
      <c r="CU4" s="347"/>
      <c r="CV4" s="347"/>
      <c r="CW4" s="367"/>
      <c r="CX4" s="3"/>
      <c r="CY4" s="245"/>
      <c r="CZ4" s="346">
        <v>44835</v>
      </c>
      <c r="DA4" s="347"/>
      <c r="DB4" s="347"/>
      <c r="DC4" s="347"/>
      <c r="DD4" s="347"/>
      <c r="DE4" s="347"/>
      <c r="DF4" s="347"/>
      <c r="DG4" s="347"/>
      <c r="DH4" s="347"/>
      <c r="DI4" s="367"/>
      <c r="DJ4" s="3"/>
      <c r="DK4" s="245"/>
      <c r="DL4" s="346">
        <v>44866</v>
      </c>
      <c r="DM4" s="347"/>
      <c r="DN4" s="347"/>
      <c r="DO4" s="347"/>
      <c r="DP4" s="347"/>
      <c r="DQ4" s="347"/>
      <c r="DR4" s="347"/>
      <c r="DS4" s="347"/>
      <c r="DT4" s="347"/>
      <c r="DU4" s="367"/>
      <c r="DV4" s="3"/>
      <c r="DW4" s="245"/>
      <c r="DX4" s="346">
        <v>44896</v>
      </c>
      <c r="DY4" s="347"/>
      <c r="DZ4" s="347"/>
      <c r="EA4" s="347"/>
      <c r="EB4" s="347"/>
      <c r="EC4" s="347"/>
      <c r="ED4" s="347"/>
      <c r="EE4" s="347"/>
      <c r="EF4" s="347"/>
      <c r="EG4" s="367"/>
      <c r="EH4" s="3"/>
      <c r="EI4" s="245"/>
      <c r="EJ4" s="346">
        <v>44927</v>
      </c>
      <c r="EK4" s="347"/>
      <c r="EL4" s="347"/>
      <c r="EM4" s="347"/>
      <c r="EN4" s="347"/>
      <c r="EO4" s="347"/>
      <c r="EP4" s="347"/>
      <c r="EQ4" s="347"/>
      <c r="ER4" s="347"/>
      <c r="ES4" s="367"/>
      <c r="ET4" s="3"/>
    </row>
    <row r="5" spans="1:150" ht="14.25" customHeight="1">
      <c r="A5" s="390" t="s">
        <v>0</v>
      </c>
      <c r="B5" s="351"/>
      <c r="C5" s="377"/>
      <c r="D5" s="247" t="s">
        <v>1</v>
      </c>
      <c r="E5" s="378" t="s">
        <v>2</v>
      </c>
      <c r="F5" s="379" t="s">
        <v>3</v>
      </c>
      <c r="G5" s="359"/>
      <c r="H5" s="248"/>
      <c r="I5" s="391" t="s">
        <v>0</v>
      </c>
      <c r="J5" s="381"/>
      <c r="K5" s="382"/>
      <c r="L5" s="249" t="s">
        <v>1</v>
      </c>
      <c r="M5" s="385" t="s">
        <v>2</v>
      </c>
      <c r="N5" s="387" t="s">
        <v>3</v>
      </c>
      <c r="O5" s="389"/>
      <c r="P5" s="250"/>
      <c r="Q5" s="380" t="s">
        <v>0</v>
      </c>
      <c r="R5" s="381"/>
      <c r="S5" s="382"/>
      <c r="T5" s="249" t="s">
        <v>1</v>
      </c>
      <c r="U5" s="385" t="s">
        <v>2</v>
      </c>
      <c r="V5" s="387" t="s">
        <v>3</v>
      </c>
      <c r="W5" s="389"/>
      <c r="X5" s="250"/>
      <c r="Y5" s="380" t="s">
        <v>0</v>
      </c>
      <c r="Z5" s="381"/>
      <c r="AA5" s="382"/>
      <c r="AB5" s="249" t="s">
        <v>1</v>
      </c>
      <c r="AC5" s="385" t="s">
        <v>2</v>
      </c>
      <c r="AD5" s="387" t="s">
        <v>3</v>
      </c>
      <c r="AE5" s="388"/>
      <c r="AF5" s="388"/>
      <c r="AG5" s="388"/>
      <c r="AH5" s="389"/>
      <c r="AI5" s="250"/>
      <c r="AJ5" s="380" t="s">
        <v>0</v>
      </c>
      <c r="AK5" s="381"/>
      <c r="AL5" s="382"/>
      <c r="AM5" s="249" t="s">
        <v>1</v>
      </c>
      <c r="AN5" s="385" t="s">
        <v>2</v>
      </c>
      <c r="AO5" s="387" t="s">
        <v>3</v>
      </c>
      <c r="AP5" s="388"/>
      <c r="AQ5" s="388"/>
      <c r="AR5" s="388"/>
      <c r="AS5" s="389"/>
      <c r="AT5" s="250"/>
      <c r="AU5" s="380" t="s">
        <v>0</v>
      </c>
      <c r="AV5" s="381"/>
      <c r="AW5" s="382"/>
      <c r="AX5" s="249" t="s">
        <v>1</v>
      </c>
      <c r="AY5" s="385" t="s">
        <v>2</v>
      </c>
      <c r="AZ5" s="387" t="s">
        <v>3</v>
      </c>
      <c r="BA5" s="388"/>
      <c r="BB5" s="388"/>
      <c r="BC5" s="388"/>
      <c r="BD5" s="389"/>
      <c r="BE5" s="250"/>
      <c r="BF5" s="380" t="s">
        <v>0</v>
      </c>
      <c r="BG5" s="381"/>
      <c r="BH5" s="382"/>
      <c r="BI5" s="249" t="s">
        <v>1</v>
      </c>
      <c r="BJ5" s="385" t="s">
        <v>2</v>
      </c>
      <c r="BK5" s="387" t="s">
        <v>3</v>
      </c>
      <c r="BL5" s="388"/>
      <c r="BM5" s="388"/>
      <c r="BN5" s="388"/>
      <c r="BO5" s="389"/>
      <c r="BP5" s="246"/>
      <c r="BQ5" s="380" t="s">
        <v>0</v>
      </c>
      <c r="BR5" s="381"/>
      <c r="BS5" s="382"/>
      <c r="BT5" s="249" t="s">
        <v>1</v>
      </c>
      <c r="BU5" s="385" t="s">
        <v>2</v>
      </c>
      <c r="BV5" s="387" t="s">
        <v>3</v>
      </c>
      <c r="BW5" s="388"/>
      <c r="BX5" s="388"/>
      <c r="BY5" s="388"/>
      <c r="BZ5" s="389"/>
      <c r="CA5" s="246"/>
      <c r="CB5" s="376" t="s">
        <v>0</v>
      </c>
      <c r="CC5" s="351"/>
      <c r="CD5" s="377"/>
      <c r="CE5" s="247" t="s">
        <v>1</v>
      </c>
      <c r="CF5" s="378" t="s">
        <v>2</v>
      </c>
      <c r="CG5" s="379" t="s">
        <v>3</v>
      </c>
      <c r="CH5" s="358"/>
      <c r="CI5" s="358"/>
      <c r="CJ5" s="358"/>
      <c r="CK5" s="359"/>
      <c r="CL5" s="374" t="s">
        <v>4</v>
      </c>
      <c r="CM5" s="246"/>
      <c r="CN5" s="376" t="s">
        <v>0</v>
      </c>
      <c r="CO5" s="351"/>
      <c r="CP5" s="377"/>
      <c r="CQ5" s="247" t="s">
        <v>1</v>
      </c>
      <c r="CR5" s="378" t="s">
        <v>2</v>
      </c>
      <c r="CS5" s="379" t="s">
        <v>3</v>
      </c>
      <c r="CT5" s="358"/>
      <c r="CU5" s="358"/>
      <c r="CV5" s="358"/>
      <c r="CW5" s="359"/>
      <c r="CX5" s="374" t="s">
        <v>4</v>
      </c>
      <c r="CY5" s="4"/>
      <c r="CZ5" s="376" t="s">
        <v>0</v>
      </c>
      <c r="DA5" s="351"/>
      <c r="DB5" s="377"/>
      <c r="DC5" s="247" t="s">
        <v>1</v>
      </c>
      <c r="DD5" s="378" t="s">
        <v>2</v>
      </c>
      <c r="DE5" s="379" t="s">
        <v>3</v>
      </c>
      <c r="DF5" s="358"/>
      <c r="DG5" s="358"/>
      <c r="DH5" s="358"/>
      <c r="DI5" s="359"/>
      <c r="DJ5" s="374" t="s">
        <v>4</v>
      </c>
      <c r="DK5" s="4"/>
      <c r="DL5" s="376" t="s">
        <v>0</v>
      </c>
      <c r="DM5" s="351"/>
      <c r="DN5" s="377"/>
      <c r="DO5" s="247" t="s">
        <v>1</v>
      </c>
      <c r="DP5" s="378" t="s">
        <v>2</v>
      </c>
      <c r="DQ5" s="379" t="s">
        <v>3</v>
      </c>
      <c r="DR5" s="358"/>
      <c r="DS5" s="358"/>
      <c r="DT5" s="358"/>
      <c r="DU5" s="359"/>
      <c r="DV5" s="374" t="s">
        <v>4</v>
      </c>
      <c r="DW5" s="4"/>
      <c r="DX5" s="376" t="s">
        <v>0</v>
      </c>
      <c r="DY5" s="351"/>
      <c r="DZ5" s="377"/>
      <c r="EA5" s="247" t="s">
        <v>1</v>
      </c>
      <c r="EB5" s="378" t="s">
        <v>2</v>
      </c>
      <c r="EC5" s="379" t="s">
        <v>3</v>
      </c>
      <c r="ED5" s="358"/>
      <c r="EE5" s="358"/>
      <c r="EF5" s="358"/>
      <c r="EG5" s="359"/>
      <c r="EH5" s="374" t="s">
        <v>4</v>
      </c>
      <c r="EI5" s="4"/>
      <c r="EJ5" s="376" t="s">
        <v>0</v>
      </c>
      <c r="EK5" s="351"/>
      <c r="EL5" s="377"/>
      <c r="EM5" s="247" t="s">
        <v>1</v>
      </c>
      <c r="EN5" s="378" t="s">
        <v>2</v>
      </c>
      <c r="EO5" s="379" t="s">
        <v>3</v>
      </c>
      <c r="EP5" s="358"/>
      <c r="EQ5" s="358"/>
      <c r="ER5" s="358"/>
      <c r="ES5" s="359"/>
      <c r="ET5" s="374" t="s">
        <v>4</v>
      </c>
    </row>
    <row r="6" spans="1:150" ht="14.25" customHeight="1">
      <c r="A6" s="353"/>
      <c r="B6" s="353"/>
      <c r="C6" s="384"/>
      <c r="D6" s="251" t="s">
        <v>5</v>
      </c>
      <c r="E6" s="386"/>
      <c r="F6" s="5"/>
      <c r="G6" s="252" t="s">
        <v>6</v>
      </c>
      <c r="H6" s="248"/>
      <c r="I6" s="383"/>
      <c r="J6" s="353"/>
      <c r="K6" s="384"/>
      <c r="L6" s="251" t="s">
        <v>5</v>
      </c>
      <c r="M6" s="386"/>
      <c r="N6" s="251"/>
      <c r="O6" s="252" t="s">
        <v>6</v>
      </c>
      <c r="P6" s="250"/>
      <c r="Q6" s="383"/>
      <c r="R6" s="353"/>
      <c r="S6" s="384"/>
      <c r="T6" s="251" t="s">
        <v>5</v>
      </c>
      <c r="U6" s="386"/>
      <c r="V6" s="5" t="s">
        <v>7</v>
      </c>
      <c r="W6" s="252" t="s">
        <v>6</v>
      </c>
      <c r="X6" s="250"/>
      <c r="Y6" s="383"/>
      <c r="Z6" s="353"/>
      <c r="AA6" s="384"/>
      <c r="AB6" s="251" t="s">
        <v>5</v>
      </c>
      <c r="AC6" s="386"/>
      <c r="AD6" s="5" t="s">
        <v>8</v>
      </c>
      <c r="AE6" s="6" t="s">
        <v>9</v>
      </c>
      <c r="AF6" s="7" t="s">
        <v>10</v>
      </c>
      <c r="AG6" s="8" t="s">
        <v>11</v>
      </c>
      <c r="AH6" s="9" t="s">
        <v>12</v>
      </c>
      <c r="AI6" s="250"/>
      <c r="AJ6" s="383"/>
      <c r="AK6" s="353"/>
      <c r="AL6" s="384"/>
      <c r="AM6" s="251" t="s">
        <v>5</v>
      </c>
      <c r="AN6" s="386"/>
      <c r="AO6" s="5" t="s">
        <v>8</v>
      </c>
      <c r="AP6" s="6" t="s">
        <v>9</v>
      </c>
      <c r="AQ6" s="10" t="s">
        <v>10</v>
      </c>
      <c r="AR6" s="8" t="s">
        <v>11</v>
      </c>
      <c r="AS6" s="9" t="s">
        <v>12</v>
      </c>
      <c r="AT6" s="250"/>
      <c r="AU6" s="383"/>
      <c r="AV6" s="353"/>
      <c r="AW6" s="384"/>
      <c r="AX6" s="251" t="s">
        <v>5</v>
      </c>
      <c r="AY6" s="386"/>
      <c r="AZ6" s="5" t="s">
        <v>8</v>
      </c>
      <c r="BA6" s="6" t="s">
        <v>9</v>
      </c>
      <c r="BB6" s="10" t="s">
        <v>10</v>
      </c>
      <c r="BC6" s="8" t="s">
        <v>11</v>
      </c>
      <c r="BD6" s="9" t="s">
        <v>12</v>
      </c>
      <c r="BE6" s="250"/>
      <c r="BF6" s="383"/>
      <c r="BG6" s="353"/>
      <c r="BH6" s="384"/>
      <c r="BI6" s="251" t="s">
        <v>5</v>
      </c>
      <c r="BJ6" s="386"/>
      <c r="BK6" s="5" t="s">
        <v>8</v>
      </c>
      <c r="BL6" s="6" t="s">
        <v>9</v>
      </c>
      <c r="BM6" s="10" t="s">
        <v>10</v>
      </c>
      <c r="BN6" s="8" t="s">
        <v>11</v>
      </c>
      <c r="BO6" s="9" t="s">
        <v>12</v>
      </c>
      <c r="BP6" s="4"/>
      <c r="BQ6" s="383"/>
      <c r="BR6" s="353"/>
      <c r="BS6" s="384"/>
      <c r="BT6" s="251" t="s">
        <v>5</v>
      </c>
      <c r="BU6" s="386"/>
      <c r="BV6" s="5" t="s">
        <v>8</v>
      </c>
      <c r="BW6" s="6" t="s">
        <v>9</v>
      </c>
      <c r="BX6" s="10" t="s">
        <v>10</v>
      </c>
      <c r="BY6" s="8" t="s">
        <v>11</v>
      </c>
      <c r="BZ6" s="9" t="s">
        <v>12</v>
      </c>
      <c r="CA6" s="4"/>
      <c r="CB6" s="357"/>
      <c r="CC6" s="358"/>
      <c r="CD6" s="349"/>
      <c r="CE6" s="253" t="s">
        <v>5</v>
      </c>
      <c r="CF6" s="365"/>
      <c r="CG6" s="11" t="s">
        <v>8</v>
      </c>
      <c r="CH6" s="12" t="s">
        <v>9</v>
      </c>
      <c r="CI6" s="11" t="s">
        <v>10</v>
      </c>
      <c r="CJ6" s="11" t="s">
        <v>11</v>
      </c>
      <c r="CK6" s="13" t="s">
        <v>12</v>
      </c>
      <c r="CL6" s="375"/>
      <c r="CM6" s="4"/>
      <c r="CN6" s="357"/>
      <c r="CO6" s="358"/>
      <c r="CP6" s="349"/>
      <c r="CQ6" s="253" t="s">
        <v>5</v>
      </c>
      <c r="CR6" s="365"/>
      <c r="CS6" s="11" t="s">
        <v>8</v>
      </c>
      <c r="CT6" s="12" t="s">
        <v>9</v>
      </c>
      <c r="CU6" s="11" t="s">
        <v>10</v>
      </c>
      <c r="CV6" s="11" t="s">
        <v>11</v>
      </c>
      <c r="CW6" s="13" t="s">
        <v>12</v>
      </c>
      <c r="CX6" s="375"/>
      <c r="CY6" s="4"/>
      <c r="CZ6" s="357"/>
      <c r="DA6" s="358"/>
      <c r="DB6" s="349"/>
      <c r="DC6" s="253" t="s">
        <v>5</v>
      </c>
      <c r="DD6" s="365"/>
      <c r="DE6" s="11" t="s">
        <v>8</v>
      </c>
      <c r="DF6" s="12" t="s">
        <v>9</v>
      </c>
      <c r="DG6" s="11" t="s">
        <v>10</v>
      </c>
      <c r="DH6" s="11" t="s">
        <v>11</v>
      </c>
      <c r="DI6" s="13" t="s">
        <v>12</v>
      </c>
      <c r="DJ6" s="375"/>
      <c r="DK6" s="4"/>
      <c r="DL6" s="357"/>
      <c r="DM6" s="358"/>
      <c r="DN6" s="349"/>
      <c r="DO6" s="253" t="s">
        <v>5</v>
      </c>
      <c r="DP6" s="365"/>
      <c r="DQ6" s="11" t="s">
        <v>8</v>
      </c>
      <c r="DR6" s="12" t="s">
        <v>9</v>
      </c>
      <c r="DS6" s="11" t="s">
        <v>10</v>
      </c>
      <c r="DT6" s="11" t="s">
        <v>11</v>
      </c>
      <c r="DU6" s="13" t="s">
        <v>12</v>
      </c>
      <c r="DV6" s="375"/>
      <c r="DW6" s="4"/>
      <c r="DX6" s="357"/>
      <c r="DY6" s="358"/>
      <c r="DZ6" s="349"/>
      <c r="EA6" s="253" t="s">
        <v>5</v>
      </c>
      <c r="EB6" s="365"/>
      <c r="EC6" s="11" t="s">
        <v>8</v>
      </c>
      <c r="ED6" s="12" t="s">
        <v>9</v>
      </c>
      <c r="EE6" s="11" t="s">
        <v>10</v>
      </c>
      <c r="EF6" s="11" t="s">
        <v>11</v>
      </c>
      <c r="EG6" s="13" t="s">
        <v>12</v>
      </c>
      <c r="EH6" s="375"/>
      <c r="EI6" s="4"/>
      <c r="EJ6" s="357"/>
      <c r="EK6" s="358"/>
      <c r="EL6" s="349"/>
      <c r="EM6" s="253" t="s">
        <v>5</v>
      </c>
      <c r="EN6" s="365"/>
      <c r="EO6" s="11" t="s">
        <v>8</v>
      </c>
      <c r="EP6" s="12" t="s">
        <v>9</v>
      </c>
      <c r="EQ6" s="11" t="s">
        <v>10</v>
      </c>
      <c r="ER6" s="11" t="s">
        <v>11</v>
      </c>
      <c r="ES6" s="13" t="s">
        <v>12</v>
      </c>
      <c r="ET6" s="375"/>
    </row>
    <row r="7" spans="1:150" ht="14.25" customHeight="1">
      <c r="A7" s="14">
        <v>1</v>
      </c>
      <c r="B7" s="15" t="s">
        <v>13</v>
      </c>
      <c r="C7" s="16">
        <v>44891</v>
      </c>
      <c r="D7" s="254">
        <v>893717.84900000005</v>
      </c>
      <c r="E7" s="17">
        <v>787623</v>
      </c>
      <c r="F7" s="17">
        <v>106094.85</v>
      </c>
      <c r="G7" s="18">
        <v>0</v>
      </c>
      <c r="H7" s="255"/>
      <c r="I7" s="19">
        <v>1</v>
      </c>
      <c r="J7" s="20" t="s">
        <v>14</v>
      </c>
      <c r="K7" s="21">
        <v>44556</v>
      </c>
      <c r="L7" s="256">
        <v>799816.21730000002</v>
      </c>
      <c r="M7" s="22">
        <v>784840</v>
      </c>
      <c r="N7" s="22">
        <v>14976.22</v>
      </c>
      <c r="O7" s="23">
        <v>0</v>
      </c>
      <c r="P7" s="24"/>
      <c r="Q7" s="25">
        <v>1</v>
      </c>
      <c r="R7" s="15" t="s">
        <v>15</v>
      </c>
      <c r="S7" s="26">
        <v>44587</v>
      </c>
      <c r="T7" s="257">
        <v>835453.63630000001</v>
      </c>
      <c r="U7" s="22">
        <v>831932</v>
      </c>
      <c r="V7" s="22">
        <f t="shared" ref="V7:V37" si="0">T7-U7</f>
        <v>3521.6363000000129</v>
      </c>
      <c r="W7" s="23">
        <v>0</v>
      </c>
      <c r="X7" s="24">
        <v>28</v>
      </c>
      <c r="Y7" s="27">
        <v>1</v>
      </c>
      <c r="Z7" s="258" t="s">
        <v>16</v>
      </c>
      <c r="AA7" s="21">
        <v>44618</v>
      </c>
      <c r="AB7" s="259">
        <v>771646.44</v>
      </c>
      <c r="AC7" s="28">
        <v>830904</v>
      </c>
      <c r="AD7" s="28">
        <f t="shared" ref="AD7:AD34" si="1">MAX(0,AB7-AC7)</f>
        <v>0</v>
      </c>
      <c r="AE7" s="29">
        <f t="shared" ref="AE7:AE34" si="2">MAX(0,AC7-AB7)</f>
        <v>59257.560000000056</v>
      </c>
      <c r="AF7" s="30">
        <v>8.25</v>
      </c>
      <c r="AG7" s="31"/>
      <c r="AH7" s="32">
        <v>186591.62</v>
      </c>
      <c r="AI7" s="24">
        <v>31</v>
      </c>
      <c r="AJ7" s="27">
        <v>1</v>
      </c>
      <c r="AK7" s="258" t="s">
        <v>16</v>
      </c>
      <c r="AL7" s="21">
        <v>44646</v>
      </c>
      <c r="AM7" s="260">
        <v>966818.07</v>
      </c>
      <c r="AN7" s="17">
        <v>840000</v>
      </c>
      <c r="AO7" s="28">
        <f t="shared" ref="AO7:AO37" si="3">MAX(0,AM7-AN7)</f>
        <v>126818.06999999995</v>
      </c>
      <c r="AP7" s="29">
        <f t="shared" ref="AP7:AP37" si="4">MAX(0,AN7-AM7)</f>
        <v>0</v>
      </c>
      <c r="AQ7" s="30"/>
      <c r="AR7" s="33">
        <v>4013738.18</v>
      </c>
      <c r="AS7" s="32"/>
      <c r="AT7" s="24"/>
      <c r="AU7" s="27">
        <v>1</v>
      </c>
      <c r="AV7" s="15" t="s">
        <v>17</v>
      </c>
      <c r="AW7" s="21">
        <v>44677</v>
      </c>
      <c r="AX7" s="260">
        <v>1024443.17</v>
      </c>
      <c r="AY7" s="261">
        <v>840000</v>
      </c>
      <c r="AZ7" s="28">
        <f t="shared" ref="AZ7:AZ37" si="5">MAX(0,AX7-AY7)</f>
        <v>184443.17000000004</v>
      </c>
      <c r="BA7" s="29">
        <f t="shared" ref="BA7:BA37" si="6">MAX(0,AY7-AX7)</f>
        <v>0</v>
      </c>
      <c r="BB7" s="30"/>
      <c r="BC7" s="33">
        <v>1530077.76</v>
      </c>
      <c r="BD7" s="32"/>
      <c r="BE7" s="24"/>
      <c r="BF7" s="27">
        <v>1</v>
      </c>
      <c r="BG7" s="15" t="s">
        <v>18</v>
      </c>
      <c r="BH7" s="21">
        <v>44707</v>
      </c>
      <c r="BI7" s="260">
        <v>1040740.02</v>
      </c>
      <c r="BJ7" s="261">
        <v>840000</v>
      </c>
      <c r="BK7" s="28">
        <f t="shared" ref="BK7:BK37" si="7">MAX(0,BI7-BJ7)</f>
        <v>200740.02000000002</v>
      </c>
      <c r="BL7" s="29">
        <f t="shared" ref="BL7:BL37" si="8">MAX(0,BJ7-BI7)</f>
        <v>0</v>
      </c>
      <c r="BM7" s="30"/>
      <c r="BN7" s="33">
        <v>2968165.77</v>
      </c>
      <c r="BO7" s="32"/>
      <c r="BP7" s="34"/>
      <c r="BQ7" s="27">
        <v>1</v>
      </c>
      <c r="BR7" s="20" t="s">
        <v>14</v>
      </c>
      <c r="BS7" s="21">
        <v>44738</v>
      </c>
      <c r="BT7" s="260">
        <v>920356.41</v>
      </c>
      <c r="BU7" s="261">
        <v>840000</v>
      </c>
      <c r="BV7" s="28">
        <f t="shared" ref="BV7:BV37" si="9">MAX(0,BT7-BU7)</f>
        <v>80356.410000000033</v>
      </c>
      <c r="BW7" s="29">
        <f t="shared" ref="BW7:BW37" si="10">MAX(0,BU7-BT7)</f>
        <v>0</v>
      </c>
      <c r="BX7" s="30"/>
      <c r="BY7" s="32">
        <v>573228.18000000005</v>
      </c>
      <c r="BZ7" s="32"/>
      <c r="CA7" s="34"/>
      <c r="CB7" s="27">
        <v>1</v>
      </c>
      <c r="CC7" s="35" t="s">
        <v>17</v>
      </c>
      <c r="CD7" s="21">
        <v>44768</v>
      </c>
      <c r="CE7" s="260">
        <v>994969.81</v>
      </c>
      <c r="CF7" s="261">
        <v>840000</v>
      </c>
      <c r="CG7" s="28">
        <f t="shared" ref="CG7:CG37" si="11">MAX(0,CE7-CF7)</f>
        <v>154969.81000000006</v>
      </c>
      <c r="CH7" s="29">
        <f t="shared" ref="CH7:CH37" si="12">MAX(0,CF7-CE7)</f>
        <v>0</v>
      </c>
      <c r="CI7" s="30"/>
      <c r="CJ7" s="32">
        <v>2298181.52</v>
      </c>
      <c r="CK7" s="32"/>
      <c r="CL7" s="36" t="s">
        <v>19</v>
      </c>
      <c r="CM7" s="34"/>
      <c r="CN7" s="27">
        <v>1</v>
      </c>
      <c r="CO7" s="262" t="s">
        <v>13</v>
      </c>
      <c r="CP7" s="263">
        <v>44799</v>
      </c>
      <c r="CQ7" s="264">
        <v>933309.62</v>
      </c>
      <c r="CR7" s="265">
        <v>840000</v>
      </c>
      <c r="CS7" s="28">
        <f t="shared" ref="CS7:CS37" si="13">MAX(0,CQ7-CR7)</f>
        <v>93309.62</v>
      </c>
      <c r="CT7" s="29">
        <f t="shared" ref="CT7:CT37" si="14">MAX(0,CR7-CQ7)</f>
        <v>0</v>
      </c>
      <c r="CU7" s="30" t="s">
        <v>20</v>
      </c>
      <c r="CV7" s="32">
        <v>2898270.48</v>
      </c>
      <c r="CW7" s="32"/>
      <c r="CX7" s="36" t="s">
        <v>21</v>
      </c>
      <c r="CY7" s="37"/>
      <c r="CZ7" s="27">
        <v>1</v>
      </c>
      <c r="DA7" s="15" t="s">
        <v>22</v>
      </c>
      <c r="DB7" s="263">
        <v>44830</v>
      </c>
      <c r="DC7" s="264">
        <f>117.9454378*1000</f>
        <v>117945.4378</v>
      </c>
      <c r="DD7" s="261">
        <f>840000</f>
        <v>840000</v>
      </c>
      <c r="DE7" s="28">
        <f t="shared" ref="DE7:DE37" si="15">MAX(0,DC7-DD7)</f>
        <v>0</v>
      </c>
      <c r="DF7" s="29">
        <f t="shared" ref="DF7:DF37" si="16">MAX(0,DD7-DC7)</f>
        <v>722054.56220000004</v>
      </c>
      <c r="DG7" s="30" t="s">
        <v>20</v>
      </c>
      <c r="DH7" s="32"/>
      <c r="DI7" s="32"/>
      <c r="DJ7" s="36"/>
      <c r="DK7" s="37"/>
      <c r="DL7" s="27">
        <v>1</v>
      </c>
      <c r="DM7" s="266" t="s">
        <v>15</v>
      </c>
      <c r="DN7" s="263">
        <v>44860</v>
      </c>
      <c r="DO7" s="264">
        <v>953978.66</v>
      </c>
      <c r="DP7" s="265">
        <v>840000</v>
      </c>
      <c r="DQ7" s="28">
        <f t="shared" ref="DQ7:DQ37" si="17">MAX(0,DO7-DP7)</f>
        <v>113978.66000000003</v>
      </c>
      <c r="DR7" s="29">
        <f t="shared" ref="DR7:DR37" si="18">MAX(0,DP7-DO7)</f>
        <v>0</v>
      </c>
      <c r="DS7" s="30" t="s">
        <v>20</v>
      </c>
      <c r="DT7" s="32">
        <v>1165728.1100000001</v>
      </c>
      <c r="DU7" s="32"/>
      <c r="DV7" s="36"/>
      <c r="DW7" s="38">
        <f t="shared" ref="DW7:DW37" si="19">DO7/24</f>
        <v>39749.110833333332</v>
      </c>
      <c r="DX7" s="27">
        <v>1</v>
      </c>
      <c r="DY7" s="20" t="s">
        <v>16</v>
      </c>
      <c r="DZ7" s="263">
        <v>44891</v>
      </c>
      <c r="EA7" s="264">
        <v>951706.41</v>
      </c>
      <c r="EB7" s="265">
        <v>840000</v>
      </c>
      <c r="EC7" s="28">
        <f t="shared" ref="EC7:EC36" si="20">MAX(0,EA7-EB7)</f>
        <v>111706.41000000003</v>
      </c>
      <c r="ED7" s="29">
        <f t="shared" ref="ED7:ED36" si="21">MAX(0,EB7-EA7)</f>
        <v>0</v>
      </c>
      <c r="EE7" s="30" t="s">
        <v>20</v>
      </c>
      <c r="EF7" s="32">
        <v>4093416.9</v>
      </c>
      <c r="EG7" s="32"/>
      <c r="EH7" s="36" t="s">
        <v>23</v>
      </c>
      <c r="EI7" s="38">
        <f t="shared" ref="EI7:EI37" si="22">EA7/24</f>
        <v>39654.433750000004</v>
      </c>
      <c r="EJ7" s="27">
        <v>1</v>
      </c>
      <c r="EK7" s="15" t="s">
        <v>22</v>
      </c>
      <c r="EL7" s="263">
        <v>44921</v>
      </c>
      <c r="EM7" s="264">
        <v>684582.19</v>
      </c>
      <c r="EN7" s="265">
        <v>888000</v>
      </c>
      <c r="EO7" s="28">
        <f t="shared" ref="EO7:EO37" si="23">MAX(0,EM7-EN7)</f>
        <v>0</v>
      </c>
      <c r="EP7" s="29">
        <f t="shared" ref="EP7:EP37" si="24">MAX(0,EN7-EM7)</f>
        <v>203417.81000000006</v>
      </c>
      <c r="EQ7" s="30" t="s">
        <v>20</v>
      </c>
      <c r="ER7" s="32"/>
      <c r="ES7" s="32">
        <v>358937.75</v>
      </c>
      <c r="ET7" s="36"/>
    </row>
    <row r="8" spans="1:150" ht="14.25" customHeight="1">
      <c r="A8" s="14">
        <v>2</v>
      </c>
      <c r="B8" s="20" t="s">
        <v>16</v>
      </c>
      <c r="C8" s="16">
        <v>44892</v>
      </c>
      <c r="D8" s="267">
        <v>871624.73030000005</v>
      </c>
      <c r="E8" s="17">
        <v>784840</v>
      </c>
      <c r="F8" s="17">
        <v>86784.73</v>
      </c>
      <c r="G8" s="18">
        <v>0</v>
      </c>
      <c r="H8" s="255"/>
      <c r="I8" s="19">
        <v>2</v>
      </c>
      <c r="J8" s="15" t="s">
        <v>22</v>
      </c>
      <c r="K8" s="21">
        <v>44557</v>
      </c>
      <c r="L8" s="39">
        <v>795395.58050000004</v>
      </c>
      <c r="M8" s="17">
        <v>784840</v>
      </c>
      <c r="N8" s="17">
        <v>10555.58</v>
      </c>
      <c r="O8" s="18">
        <v>0</v>
      </c>
      <c r="P8" s="40"/>
      <c r="Q8" s="19">
        <v>2</v>
      </c>
      <c r="R8" s="15" t="s">
        <v>18</v>
      </c>
      <c r="S8" s="26">
        <v>44588</v>
      </c>
      <c r="T8" s="41">
        <v>858532.56869999995</v>
      </c>
      <c r="U8" s="17">
        <v>833000</v>
      </c>
      <c r="V8" s="22">
        <f t="shared" si="0"/>
        <v>25532.568699999945</v>
      </c>
      <c r="W8" s="18">
        <v>0</v>
      </c>
      <c r="X8" s="24">
        <v>27</v>
      </c>
      <c r="Y8" s="19">
        <v>2</v>
      </c>
      <c r="Z8" s="20" t="s">
        <v>14</v>
      </c>
      <c r="AA8" s="21">
        <v>44619</v>
      </c>
      <c r="AB8" s="42">
        <v>745496.22</v>
      </c>
      <c r="AC8" s="43">
        <v>832440</v>
      </c>
      <c r="AD8" s="28">
        <f t="shared" si="1"/>
        <v>0</v>
      </c>
      <c r="AE8" s="44">
        <f t="shared" si="2"/>
        <v>86943.780000000028</v>
      </c>
      <c r="AF8" s="45">
        <v>6.25</v>
      </c>
      <c r="AG8" s="31"/>
      <c r="AH8" s="32">
        <v>472656.91</v>
      </c>
      <c r="AI8" s="24">
        <v>30</v>
      </c>
      <c r="AJ8" s="19">
        <v>2</v>
      </c>
      <c r="AK8" s="20" t="s">
        <v>14</v>
      </c>
      <c r="AL8" s="21">
        <v>44647</v>
      </c>
      <c r="AM8" s="46">
        <v>955467.44</v>
      </c>
      <c r="AN8" s="17">
        <v>840000</v>
      </c>
      <c r="AO8" s="28">
        <f t="shared" si="3"/>
        <v>115467.43999999994</v>
      </c>
      <c r="AP8" s="44">
        <f t="shared" si="4"/>
        <v>0</v>
      </c>
      <c r="AQ8" s="45"/>
      <c r="AR8" s="33">
        <v>1312539.3700000001</v>
      </c>
      <c r="AS8" s="32"/>
      <c r="AT8" s="24"/>
      <c r="AU8" s="19">
        <v>2</v>
      </c>
      <c r="AV8" s="15" t="s">
        <v>15</v>
      </c>
      <c r="AW8" s="21">
        <v>44678</v>
      </c>
      <c r="AX8" s="46">
        <v>1026931.85</v>
      </c>
      <c r="AY8" s="261">
        <v>840000</v>
      </c>
      <c r="AZ8" s="28">
        <f t="shared" si="5"/>
        <v>186931.84999999998</v>
      </c>
      <c r="BA8" s="44">
        <f t="shared" si="6"/>
        <v>0</v>
      </c>
      <c r="BB8" s="45"/>
      <c r="BC8" s="33">
        <v>1670950.68</v>
      </c>
      <c r="BD8" s="32"/>
      <c r="BE8" s="24"/>
      <c r="BF8" s="19">
        <v>2</v>
      </c>
      <c r="BG8" s="15" t="s">
        <v>13</v>
      </c>
      <c r="BH8" s="21">
        <v>44708</v>
      </c>
      <c r="BI8" s="46">
        <v>1086343.78</v>
      </c>
      <c r="BJ8" s="261">
        <v>840000</v>
      </c>
      <c r="BK8" s="28">
        <f t="shared" si="7"/>
        <v>246343.78000000003</v>
      </c>
      <c r="BL8" s="44">
        <f t="shared" si="8"/>
        <v>0</v>
      </c>
      <c r="BM8" s="45"/>
      <c r="BN8" s="33">
        <v>3381139.27</v>
      </c>
      <c r="BO8" s="32"/>
      <c r="BP8" s="34"/>
      <c r="BQ8" s="19">
        <v>2</v>
      </c>
      <c r="BR8" s="15" t="s">
        <v>22</v>
      </c>
      <c r="BS8" s="21">
        <v>44739</v>
      </c>
      <c r="BT8" s="46">
        <v>928429.71</v>
      </c>
      <c r="BU8" s="261">
        <v>840000</v>
      </c>
      <c r="BV8" s="28">
        <f t="shared" si="9"/>
        <v>88429.709999999963</v>
      </c>
      <c r="BW8" s="44">
        <f t="shared" si="10"/>
        <v>0</v>
      </c>
      <c r="BX8" s="45"/>
      <c r="BY8" s="32">
        <v>677675.06</v>
      </c>
      <c r="BZ8" s="32"/>
      <c r="CA8" s="34"/>
      <c r="CB8" s="19">
        <v>2</v>
      </c>
      <c r="CC8" s="266" t="s">
        <v>15</v>
      </c>
      <c r="CD8" s="21">
        <v>44769</v>
      </c>
      <c r="CE8" s="46">
        <v>981462.06</v>
      </c>
      <c r="CF8" s="261">
        <v>840000</v>
      </c>
      <c r="CG8" s="28">
        <f t="shared" si="11"/>
        <v>141462.06000000006</v>
      </c>
      <c r="CH8" s="44">
        <f t="shared" si="12"/>
        <v>0</v>
      </c>
      <c r="CI8" s="45"/>
      <c r="CJ8" s="32">
        <v>1533374.04</v>
      </c>
      <c r="CK8" s="32"/>
      <c r="CL8" s="36" t="s">
        <v>24</v>
      </c>
      <c r="CM8" s="34"/>
      <c r="CN8" s="19">
        <v>2</v>
      </c>
      <c r="CO8" s="20" t="s">
        <v>16</v>
      </c>
      <c r="CP8" s="21">
        <v>44800</v>
      </c>
      <c r="CQ8" s="46">
        <v>893695.32</v>
      </c>
      <c r="CR8" s="265">
        <v>840000</v>
      </c>
      <c r="CS8" s="28">
        <f t="shared" si="13"/>
        <v>53695.319999999949</v>
      </c>
      <c r="CT8" s="44">
        <f t="shared" si="14"/>
        <v>0</v>
      </c>
      <c r="CU8" s="45"/>
      <c r="CV8" s="32">
        <v>616489.11</v>
      </c>
      <c r="CW8" s="32"/>
      <c r="CX8" s="36" t="s">
        <v>21</v>
      </c>
      <c r="CY8" s="37"/>
      <c r="CZ8" s="19">
        <v>2</v>
      </c>
      <c r="DA8" s="35" t="s">
        <v>17</v>
      </c>
      <c r="DB8" s="263">
        <v>44831</v>
      </c>
      <c r="DC8" s="46">
        <f>778.7181072*1000</f>
        <v>778718.10719999997</v>
      </c>
      <c r="DD8" s="261">
        <v>840000</v>
      </c>
      <c r="DE8" s="28">
        <f t="shared" si="15"/>
        <v>0</v>
      </c>
      <c r="DF8" s="44">
        <f t="shared" si="16"/>
        <v>61281.892800000031</v>
      </c>
      <c r="DG8" s="45"/>
      <c r="DH8" s="32"/>
      <c r="DI8" s="32"/>
      <c r="DJ8" s="36"/>
      <c r="DK8" s="37"/>
      <c r="DL8" s="19">
        <v>2</v>
      </c>
      <c r="DM8" s="266" t="s">
        <v>18</v>
      </c>
      <c r="DN8" s="263">
        <v>44861</v>
      </c>
      <c r="DO8" s="46">
        <v>986710.48</v>
      </c>
      <c r="DP8" s="265">
        <v>840000</v>
      </c>
      <c r="DQ8" s="28">
        <f t="shared" si="17"/>
        <v>146710.47999999998</v>
      </c>
      <c r="DR8" s="44">
        <f t="shared" si="18"/>
        <v>0</v>
      </c>
      <c r="DS8" s="45"/>
      <c r="DT8" s="32">
        <v>1737909.11</v>
      </c>
      <c r="DU8" s="32"/>
      <c r="DV8" s="36"/>
      <c r="DW8" s="38">
        <f t="shared" si="19"/>
        <v>41112.936666666668</v>
      </c>
      <c r="DX8" s="19">
        <v>2</v>
      </c>
      <c r="DY8" s="20" t="s">
        <v>14</v>
      </c>
      <c r="DZ8" s="263">
        <v>44892</v>
      </c>
      <c r="EA8" s="46">
        <v>928828.53</v>
      </c>
      <c r="EB8" s="265">
        <v>840000</v>
      </c>
      <c r="EC8" s="28">
        <f t="shared" si="20"/>
        <v>88828.530000000028</v>
      </c>
      <c r="ED8" s="44">
        <f t="shared" si="21"/>
        <v>0</v>
      </c>
      <c r="EE8" s="45"/>
      <c r="EF8" s="32">
        <v>3228283.71</v>
      </c>
      <c r="EG8" s="32"/>
      <c r="EH8" s="36" t="s">
        <v>25</v>
      </c>
      <c r="EI8" s="38">
        <f t="shared" si="22"/>
        <v>38701.188750000001</v>
      </c>
      <c r="EJ8" s="19">
        <v>2</v>
      </c>
      <c r="EK8" s="35" t="s">
        <v>17</v>
      </c>
      <c r="EL8" s="263">
        <v>44922</v>
      </c>
      <c r="EM8" s="46">
        <v>772227.98</v>
      </c>
      <c r="EN8" s="265">
        <v>888000</v>
      </c>
      <c r="EO8" s="28">
        <f t="shared" si="23"/>
        <v>0</v>
      </c>
      <c r="EP8" s="44">
        <f t="shared" si="24"/>
        <v>115772.02000000002</v>
      </c>
      <c r="EQ8" s="45"/>
      <c r="ER8" s="32"/>
      <c r="ES8" s="32">
        <v>231173.78</v>
      </c>
      <c r="ET8" s="36"/>
    </row>
    <row r="9" spans="1:150" ht="14.25" customHeight="1">
      <c r="A9" s="14">
        <v>3</v>
      </c>
      <c r="B9" s="20" t="s">
        <v>14</v>
      </c>
      <c r="C9" s="16">
        <v>44893</v>
      </c>
      <c r="D9" s="267">
        <v>845786.79590000003</v>
      </c>
      <c r="E9" s="17">
        <v>783356</v>
      </c>
      <c r="F9" s="17">
        <v>62430.8</v>
      </c>
      <c r="G9" s="18">
        <v>0</v>
      </c>
      <c r="H9" s="255"/>
      <c r="I9" s="19">
        <v>3</v>
      </c>
      <c r="J9" s="15" t="s">
        <v>17</v>
      </c>
      <c r="K9" s="21">
        <v>44558</v>
      </c>
      <c r="L9" s="39">
        <v>764073.54319999996</v>
      </c>
      <c r="M9" s="17">
        <v>784840</v>
      </c>
      <c r="N9" s="17">
        <v>-20766.46</v>
      </c>
      <c r="O9" s="18">
        <v>0</v>
      </c>
      <c r="P9" s="40"/>
      <c r="Q9" s="19">
        <v>3</v>
      </c>
      <c r="R9" s="15" t="s">
        <v>13</v>
      </c>
      <c r="S9" s="26">
        <v>44589</v>
      </c>
      <c r="T9" s="41">
        <v>883129.54819999996</v>
      </c>
      <c r="U9" s="17">
        <v>833700</v>
      </c>
      <c r="V9" s="22">
        <f t="shared" si="0"/>
        <v>49429.548199999961</v>
      </c>
      <c r="W9" s="18">
        <v>0</v>
      </c>
      <c r="X9" s="24">
        <v>26</v>
      </c>
      <c r="Y9" s="19">
        <v>3</v>
      </c>
      <c r="Z9" s="15" t="s">
        <v>22</v>
      </c>
      <c r="AA9" s="21">
        <v>44620</v>
      </c>
      <c r="AB9" s="42">
        <v>836423.46</v>
      </c>
      <c r="AC9" s="43">
        <v>833525</v>
      </c>
      <c r="AD9" s="28">
        <f t="shared" si="1"/>
        <v>2898.4599999999627</v>
      </c>
      <c r="AE9" s="44">
        <f t="shared" si="2"/>
        <v>0</v>
      </c>
      <c r="AF9" s="45">
        <v>4.28</v>
      </c>
      <c r="AG9" s="31">
        <v>72897.009999999995</v>
      </c>
      <c r="AH9" s="32"/>
      <c r="AI9" s="24">
        <v>29</v>
      </c>
      <c r="AJ9" s="19">
        <v>3</v>
      </c>
      <c r="AK9" s="15" t="s">
        <v>22</v>
      </c>
      <c r="AL9" s="21">
        <v>44648</v>
      </c>
      <c r="AM9" s="46">
        <v>1036871.89</v>
      </c>
      <c r="AN9" s="17">
        <v>840000</v>
      </c>
      <c r="AO9" s="28">
        <f t="shared" si="3"/>
        <v>196871.89</v>
      </c>
      <c r="AP9" s="44">
        <f t="shared" si="4"/>
        <v>0</v>
      </c>
      <c r="AQ9" s="45"/>
      <c r="AR9" s="33">
        <v>1490165.22</v>
      </c>
      <c r="AS9" s="32"/>
      <c r="AT9" s="24"/>
      <c r="AU9" s="19">
        <v>3</v>
      </c>
      <c r="AV9" s="15" t="s">
        <v>18</v>
      </c>
      <c r="AW9" s="21">
        <v>44679</v>
      </c>
      <c r="AX9" s="46">
        <v>1030585.04</v>
      </c>
      <c r="AY9" s="261">
        <v>840000</v>
      </c>
      <c r="AZ9" s="28">
        <f t="shared" si="5"/>
        <v>190585.04000000004</v>
      </c>
      <c r="BA9" s="44">
        <f t="shared" si="6"/>
        <v>0</v>
      </c>
      <c r="BB9" s="45"/>
      <c r="BC9" s="33">
        <v>2375083.0699999998</v>
      </c>
      <c r="BD9" s="32"/>
      <c r="BE9" s="24"/>
      <c r="BF9" s="19">
        <v>3</v>
      </c>
      <c r="BG9" s="20" t="s">
        <v>16</v>
      </c>
      <c r="BH9" s="21">
        <v>44709</v>
      </c>
      <c r="BI9" s="46">
        <v>966369.83</v>
      </c>
      <c r="BJ9" s="261">
        <v>840000</v>
      </c>
      <c r="BK9" s="28">
        <f t="shared" si="7"/>
        <v>126369.82999999996</v>
      </c>
      <c r="BL9" s="44">
        <f t="shared" si="8"/>
        <v>0</v>
      </c>
      <c r="BM9" s="45"/>
      <c r="BN9" s="33">
        <v>877510.43</v>
      </c>
      <c r="BO9" s="32"/>
      <c r="BP9" s="34"/>
      <c r="BQ9" s="19">
        <v>3</v>
      </c>
      <c r="BR9" s="35" t="s">
        <v>17</v>
      </c>
      <c r="BS9" s="21">
        <v>44740</v>
      </c>
      <c r="BT9" s="46">
        <v>934606.19</v>
      </c>
      <c r="BU9" s="261">
        <v>840000</v>
      </c>
      <c r="BV9" s="28">
        <f t="shared" si="9"/>
        <v>94606.189999999944</v>
      </c>
      <c r="BW9" s="44">
        <f t="shared" si="10"/>
        <v>0</v>
      </c>
      <c r="BX9" s="45"/>
      <c r="BY9" s="32">
        <v>468151.57</v>
      </c>
      <c r="BZ9" s="32"/>
      <c r="CA9" s="34"/>
      <c r="CB9" s="19">
        <v>3</v>
      </c>
      <c r="CC9" s="266" t="s">
        <v>18</v>
      </c>
      <c r="CD9" s="21">
        <v>44770</v>
      </c>
      <c r="CE9" s="46">
        <v>1002908.81</v>
      </c>
      <c r="CF9" s="261">
        <v>840000</v>
      </c>
      <c r="CG9" s="28">
        <f t="shared" si="11"/>
        <v>162908.81000000006</v>
      </c>
      <c r="CH9" s="44">
        <f t="shared" si="12"/>
        <v>0</v>
      </c>
      <c r="CI9" s="45"/>
      <c r="CJ9" s="32">
        <v>44118.54</v>
      </c>
      <c r="CK9" s="32"/>
      <c r="CL9" s="36" t="s">
        <v>21</v>
      </c>
      <c r="CM9" s="34"/>
      <c r="CN9" s="19">
        <v>3</v>
      </c>
      <c r="CO9" s="20" t="s">
        <v>14</v>
      </c>
      <c r="CP9" s="263">
        <v>44801</v>
      </c>
      <c r="CQ9" s="46">
        <v>913607.8</v>
      </c>
      <c r="CR9" s="265">
        <v>840000</v>
      </c>
      <c r="CS9" s="28">
        <f t="shared" si="13"/>
        <v>73607.800000000047</v>
      </c>
      <c r="CT9" s="44">
        <f t="shared" si="14"/>
        <v>0</v>
      </c>
      <c r="CU9" s="47" t="s">
        <v>26</v>
      </c>
      <c r="CV9" s="32">
        <v>952424.19</v>
      </c>
      <c r="CW9" s="32"/>
      <c r="CX9" s="36" t="s">
        <v>27</v>
      </c>
      <c r="CY9" s="37"/>
      <c r="CZ9" s="19">
        <v>3</v>
      </c>
      <c r="DA9" s="266" t="s">
        <v>15</v>
      </c>
      <c r="DB9" s="263">
        <v>44832</v>
      </c>
      <c r="DC9" s="46">
        <f>905.3708214*1000</f>
        <v>905370.8213999999</v>
      </c>
      <c r="DD9" s="261">
        <v>840000</v>
      </c>
      <c r="DE9" s="28">
        <f t="shared" si="15"/>
        <v>65370.821399999899</v>
      </c>
      <c r="DF9" s="44">
        <f t="shared" si="16"/>
        <v>0</v>
      </c>
      <c r="DG9" s="47" t="s">
        <v>26</v>
      </c>
      <c r="DH9" s="32"/>
      <c r="DI9" s="32"/>
      <c r="DJ9" s="36"/>
      <c r="DK9" s="37"/>
      <c r="DL9" s="19">
        <v>3</v>
      </c>
      <c r="DM9" s="266" t="s">
        <v>13</v>
      </c>
      <c r="DN9" s="263">
        <v>44862</v>
      </c>
      <c r="DO9" s="46">
        <v>983059.27</v>
      </c>
      <c r="DP9" s="265">
        <v>840000</v>
      </c>
      <c r="DQ9" s="28">
        <f t="shared" si="17"/>
        <v>143059.27000000002</v>
      </c>
      <c r="DR9" s="44">
        <f t="shared" si="18"/>
        <v>0</v>
      </c>
      <c r="DS9" s="47" t="s">
        <v>26</v>
      </c>
      <c r="DT9" s="32">
        <v>1287343.82</v>
      </c>
      <c r="DU9" s="32"/>
      <c r="DV9" s="36"/>
      <c r="DW9" s="38">
        <f t="shared" si="19"/>
        <v>40960.802916666667</v>
      </c>
      <c r="DX9" s="19">
        <v>3</v>
      </c>
      <c r="DY9" s="15" t="s">
        <v>22</v>
      </c>
      <c r="DZ9" s="263">
        <v>44893</v>
      </c>
      <c r="EA9" s="46">
        <v>1001217.77</v>
      </c>
      <c r="EB9" s="265">
        <v>840000</v>
      </c>
      <c r="EC9" s="28">
        <f t="shared" si="20"/>
        <v>161217.77000000002</v>
      </c>
      <c r="ED9" s="44">
        <f t="shared" si="21"/>
        <v>0</v>
      </c>
      <c r="EE9" s="47" t="s">
        <v>26</v>
      </c>
      <c r="EF9" s="32">
        <v>6376607.1399999997</v>
      </c>
      <c r="EG9" s="32"/>
      <c r="EH9" s="36" t="s">
        <v>28</v>
      </c>
      <c r="EI9" s="38">
        <f t="shared" si="22"/>
        <v>41717.407083333332</v>
      </c>
      <c r="EJ9" s="19">
        <v>3</v>
      </c>
      <c r="EK9" s="266" t="s">
        <v>15</v>
      </c>
      <c r="EL9" s="263">
        <v>44923</v>
      </c>
      <c r="EM9" s="46">
        <v>801474.95</v>
      </c>
      <c r="EN9" s="265">
        <v>888000</v>
      </c>
      <c r="EO9" s="28">
        <f t="shared" si="23"/>
        <v>0</v>
      </c>
      <c r="EP9" s="44">
        <f t="shared" si="24"/>
        <v>86525.050000000047</v>
      </c>
      <c r="EQ9" s="47" t="s">
        <v>26</v>
      </c>
      <c r="ER9" s="32"/>
      <c r="ES9" s="32">
        <v>347454.75</v>
      </c>
      <c r="ET9" s="36"/>
    </row>
    <row r="10" spans="1:150" ht="14.25" customHeight="1">
      <c r="A10" s="14">
        <v>4</v>
      </c>
      <c r="B10" s="15" t="s">
        <v>22</v>
      </c>
      <c r="C10" s="16">
        <v>44894</v>
      </c>
      <c r="D10" s="267">
        <v>956576.18680000002</v>
      </c>
      <c r="E10" s="17">
        <v>784840</v>
      </c>
      <c r="F10" s="17">
        <v>171736.19</v>
      </c>
      <c r="G10" s="18">
        <v>0</v>
      </c>
      <c r="H10" s="255"/>
      <c r="I10" s="19">
        <v>4</v>
      </c>
      <c r="J10" s="15" t="s">
        <v>15</v>
      </c>
      <c r="K10" s="21">
        <v>44559</v>
      </c>
      <c r="L10" s="39">
        <v>784701.6287</v>
      </c>
      <c r="M10" s="48">
        <v>777614</v>
      </c>
      <c r="N10" s="48">
        <v>7087.63</v>
      </c>
      <c r="O10" s="18">
        <v>0</v>
      </c>
      <c r="P10" s="40"/>
      <c r="Q10" s="19">
        <v>4</v>
      </c>
      <c r="R10" s="20" t="s">
        <v>16</v>
      </c>
      <c r="S10" s="26">
        <v>44590</v>
      </c>
      <c r="T10" s="41">
        <v>809884.92449999996</v>
      </c>
      <c r="U10" s="17">
        <v>829614</v>
      </c>
      <c r="V10" s="22">
        <f t="shared" si="0"/>
        <v>-19729.075500000035</v>
      </c>
      <c r="W10" s="18">
        <v>0</v>
      </c>
      <c r="X10" s="24">
        <v>25</v>
      </c>
      <c r="Y10" s="19">
        <v>4</v>
      </c>
      <c r="Z10" s="15" t="s">
        <v>17</v>
      </c>
      <c r="AA10" s="21">
        <v>44621</v>
      </c>
      <c r="AB10" s="42">
        <v>782548.5</v>
      </c>
      <c r="AC10" s="43">
        <v>833525</v>
      </c>
      <c r="AD10" s="28">
        <f t="shared" si="1"/>
        <v>0</v>
      </c>
      <c r="AE10" s="44">
        <f t="shared" si="2"/>
        <v>50976.5</v>
      </c>
      <c r="AF10" s="45">
        <v>4.5199999999999996</v>
      </c>
      <c r="AG10" s="31"/>
      <c r="AH10" s="32">
        <v>153010.35999999999</v>
      </c>
      <c r="AI10" s="24">
        <v>28</v>
      </c>
      <c r="AJ10" s="19">
        <v>4</v>
      </c>
      <c r="AK10" s="15" t="s">
        <v>29</v>
      </c>
      <c r="AL10" s="21">
        <v>44649</v>
      </c>
      <c r="AM10" s="46">
        <v>963768.62</v>
      </c>
      <c r="AN10" s="17">
        <v>840000</v>
      </c>
      <c r="AO10" s="28">
        <f t="shared" si="3"/>
        <v>123768.62</v>
      </c>
      <c r="AP10" s="44">
        <f t="shared" si="4"/>
        <v>0</v>
      </c>
      <c r="AQ10" s="45"/>
      <c r="AR10" s="33">
        <v>915924.52</v>
      </c>
      <c r="AS10" s="32"/>
      <c r="AT10" s="24"/>
      <c r="AU10" s="19">
        <v>4</v>
      </c>
      <c r="AV10" s="15" t="s">
        <v>13</v>
      </c>
      <c r="AW10" s="21">
        <v>44680</v>
      </c>
      <c r="AX10" s="46">
        <v>1057339.92</v>
      </c>
      <c r="AY10" s="261">
        <v>840000</v>
      </c>
      <c r="AZ10" s="28">
        <f t="shared" si="5"/>
        <v>217339.91999999993</v>
      </c>
      <c r="BA10" s="44">
        <f t="shared" si="6"/>
        <v>0</v>
      </c>
      <c r="BB10" s="45"/>
      <c r="BC10" s="33">
        <v>3728720.6</v>
      </c>
      <c r="BD10" s="32"/>
      <c r="BE10" s="24"/>
      <c r="BF10" s="19">
        <v>4</v>
      </c>
      <c r="BG10" s="20" t="s">
        <v>14</v>
      </c>
      <c r="BH10" s="21">
        <v>44710</v>
      </c>
      <c r="BI10" s="46">
        <v>934724.81</v>
      </c>
      <c r="BJ10" s="261">
        <v>840000</v>
      </c>
      <c r="BK10" s="28">
        <f t="shared" si="7"/>
        <v>94724.810000000056</v>
      </c>
      <c r="BL10" s="44">
        <f t="shared" si="8"/>
        <v>0</v>
      </c>
      <c r="BM10" s="49" t="s">
        <v>30</v>
      </c>
      <c r="BN10" s="33">
        <v>4094027.03</v>
      </c>
      <c r="BO10" s="32"/>
      <c r="BP10" s="34"/>
      <c r="BQ10" s="19">
        <v>4</v>
      </c>
      <c r="BR10" s="266" t="s">
        <v>15</v>
      </c>
      <c r="BS10" s="21">
        <v>44741</v>
      </c>
      <c r="BT10" s="46">
        <v>644902.99</v>
      </c>
      <c r="BU10" s="261">
        <v>840000</v>
      </c>
      <c r="BV10" s="28">
        <f t="shared" si="9"/>
        <v>0</v>
      </c>
      <c r="BW10" s="44">
        <f t="shared" si="10"/>
        <v>195097.01</v>
      </c>
      <c r="BX10" s="50" t="s">
        <v>31</v>
      </c>
      <c r="BY10" s="33"/>
      <c r="BZ10" s="32">
        <v>1320848.96</v>
      </c>
      <c r="CA10" s="34"/>
      <c r="CB10" s="19">
        <v>4</v>
      </c>
      <c r="CC10" s="266" t="s">
        <v>13</v>
      </c>
      <c r="CD10" s="21">
        <v>44771</v>
      </c>
      <c r="CE10" s="46">
        <v>1002976.18</v>
      </c>
      <c r="CF10" s="261">
        <v>840000</v>
      </c>
      <c r="CG10" s="28">
        <f t="shared" si="11"/>
        <v>162976.18000000005</v>
      </c>
      <c r="CH10" s="44">
        <f t="shared" si="12"/>
        <v>0</v>
      </c>
      <c r="CI10" s="50"/>
      <c r="CJ10" s="33">
        <v>1077183.3500000001</v>
      </c>
      <c r="CK10" s="32"/>
      <c r="CL10" s="36" t="s">
        <v>21</v>
      </c>
      <c r="CM10" s="34"/>
      <c r="CN10" s="19">
        <v>4</v>
      </c>
      <c r="CO10" s="15" t="s">
        <v>22</v>
      </c>
      <c r="CP10" s="21">
        <v>44802</v>
      </c>
      <c r="CQ10" s="46">
        <v>930783.69</v>
      </c>
      <c r="CR10" s="265">
        <v>840000</v>
      </c>
      <c r="CS10" s="28">
        <f t="shared" si="13"/>
        <v>90783.689999999944</v>
      </c>
      <c r="CT10" s="44">
        <f t="shared" si="14"/>
        <v>0</v>
      </c>
      <c r="CU10" s="47" t="s">
        <v>32</v>
      </c>
      <c r="CV10" s="33">
        <v>1082079.27</v>
      </c>
      <c r="CW10" s="32"/>
      <c r="CX10" s="36" t="s">
        <v>21</v>
      </c>
      <c r="CY10" s="37"/>
      <c r="CZ10" s="19">
        <v>4</v>
      </c>
      <c r="DA10" s="266" t="s">
        <v>18</v>
      </c>
      <c r="DB10" s="263">
        <v>44833</v>
      </c>
      <c r="DC10" s="46">
        <f>933.6492357*1000</f>
        <v>933649.23569999996</v>
      </c>
      <c r="DD10" s="261">
        <v>840000</v>
      </c>
      <c r="DE10" s="28">
        <f t="shared" si="15"/>
        <v>93649.235699999961</v>
      </c>
      <c r="DF10" s="44">
        <f t="shared" si="16"/>
        <v>0</v>
      </c>
      <c r="DG10" s="47" t="s">
        <v>32</v>
      </c>
      <c r="DH10" s="33"/>
      <c r="DI10" s="32"/>
      <c r="DJ10" s="36"/>
      <c r="DK10" s="37"/>
      <c r="DL10" s="19">
        <v>4</v>
      </c>
      <c r="DM10" s="20" t="s">
        <v>16</v>
      </c>
      <c r="DN10" s="263">
        <v>44863</v>
      </c>
      <c r="DO10" s="46">
        <v>924700.32</v>
      </c>
      <c r="DP10" s="265">
        <v>840000</v>
      </c>
      <c r="DQ10" s="28">
        <f t="shared" si="17"/>
        <v>84700.319999999949</v>
      </c>
      <c r="DR10" s="44">
        <f t="shared" si="18"/>
        <v>0</v>
      </c>
      <c r="DS10" s="47" t="s">
        <v>32</v>
      </c>
      <c r="DT10" s="33">
        <v>292828.46000000002</v>
      </c>
      <c r="DU10" s="32"/>
      <c r="DV10" s="36"/>
      <c r="DW10" s="38">
        <f t="shared" si="19"/>
        <v>38529.18</v>
      </c>
      <c r="DX10" s="19">
        <v>4</v>
      </c>
      <c r="DY10" s="35" t="s">
        <v>17</v>
      </c>
      <c r="DZ10" s="263">
        <v>44894</v>
      </c>
      <c r="EA10" s="46">
        <v>1040068.36</v>
      </c>
      <c r="EB10" s="265">
        <v>840000</v>
      </c>
      <c r="EC10" s="28">
        <f t="shared" si="20"/>
        <v>200068.36</v>
      </c>
      <c r="ED10" s="44">
        <f t="shared" si="21"/>
        <v>0</v>
      </c>
      <c r="EE10" s="47" t="s">
        <v>32</v>
      </c>
      <c r="EF10" s="33">
        <v>9423630.9000000004</v>
      </c>
      <c r="EG10" s="32"/>
      <c r="EH10" s="36" t="s">
        <v>33</v>
      </c>
      <c r="EI10" s="51">
        <f t="shared" si="22"/>
        <v>43336.181666666664</v>
      </c>
      <c r="EJ10" s="19">
        <v>4</v>
      </c>
      <c r="EK10" s="266" t="s">
        <v>18</v>
      </c>
      <c r="EL10" s="263">
        <v>44924</v>
      </c>
      <c r="EM10" s="46">
        <v>836629.64</v>
      </c>
      <c r="EN10" s="265">
        <v>879860</v>
      </c>
      <c r="EO10" s="28">
        <f t="shared" si="23"/>
        <v>0</v>
      </c>
      <c r="EP10" s="44">
        <f t="shared" si="24"/>
        <v>43230.359999999986</v>
      </c>
      <c r="EQ10" s="47" t="s">
        <v>32</v>
      </c>
      <c r="ER10" s="33"/>
      <c r="ES10" s="32">
        <v>216199.24</v>
      </c>
      <c r="ET10" s="36"/>
    </row>
    <row r="11" spans="1:150" ht="14.25" customHeight="1">
      <c r="A11" s="14">
        <v>5</v>
      </c>
      <c r="B11" s="15" t="s">
        <v>17</v>
      </c>
      <c r="C11" s="16">
        <v>44895</v>
      </c>
      <c r="D11" s="267">
        <v>932629.8186</v>
      </c>
      <c r="E11" s="17">
        <v>772223</v>
      </c>
      <c r="F11" s="17">
        <v>160406.82</v>
      </c>
      <c r="G11" s="18">
        <v>0</v>
      </c>
      <c r="H11" s="255"/>
      <c r="I11" s="19">
        <v>5</v>
      </c>
      <c r="J11" s="15" t="s">
        <v>18</v>
      </c>
      <c r="K11" s="21">
        <v>44560</v>
      </c>
      <c r="L11" s="39">
        <v>763996.67</v>
      </c>
      <c r="M11" s="17">
        <v>784840</v>
      </c>
      <c r="N11" s="17">
        <v>-20843.330000000002</v>
      </c>
      <c r="O11" s="18">
        <v>0</v>
      </c>
      <c r="P11" s="40"/>
      <c r="Q11" s="19">
        <v>5</v>
      </c>
      <c r="R11" s="20" t="s">
        <v>14</v>
      </c>
      <c r="S11" s="26">
        <v>44591</v>
      </c>
      <c r="T11" s="41">
        <v>723717.97690000001</v>
      </c>
      <c r="U11" s="17">
        <v>823900</v>
      </c>
      <c r="V11" s="22">
        <f t="shared" si="0"/>
        <v>-100182.02309999999</v>
      </c>
      <c r="W11" s="18">
        <v>0</v>
      </c>
      <c r="X11" s="24">
        <v>24</v>
      </c>
      <c r="Y11" s="19">
        <v>5</v>
      </c>
      <c r="Z11" s="15" t="s">
        <v>34</v>
      </c>
      <c r="AA11" s="21">
        <v>44622</v>
      </c>
      <c r="AB11" s="42">
        <v>869957.1</v>
      </c>
      <c r="AC11" s="43">
        <v>833175</v>
      </c>
      <c r="AD11" s="28">
        <f t="shared" si="1"/>
        <v>36782.099999999977</v>
      </c>
      <c r="AE11" s="44">
        <f t="shared" si="2"/>
        <v>0</v>
      </c>
      <c r="AF11" s="45">
        <v>5.95</v>
      </c>
      <c r="AG11" s="268">
        <v>368546.06</v>
      </c>
      <c r="AH11" s="52"/>
      <c r="AI11" s="24">
        <v>27</v>
      </c>
      <c r="AJ11" s="19">
        <v>5</v>
      </c>
      <c r="AK11" s="15" t="s">
        <v>34</v>
      </c>
      <c r="AL11" s="21">
        <v>44650</v>
      </c>
      <c r="AM11" s="46">
        <v>988323.83999999997</v>
      </c>
      <c r="AN11" s="17">
        <v>840000</v>
      </c>
      <c r="AO11" s="28">
        <f t="shared" si="3"/>
        <v>148323.83999999997</v>
      </c>
      <c r="AP11" s="44">
        <f t="shared" si="4"/>
        <v>0</v>
      </c>
      <c r="AQ11" s="45"/>
      <c r="AR11" s="269">
        <v>1127332.8799999999</v>
      </c>
      <c r="AS11" s="52"/>
      <c r="AT11" s="24"/>
      <c r="AU11" s="19">
        <v>5</v>
      </c>
      <c r="AV11" s="20" t="s">
        <v>16</v>
      </c>
      <c r="AW11" s="21">
        <v>44681</v>
      </c>
      <c r="AX11" s="46">
        <v>1020243.37</v>
      </c>
      <c r="AY11" s="261">
        <v>840000</v>
      </c>
      <c r="AZ11" s="28">
        <f t="shared" si="5"/>
        <v>180243.37</v>
      </c>
      <c r="BA11" s="44">
        <f t="shared" si="6"/>
        <v>0</v>
      </c>
      <c r="BB11" s="45" t="s">
        <v>35</v>
      </c>
      <c r="BC11" s="269">
        <v>446704.41</v>
      </c>
      <c r="BD11" s="52"/>
      <c r="BE11" s="24"/>
      <c r="BF11" s="19">
        <v>5</v>
      </c>
      <c r="BG11" s="15" t="s">
        <v>22</v>
      </c>
      <c r="BH11" s="21">
        <v>44711</v>
      </c>
      <c r="BI11" s="46">
        <v>1054857.23</v>
      </c>
      <c r="BJ11" s="261">
        <v>840000</v>
      </c>
      <c r="BK11" s="28">
        <f t="shared" si="7"/>
        <v>214857.22999999998</v>
      </c>
      <c r="BL11" s="44">
        <f t="shared" si="8"/>
        <v>0</v>
      </c>
      <c r="BM11" s="45"/>
      <c r="BN11" s="269">
        <v>2110797.91</v>
      </c>
      <c r="BO11" s="52"/>
      <c r="BP11" s="270"/>
      <c r="BQ11" s="19">
        <v>5</v>
      </c>
      <c r="BR11" s="266" t="s">
        <v>18</v>
      </c>
      <c r="BS11" s="21">
        <v>44742</v>
      </c>
      <c r="BT11" s="46">
        <v>971757.63</v>
      </c>
      <c r="BU11" s="261">
        <v>840000</v>
      </c>
      <c r="BV11" s="28">
        <f t="shared" si="9"/>
        <v>131757.63</v>
      </c>
      <c r="BW11" s="44">
        <f t="shared" si="10"/>
        <v>0</v>
      </c>
      <c r="BX11" s="45"/>
      <c r="BY11" s="269">
        <v>1571249.55</v>
      </c>
      <c r="BZ11" s="52"/>
      <c r="CA11" s="270"/>
      <c r="CB11" s="19">
        <v>5</v>
      </c>
      <c r="CC11" s="20" t="s">
        <v>16</v>
      </c>
      <c r="CD11" s="21">
        <v>44772</v>
      </c>
      <c r="CE11" s="46">
        <v>948920.97</v>
      </c>
      <c r="CF11" s="261">
        <v>840000</v>
      </c>
      <c r="CG11" s="28">
        <f t="shared" si="11"/>
        <v>108920.96999999997</v>
      </c>
      <c r="CH11" s="44">
        <f t="shared" si="12"/>
        <v>0</v>
      </c>
      <c r="CI11" s="271" t="s">
        <v>36</v>
      </c>
      <c r="CJ11" s="269">
        <v>4749716.43</v>
      </c>
      <c r="CK11" s="52"/>
      <c r="CL11" s="53" t="s">
        <v>21</v>
      </c>
      <c r="CM11" s="270"/>
      <c r="CN11" s="19">
        <v>5</v>
      </c>
      <c r="CO11" s="35" t="s">
        <v>17</v>
      </c>
      <c r="CP11" s="263">
        <v>44803</v>
      </c>
      <c r="CQ11" s="46">
        <v>990913.02</v>
      </c>
      <c r="CR11" s="265">
        <v>840000</v>
      </c>
      <c r="CS11" s="28">
        <f t="shared" si="13"/>
        <v>150913.02000000002</v>
      </c>
      <c r="CT11" s="44">
        <f t="shared" si="14"/>
        <v>0</v>
      </c>
      <c r="CU11" s="47" t="s">
        <v>37</v>
      </c>
      <c r="CV11" s="269">
        <v>5862712.8700000001</v>
      </c>
      <c r="CW11" s="52"/>
      <c r="CX11" s="36" t="s">
        <v>38</v>
      </c>
      <c r="CY11" s="37"/>
      <c r="CZ11" s="19">
        <v>5</v>
      </c>
      <c r="DA11" s="266" t="s">
        <v>13</v>
      </c>
      <c r="DB11" s="263">
        <v>44834</v>
      </c>
      <c r="DC11" s="46">
        <f>928.4133283*1000</f>
        <v>928413.32829999994</v>
      </c>
      <c r="DD11" s="261">
        <v>840000</v>
      </c>
      <c r="DE11" s="28">
        <f t="shared" si="15"/>
        <v>88413.328299999936</v>
      </c>
      <c r="DF11" s="44">
        <f t="shared" si="16"/>
        <v>0</v>
      </c>
      <c r="DG11" s="47" t="s">
        <v>37</v>
      </c>
      <c r="DH11" s="269"/>
      <c r="DI11" s="52"/>
      <c r="DJ11" s="36"/>
      <c r="DK11" s="37"/>
      <c r="DL11" s="19">
        <v>5</v>
      </c>
      <c r="DM11" s="20" t="s">
        <v>14</v>
      </c>
      <c r="DN11" s="263">
        <v>44864</v>
      </c>
      <c r="DO11" s="46">
        <v>796771.64</v>
      </c>
      <c r="DP11" s="265">
        <v>840000</v>
      </c>
      <c r="DQ11" s="28">
        <f t="shared" si="17"/>
        <v>0</v>
      </c>
      <c r="DR11" s="44">
        <f t="shared" si="18"/>
        <v>43228.359999999986</v>
      </c>
      <c r="DS11" s="54" t="s">
        <v>37</v>
      </c>
      <c r="DT11" s="55">
        <v>22764.5</v>
      </c>
      <c r="DU11" s="272"/>
      <c r="DV11" s="36"/>
      <c r="DW11" s="273">
        <f t="shared" si="19"/>
        <v>33198.818333333336</v>
      </c>
      <c r="DX11" s="19">
        <v>5</v>
      </c>
      <c r="DY11" s="266" t="s">
        <v>15</v>
      </c>
      <c r="DZ11" s="263">
        <v>44895</v>
      </c>
      <c r="EA11" s="46">
        <v>1006166.45</v>
      </c>
      <c r="EB11" s="265">
        <v>840000</v>
      </c>
      <c r="EC11" s="28">
        <f t="shared" si="20"/>
        <v>166166.44999999995</v>
      </c>
      <c r="ED11" s="44">
        <f t="shared" si="21"/>
        <v>0</v>
      </c>
      <c r="EE11" s="54" t="s">
        <v>37</v>
      </c>
      <c r="EF11" s="55">
        <v>4082516.98</v>
      </c>
      <c r="EG11" s="272"/>
      <c r="EH11" s="36" t="s">
        <v>39</v>
      </c>
      <c r="EI11" s="274">
        <f t="shared" si="22"/>
        <v>41923.602083333331</v>
      </c>
      <c r="EJ11" s="19">
        <v>5</v>
      </c>
      <c r="EK11" s="266" t="s">
        <v>13</v>
      </c>
      <c r="EL11" s="263">
        <v>44925</v>
      </c>
      <c r="EM11" s="46">
        <v>878473.13</v>
      </c>
      <c r="EN11" s="265">
        <v>879860</v>
      </c>
      <c r="EO11" s="28">
        <f t="shared" si="23"/>
        <v>0</v>
      </c>
      <c r="EP11" s="44">
        <f t="shared" si="24"/>
        <v>1386.8699999999953</v>
      </c>
      <c r="EQ11" s="54" t="s">
        <v>37</v>
      </c>
      <c r="ER11" s="32">
        <v>52377.08</v>
      </c>
      <c r="ES11" s="272"/>
      <c r="ET11" s="36"/>
    </row>
    <row r="12" spans="1:150" ht="14.25" customHeight="1">
      <c r="A12" s="14">
        <v>6</v>
      </c>
      <c r="B12" s="15" t="s">
        <v>15</v>
      </c>
      <c r="C12" s="16">
        <v>44896</v>
      </c>
      <c r="D12" s="267">
        <v>933437.4142</v>
      </c>
      <c r="E12" s="17">
        <v>783356</v>
      </c>
      <c r="F12" s="17">
        <v>150081.41</v>
      </c>
      <c r="G12" s="18">
        <v>0</v>
      </c>
      <c r="H12" s="255"/>
      <c r="I12" s="19">
        <v>6</v>
      </c>
      <c r="J12" s="15" t="s">
        <v>13</v>
      </c>
      <c r="K12" s="21">
        <v>44561</v>
      </c>
      <c r="L12" s="39">
        <v>750898.49140000006</v>
      </c>
      <c r="M12" s="17">
        <v>773822</v>
      </c>
      <c r="N12" s="17">
        <v>-22923.51</v>
      </c>
      <c r="O12" s="18">
        <v>0</v>
      </c>
      <c r="P12" s="40"/>
      <c r="Q12" s="19">
        <v>6</v>
      </c>
      <c r="R12" s="15" t="s">
        <v>22</v>
      </c>
      <c r="S12" s="26">
        <v>44592</v>
      </c>
      <c r="T12" s="41">
        <v>757745.53410000005</v>
      </c>
      <c r="U12" s="17">
        <v>829567</v>
      </c>
      <c r="V12" s="22">
        <f t="shared" si="0"/>
        <v>-71821.465899999952</v>
      </c>
      <c r="W12" s="18">
        <v>0</v>
      </c>
      <c r="X12" s="24">
        <v>23</v>
      </c>
      <c r="Y12" s="19">
        <v>6</v>
      </c>
      <c r="Z12" s="15" t="s">
        <v>40</v>
      </c>
      <c r="AA12" s="21">
        <v>44623</v>
      </c>
      <c r="AB12" s="42">
        <v>873121.55839999998</v>
      </c>
      <c r="AC12" s="43">
        <v>833175</v>
      </c>
      <c r="AD12" s="28">
        <f t="shared" si="1"/>
        <v>39946.55839999998</v>
      </c>
      <c r="AE12" s="44">
        <f t="shared" si="2"/>
        <v>0</v>
      </c>
      <c r="AF12" s="45">
        <v>6.06</v>
      </c>
      <c r="AG12" s="268">
        <v>361673.43</v>
      </c>
      <c r="AH12" s="56"/>
      <c r="AI12" s="24">
        <v>26</v>
      </c>
      <c r="AJ12" s="19">
        <v>6</v>
      </c>
      <c r="AK12" s="15" t="s">
        <v>40</v>
      </c>
      <c r="AL12" s="21">
        <v>44651</v>
      </c>
      <c r="AM12" s="46">
        <v>1027330.87</v>
      </c>
      <c r="AN12" s="17">
        <v>840000</v>
      </c>
      <c r="AO12" s="28">
        <f t="shared" si="3"/>
        <v>187330.87</v>
      </c>
      <c r="AP12" s="44">
        <f t="shared" si="4"/>
        <v>0</v>
      </c>
      <c r="AQ12" s="45"/>
      <c r="AR12" s="269">
        <v>1564677.42</v>
      </c>
      <c r="AS12" s="56"/>
      <c r="AT12" s="24"/>
      <c r="AU12" s="19">
        <v>6</v>
      </c>
      <c r="AV12" s="20" t="s">
        <v>14</v>
      </c>
      <c r="AW12" s="21">
        <v>44682</v>
      </c>
      <c r="AX12" s="46">
        <v>971814.79</v>
      </c>
      <c r="AY12" s="261">
        <v>840000</v>
      </c>
      <c r="AZ12" s="28">
        <f t="shared" si="5"/>
        <v>131814.79000000004</v>
      </c>
      <c r="BA12" s="44">
        <f t="shared" si="6"/>
        <v>0</v>
      </c>
      <c r="BB12" s="45" t="s">
        <v>41</v>
      </c>
      <c r="BC12" s="269">
        <v>806136.48</v>
      </c>
      <c r="BD12" s="56"/>
      <c r="BE12" s="24"/>
      <c r="BF12" s="19">
        <v>6</v>
      </c>
      <c r="BG12" s="15" t="s">
        <v>17</v>
      </c>
      <c r="BH12" s="21">
        <v>44712</v>
      </c>
      <c r="BI12" s="46">
        <v>1019831.98</v>
      </c>
      <c r="BJ12" s="261">
        <v>840000</v>
      </c>
      <c r="BK12" s="28">
        <f t="shared" si="7"/>
        <v>179831.97999999998</v>
      </c>
      <c r="BL12" s="44">
        <f t="shared" si="8"/>
        <v>0</v>
      </c>
      <c r="BM12" s="45"/>
      <c r="BN12" s="269">
        <v>1551514.14</v>
      </c>
      <c r="BO12" s="56"/>
      <c r="BP12" s="275"/>
      <c r="BQ12" s="19">
        <v>6</v>
      </c>
      <c r="BR12" s="266" t="s">
        <v>13</v>
      </c>
      <c r="BS12" s="21">
        <v>44743</v>
      </c>
      <c r="BT12" s="46">
        <v>897782.56</v>
      </c>
      <c r="BU12" s="261">
        <v>840000</v>
      </c>
      <c r="BV12" s="28">
        <f t="shared" si="9"/>
        <v>57782.560000000056</v>
      </c>
      <c r="BW12" s="44">
        <f t="shared" si="10"/>
        <v>0</v>
      </c>
      <c r="BX12" s="45"/>
      <c r="BY12" s="269">
        <v>657401.31999999995</v>
      </c>
      <c r="BZ12" s="56"/>
      <c r="CA12" s="275"/>
      <c r="CB12" s="19">
        <v>6</v>
      </c>
      <c r="CC12" s="20" t="s">
        <v>14</v>
      </c>
      <c r="CD12" s="21">
        <v>44773</v>
      </c>
      <c r="CE12" s="46">
        <v>884018.57</v>
      </c>
      <c r="CF12" s="261">
        <v>840000</v>
      </c>
      <c r="CG12" s="28">
        <f t="shared" si="11"/>
        <v>44018.569999999949</v>
      </c>
      <c r="CH12" s="44">
        <f t="shared" si="12"/>
        <v>0</v>
      </c>
      <c r="CI12" s="271" t="s">
        <v>42</v>
      </c>
      <c r="CJ12" s="269">
        <v>409201.71</v>
      </c>
      <c r="CK12" s="56"/>
      <c r="CL12" s="53" t="s">
        <v>43</v>
      </c>
      <c r="CM12" s="275"/>
      <c r="CN12" s="19">
        <v>6</v>
      </c>
      <c r="CO12" s="266" t="s">
        <v>15</v>
      </c>
      <c r="CP12" s="21">
        <v>44804</v>
      </c>
      <c r="CQ12" s="46">
        <v>951287.28</v>
      </c>
      <c r="CR12" s="265">
        <v>840000</v>
      </c>
      <c r="CS12" s="28">
        <f t="shared" si="13"/>
        <v>111287.28000000003</v>
      </c>
      <c r="CT12" s="44">
        <f t="shared" si="14"/>
        <v>0</v>
      </c>
      <c r="CU12" s="47" t="s">
        <v>44</v>
      </c>
      <c r="CV12" s="269">
        <v>2209387.13</v>
      </c>
      <c r="CW12" s="56"/>
      <c r="CX12" s="36" t="s">
        <v>27</v>
      </c>
      <c r="CY12" s="37"/>
      <c r="CZ12" s="19">
        <v>6</v>
      </c>
      <c r="DA12" s="20" t="s">
        <v>16</v>
      </c>
      <c r="DB12" s="263">
        <v>44835</v>
      </c>
      <c r="DC12" s="46">
        <f>936.630058*1000</f>
        <v>936630.05799999996</v>
      </c>
      <c r="DD12" s="261">
        <v>840000</v>
      </c>
      <c r="DE12" s="28">
        <f t="shared" si="15"/>
        <v>96630.057999999961</v>
      </c>
      <c r="DF12" s="44">
        <f t="shared" si="16"/>
        <v>0</v>
      </c>
      <c r="DG12" s="47" t="s">
        <v>44</v>
      </c>
      <c r="DH12" s="269"/>
      <c r="DI12" s="56"/>
      <c r="DJ12" s="36"/>
      <c r="DK12" s="37"/>
      <c r="DL12" s="19">
        <v>6</v>
      </c>
      <c r="DM12" s="15" t="s">
        <v>22</v>
      </c>
      <c r="DN12" s="263">
        <v>44865</v>
      </c>
      <c r="DO12" s="46">
        <v>841152.11</v>
      </c>
      <c r="DP12" s="265">
        <v>840000</v>
      </c>
      <c r="DQ12" s="28">
        <f t="shared" si="17"/>
        <v>1152.109999999986</v>
      </c>
      <c r="DR12" s="44">
        <f t="shared" si="18"/>
        <v>0</v>
      </c>
      <c r="DS12" s="47" t="s">
        <v>44</v>
      </c>
      <c r="DT12" s="269">
        <v>333723.95</v>
      </c>
      <c r="DU12" s="56"/>
      <c r="DV12" s="36"/>
      <c r="DW12" s="38">
        <f t="shared" si="19"/>
        <v>35048.004583333335</v>
      </c>
      <c r="DX12" s="19">
        <v>6</v>
      </c>
      <c r="DY12" s="266" t="s">
        <v>18</v>
      </c>
      <c r="DZ12" s="263">
        <v>44896</v>
      </c>
      <c r="EA12" s="46">
        <v>1059283.7</v>
      </c>
      <c r="EB12" s="265">
        <v>840000</v>
      </c>
      <c r="EC12" s="28">
        <f t="shared" si="20"/>
        <v>219283.69999999995</v>
      </c>
      <c r="ED12" s="44">
        <f t="shared" si="21"/>
        <v>0</v>
      </c>
      <c r="EE12" s="47" t="s">
        <v>44</v>
      </c>
      <c r="EF12" s="269">
        <v>6403267.4100000001</v>
      </c>
      <c r="EG12" s="56"/>
      <c r="EH12" s="36" t="s">
        <v>45</v>
      </c>
      <c r="EI12" s="51">
        <f t="shared" si="22"/>
        <v>44136.820833333331</v>
      </c>
      <c r="EJ12" s="19">
        <v>6</v>
      </c>
      <c r="EK12" s="20" t="s">
        <v>16</v>
      </c>
      <c r="EL12" s="263">
        <v>44926</v>
      </c>
      <c r="EM12" s="46">
        <v>1010435.21</v>
      </c>
      <c r="EN12" s="265">
        <v>879860</v>
      </c>
      <c r="EO12" s="28">
        <f t="shared" si="23"/>
        <v>130575.20999999996</v>
      </c>
      <c r="EP12" s="44">
        <f t="shared" si="24"/>
        <v>0</v>
      </c>
      <c r="EQ12" s="47" t="s">
        <v>44</v>
      </c>
      <c r="ER12" s="269">
        <v>533402.14</v>
      </c>
      <c r="ES12" s="56"/>
      <c r="ET12" s="36"/>
    </row>
    <row r="13" spans="1:150" ht="14.25" customHeight="1">
      <c r="A13" s="14">
        <v>7</v>
      </c>
      <c r="B13" s="15" t="s">
        <v>18</v>
      </c>
      <c r="C13" s="16">
        <v>44897</v>
      </c>
      <c r="D13" s="267">
        <v>830222.72809999995</v>
      </c>
      <c r="E13" s="17">
        <v>784840</v>
      </c>
      <c r="F13" s="17">
        <v>45382.73</v>
      </c>
      <c r="G13" s="57">
        <v>0</v>
      </c>
      <c r="H13" s="255"/>
      <c r="I13" s="19">
        <v>7</v>
      </c>
      <c r="J13" s="20" t="s">
        <v>16</v>
      </c>
      <c r="K13" s="21">
        <v>44562</v>
      </c>
      <c r="L13" s="39">
        <v>687693.71279999998</v>
      </c>
      <c r="M13" s="17">
        <v>796379</v>
      </c>
      <c r="N13" s="17">
        <v>-108685.29</v>
      </c>
      <c r="O13" s="18">
        <v>0</v>
      </c>
      <c r="P13" s="40"/>
      <c r="Q13" s="19">
        <v>7</v>
      </c>
      <c r="R13" s="58" t="s">
        <v>46</v>
      </c>
      <c r="S13" s="276">
        <v>44593</v>
      </c>
      <c r="T13" s="41">
        <v>738595.31180000002</v>
      </c>
      <c r="U13" s="17">
        <v>804748</v>
      </c>
      <c r="V13" s="22">
        <f t="shared" si="0"/>
        <v>-66152.688199999975</v>
      </c>
      <c r="W13" s="18">
        <v>0</v>
      </c>
      <c r="X13" s="24">
        <v>22</v>
      </c>
      <c r="Y13" s="19">
        <v>7</v>
      </c>
      <c r="Z13" s="15" t="s">
        <v>47</v>
      </c>
      <c r="AA13" s="21">
        <v>44624</v>
      </c>
      <c r="AB13" s="42">
        <v>893311.23</v>
      </c>
      <c r="AC13" s="43">
        <v>833700</v>
      </c>
      <c r="AD13" s="28">
        <f t="shared" si="1"/>
        <v>59611.229999999981</v>
      </c>
      <c r="AE13" s="44">
        <f t="shared" si="2"/>
        <v>0</v>
      </c>
      <c r="AF13" s="45">
        <v>7.2</v>
      </c>
      <c r="AG13" s="277">
        <v>826939.58</v>
      </c>
      <c r="AH13" s="52"/>
      <c r="AI13" s="24">
        <v>25</v>
      </c>
      <c r="AJ13" s="19">
        <v>7</v>
      </c>
      <c r="AK13" s="15" t="s">
        <v>13</v>
      </c>
      <c r="AL13" s="21">
        <v>44652</v>
      </c>
      <c r="AM13" s="46">
        <v>1017493.27</v>
      </c>
      <c r="AN13" s="17">
        <v>840000</v>
      </c>
      <c r="AO13" s="28">
        <f t="shared" si="3"/>
        <v>177493.27000000002</v>
      </c>
      <c r="AP13" s="44">
        <f t="shared" si="4"/>
        <v>0</v>
      </c>
      <c r="AQ13" s="45"/>
      <c r="AR13" s="278">
        <v>1055250.06</v>
      </c>
      <c r="AS13" s="52"/>
      <c r="AT13" s="24"/>
      <c r="AU13" s="19">
        <v>7</v>
      </c>
      <c r="AV13" s="15" t="s">
        <v>22</v>
      </c>
      <c r="AW13" s="21">
        <v>44683</v>
      </c>
      <c r="AX13" s="46">
        <v>1056722.81</v>
      </c>
      <c r="AY13" s="261">
        <v>840000</v>
      </c>
      <c r="AZ13" s="28">
        <f t="shared" si="5"/>
        <v>216722.81000000006</v>
      </c>
      <c r="BA13" s="44">
        <f t="shared" si="6"/>
        <v>0</v>
      </c>
      <c r="BB13" s="45"/>
      <c r="BC13" s="278">
        <v>1248695.52</v>
      </c>
      <c r="BD13" s="52"/>
      <c r="BE13" s="24"/>
      <c r="BF13" s="19">
        <v>7</v>
      </c>
      <c r="BG13" s="15" t="s">
        <v>15</v>
      </c>
      <c r="BH13" s="21">
        <v>44713</v>
      </c>
      <c r="BI13" s="46">
        <v>945259.03</v>
      </c>
      <c r="BJ13" s="261">
        <v>840000</v>
      </c>
      <c r="BK13" s="28">
        <f t="shared" si="7"/>
        <v>105259.03000000003</v>
      </c>
      <c r="BL13" s="44">
        <f t="shared" si="8"/>
        <v>0</v>
      </c>
      <c r="BM13" s="45"/>
      <c r="BN13" s="278">
        <v>715315.84</v>
      </c>
      <c r="BO13" s="52"/>
      <c r="BP13" s="270"/>
      <c r="BQ13" s="19">
        <v>7</v>
      </c>
      <c r="BR13" s="20" t="s">
        <v>16</v>
      </c>
      <c r="BS13" s="21">
        <v>44744</v>
      </c>
      <c r="BT13" s="46">
        <v>890953.61</v>
      </c>
      <c r="BU13" s="261">
        <v>840000</v>
      </c>
      <c r="BV13" s="28">
        <f t="shared" si="9"/>
        <v>50953.609999999986</v>
      </c>
      <c r="BW13" s="44">
        <f t="shared" si="10"/>
        <v>0</v>
      </c>
      <c r="BX13" s="45" t="s">
        <v>48</v>
      </c>
      <c r="BY13" s="278">
        <v>1022822.66</v>
      </c>
      <c r="BZ13" s="52"/>
      <c r="CA13" s="270"/>
      <c r="CB13" s="19">
        <v>7</v>
      </c>
      <c r="CC13" s="15" t="s">
        <v>22</v>
      </c>
      <c r="CD13" s="21">
        <v>44774</v>
      </c>
      <c r="CE13" s="46">
        <v>915155.66</v>
      </c>
      <c r="CF13" s="261">
        <v>840000</v>
      </c>
      <c r="CG13" s="28">
        <f t="shared" si="11"/>
        <v>75155.660000000033</v>
      </c>
      <c r="CH13" s="44">
        <f t="shared" si="12"/>
        <v>0</v>
      </c>
      <c r="CI13" s="271" t="s">
        <v>49</v>
      </c>
      <c r="CJ13" s="278">
        <v>534433.44999999995</v>
      </c>
      <c r="CK13" s="52"/>
      <c r="CL13" s="53" t="s">
        <v>24</v>
      </c>
      <c r="CM13" s="270"/>
      <c r="CN13" s="19">
        <v>7</v>
      </c>
      <c r="CO13" s="266" t="s">
        <v>18</v>
      </c>
      <c r="CP13" s="263">
        <v>44805</v>
      </c>
      <c r="CQ13" s="46">
        <v>930925.79</v>
      </c>
      <c r="CR13" s="265">
        <v>840000</v>
      </c>
      <c r="CS13" s="28">
        <f t="shared" si="13"/>
        <v>90925.790000000037</v>
      </c>
      <c r="CT13" s="44">
        <f t="shared" si="14"/>
        <v>0</v>
      </c>
      <c r="CU13" s="279" t="s">
        <v>50</v>
      </c>
      <c r="CV13" s="269">
        <v>2760838.13</v>
      </c>
      <c r="CW13" s="52"/>
      <c r="CX13" s="36" t="s">
        <v>51</v>
      </c>
      <c r="CY13" s="37"/>
      <c r="CZ13" s="19">
        <v>7</v>
      </c>
      <c r="DA13" s="20" t="s">
        <v>14</v>
      </c>
      <c r="DB13" s="263">
        <v>44836</v>
      </c>
      <c r="DC13" s="46">
        <f>838.9695664*1000</f>
        <v>838969.56640000001</v>
      </c>
      <c r="DD13" s="261">
        <v>840000</v>
      </c>
      <c r="DE13" s="28">
        <f t="shared" si="15"/>
        <v>0</v>
      </c>
      <c r="DF13" s="44">
        <f t="shared" si="16"/>
        <v>1030.4335999999894</v>
      </c>
      <c r="DG13" s="279" t="s">
        <v>50</v>
      </c>
      <c r="DH13" s="269"/>
      <c r="DI13" s="52"/>
      <c r="DJ13" s="36"/>
      <c r="DK13" s="37"/>
      <c r="DL13" s="19">
        <v>7</v>
      </c>
      <c r="DM13" s="35" t="s">
        <v>17</v>
      </c>
      <c r="DN13" s="263">
        <v>44866</v>
      </c>
      <c r="DO13" s="46">
        <v>790854.91</v>
      </c>
      <c r="DP13" s="265">
        <v>840000</v>
      </c>
      <c r="DQ13" s="28">
        <f t="shared" si="17"/>
        <v>0</v>
      </c>
      <c r="DR13" s="44">
        <f t="shared" si="18"/>
        <v>49145.089999999967</v>
      </c>
      <c r="DS13" s="279" t="s">
        <v>50</v>
      </c>
      <c r="DT13" s="269">
        <v>8660.9599999999991</v>
      </c>
      <c r="DU13" s="272"/>
      <c r="DV13" s="36"/>
      <c r="DW13" s="59">
        <f t="shared" si="19"/>
        <v>32952.287916666668</v>
      </c>
      <c r="DX13" s="19">
        <v>7</v>
      </c>
      <c r="DY13" s="266" t="s">
        <v>13</v>
      </c>
      <c r="DZ13" s="263">
        <v>44897</v>
      </c>
      <c r="EA13" s="46">
        <v>1035384.43</v>
      </c>
      <c r="EB13" s="265">
        <v>840000</v>
      </c>
      <c r="EC13" s="28">
        <f t="shared" si="20"/>
        <v>195384.43000000005</v>
      </c>
      <c r="ED13" s="44">
        <f t="shared" si="21"/>
        <v>0</v>
      </c>
      <c r="EE13" s="279" t="s">
        <v>50</v>
      </c>
      <c r="EF13" s="269">
        <v>6472101.3799999999</v>
      </c>
      <c r="EG13" s="272"/>
      <c r="EH13" s="36" t="s">
        <v>52</v>
      </c>
      <c r="EI13" s="51">
        <f t="shared" si="22"/>
        <v>43141.017916666671</v>
      </c>
      <c r="EJ13" s="19">
        <v>7</v>
      </c>
      <c r="EK13" s="20" t="s">
        <v>14</v>
      </c>
      <c r="EL13" s="263">
        <v>44927</v>
      </c>
      <c r="EM13" s="46">
        <v>867005.27</v>
      </c>
      <c r="EN13" s="265">
        <v>888000</v>
      </c>
      <c r="EO13" s="28">
        <f t="shared" si="23"/>
        <v>0</v>
      </c>
      <c r="EP13" s="44">
        <f t="shared" si="24"/>
        <v>20994.729999999981</v>
      </c>
      <c r="EQ13" s="279" t="s">
        <v>50</v>
      </c>
      <c r="ER13" s="269">
        <v>198655.53</v>
      </c>
      <c r="ES13" s="280"/>
      <c r="ET13" s="36"/>
    </row>
    <row r="14" spans="1:150" ht="14.25" customHeight="1">
      <c r="A14" s="14">
        <v>8</v>
      </c>
      <c r="B14" s="15" t="s">
        <v>13</v>
      </c>
      <c r="C14" s="16">
        <v>44898</v>
      </c>
      <c r="D14" s="267">
        <v>796304.91590000002</v>
      </c>
      <c r="E14" s="17">
        <v>784840</v>
      </c>
      <c r="F14" s="17">
        <v>11464.92</v>
      </c>
      <c r="G14" s="57">
        <v>0</v>
      </c>
      <c r="H14" s="255"/>
      <c r="I14" s="19">
        <v>8</v>
      </c>
      <c r="J14" s="20" t="s">
        <v>14</v>
      </c>
      <c r="K14" s="21">
        <v>44563</v>
      </c>
      <c r="L14" s="39">
        <v>688739.90009999997</v>
      </c>
      <c r="M14" s="17">
        <v>770086</v>
      </c>
      <c r="N14" s="17">
        <v>-81346.100000000006</v>
      </c>
      <c r="O14" s="18">
        <v>0</v>
      </c>
      <c r="P14" s="40"/>
      <c r="Q14" s="19">
        <v>8</v>
      </c>
      <c r="R14" s="15" t="s">
        <v>15</v>
      </c>
      <c r="S14" s="26">
        <v>44594</v>
      </c>
      <c r="T14" s="41">
        <v>773276.13439999998</v>
      </c>
      <c r="U14" s="17">
        <v>832897</v>
      </c>
      <c r="V14" s="22">
        <f t="shared" si="0"/>
        <v>-59620.865600000019</v>
      </c>
      <c r="W14" s="18">
        <v>0</v>
      </c>
      <c r="X14" s="24">
        <v>21</v>
      </c>
      <c r="Y14" s="19">
        <v>8</v>
      </c>
      <c r="Z14" s="20" t="s">
        <v>53</v>
      </c>
      <c r="AA14" s="21">
        <v>44625</v>
      </c>
      <c r="AB14" s="42">
        <v>877329.51</v>
      </c>
      <c r="AC14" s="43">
        <v>833700</v>
      </c>
      <c r="AD14" s="28">
        <f t="shared" si="1"/>
        <v>43629.510000000009</v>
      </c>
      <c r="AE14" s="44">
        <f t="shared" si="2"/>
        <v>0</v>
      </c>
      <c r="AF14" s="45">
        <v>4.59</v>
      </c>
      <c r="AG14" s="277">
        <v>281047.73</v>
      </c>
      <c r="AH14" s="52"/>
      <c r="AI14" s="24">
        <v>24</v>
      </c>
      <c r="AJ14" s="19">
        <v>8</v>
      </c>
      <c r="AK14" s="20" t="s">
        <v>53</v>
      </c>
      <c r="AL14" s="21">
        <v>44653</v>
      </c>
      <c r="AM14" s="46">
        <v>935419.56</v>
      </c>
      <c r="AN14" s="17">
        <v>840000</v>
      </c>
      <c r="AO14" s="28">
        <f t="shared" si="3"/>
        <v>95419.560000000056</v>
      </c>
      <c r="AP14" s="44">
        <f t="shared" si="4"/>
        <v>0</v>
      </c>
      <c r="AQ14" s="45"/>
      <c r="AR14" s="278">
        <v>409027.62</v>
      </c>
      <c r="AS14" s="52"/>
      <c r="AT14" s="24"/>
      <c r="AU14" s="19">
        <v>8</v>
      </c>
      <c r="AV14" s="15" t="s">
        <v>17</v>
      </c>
      <c r="AW14" s="21">
        <v>44684</v>
      </c>
      <c r="AX14" s="46">
        <v>977823.98</v>
      </c>
      <c r="AY14" s="261">
        <v>840000</v>
      </c>
      <c r="AZ14" s="28">
        <f t="shared" si="5"/>
        <v>137823.97999999998</v>
      </c>
      <c r="BA14" s="44">
        <f t="shared" si="6"/>
        <v>0</v>
      </c>
      <c r="BB14" s="45" t="s">
        <v>54</v>
      </c>
      <c r="BC14" s="278">
        <v>759559.45</v>
      </c>
      <c r="BD14" s="52"/>
      <c r="BE14" s="24"/>
      <c r="BF14" s="19">
        <v>8</v>
      </c>
      <c r="BG14" s="15" t="s">
        <v>18</v>
      </c>
      <c r="BH14" s="21">
        <v>44714</v>
      </c>
      <c r="BI14" s="46">
        <v>998325.61</v>
      </c>
      <c r="BJ14" s="261">
        <v>840000</v>
      </c>
      <c r="BK14" s="28">
        <f t="shared" si="7"/>
        <v>158325.60999999999</v>
      </c>
      <c r="BL14" s="44">
        <f t="shared" si="8"/>
        <v>0</v>
      </c>
      <c r="BM14" s="45"/>
      <c r="BN14" s="278">
        <v>1652350.55</v>
      </c>
      <c r="BO14" s="52"/>
      <c r="BP14" s="270"/>
      <c r="BQ14" s="19">
        <v>8</v>
      </c>
      <c r="BR14" s="20" t="s">
        <v>14</v>
      </c>
      <c r="BS14" s="21">
        <v>44745</v>
      </c>
      <c r="BT14" s="46">
        <v>901008.65</v>
      </c>
      <c r="BU14" s="261">
        <v>840000</v>
      </c>
      <c r="BV14" s="28">
        <f t="shared" si="9"/>
        <v>61008.650000000023</v>
      </c>
      <c r="BW14" s="44">
        <f t="shared" si="10"/>
        <v>0</v>
      </c>
      <c r="BX14" s="45" t="s">
        <v>48</v>
      </c>
      <c r="BY14" s="278">
        <v>1936533.08</v>
      </c>
      <c r="BZ14" s="52"/>
      <c r="CA14" s="270"/>
      <c r="CB14" s="19">
        <v>8</v>
      </c>
      <c r="CC14" s="35" t="s">
        <v>17</v>
      </c>
      <c r="CD14" s="21">
        <v>44775</v>
      </c>
      <c r="CE14" s="46">
        <v>917362.52</v>
      </c>
      <c r="CF14" s="261">
        <v>840000</v>
      </c>
      <c r="CG14" s="28">
        <f t="shared" si="11"/>
        <v>77362.520000000019</v>
      </c>
      <c r="CH14" s="44">
        <f t="shared" si="12"/>
        <v>0</v>
      </c>
      <c r="CI14" s="271" t="s">
        <v>55</v>
      </c>
      <c r="CJ14" s="278">
        <v>681702.66</v>
      </c>
      <c r="CK14" s="52"/>
      <c r="CL14" s="53" t="s">
        <v>56</v>
      </c>
      <c r="CM14" s="270"/>
      <c r="CN14" s="19">
        <v>8</v>
      </c>
      <c r="CO14" s="266" t="s">
        <v>13</v>
      </c>
      <c r="CP14" s="21">
        <v>44806</v>
      </c>
      <c r="CQ14" s="46">
        <v>859153.51</v>
      </c>
      <c r="CR14" s="265">
        <v>840000</v>
      </c>
      <c r="CS14" s="28">
        <f t="shared" si="13"/>
        <v>19153.510000000009</v>
      </c>
      <c r="CT14" s="44">
        <f t="shared" si="14"/>
        <v>0</v>
      </c>
      <c r="CU14" s="279" t="s">
        <v>57</v>
      </c>
      <c r="CV14" s="278">
        <v>917900.55</v>
      </c>
      <c r="CW14" s="60">
        <v>242190.41</v>
      </c>
      <c r="CX14" s="36" t="s">
        <v>58</v>
      </c>
      <c r="CY14" s="37"/>
      <c r="CZ14" s="19">
        <v>8</v>
      </c>
      <c r="DA14" s="15" t="s">
        <v>22</v>
      </c>
      <c r="DB14" s="263">
        <v>44837</v>
      </c>
      <c r="DC14" s="46">
        <f>882.372416*1000</f>
        <v>882372.41600000008</v>
      </c>
      <c r="DD14" s="261">
        <v>840000</v>
      </c>
      <c r="DE14" s="28">
        <f t="shared" si="15"/>
        <v>42372.416000000085</v>
      </c>
      <c r="DF14" s="44">
        <f t="shared" si="16"/>
        <v>0</v>
      </c>
      <c r="DG14" s="279" t="s">
        <v>57</v>
      </c>
      <c r="DH14" s="278"/>
      <c r="DI14" s="60"/>
      <c r="DJ14" s="36"/>
      <c r="DK14" s="37"/>
      <c r="DL14" s="19">
        <v>8</v>
      </c>
      <c r="DM14" s="266" t="s">
        <v>15</v>
      </c>
      <c r="DN14" s="263">
        <v>44867</v>
      </c>
      <c r="DO14" s="46">
        <v>940331.62</v>
      </c>
      <c r="DP14" s="265">
        <v>840000</v>
      </c>
      <c r="DQ14" s="28">
        <f t="shared" si="17"/>
        <v>100331.62</v>
      </c>
      <c r="DR14" s="44">
        <f t="shared" si="18"/>
        <v>0</v>
      </c>
      <c r="DS14" s="279" t="s">
        <v>57</v>
      </c>
      <c r="DT14" s="278">
        <v>1136873.07</v>
      </c>
      <c r="DU14" s="60"/>
      <c r="DV14" s="36"/>
      <c r="DW14" s="38">
        <f t="shared" si="19"/>
        <v>39180.484166666669</v>
      </c>
      <c r="DX14" s="19">
        <v>8</v>
      </c>
      <c r="DY14" s="20" t="s">
        <v>16</v>
      </c>
      <c r="DZ14" s="263">
        <v>44898</v>
      </c>
      <c r="EA14" s="46">
        <v>1002642.86</v>
      </c>
      <c r="EB14" s="265">
        <v>840000</v>
      </c>
      <c r="EC14" s="28">
        <f t="shared" si="20"/>
        <v>162642.85999999999</v>
      </c>
      <c r="ED14" s="44">
        <f t="shared" si="21"/>
        <v>0</v>
      </c>
      <c r="EE14" s="279" t="s">
        <v>57</v>
      </c>
      <c r="EF14" s="278">
        <v>4691888</v>
      </c>
      <c r="EG14" s="60"/>
      <c r="EH14" s="36" t="s">
        <v>45</v>
      </c>
      <c r="EI14" s="51">
        <f t="shared" si="22"/>
        <v>41776.785833333335</v>
      </c>
      <c r="EJ14" s="19">
        <v>8</v>
      </c>
      <c r="EK14" s="15" t="s">
        <v>22</v>
      </c>
      <c r="EL14" s="263">
        <v>44928</v>
      </c>
      <c r="EM14" s="46">
        <v>925812.88</v>
      </c>
      <c r="EN14" s="265">
        <v>879860</v>
      </c>
      <c r="EO14" s="28">
        <f t="shared" si="23"/>
        <v>45952.880000000005</v>
      </c>
      <c r="EP14" s="44">
        <f t="shared" si="24"/>
        <v>0</v>
      </c>
      <c r="EQ14" s="279" t="s">
        <v>57</v>
      </c>
      <c r="ER14" s="278">
        <v>350423.08</v>
      </c>
      <c r="ES14" s="60"/>
      <c r="ET14" s="36"/>
    </row>
    <row r="15" spans="1:150" ht="14.25" customHeight="1">
      <c r="A15" s="14">
        <v>9</v>
      </c>
      <c r="B15" s="20" t="s">
        <v>16</v>
      </c>
      <c r="C15" s="16">
        <v>44899</v>
      </c>
      <c r="D15" s="267">
        <v>741585.38439999998</v>
      </c>
      <c r="E15" s="17">
        <v>772223</v>
      </c>
      <c r="F15" s="17">
        <v>-30637.62</v>
      </c>
      <c r="G15" s="57">
        <v>0</v>
      </c>
      <c r="H15" s="255"/>
      <c r="I15" s="19">
        <v>9</v>
      </c>
      <c r="J15" s="15" t="s">
        <v>22</v>
      </c>
      <c r="K15" s="21">
        <v>44564</v>
      </c>
      <c r="L15" s="39">
        <v>797906.64639999997</v>
      </c>
      <c r="M15" s="17">
        <v>770086</v>
      </c>
      <c r="N15" s="17">
        <v>27820.65</v>
      </c>
      <c r="O15" s="18">
        <v>0</v>
      </c>
      <c r="P15" s="40"/>
      <c r="Q15" s="19">
        <v>9</v>
      </c>
      <c r="R15" s="15" t="s">
        <v>18</v>
      </c>
      <c r="S15" s="26">
        <v>44595</v>
      </c>
      <c r="T15" s="41">
        <v>798815.48349999997</v>
      </c>
      <c r="U15" s="17">
        <v>833627</v>
      </c>
      <c r="V15" s="22">
        <f t="shared" si="0"/>
        <v>-34811.516500000027</v>
      </c>
      <c r="W15" s="18">
        <v>0</v>
      </c>
      <c r="X15" s="24">
        <v>20</v>
      </c>
      <c r="Y15" s="19">
        <v>9</v>
      </c>
      <c r="Z15" s="20" t="s">
        <v>14</v>
      </c>
      <c r="AA15" s="21">
        <v>44626</v>
      </c>
      <c r="AB15" s="42">
        <v>844267.47</v>
      </c>
      <c r="AC15" s="43">
        <v>833700</v>
      </c>
      <c r="AD15" s="28">
        <f t="shared" si="1"/>
        <v>10567.469999999972</v>
      </c>
      <c r="AE15" s="44">
        <f t="shared" si="2"/>
        <v>0</v>
      </c>
      <c r="AF15" s="45">
        <v>3.97</v>
      </c>
      <c r="AG15" s="22">
        <v>87029.88</v>
      </c>
      <c r="AH15" s="32"/>
      <c r="AI15" s="24">
        <v>23</v>
      </c>
      <c r="AJ15" s="19">
        <v>9</v>
      </c>
      <c r="AK15" s="20" t="s">
        <v>59</v>
      </c>
      <c r="AL15" s="21">
        <v>44654</v>
      </c>
      <c r="AM15" s="46">
        <v>877969.13</v>
      </c>
      <c r="AN15" s="17">
        <v>840000</v>
      </c>
      <c r="AO15" s="28">
        <f t="shared" si="3"/>
        <v>37969.130000000005</v>
      </c>
      <c r="AP15" s="44">
        <f t="shared" si="4"/>
        <v>0</v>
      </c>
      <c r="AQ15" s="45"/>
      <c r="AR15" s="17">
        <v>295177.32</v>
      </c>
      <c r="AS15" s="32"/>
      <c r="AT15" s="24"/>
      <c r="AU15" s="19">
        <v>9</v>
      </c>
      <c r="AV15" s="15" t="s">
        <v>15</v>
      </c>
      <c r="AW15" s="21">
        <v>44685</v>
      </c>
      <c r="AX15" s="46">
        <v>1082207.74</v>
      </c>
      <c r="AY15" s="261">
        <v>840000</v>
      </c>
      <c r="AZ15" s="28">
        <f t="shared" si="5"/>
        <v>242207.74</v>
      </c>
      <c r="BA15" s="44">
        <f t="shared" si="6"/>
        <v>0</v>
      </c>
      <c r="BB15" s="45"/>
      <c r="BC15" s="17">
        <v>1522809.29</v>
      </c>
      <c r="BD15" s="32"/>
      <c r="BE15" s="24"/>
      <c r="BF15" s="19">
        <v>9</v>
      </c>
      <c r="BG15" s="15" t="s">
        <v>13</v>
      </c>
      <c r="BH15" s="21">
        <v>44715</v>
      </c>
      <c r="BI15" s="46">
        <v>1020575.08</v>
      </c>
      <c r="BJ15" s="261">
        <v>840000</v>
      </c>
      <c r="BK15" s="28">
        <f t="shared" si="7"/>
        <v>180575.07999999996</v>
      </c>
      <c r="BL15" s="44">
        <f t="shared" si="8"/>
        <v>0</v>
      </c>
      <c r="BM15" s="45" t="s">
        <v>48</v>
      </c>
      <c r="BN15" s="17">
        <v>3962900.58</v>
      </c>
      <c r="BO15" s="32"/>
      <c r="BP15" s="34"/>
      <c r="BQ15" s="19">
        <v>9</v>
      </c>
      <c r="BR15" s="15" t="s">
        <v>22</v>
      </c>
      <c r="BS15" s="21">
        <v>44746</v>
      </c>
      <c r="BT15" s="46">
        <v>964132.28</v>
      </c>
      <c r="BU15" s="261">
        <v>840000</v>
      </c>
      <c r="BV15" s="28">
        <f t="shared" si="9"/>
        <v>124132.28000000003</v>
      </c>
      <c r="BW15" s="44">
        <f t="shared" si="10"/>
        <v>0</v>
      </c>
      <c r="BX15" s="45" t="s">
        <v>48</v>
      </c>
      <c r="BY15" s="17">
        <v>3786073.05</v>
      </c>
      <c r="BZ15" s="32"/>
      <c r="CA15" s="34"/>
      <c r="CB15" s="19">
        <v>9</v>
      </c>
      <c r="CC15" s="266" t="s">
        <v>15</v>
      </c>
      <c r="CD15" s="21">
        <v>44776</v>
      </c>
      <c r="CE15" s="46">
        <v>962493.51</v>
      </c>
      <c r="CF15" s="261">
        <v>840000</v>
      </c>
      <c r="CG15" s="28">
        <f t="shared" si="11"/>
        <v>122493.51000000001</v>
      </c>
      <c r="CH15" s="44">
        <f t="shared" si="12"/>
        <v>0</v>
      </c>
      <c r="CI15" s="271" t="s">
        <v>60</v>
      </c>
      <c r="CJ15" s="17">
        <v>1448872.2</v>
      </c>
      <c r="CK15" s="32"/>
      <c r="CL15" s="36" t="s">
        <v>61</v>
      </c>
      <c r="CM15" s="34"/>
      <c r="CN15" s="19">
        <v>9</v>
      </c>
      <c r="CO15" s="20" t="s">
        <v>16</v>
      </c>
      <c r="CP15" s="263">
        <v>44807</v>
      </c>
      <c r="CQ15" s="46">
        <v>802603.62</v>
      </c>
      <c r="CR15" s="265">
        <v>840000</v>
      </c>
      <c r="CS15" s="28">
        <f t="shared" si="13"/>
        <v>0</v>
      </c>
      <c r="CT15" s="44">
        <f t="shared" si="14"/>
        <v>37396.380000000005</v>
      </c>
      <c r="CU15" s="279" t="s">
        <v>62</v>
      </c>
      <c r="CV15" s="17"/>
      <c r="CW15" s="32"/>
      <c r="CX15" s="36"/>
      <c r="CY15" s="37"/>
      <c r="CZ15" s="19">
        <v>9</v>
      </c>
      <c r="DA15" s="35" t="s">
        <v>17</v>
      </c>
      <c r="DB15" s="263">
        <v>44838</v>
      </c>
      <c r="DC15" s="46">
        <f>739.0649399*1000</f>
        <v>739064.9399</v>
      </c>
      <c r="DD15" s="261">
        <v>840000</v>
      </c>
      <c r="DE15" s="28">
        <f t="shared" si="15"/>
        <v>0</v>
      </c>
      <c r="DF15" s="44">
        <f t="shared" si="16"/>
        <v>100935.0601</v>
      </c>
      <c r="DG15" s="279" t="s">
        <v>62</v>
      </c>
      <c r="DH15" s="17"/>
      <c r="DI15" s="32"/>
      <c r="DJ15" s="36"/>
      <c r="DK15" s="37"/>
      <c r="DL15" s="19">
        <v>9</v>
      </c>
      <c r="DM15" s="266" t="s">
        <v>18</v>
      </c>
      <c r="DN15" s="263">
        <v>44868</v>
      </c>
      <c r="DO15" s="281">
        <v>939332.8</v>
      </c>
      <c r="DP15" s="265">
        <v>840000</v>
      </c>
      <c r="DQ15" s="28">
        <f t="shared" si="17"/>
        <v>99332.800000000047</v>
      </c>
      <c r="DR15" s="44">
        <f t="shared" si="18"/>
        <v>0</v>
      </c>
      <c r="DS15" s="279" t="s">
        <v>62</v>
      </c>
      <c r="DT15" s="17">
        <v>1087639.27</v>
      </c>
      <c r="DU15" s="32"/>
      <c r="DV15" s="36"/>
      <c r="DW15" s="38">
        <f t="shared" si="19"/>
        <v>39138.866666666669</v>
      </c>
      <c r="DX15" s="19">
        <v>9</v>
      </c>
      <c r="DY15" s="20" t="s">
        <v>14</v>
      </c>
      <c r="DZ15" s="263">
        <v>44899</v>
      </c>
      <c r="EA15" s="282">
        <v>929044.4</v>
      </c>
      <c r="EB15" s="265">
        <v>840000</v>
      </c>
      <c r="EC15" s="28">
        <f t="shared" si="20"/>
        <v>89044.400000000023</v>
      </c>
      <c r="ED15" s="44">
        <f t="shared" si="21"/>
        <v>0</v>
      </c>
      <c r="EE15" s="279" t="s">
        <v>62</v>
      </c>
      <c r="EF15" s="17">
        <v>2594511.6</v>
      </c>
      <c r="EG15" s="32"/>
      <c r="EH15" s="36" t="s">
        <v>39</v>
      </c>
      <c r="EI15" s="51">
        <f t="shared" si="22"/>
        <v>38710.183333333334</v>
      </c>
      <c r="EJ15" s="19">
        <v>9</v>
      </c>
      <c r="EK15" s="35" t="s">
        <v>17</v>
      </c>
      <c r="EL15" s="263">
        <v>44929</v>
      </c>
      <c r="EM15" s="282">
        <v>935829.45</v>
      </c>
      <c r="EN15" s="265">
        <v>879860</v>
      </c>
      <c r="EO15" s="28">
        <f t="shared" si="23"/>
        <v>55969.449999999953</v>
      </c>
      <c r="EP15" s="44">
        <f t="shared" si="24"/>
        <v>0</v>
      </c>
      <c r="EQ15" s="279" t="s">
        <v>62</v>
      </c>
      <c r="ER15" s="17">
        <v>388520.22</v>
      </c>
      <c r="ES15" s="32"/>
      <c r="ET15" s="36"/>
    </row>
    <row r="16" spans="1:150" ht="14.25" customHeight="1">
      <c r="A16" s="14">
        <v>10</v>
      </c>
      <c r="B16" s="20" t="s">
        <v>14</v>
      </c>
      <c r="C16" s="16">
        <v>44900</v>
      </c>
      <c r="D16" s="267">
        <v>673430.36880000005</v>
      </c>
      <c r="E16" s="17">
        <v>783356</v>
      </c>
      <c r="F16" s="17">
        <v>-109925.63</v>
      </c>
      <c r="G16" s="57">
        <v>0</v>
      </c>
      <c r="H16" s="255"/>
      <c r="I16" s="19">
        <v>10</v>
      </c>
      <c r="J16" s="15" t="s">
        <v>17</v>
      </c>
      <c r="K16" s="21">
        <v>44565</v>
      </c>
      <c r="L16" s="39">
        <v>759098.96609999996</v>
      </c>
      <c r="M16" s="17">
        <v>770086</v>
      </c>
      <c r="N16" s="17">
        <v>-10987.03</v>
      </c>
      <c r="O16" s="18">
        <v>0</v>
      </c>
      <c r="P16" s="40"/>
      <c r="Q16" s="19">
        <v>10</v>
      </c>
      <c r="R16" s="15" t="s">
        <v>13</v>
      </c>
      <c r="S16" s="26">
        <v>44596</v>
      </c>
      <c r="T16" s="41">
        <v>835219.42249999999</v>
      </c>
      <c r="U16" s="17">
        <v>834120</v>
      </c>
      <c r="V16" s="22">
        <f t="shared" si="0"/>
        <v>1099.422499999986</v>
      </c>
      <c r="W16" s="18">
        <v>0</v>
      </c>
      <c r="X16" s="24">
        <v>19</v>
      </c>
      <c r="Y16" s="19">
        <v>10</v>
      </c>
      <c r="Z16" s="15" t="s">
        <v>22</v>
      </c>
      <c r="AA16" s="21">
        <v>44627</v>
      </c>
      <c r="AB16" s="42">
        <v>906442.23</v>
      </c>
      <c r="AC16" s="43">
        <v>834400</v>
      </c>
      <c r="AD16" s="28">
        <f t="shared" si="1"/>
        <v>72042.229999999981</v>
      </c>
      <c r="AE16" s="44">
        <f t="shared" si="2"/>
        <v>0</v>
      </c>
      <c r="AF16" s="45">
        <v>4.54</v>
      </c>
      <c r="AG16" s="22">
        <v>507484.74</v>
      </c>
      <c r="AH16" s="32"/>
      <c r="AI16" s="24">
        <v>22</v>
      </c>
      <c r="AJ16" s="19">
        <v>10</v>
      </c>
      <c r="AK16" s="15" t="s">
        <v>22</v>
      </c>
      <c r="AL16" s="21">
        <v>44655</v>
      </c>
      <c r="AM16" s="46">
        <v>922268.13</v>
      </c>
      <c r="AN16" s="17">
        <v>840000</v>
      </c>
      <c r="AO16" s="28">
        <f t="shared" si="3"/>
        <v>82268.13</v>
      </c>
      <c r="AP16" s="44">
        <f t="shared" si="4"/>
        <v>0</v>
      </c>
      <c r="AQ16" s="45"/>
      <c r="AR16" s="17">
        <v>386324.55</v>
      </c>
      <c r="AS16" s="32"/>
      <c r="AT16" s="24"/>
      <c r="AU16" s="19">
        <v>10</v>
      </c>
      <c r="AV16" s="15" t="s">
        <v>18</v>
      </c>
      <c r="AW16" s="21">
        <v>44686</v>
      </c>
      <c r="AX16" s="46">
        <v>1104565.45</v>
      </c>
      <c r="AY16" s="261">
        <v>840000</v>
      </c>
      <c r="AZ16" s="28">
        <f t="shared" si="5"/>
        <v>264565.44999999995</v>
      </c>
      <c r="BA16" s="44">
        <f t="shared" si="6"/>
        <v>0</v>
      </c>
      <c r="BB16" s="45"/>
      <c r="BC16" s="17">
        <v>1676321.13</v>
      </c>
      <c r="BD16" s="32"/>
      <c r="BE16" s="24"/>
      <c r="BF16" s="19">
        <v>10</v>
      </c>
      <c r="BG16" s="20" t="s">
        <v>16</v>
      </c>
      <c r="BH16" s="21">
        <v>44716</v>
      </c>
      <c r="BI16" s="46">
        <v>1020186.96</v>
      </c>
      <c r="BJ16" s="261">
        <v>840000</v>
      </c>
      <c r="BK16" s="28">
        <f t="shared" si="7"/>
        <v>180186.95999999996</v>
      </c>
      <c r="BL16" s="44">
        <f t="shared" si="8"/>
        <v>0</v>
      </c>
      <c r="BM16" s="45" t="s">
        <v>48</v>
      </c>
      <c r="BN16" s="17">
        <v>4891533.45</v>
      </c>
      <c r="BO16" s="32"/>
      <c r="BP16" s="34"/>
      <c r="BQ16" s="19">
        <v>10</v>
      </c>
      <c r="BR16" s="35" t="s">
        <v>17</v>
      </c>
      <c r="BS16" s="21">
        <v>44747</v>
      </c>
      <c r="BT16" s="46">
        <v>905209.32</v>
      </c>
      <c r="BU16" s="261">
        <v>840000</v>
      </c>
      <c r="BV16" s="28">
        <f t="shared" si="9"/>
        <v>65209.319999999949</v>
      </c>
      <c r="BW16" s="44">
        <f t="shared" si="10"/>
        <v>0</v>
      </c>
      <c r="BX16" s="45" t="s">
        <v>48</v>
      </c>
      <c r="BY16" s="17">
        <v>2620754.15</v>
      </c>
      <c r="BZ16" s="32"/>
      <c r="CA16" s="34"/>
      <c r="CB16" s="19">
        <v>10</v>
      </c>
      <c r="CC16" s="266" t="s">
        <v>18</v>
      </c>
      <c r="CD16" s="21">
        <v>44777</v>
      </c>
      <c r="CE16" s="46">
        <v>971038.35</v>
      </c>
      <c r="CF16" s="261">
        <v>840000</v>
      </c>
      <c r="CG16" s="28">
        <f t="shared" si="11"/>
        <v>131038.34999999998</v>
      </c>
      <c r="CH16" s="44">
        <f t="shared" si="12"/>
        <v>0</v>
      </c>
      <c r="CI16" s="271" t="s">
        <v>63</v>
      </c>
      <c r="CJ16" s="17">
        <v>637461.55000000005</v>
      </c>
      <c r="CK16" s="32"/>
      <c r="CL16" s="36" t="s">
        <v>64</v>
      </c>
      <c r="CM16" s="34"/>
      <c r="CN16" s="19">
        <v>10</v>
      </c>
      <c r="CO16" s="20" t="s">
        <v>14</v>
      </c>
      <c r="CP16" s="263">
        <v>44808</v>
      </c>
      <c r="CQ16" s="46">
        <v>795422.18</v>
      </c>
      <c r="CR16" s="265">
        <v>840000</v>
      </c>
      <c r="CS16" s="28">
        <f t="shared" si="13"/>
        <v>0</v>
      </c>
      <c r="CT16" s="44">
        <f t="shared" si="14"/>
        <v>44577.819999999949</v>
      </c>
      <c r="CU16" s="271"/>
      <c r="CV16" s="17"/>
      <c r="CW16" s="32">
        <v>249231.22</v>
      </c>
      <c r="CX16" s="36" t="s">
        <v>65</v>
      </c>
      <c r="CY16" s="37"/>
      <c r="CZ16" s="19">
        <v>10</v>
      </c>
      <c r="DA16" s="266" t="s">
        <v>15</v>
      </c>
      <c r="DB16" s="263">
        <v>44839</v>
      </c>
      <c r="DC16" s="46">
        <f>1000*1011.037328</f>
        <v>1011037.328</v>
      </c>
      <c r="DD16" s="261">
        <v>840000</v>
      </c>
      <c r="DE16" s="28">
        <f t="shared" si="15"/>
        <v>171037.32799999998</v>
      </c>
      <c r="DF16" s="44">
        <f t="shared" si="16"/>
        <v>0</v>
      </c>
      <c r="DG16" s="271"/>
      <c r="DH16" s="17"/>
      <c r="DI16" s="32"/>
      <c r="DJ16" s="36"/>
      <c r="DK16" s="37"/>
      <c r="DL16" s="19">
        <v>10</v>
      </c>
      <c r="DM16" s="266" t="s">
        <v>13</v>
      </c>
      <c r="DN16" s="263">
        <v>44869</v>
      </c>
      <c r="DO16" s="46">
        <v>935621.56</v>
      </c>
      <c r="DP16" s="265">
        <v>840000</v>
      </c>
      <c r="DQ16" s="28">
        <f t="shared" si="17"/>
        <v>95621.560000000056</v>
      </c>
      <c r="DR16" s="44">
        <f t="shared" si="18"/>
        <v>0</v>
      </c>
      <c r="DS16" s="271"/>
      <c r="DT16" s="17"/>
      <c r="DU16" s="32"/>
      <c r="DV16" s="36"/>
      <c r="DW16" s="38">
        <f t="shared" si="19"/>
        <v>38984.231666666667</v>
      </c>
      <c r="DX16" s="19">
        <v>10</v>
      </c>
      <c r="DY16" s="15" t="s">
        <v>22</v>
      </c>
      <c r="DZ16" s="263">
        <v>44900</v>
      </c>
      <c r="EA16" s="46">
        <v>1004238.24</v>
      </c>
      <c r="EB16" s="265">
        <v>840000</v>
      </c>
      <c r="EC16" s="28">
        <f t="shared" si="20"/>
        <v>164238.24</v>
      </c>
      <c r="ED16" s="44">
        <f t="shared" si="21"/>
        <v>0</v>
      </c>
      <c r="EE16" s="271"/>
      <c r="EF16" s="17">
        <v>5559255.4100000001</v>
      </c>
      <c r="EG16" s="32"/>
      <c r="EH16" s="36" t="s">
        <v>25</v>
      </c>
      <c r="EI16" s="38">
        <f t="shared" si="22"/>
        <v>41843.26</v>
      </c>
      <c r="EJ16" s="19">
        <v>10</v>
      </c>
      <c r="EK16" s="266" t="s">
        <v>15</v>
      </c>
      <c r="EL16" s="263">
        <v>44930</v>
      </c>
      <c r="EM16" s="46">
        <v>919174.55</v>
      </c>
      <c r="EN16" s="265">
        <v>880600</v>
      </c>
      <c r="EO16" s="28">
        <f t="shared" si="23"/>
        <v>38574.550000000047</v>
      </c>
      <c r="EP16" s="44">
        <f t="shared" si="24"/>
        <v>0</v>
      </c>
      <c r="EQ16" s="271"/>
      <c r="ER16" s="17">
        <v>325086.27</v>
      </c>
      <c r="ES16" s="32"/>
      <c r="ET16" s="36" t="s">
        <v>66</v>
      </c>
    </row>
    <row r="17" spans="1:150" ht="14.25" customHeight="1">
      <c r="A17" s="14">
        <v>11</v>
      </c>
      <c r="B17" s="15" t="s">
        <v>22</v>
      </c>
      <c r="C17" s="16">
        <v>44901</v>
      </c>
      <c r="D17" s="267">
        <v>777074.03200000001</v>
      </c>
      <c r="E17" s="17">
        <v>783356</v>
      </c>
      <c r="F17" s="43">
        <v>-6281.97</v>
      </c>
      <c r="G17" s="57">
        <v>0</v>
      </c>
      <c r="H17" s="255"/>
      <c r="I17" s="19">
        <v>11</v>
      </c>
      <c r="J17" s="15" t="s">
        <v>15</v>
      </c>
      <c r="K17" s="21">
        <v>44566</v>
      </c>
      <c r="L17" s="39">
        <v>775274.61060000001</v>
      </c>
      <c r="M17" s="17">
        <v>803800</v>
      </c>
      <c r="N17" s="43">
        <v>-28525.39</v>
      </c>
      <c r="O17" s="18">
        <v>0</v>
      </c>
      <c r="P17" s="40"/>
      <c r="Q17" s="19">
        <v>11</v>
      </c>
      <c r="R17" s="20" t="s">
        <v>16</v>
      </c>
      <c r="S17" s="26">
        <v>44597</v>
      </c>
      <c r="T17" s="41">
        <v>797758.12919999997</v>
      </c>
      <c r="U17" s="17">
        <v>834120</v>
      </c>
      <c r="V17" s="22">
        <f t="shared" si="0"/>
        <v>-36361.870800000033</v>
      </c>
      <c r="W17" s="18">
        <v>0</v>
      </c>
      <c r="X17" s="24">
        <v>18</v>
      </c>
      <c r="Y17" s="19">
        <v>11</v>
      </c>
      <c r="Z17" s="15" t="s">
        <v>17</v>
      </c>
      <c r="AA17" s="21">
        <v>44628</v>
      </c>
      <c r="AB17" s="42">
        <v>907115.52000000002</v>
      </c>
      <c r="AC17" s="43">
        <v>840000</v>
      </c>
      <c r="AD17" s="28">
        <f t="shared" si="1"/>
        <v>67115.520000000019</v>
      </c>
      <c r="AE17" s="44">
        <f t="shared" si="2"/>
        <v>0</v>
      </c>
      <c r="AF17" s="45">
        <v>4.3099999999999996</v>
      </c>
      <c r="AG17" s="61">
        <v>391067.19</v>
      </c>
      <c r="AH17" s="32"/>
      <c r="AI17" s="24">
        <v>21</v>
      </c>
      <c r="AJ17" s="19">
        <v>11</v>
      </c>
      <c r="AK17" s="15" t="s">
        <v>17</v>
      </c>
      <c r="AL17" s="21">
        <v>44656</v>
      </c>
      <c r="AM17" s="46">
        <v>468246.34</v>
      </c>
      <c r="AN17" s="43">
        <v>840000</v>
      </c>
      <c r="AO17" s="28">
        <f t="shared" si="3"/>
        <v>0</v>
      </c>
      <c r="AP17" s="44">
        <f t="shared" si="4"/>
        <v>371753.66</v>
      </c>
      <c r="AQ17" s="45"/>
      <c r="AR17" s="62"/>
      <c r="AS17" s="32">
        <v>1475469.65</v>
      </c>
      <c r="AT17" s="24"/>
      <c r="AU17" s="19">
        <v>11</v>
      </c>
      <c r="AV17" s="15" t="s">
        <v>13</v>
      </c>
      <c r="AW17" s="21">
        <v>44687</v>
      </c>
      <c r="AX17" s="46">
        <v>1084722.06</v>
      </c>
      <c r="AY17" s="283">
        <v>840000</v>
      </c>
      <c r="AZ17" s="28">
        <f t="shared" si="5"/>
        <v>244722.06000000006</v>
      </c>
      <c r="BA17" s="44">
        <f t="shared" si="6"/>
        <v>0</v>
      </c>
      <c r="BB17" s="45"/>
      <c r="BC17" s="62">
        <v>1538045.28</v>
      </c>
      <c r="BD17" s="32"/>
      <c r="BE17" s="24"/>
      <c r="BF17" s="19">
        <v>11</v>
      </c>
      <c r="BG17" s="20" t="s">
        <v>14</v>
      </c>
      <c r="BH17" s="21">
        <v>44717</v>
      </c>
      <c r="BI17" s="46">
        <v>968384.64</v>
      </c>
      <c r="BJ17" s="261">
        <v>840000</v>
      </c>
      <c r="BK17" s="28">
        <f t="shared" si="7"/>
        <v>128384.64000000001</v>
      </c>
      <c r="BL17" s="44">
        <f t="shared" si="8"/>
        <v>0</v>
      </c>
      <c r="BM17" s="45" t="s">
        <v>48</v>
      </c>
      <c r="BN17" s="62">
        <v>3045565.8</v>
      </c>
      <c r="BO17" s="32"/>
      <c r="BP17" s="34"/>
      <c r="BQ17" s="19">
        <v>11</v>
      </c>
      <c r="BR17" s="266" t="s">
        <v>15</v>
      </c>
      <c r="BS17" s="21">
        <v>44748</v>
      </c>
      <c r="BT17" s="46">
        <v>944259.19</v>
      </c>
      <c r="BU17" s="261">
        <v>840000</v>
      </c>
      <c r="BV17" s="28">
        <f t="shared" si="9"/>
        <v>104259.18999999994</v>
      </c>
      <c r="BW17" s="44">
        <f t="shared" si="10"/>
        <v>0</v>
      </c>
      <c r="BX17" s="45" t="s">
        <v>48</v>
      </c>
      <c r="BY17" s="62">
        <v>2556465.23</v>
      </c>
      <c r="BZ17" s="32"/>
      <c r="CA17" s="34"/>
      <c r="CB17" s="19">
        <v>11</v>
      </c>
      <c r="CC17" s="266" t="s">
        <v>13</v>
      </c>
      <c r="CD17" s="21">
        <v>44778</v>
      </c>
      <c r="CE17" s="46">
        <v>933515.69</v>
      </c>
      <c r="CF17" s="261">
        <v>840000</v>
      </c>
      <c r="CG17" s="28">
        <f t="shared" si="11"/>
        <v>93515.689999999944</v>
      </c>
      <c r="CH17" s="44">
        <f t="shared" si="12"/>
        <v>0</v>
      </c>
      <c r="CI17" s="271" t="s">
        <v>67</v>
      </c>
      <c r="CJ17" s="62">
        <v>348491.9</v>
      </c>
      <c r="CK17" s="32"/>
      <c r="CL17" s="36" t="s">
        <v>68</v>
      </c>
      <c r="CM17" s="34"/>
      <c r="CN17" s="19">
        <v>11</v>
      </c>
      <c r="CO17" s="15" t="s">
        <v>22</v>
      </c>
      <c r="CP17" s="21">
        <v>44809</v>
      </c>
      <c r="CQ17" s="46">
        <v>876965.69</v>
      </c>
      <c r="CR17" s="265">
        <v>840000</v>
      </c>
      <c r="CS17" s="28">
        <f t="shared" si="13"/>
        <v>36965.689999999944</v>
      </c>
      <c r="CT17" s="44">
        <f t="shared" si="14"/>
        <v>0</v>
      </c>
      <c r="CU17" s="271"/>
      <c r="CV17" s="62">
        <v>509237.29</v>
      </c>
      <c r="CW17" s="32"/>
      <c r="CX17" s="36" t="s">
        <v>69</v>
      </c>
      <c r="CY17" s="37"/>
      <c r="CZ17" s="19">
        <v>11</v>
      </c>
      <c r="DA17" s="266" t="s">
        <v>18</v>
      </c>
      <c r="DB17" s="263">
        <v>44840</v>
      </c>
      <c r="DC17" s="284">
        <f>1021.906204*1000</f>
        <v>1021906.204</v>
      </c>
      <c r="DD17" s="261">
        <v>840000</v>
      </c>
      <c r="DE17" s="28">
        <f t="shared" si="15"/>
        <v>181906.20400000003</v>
      </c>
      <c r="DF17" s="44">
        <f t="shared" si="16"/>
        <v>0</v>
      </c>
      <c r="DG17" s="271"/>
      <c r="DH17" s="62"/>
      <c r="DI17" s="32"/>
      <c r="DJ17" s="36"/>
      <c r="DK17" s="37"/>
      <c r="DL17" s="19">
        <v>11</v>
      </c>
      <c r="DM17" s="20" t="s">
        <v>16</v>
      </c>
      <c r="DN17" s="263">
        <v>44870</v>
      </c>
      <c r="DO17" s="46">
        <v>899230.85</v>
      </c>
      <c r="DP17" s="265">
        <v>840000</v>
      </c>
      <c r="DQ17" s="28">
        <f t="shared" si="17"/>
        <v>59230.849999999977</v>
      </c>
      <c r="DR17" s="44">
        <f t="shared" si="18"/>
        <v>0</v>
      </c>
      <c r="DS17" s="271"/>
      <c r="DT17" s="62">
        <v>965519.96</v>
      </c>
      <c r="DU17" s="32"/>
      <c r="DV17" s="36"/>
      <c r="DW17" s="38">
        <f t="shared" si="19"/>
        <v>37467.95208333333</v>
      </c>
      <c r="DX17" s="19">
        <v>11</v>
      </c>
      <c r="DY17" s="35" t="s">
        <v>17</v>
      </c>
      <c r="DZ17" s="263">
        <v>44901</v>
      </c>
      <c r="EA17" s="46">
        <v>952002.02</v>
      </c>
      <c r="EB17" s="265">
        <v>838310</v>
      </c>
      <c r="EC17" s="28">
        <f t="shared" si="20"/>
        <v>113692.02000000002</v>
      </c>
      <c r="ED17" s="44">
        <f t="shared" si="21"/>
        <v>0</v>
      </c>
      <c r="EE17" s="271"/>
      <c r="EF17" s="62">
        <v>10215677.66</v>
      </c>
      <c r="EG17" s="32"/>
      <c r="EH17" s="36" t="s">
        <v>70</v>
      </c>
      <c r="EI17" s="38">
        <f t="shared" si="22"/>
        <v>39666.750833333332</v>
      </c>
      <c r="EJ17" s="19">
        <v>11</v>
      </c>
      <c r="EK17" s="266" t="s">
        <v>18</v>
      </c>
      <c r="EL17" s="263">
        <v>44931</v>
      </c>
      <c r="EM17" s="46">
        <v>831832.04</v>
      </c>
      <c r="EN17" s="265">
        <v>880600</v>
      </c>
      <c r="EO17" s="28">
        <f t="shared" si="23"/>
        <v>0</v>
      </c>
      <c r="EP17" s="44">
        <f t="shared" si="24"/>
        <v>48767.959999999963</v>
      </c>
      <c r="EQ17" s="271"/>
      <c r="ER17" s="62"/>
      <c r="ES17" s="32">
        <v>168617.66</v>
      </c>
      <c r="ET17" s="36" t="s">
        <v>71</v>
      </c>
    </row>
    <row r="18" spans="1:150" ht="14.25" customHeight="1">
      <c r="A18" s="14">
        <v>12</v>
      </c>
      <c r="B18" s="15" t="s">
        <v>17</v>
      </c>
      <c r="C18" s="16">
        <v>44902</v>
      </c>
      <c r="D18" s="267">
        <v>768175.61769999994</v>
      </c>
      <c r="E18" s="17">
        <v>784840</v>
      </c>
      <c r="F18" s="17">
        <v>-16664.38</v>
      </c>
      <c r="G18" s="57">
        <v>0</v>
      </c>
      <c r="H18" s="255"/>
      <c r="I18" s="19">
        <v>12</v>
      </c>
      <c r="J18" s="15" t="s">
        <v>18</v>
      </c>
      <c r="K18" s="21">
        <v>44567</v>
      </c>
      <c r="L18" s="39">
        <v>803739.09680000006</v>
      </c>
      <c r="M18" s="17">
        <v>796379</v>
      </c>
      <c r="N18" s="17">
        <v>7360.1</v>
      </c>
      <c r="O18" s="18">
        <v>0</v>
      </c>
      <c r="P18" s="40"/>
      <c r="Q18" s="19">
        <v>12</v>
      </c>
      <c r="R18" s="20" t="s">
        <v>14</v>
      </c>
      <c r="S18" s="26">
        <v>44598</v>
      </c>
      <c r="T18" s="41">
        <v>724247.89720000001</v>
      </c>
      <c r="U18" s="17">
        <v>834120</v>
      </c>
      <c r="V18" s="22">
        <f t="shared" si="0"/>
        <v>-109872.10279999999</v>
      </c>
      <c r="W18" s="18">
        <v>0</v>
      </c>
      <c r="X18" s="24">
        <v>17</v>
      </c>
      <c r="Y18" s="19">
        <v>12</v>
      </c>
      <c r="Z18" s="15" t="s">
        <v>15</v>
      </c>
      <c r="AA18" s="21">
        <v>44629</v>
      </c>
      <c r="AB18" s="42">
        <v>806057.08</v>
      </c>
      <c r="AC18" s="43">
        <v>834400</v>
      </c>
      <c r="AD18" s="28">
        <f t="shared" si="1"/>
        <v>0</v>
      </c>
      <c r="AE18" s="44">
        <f t="shared" si="2"/>
        <v>28342.920000000042</v>
      </c>
      <c r="AF18" s="45">
        <v>3.92</v>
      </c>
      <c r="AG18" s="63"/>
      <c r="AH18" s="64">
        <v>23604.67</v>
      </c>
      <c r="AI18" s="24">
        <v>20</v>
      </c>
      <c r="AJ18" s="19">
        <v>12</v>
      </c>
      <c r="AK18" s="15" t="s">
        <v>15</v>
      </c>
      <c r="AL18" s="21">
        <v>44657</v>
      </c>
      <c r="AM18" s="46">
        <v>962979.52</v>
      </c>
      <c r="AN18" s="17">
        <v>840000</v>
      </c>
      <c r="AO18" s="28">
        <f t="shared" si="3"/>
        <v>122979.52000000002</v>
      </c>
      <c r="AP18" s="44">
        <f t="shared" si="4"/>
        <v>0</v>
      </c>
      <c r="AQ18" s="45"/>
      <c r="AR18" s="48">
        <v>583245.17000000004</v>
      </c>
      <c r="AS18" s="64"/>
      <c r="AT18" s="24"/>
      <c r="AU18" s="19">
        <v>12</v>
      </c>
      <c r="AV18" s="20" t="s">
        <v>16</v>
      </c>
      <c r="AW18" s="21">
        <v>44688</v>
      </c>
      <c r="AX18" s="46">
        <v>1079206</v>
      </c>
      <c r="AY18" s="261">
        <v>840000</v>
      </c>
      <c r="AZ18" s="28">
        <f t="shared" si="5"/>
        <v>239206</v>
      </c>
      <c r="BA18" s="44">
        <f t="shared" si="6"/>
        <v>0</v>
      </c>
      <c r="BB18" s="45"/>
      <c r="BC18" s="48">
        <v>1567412.32</v>
      </c>
      <c r="BD18" s="64"/>
      <c r="BE18" s="24"/>
      <c r="BF18" s="19">
        <v>12</v>
      </c>
      <c r="BG18" s="15" t="s">
        <v>22</v>
      </c>
      <c r="BH18" s="21">
        <v>44718</v>
      </c>
      <c r="BI18" s="46">
        <v>1049310.5</v>
      </c>
      <c r="BJ18" s="261">
        <v>840000</v>
      </c>
      <c r="BK18" s="28">
        <f t="shared" si="7"/>
        <v>209310.5</v>
      </c>
      <c r="BL18" s="44">
        <f t="shared" si="8"/>
        <v>0</v>
      </c>
      <c r="BM18" s="45"/>
      <c r="BN18" s="48">
        <v>3013213.76</v>
      </c>
      <c r="BO18" s="64"/>
      <c r="BP18" s="34"/>
      <c r="BQ18" s="19">
        <v>12</v>
      </c>
      <c r="BR18" s="266" t="s">
        <v>18</v>
      </c>
      <c r="BS18" s="21">
        <v>44749</v>
      </c>
      <c r="BT18" s="46">
        <v>897573.71</v>
      </c>
      <c r="BU18" s="261">
        <v>840000</v>
      </c>
      <c r="BV18" s="28">
        <f t="shared" si="9"/>
        <v>57573.709999999963</v>
      </c>
      <c r="BW18" s="44">
        <f t="shared" si="10"/>
        <v>0</v>
      </c>
      <c r="BX18" s="45"/>
      <c r="BY18" s="48">
        <v>706635.08</v>
      </c>
      <c r="BZ18" s="64"/>
      <c r="CA18" s="34"/>
      <c r="CB18" s="19">
        <v>12</v>
      </c>
      <c r="CC18" s="20" t="s">
        <v>16</v>
      </c>
      <c r="CD18" s="21">
        <v>44779</v>
      </c>
      <c r="CE18" s="46">
        <v>833751.96</v>
      </c>
      <c r="CF18" s="261">
        <v>840000</v>
      </c>
      <c r="CG18" s="28">
        <f t="shared" si="11"/>
        <v>0</v>
      </c>
      <c r="CH18" s="44">
        <f t="shared" si="12"/>
        <v>6248.0400000000373</v>
      </c>
      <c r="CI18" s="45"/>
      <c r="CJ18" s="48">
        <v>30665.27</v>
      </c>
      <c r="CK18" s="64"/>
      <c r="CL18" s="36" t="s">
        <v>72</v>
      </c>
      <c r="CM18" s="34"/>
      <c r="CN18" s="19">
        <v>12</v>
      </c>
      <c r="CO18" s="35" t="s">
        <v>17</v>
      </c>
      <c r="CP18" s="263">
        <v>44810</v>
      </c>
      <c r="CQ18" s="46">
        <f>940.6679671*1000</f>
        <v>940667.96710000001</v>
      </c>
      <c r="CR18" s="265">
        <v>840000</v>
      </c>
      <c r="CS18" s="28">
        <f t="shared" si="13"/>
        <v>100667.96710000001</v>
      </c>
      <c r="CT18" s="44">
        <f t="shared" si="14"/>
        <v>0</v>
      </c>
      <c r="CU18" s="45"/>
      <c r="CV18" s="48"/>
      <c r="CW18" s="64"/>
      <c r="CX18" s="36"/>
      <c r="CY18" s="37"/>
      <c r="CZ18" s="19">
        <v>12</v>
      </c>
      <c r="DA18" s="266" t="s">
        <v>13</v>
      </c>
      <c r="DB18" s="263">
        <v>44841</v>
      </c>
      <c r="DC18" s="46">
        <f>1034.41743*1000</f>
        <v>1034417.4299999999</v>
      </c>
      <c r="DD18" s="261">
        <v>840000</v>
      </c>
      <c r="DE18" s="28">
        <f t="shared" si="15"/>
        <v>194417.42999999993</v>
      </c>
      <c r="DF18" s="44">
        <f t="shared" si="16"/>
        <v>0</v>
      </c>
      <c r="DG18" s="45"/>
      <c r="DH18" s="48"/>
      <c r="DI18" s="64"/>
      <c r="DJ18" s="36"/>
      <c r="DK18" s="37"/>
      <c r="DL18" s="19">
        <v>12</v>
      </c>
      <c r="DM18" s="20" t="s">
        <v>14</v>
      </c>
      <c r="DN18" s="263">
        <v>44871</v>
      </c>
      <c r="DO18" s="46">
        <v>927696.47</v>
      </c>
      <c r="DP18" s="265">
        <v>840000</v>
      </c>
      <c r="DQ18" s="28">
        <f t="shared" si="17"/>
        <v>87696.469999999972</v>
      </c>
      <c r="DR18" s="44">
        <f t="shared" si="18"/>
        <v>0</v>
      </c>
      <c r="DS18" s="45"/>
      <c r="DT18" s="48">
        <v>758526.13</v>
      </c>
      <c r="DU18" s="64"/>
      <c r="DV18" s="36"/>
      <c r="DW18" s="38">
        <f t="shared" si="19"/>
        <v>38654.019583333335</v>
      </c>
      <c r="DX18" s="19">
        <v>12</v>
      </c>
      <c r="DY18" s="266" t="s">
        <v>15</v>
      </c>
      <c r="DZ18" s="263">
        <v>44902</v>
      </c>
      <c r="EA18" s="46">
        <v>930625.75</v>
      </c>
      <c r="EB18" s="265">
        <v>840000</v>
      </c>
      <c r="EC18" s="28">
        <f t="shared" si="20"/>
        <v>90625.75</v>
      </c>
      <c r="ED18" s="44">
        <f t="shared" si="21"/>
        <v>0</v>
      </c>
      <c r="EE18" s="45"/>
      <c r="EF18" s="48">
        <v>4802127.45</v>
      </c>
      <c r="EG18" s="64"/>
      <c r="EH18" s="36" t="s">
        <v>73</v>
      </c>
      <c r="EI18" s="38">
        <f t="shared" si="22"/>
        <v>38776.072916666664</v>
      </c>
      <c r="EJ18" s="19">
        <v>12</v>
      </c>
      <c r="EK18" s="266" t="s">
        <v>13</v>
      </c>
      <c r="EL18" s="263">
        <v>44932</v>
      </c>
      <c r="EM18" s="46">
        <v>686008.15</v>
      </c>
      <c r="EN18" s="265">
        <v>880600</v>
      </c>
      <c r="EO18" s="28">
        <f t="shared" si="23"/>
        <v>0</v>
      </c>
      <c r="EP18" s="44">
        <f t="shared" si="24"/>
        <v>194591.84999999998</v>
      </c>
      <c r="EQ18" s="45"/>
      <c r="ER18" s="48"/>
      <c r="ES18" s="64">
        <v>816446.71</v>
      </c>
      <c r="ET18" s="36" t="s">
        <v>74</v>
      </c>
    </row>
    <row r="19" spans="1:150" ht="14.25" customHeight="1">
      <c r="A19" s="14">
        <v>13</v>
      </c>
      <c r="B19" s="15" t="s">
        <v>15</v>
      </c>
      <c r="C19" s="16">
        <v>44903</v>
      </c>
      <c r="D19" s="267">
        <v>726011.26520000002</v>
      </c>
      <c r="E19" s="17">
        <v>784840</v>
      </c>
      <c r="F19" s="17">
        <v>-58828.73</v>
      </c>
      <c r="G19" s="57">
        <v>0</v>
      </c>
      <c r="H19" s="255"/>
      <c r="I19" s="19">
        <v>13</v>
      </c>
      <c r="J19" s="15" t="s">
        <v>13</v>
      </c>
      <c r="K19" s="21">
        <v>44568</v>
      </c>
      <c r="L19" s="39">
        <v>804631.55220000003</v>
      </c>
      <c r="M19" s="17">
        <v>796379</v>
      </c>
      <c r="N19" s="17">
        <v>8252.5499999999993</v>
      </c>
      <c r="O19" s="18">
        <v>0</v>
      </c>
      <c r="P19" s="40"/>
      <c r="Q19" s="19">
        <v>13</v>
      </c>
      <c r="R19" s="15" t="s">
        <v>22</v>
      </c>
      <c r="S19" s="26">
        <v>44599</v>
      </c>
      <c r="T19" s="41">
        <v>778444.30279999995</v>
      </c>
      <c r="U19" s="17">
        <v>834120</v>
      </c>
      <c r="V19" s="22">
        <f t="shared" si="0"/>
        <v>-55675.697200000053</v>
      </c>
      <c r="W19" s="18">
        <v>0</v>
      </c>
      <c r="X19" s="24">
        <v>16</v>
      </c>
      <c r="Y19" s="19">
        <v>13</v>
      </c>
      <c r="Z19" s="15" t="s">
        <v>18</v>
      </c>
      <c r="AA19" s="21">
        <v>44630</v>
      </c>
      <c r="AB19" s="42">
        <v>826169.35</v>
      </c>
      <c r="AC19" s="43">
        <v>840000</v>
      </c>
      <c r="AD19" s="28">
        <f t="shared" si="1"/>
        <v>0</v>
      </c>
      <c r="AE19" s="44">
        <f t="shared" si="2"/>
        <v>13830.650000000023</v>
      </c>
      <c r="AF19" s="45">
        <v>5.54</v>
      </c>
      <c r="AG19" s="63"/>
      <c r="AH19" s="63">
        <v>128011.67</v>
      </c>
      <c r="AI19" s="24">
        <v>19</v>
      </c>
      <c r="AJ19" s="19">
        <v>13</v>
      </c>
      <c r="AK19" s="15" t="s">
        <v>18</v>
      </c>
      <c r="AL19" s="21">
        <v>44658</v>
      </c>
      <c r="AM19" s="46">
        <v>978428.47</v>
      </c>
      <c r="AN19" s="43">
        <v>840000</v>
      </c>
      <c r="AO19" s="28">
        <f t="shared" si="3"/>
        <v>138428.46999999997</v>
      </c>
      <c r="AP19" s="44">
        <f t="shared" si="4"/>
        <v>0</v>
      </c>
      <c r="AQ19" s="45"/>
      <c r="AR19" s="48">
        <v>608067.56999999995</v>
      </c>
      <c r="AS19" s="63"/>
      <c r="AT19" s="24"/>
      <c r="AU19" s="19">
        <v>13</v>
      </c>
      <c r="AV19" s="20" t="s">
        <v>14</v>
      </c>
      <c r="AW19" s="21">
        <v>44689</v>
      </c>
      <c r="AX19" s="46">
        <v>1055640.75</v>
      </c>
      <c r="AY19" s="283">
        <v>840000</v>
      </c>
      <c r="AZ19" s="28">
        <f t="shared" si="5"/>
        <v>215640.75</v>
      </c>
      <c r="BA19" s="44">
        <f t="shared" si="6"/>
        <v>0</v>
      </c>
      <c r="BB19" s="45"/>
      <c r="BC19" s="48">
        <v>1289622.51</v>
      </c>
      <c r="BD19" s="63"/>
      <c r="BE19" s="24"/>
      <c r="BF19" s="19">
        <v>13</v>
      </c>
      <c r="BG19" s="35" t="s">
        <v>17</v>
      </c>
      <c r="BH19" s="21">
        <v>44719</v>
      </c>
      <c r="BI19" s="46">
        <v>1073407.6100000001</v>
      </c>
      <c r="BJ19" s="261">
        <v>840000</v>
      </c>
      <c r="BK19" s="28">
        <f t="shared" si="7"/>
        <v>233407.6100000001</v>
      </c>
      <c r="BL19" s="44">
        <f t="shared" si="8"/>
        <v>0</v>
      </c>
      <c r="BM19" s="45"/>
      <c r="BN19" s="48">
        <v>3180029.17</v>
      </c>
      <c r="BO19" s="63"/>
      <c r="BP19" s="65"/>
      <c r="BQ19" s="19">
        <v>13</v>
      </c>
      <c r="BR19" s="266" t="s">
        <v>13</v>
      </c>
      <c r="BS19" s="21">
        <v>44750</v>
      </c>
      <c r="BT19" s="46">
        <v>862261.39</v>
      </c>
      <c r="BU19" s="261">
        <v>840000</v>
      </c>
      <c r="BV19" s="28">
        <f t="shared" si="9"/>
        <v>22261.390000000014</v>
      </c>
      <c r="BW19" s="44">
        <f t="shared" si="10"/>
        <v>0</v>
      </c>
      <c r="BX19" s="45" t="s">
        <v>48</v>
      </c>
      <c r="BY19" s="48">
        <v>1232546.1399999999</v>
      </c>
      <c r="BZ19" s="63"/>
      <c r="CA19" s="65"/>
      <c r="CB19" s="19">
        <v>13</v>
      </c>
      <c r="CC19" s="20" t="s">
        <v>14</v>
      </c>
      <c r="CD19" s="21">
        <v>44780</v>
      </c>
      <c r="CE19" s="46">
        <v>794728.54</v>
      </c>
      <c r="CF19" s="261">
        <v>840000</v>
      </c>
      <c r="CG19" s="28">
        <f t="shared" si="11"/>
        <v>0</v>
      </c>
      <c r="CH19" s="44">
        <f t="shared" si="12"/>
        <v>45271.459999999963</v>
      </c>
      <c r="CI19" s="271" t="s">
        <v>75</v>
      </c>
      <c r="CJ19" s="48"/>
      <c r="CK19" s="63">
        <v>172491.38</v>
      </c>
      <c r="CL19" s="66" t="s">
        <v>76</v>
      </c>
      <c r="CM19" s="65"/>
      <c r="CN19" s="19">
        <v>13</v>
      </c>
      <c r="CO19" s="266" t="s">
        <v>15</v>
      </c>
      <c r="CP19" s="21">
        <v>44811</v>
      </c>
      <c r="CQ19" s="46">
        <f>1003.498367*1000</f>
        <v>1003498.3670000001</v>
      </c>
      <c r="CR19" s="265">
        <v>840000</v>
      </c>
      <c r="CS19" s="28">
        <f t="shared" si="13"/>
        <v>163498.36700000009</v>
      </c>
      <c r="CT19" s="44">
        <f t="shared" si="14"/>
        <v>0</v>
      </c>
      <c r="CU19" s="271"/>
      <c r="CV19" s="48"/>
      <c r="CW19" s="63"/>
      <c r="CX19" s="66"/>
      <c r="CY19" s="67"/>
      <c r="CZ19" s="19">
        <v>13</v>
      </c>
      <c r="DA19" s="20" t="s">
        <v>16</v>
      </c>
      <c r="DB19" s="263">
        <v>44842</v>
      </c>
      <c r="DC19" s="46">
        <f>1006.805906*1000</f>
        <v>1006805.9060000001</v>
      </c>
      <c r="DD19" s="261">
        <v>840000</v>
      </c>
      <c r="DE19" s="28">
        <f t="shared" si="15"/>
        <v>166805.90600000008</v>
      </c>
      <c r="DF19" s="44">
        <f t="shared" si="16"/>
        <v>0</v>
      </c>
      <c r="DG19" s="271"/>
      <c r="DH19" s="48"/>
      <c r="DI19" s="63"/>
      <c r="DJ19" s="66"/>
      <c r="DK19" s="67"/>
      <c r="DL19" s="19">
        <v>13</v>
      </c>
      <c r="DM19" s="15" t="s">
        <v>22</v>
      </c>
      <c r="DN19" s="263">
        <v>44872</v>
      </c>
      <c r="DO19" s="46">
        <v>999866.29</v>
      </c>
      <c r="DP19" s="265">
        <v>840000</v>
      </c>
      <c r="DQ19" s="28">
        <f t="shared" si="17"/>
        <v>159866.29000000004</v>
      </c>
      <c r="DR19" s="44">
        <f t="shared" si="18"/>
        <v>0</v>
      </c>
      <c r="DS19" s="271"/>
      <c r="DT19" s="48">
        <v>1782196.88</v>
      </c>
      <c r="DU19" s="63"/>
      <c r="DV19" s="66"/>
      <c r="DW19" s="38">
        <f t="shared" si="19"/>
        <v>41661.095416666671</v>
      </c>
      <c r="DX19" s="19">
        <v>13</v>
      </c>
      <c r="DY19" s="266" t="s">
        <v>18</v>
      </c>
      <c r="DZ19" s="263">
        <v>44903</v>
      </c>
      <c r="EA19" s="46">
        <v>998314.44</v>
      </c>
      <c r="EB19" s="265">
        <v>840000</v>
      </c>
      <c r="EC19" s="28">
        <f t="shared" si="20"/>
        <v>158314.43999999994</v>
      </c>
      <c r="ED19" s="44">
        <f t="shared" si="21"/>
        <v>0</v>
      </c>
      <c r="EE19" s="271"/>
      <c r="EF19" s="48">
        <v>5453597.9400000004</v>
      </c>
      <c r="EG19" s="63"/>
      <c r="EH19" s="36" t="s">
        <v>52</v>
      </c>
      <c r="EI19" s="38">
        <f t="shared" si="22"/>
        <v>41596.434999999998</v>
      </c>
      <c r="EJ19" s="19">
        <v>13</v>
      </c>
      <c r="EK19" s="20" t="s">
        <v>16</v>
      </c>
      <c r="EL19" s="263">
        <v>44933</v>
      </c>
      <c r="EM19" s="46">
        <v>727306.8</v>
      </c>
      <c r="EN19" s="265">
        <v>880600</v>
      </c>
      <c r="EO19" s="28">
        <f t="shared" si="23"/>
        <v>0</v>
      </c>
      <c r="EP19" s="44">
        <f t="shared" si="24"/>
        <v>153293.19999999995</v>
      </c>
      <c r="EQ19" s="271"/>
      <c r="ER19" s="48"/>
      <c r="ES19" s="63">
        <v>519987.12</v>
      </c>
      <c r="ET19" s="36" t="s">
        <v>77</v>
      </c>
    </row>
    <row r="20" spans="1:150" ht="14.25" customHeight="1">
      <c r="A20" s="14">
        <v>14</v>
      </c>
      <c r="B20" s="15" t="s">
        <v>18</v>
      </c>
      <c r="C20" s="16">
        <v>44904</v>
      </c>
      <c r="D20" s="267">
        <v>747242.28289999999</v>
      </c>
      <c r="E20" s="68">
        <v>784839.99959999998</v>
      </c>
      <c r="F20" s="68">
        <v>-37597.716699999997</v>
      </c>
      <c r="G20" s="69">
        <v>0</v>
      </c>
      <c r="H20" s="255"/>
      <c r="I20" s="19">
        <v>14</v>
      </c>
      <c r="J20" s="20" t="s">
        <v>16</v>
      </c>
      <c r="K20" s="21">
        <v>44569</v>
      </c>
      <c r="L20" s="39">
        <v>798534.15729999996</v>
      </c>
      <c r="M20" s="17">
        <v>796379</v>
      </c>
      <c r="N20" s="17">
        <v>2155.1572999999999</v>
      </c>
      <c r="O20" s="18">
        <v>0</v>
      </c>
      <c r="P20" s="40"/>
      <c r="Q20" s="19">
        <v>14</v>
      </c>
      <c r="R20" s="15" t="s">
        <v>17</v>
      </c>
      <c r="S20" s="26">
        <v>44600</v>
      </c>
      <c r="T20" s="41">
        <v>834527.33360000001</v>
      </c>
      <c r="U20" s="17">
        <v>834120</v>
      </c>
      <c r="V20" s="22">
        <f t="shared" si="0"/>
        <v>407.33360000001267</v>
      </c>
      <c r="W20" s="18">
        <v>0</v>
      </c>
      <c r="X20" s="24">
        <v>15</v>
      </c>
      <c r="Y20" s="19">
        <v>14</v>
      </c>
      <c r="Z20" s="20" t="s">
        <v>13</v>
      </c>
      <c r="AA20" s="21">
        <v>44631</v>
      </c>
      <c r="AB20" s="41">
        <v>875579.67</v>
      </c>
      <c r="AC20" s="70">
        <v>840000</v>
      </c>
      <c r="AD20" s="28">
        <f t="shared" si="1"/>
        <v>35579.670000000042</v>
      </c>
      <c r="AE20" s="44">
        <f t="shared" si="2"/>
        <v>0</v>
      </c>
      <c r="AF20" s="50">
        <v>7.41</v>
      </c>
      <c r="AG20" s="63">
        <v>434103.52</v>
      </c>
      <c r="AH20" s="71"/>
      <c r="AI20" s="24">
        <v>18</v>
      </c>
      <c r="AJ20" s="19">
        <v>14</v>
      </c>
      <c r="AK20" s="15" t="s">
        <v>13</v>
      </c>
      <c r="AL20" s="21">
        <v>44659</v>
      </c>
      <c r="AM20" s="46">
        <v>971259.63</v>
      </c>
      <c r="AN20" s="70">
        <v>840000</v>
      </c>
      <c r="AO20" s="28">
        <f t="shared" si="3"/>
        <v>131259.63</v>
      </c>
      <c r="AP20" s="44">
        <f t="shared" si="4"/>
        <v>0</v>
      </c>
      <c r="AQ20" s="50"/>
      <c r="AR20" s="48">
        <v>618582.79</v>
      </c>
      <c r="AS20" s="71"/>
      <c r="AT20" s="24"/>
      <c r="AU20" s="19">
        <v>14</v>
      </c>
      <c r="AV20" s="15" t="s">
        <v>22</v>
      </c>
      <c r="AW20" s="21">
        <v>44690</v>
      </c>
      <c r="AX20" s="46">
        <v>1030036.72</v>
      </c>
      <c r="AY20" s="285">
        <v>840000</v>
      </c>
      <c r="AZ20" s="28">
        <f t="shared" si="5"/>
        <v>190036.71999999997</v>
      </c>
      <c r="BA20" s="44">
        <f t="shared" si="6"/>
        <v>0</v>
      </c>
      <c r="BB20" s="50"/>
      <c r="BC20" s="286">
        <v>968798.33</v>
      </c>
      <c r="BD20" s="71"/>
      <c r="BE20" s="24"/>
      <c r="BF20" s="19">
        <v>14</v>
      </c>
      <c r="BG20" s="266" t="s">
        <v>15</v>
      </c>
      <c r="BH20" s="21">
        <v>44720</v>
      </c>
      <c r="BI20" s="46">
        <v>980450.97</v>
      </c>
      <c r="BJ20" s="261">
        <v>840000</v>
      </c>
      <c r="BK20" s="28">
        <f t="shared" si="7"/>
        <v>140450.96999999997</v>
      </c>
      <c r="BL20" s="44">
        <f t="shared" si="8"/>
        <v>0</v>
      </c>
      <c r="BM20" s="50"/>
      <c r="BN20" s="286">
        <v>2596150.64</v>
      </c>
      <c r="BO20" s="71"/>
      <c r="BP20" s="72"/>
      <c r="BQ20" s="19">
        <v>14</v>
      </c>
      <c r="BR20" s="20" t="s">
        <v>16</v>
      </c>
      <c r="BS20" s="21">
        <v>44751</v>
      </c>
      <c r="BT20" s="46">
        <v>922419.72</v>
      </c>
      <c r="BU20" s="261">
        <v>840000</v>
      </c>
      <c r="BV20" s="28">
        <f t="shared" si="9"/>
        <v>82419.719999999972</v>
      </c>
      <c r="BW20" s="44">
        <f t="shared" si="10"/>
        <v>0</v>
      </c>
      <c r="BX20" s="45" t="s">
        <v>63</v>
      </c>
      <c r="BY20" s="48">
        <v>944556.25</v>
      </c>
      <c r="BZ20" s="71"/>
      <c r="CA20" s="72"/>
      <c r="CB20" s="19">
        <v>14</v>
      </c>
      <c r="CC20" s="15" t="s">
        <v>22</v>
      </c>
      <c r="CD20" s="21">
        <v>44781</v>
      </c>
      <c r="CE20" s="46">
        <v>778654.7</v>
      </c>
      <c r="CF20" s="261">
        <v>840000</v>
      </c>
      <c r="CG20" s="28">
        <f t="shared" si="11"/>
        <v>0</v>
      </c>
      <c r="CH20" s="44">
        <f t="shared" si="12"/>
        <v>61345.300000000047</v>
      </c>
      <c r="CI20" s="271" t="s">
        <v>78</v>
      </c>
      <c r="CJ20" s="48"/>
      <c r="CK20" s="71">
        <v>213073.86</v>
      </c>
      <c r="CL20" s="73" t="s">
        <v>79</v>
      </c>
      <c r="CM20" s="72"/>
      <c r="CN20" s="19">
        <v>14</v>
      </c>
      <c r="CO20" s="266" t="s">
        <v>18</v>
      </c>
      <c r="CP20" s="263">
        <v>44812</v>
      </c>
      <c r="CQ20" s="46">
        <f>1042.613728*1000</f>
        <v>1042613.728</v>
      </c>
      <c r="CR20" s="265">
        <v>840000</v>
      </c>
      <c r="CS20" s="28">
        <f t="shared" si="13"/>
        <v>202613.728</v>
      </c>
      <c r="CT20" s="44">
        <f t="shared" si="14"/>
        <v>0</v>
      </c>
      <c r="CU20" s="271"/>
      <c r="CV20" s="48"/>
      <c r="CW20" s="71"/>
      <c r="CX20" s="73"/>
      <c r="CY20" s="74"/>
      <c r="CZ20" s="19">
        <v>14</v>
      </c>
      <c r="DA20" s="20" t="s">
        <v>14</v>
      </c>
      <c r="DB20" s="263">
        <v>44843</v>
      </c>
      <c r="DC20" s="46">
        <f>968.4838926*1000</f>
        <v>968483.89260000002</v>
      </c>
      <c r="DD20" s="261">
        <v>840000</v>
      </c>
      <c r="DE20" s="28">
        <f t="shared" si="15"/>
        <v>128483.89260000002</v>
      </c>
      <c r="DF20" s="44">
        <f t="shared" si="16"/>
        <v>0</v>
      </c>
      <c r="DG20" s="271"/>
      <c r="DH20" s="48"/>
      <c r="DI20" s="71"/>
      <c r="DJ20" s="73"/>
      <c r="DK20" s="74"/>
      <c r="DL20" s="19">
        <v>14</v>
      </c>
      <c r="DM20" s="35" t="s">
        <v>17</v>
      </c>
      <c r="DN20" s="263">
        <v>44873</v>
      </c>
      <c r="DO20" s="46">
        <v>920628.08</v>
      </c>
      <c r="DP20" s="265">
        <v>840000</v>
      </c>
      <c r="DQ20" s="28">
        <f t="shared" si="17"/>
        <v>80628.079999999958</v>
      </c>
      <c r="DR20" s="44">
        <f t="shared" si="18"/>
        <v>0</v>
      </c>
      <c r="DS20" s="271"/>
      <c r="DT20" s="48">
        <v>903212.65</v>
      </c>
      <c r="DU20" s="71"/>
      <c r="DV20" s="73"/>
      <c r="DW20" s="38">
        <f t="shared" si="19"/>
        <v>38359.503333333334</v>
      </c>
      <c r="DX20" s="19">
        <v>14</v>
      </c>
      <c r="DY20" s="266" t="s">
        <v>13</v>
      </c>
      <c r="DZ20" s="263">
        <v>44904</v>
      </c>
      <c r="EA20" s="46">
        <v>974062.19</v>
      </c>
      <c r="EB20" s="265">
        <v>840000</v>
      </c>
      <c r="EC20" s="28">
        <f t="shared" si="20"/>
        <v>134062.18999999994</v>
      </c>
      <c r="ED20" s="44">
        <f t="shared" si="21"/>
        <v>0</v>
      </c>
      <c r="EE20" s="271"/>
      <c r="EF20" s="48">
        <v>4678422.8600000003</v>
      </c>
      <c r="EG20" s="71"/>
      <c r="EH20" s="36" t="s">
        <v>25</v>
      </c>
      <c r="EI20" s="38">
        <f t="shared" si="22"/>
        <v>40585.924583333333</v>
      </c>
      <c r="EJ20" s="19">
        <v>14</v>
      </c>
      <c r="EK20" s="20" t="s">
        <v>14</v>
      </c>
      <c r="EL20" s="263">
        <v>44934</v>
      </c>
      <c r="EM20" s="46">
        <v>679314.54</v>
      </c>
      <c r="EN20" s="265">
        <v>879798.33</v>
      </c>
      <c r="EO20" s="28">
        <f t="shared" si="23"/>
        <v>0</v>
      </c>
      <c r="EP20" s="44">
        <f t="shared" si="24"/>
        <v>200483.78999999992</v>
      </c>
      <c r="EQ20" s="271"/>
      <c r="ER20" s="48"/>
      <c r="ES20" s="71">
        <v>530942.5</v>
      </c>
      <c r="ET20" s="36" t="s">
        <v>80</v>
      </c>
    </row>
    <row r="21" spans="1:150" ht="14.25" customHeight="1">
      <c r="A21" s="14">
        <v>15</v>
      </c>
      <c r="B21" s="15" t="s">
        <v>13</v>
      </c>
      <c r="C21" s="16">
        <v>44905</v>
      </c>
      <c r="D21" s="267">
        <v>752772.22930000001</v>
      </c>
      <c r="E21" s="68">
        <v>726163</v>
      </c>
      <c r="F21" s="68">
        <v>26609.229299999999</v>
      </c>
      <c r="G21" s="57">
        <v>0</v>
      </c>
      <c r="H21" s="255"/>
      <c r="I21" s="19">
        <v>15</v>
      </c>
      <c r="J21" s="20" t="s">
        <v>14</v>
      </c>
      <c r="K21" s="21">
        <v>44570</v>
      </c>
      <c r="L21" s="39">
        <v>808228.5037</v>
      </c>
      <c r="M21" s="17">
        <v>796379</v>
      </c>
      <c r="N21" s="17">
        <v>11849.503699999999</v>
      </c>
      <c r="O21" s="18">
        <v>0</v>
      </c>
      <c r="P21" s="40"/>
      <c r="Q21" s="19">
        <v>15</v>
      </c>
      <c r="R21" s="15" t="s">
        <v>15</v>
      </c>
      <c r="S21" s="26">
        <v>44601</v>
      </c>
      <c r="T21" s="41">
        <v>780748.67839999998</v>
      </c>
      <c r="U21" s="17">
        <v>834120</v>
      </c>
      <c r="V21" s="22">
        <f t="shared" si="0"/>
        <v>-53371.321600000025</v>
      </c>
      <c r="W21" s="18">
        <v>0</v>
      </c>
      <c r="X21" s="24">
        <v>14</v>
      </c>
      <c r="Y21" s="19">
        <v>15</v>
      </c>
      <c r="Z21" s="20" t="s">
        <v>16</v>
      </c>
      <c r="AA21" s="21">
        <v>44632</v>
      </c>
      <c r="AB21" s="41">
        <v>848968</v>
      </c>
      <c r="AC21" s="43">
        <v>840000</v>
      </c>
      <c r="AD21" s="28">
        <f t="shared" si="1"/>
        <v>8968</v>
      </c>
      <c r="AE21" s="44">
        <f t="shared" si="2"/>
        <v>0</v>
      </c>
      <c r="AF21" s="50">
        <v>5.86</v>
      </c>
      <c r="AG21" s="63">
        <v>250584.38</v>
      </c>
      <c r="AH21" s="71"/>
      <c r="AI21" s="24">
        <v>17</v>
      </c>
      <c r="AJ21" s="19">
        <v>15</v>
      </c>
      <c r="AK21" s="20" t="s">
        <v>16</v>
      </c>
      <c r="AL21" s="21">
        <v>44660</v>
      </c>
      <c r="AM21" s="46">
        <v>931396.42</v>
      </c>
      <c r="AN21" s="43">
        <v>840000</v>
      </c>
      <c r="AO21" s="28">
        <f t="shared" si="3"/>
        <v>91396.420000000042</v>
      </c>
      <c r="AP21" s="44">
        <f t="shared" si="4"/>
        <v>0</v>
      </c>
      <c r="AQ21" s="50"/>
      <c r="AR21" s="48">
        <v>433191.53</v>
      </c>
      <c r="AS21" s="71"/>
      <c r="AT21" s="24"/>
      <c r="AU21" s="19">
        <v>15</v>
      </c>
      <c r="AV21" s="35" t="s">
        <v>17</v>
      </c>
      <c r="AW21" s="21">
        <v>44691</v>
      </c>
      <c r="AX21" s="46">
        <v>1133329.77</v>
      </c>
      <c r="AY21" s="285">
        <v>840000</v>
      </c>
      <c r="AZ21" s="28">
        <f t="shared" si="5"/>
        <v>293329.77</v>
      </c>
      <c r="BA21" s="44">
        <f t="shared" si="6"/>
        <v>0</v>
      </c>
      <c r="BB21" s="50"/>
      <c r="BC21" s="48">
        <v>2556835.73</v>
      </c>
      <c r="BD21" s="71"/>
      <c r="BE21" s="24"/>
      <c r="BF21" s="19">
        <v>15</v>
      </c>
      <c r="BG21" s="266" t="s">
        <v>18</v>
      </c>
      <c r="BH21" s="21">
        <v>44721</v>
      </c>
      <c r="BI21" s="46">
        <v>829939.63</v>
      </c>
      <c r="BJ21" s="261">
        <v>840000</v>
      </c>
      <c r="BK21" s="28">
        <f t="shared" si="7"/>
        <v>0</v>
      </c>
      <c r="BL21" s="44">
        <f t="shared" si="8"/>
        <v>10060.369999999995</v>
      </c>
      <c r="BM21" s="50" t="s">
        <v>81</v>
      </c>
      <c r="BN21" s="48">
        <v>1511202.58</v>
      </c>
      <c r="BO21" s="71"/>
      <c r="BP21" s="72"/>
      <c r="BQ21" s="19">
        <v>15</v>
      </c>
      <c r="BR21" s="20" t="s">
        <v>14</v>
      </c>
      <c r="BS21" s="21">
        <v>44752</v>
      </c>
      <c r="BT21" s="46">
        <v>963484.83</v>
      </c>
      <c r="BU21" s="261">
        <v>840000</v>
      </c>
      <c r="BV21" s="28">
        <f t="shared" si="9"/>
        <v>123484.82999999996</v>
      </c>
      <c r="BW21" s="44">
        <f t="shared" si="10"/>
        <v>0</v>
      </c>
      <c r="BX21" s="45" t="s">
        <v>82</v>
      </c>
      <c r="BY21" s="48">
        <v>1375368.9</v>
      </c>
      <c r="BZ21" s="71"/>
      <c r="CA21" s="72"/>
      <c r="CB21" s="19">
        <v>15</v>
      </c>
      <c r="CC21" s="35" t="s">
        <v>17</v>
      </c>
      <c r="CD21" s="21">
        <v>44782</v>
      </c>
      <c r="CE21" s="46">
        <v>831630.66</v>
      </c>
      <c r="CF21" s="261">
        <v>840000</v>
      </c>
      <c r="CG21" s="28">
        <f t="shared" si="11"/>
        <v>0</v>
      </c>
      <c r="CH21" s="44">
        <f t="shared" si="12"/>
        <v>8369.3399999999674</v>
      </c>
      <c r="CI21" s="271" t="s">
        <v>83</v>
      </c>
      <c r="CJ21" s="48">
        <v>30505.69</v>
      </c>
      <c r="CK21" s="71"/>
      <c r="CL21" s="73" t="s">
        <v>79</v>
      </c>
      <c r="CM21" s="72"/>
      <c r="CN21" s="19">
        <v>15</v>
      </c>
      <c r="CO21" s="266" t="s">
        <v>13</v>
      </c>
      <c r="CP21" s="21">
        <v>44813</v>
      </c>
      <c r="CQ21" s="46">
        <v>975940.88</v>
      </c>
      <c r="CR21" s="265">
        <v>840000</v>
      </c>
      <c r="CS21" s="28">
        <f t="shared" si="13"/>
        <v>135940.88</v>
      </c>
      <c r="CT21" s="44">
        <f t="shared" si="14"/>
        <v>0</v>
      </c>
      <c r="CU21" s="271"/>
      <c r="CV21" s="48"/>
      <c r="CW21" s="71"/>
      <c r="CX21" s="73"/>
      <c r="CY21" s="74"/>
      <c r="CZ21" s="19">
        <v>15</v>
      </c>
      <c r="DA21" s="15" t="s">
        <v>22</v>
      </c>
      <c r="DB21" s="263">
        <v>44844</v>
      </c>
      <c r="DC21" s="46">
        <f>1014.8027*1000</f>
        <v>1014802.7</v>
      </c>
      <c r="DD21" s="261">
        <v>840000</v>
      </c>
      <c r="DE21" s="28">
        <f t="shared" si="15"/>
        <v>174802.69999999995</v>
      </c>
      <c r="DF21" s="44">
        <f t="shared" si="16"/>
        <v>0</v>
      </c>
      <c r="DG21" s="271"/>
      <c r="DH21" s="48"/>
      <c r="DI21" s="71"/>
      <c r="DJ21" s="73"/>
      <c r="DK21" s="74"/>
      <c r="DL21" s="19">
        <v>15</v>
      </c>
      <c r="DM21" s="266" t="s">
        <v>15</v>
      </c>
      <c r="DN21" s="263">
        <v>44874</v>
      </c>
      <c r="DO21" s="46">
        <v>958564.85</v>
      </c>
      <c r="DP21" s="265">
        <v>840000</v>
      </c>
      <c r="DQ21" s="28">
        <f t="shared" si="17"/>
        <v>118564.84999999998</v>
      </c>
      <c r="DR21" s="44">
        <f t="shared" si="18"/>
        <v>0</v>
      </c>
      <c r="DS21" s="271"/>
      <c r="DT21" s="48">
        <v>1900857.95</v>
      </c>
      <c r="DU21" s="71"/>
      <c r="DV21" s="73"/>
      <c r="DW21" s="38">
        <f t="shared" si="19"/>
        <v>39940.20208333333</v>
      </c>
      <c r="DX21" s="19">
        <v>15</v>
      </c>
      <c r="DY21" s="20" t="s">
        <v>16</v>
      </c>
      <c r="DZ21" s="263">
        <v>44905</v>
      </c>
      <c r="EA21" s="46">
        <v>961865.63</v>
      </c>
      <c r="EB21" s="265">
        <v>840000</v>
      </c>
      <c r="EC21" s="28">
        <f t="shared" si="20"/>
        <v>121865.63</v>
      </c>
      <c r="ED21" s="44">
        <f t="shared" si="21"/>
        <v>0</v>
      </c>
      <c r="EE21" s="271"/>
      <c r="EF21" s="48">
        <v>1882036.67</v>
      </c>
      <c r="EG21" s="71"/>
      <c r="EH21" s="36" t="s">
        <v>84</v>
      </c>
      <c r="EI21" s="38">
        <f t="shared" si="22"/>
        <v>40077.734583333331</v>
      </c>
      <c r="EJ21" s="19">
        <v>15</v>
      </c>
      <c r="EK21" s="15" t="s">
        <v>22</v>
      </c>
      <c r="EL21" s="263">
        <v>44935</v>
      </c>
      <c r="EM21" s="46">
        <v>787700.83</v>
      </c>
      <c r="EN21" s="265">
        <v>879798.33</v>
      </c>
      <c r="EO21" s="28">
        <f t="shared" si="23"/>
        <v>0</v>
      </c>
      <c r="EP21" s="44">
        <f t="shared" si="24"/>
        <v>92097.5</v>
      </c>
      <c r="EQ21" s="271"/>
      <c r="ER21" s="48"/>
      <c r="ES21" s="71">
        <v>127681.19</v>
      </c>
      <c r="ET21" s="36" t="s">
        <v>85</v>
      </c>
    </row>
    <row r="22" spans="1:150" ht="14.25" customHeight="1">
      <c r="A22" s="14">
        <v>16</v>
      </c>
      <c r="B22" s="20" t="s">
        <v>16</v>
      </c>
      <c r="C22" s="16">
        <v>44906</v>
      </c>
      <c r="D22" s="267">
        <v>751052.11750000005</v>
      </c>
      <c r="E22" s="68">
        <v>723511</v>
      </c>
      <c r="F22" s="68">
        <v>27541.1175</v>
      </c>
      <c r="G22" s="57">
        <v>0</v>
      </c>
      <c r="H22" s="255"/>
      <c r="I22" s="19">
        <v>16</v>
      </c>
      <c r="J22" s="15" t="s">
        <v>22</v>
      </c>
      <c r="K22" s="21">
        <v>44571</v>
      </c>
      <c r="L22" s="39">
        <v>864854.929</v>
      </c>
      <c r="M22" s="17">
        <v>796379</v>
      </c>
      <c r="N22" s="17">
        <v>68475.929000000004</v>
      </c>
      <c r="O22" s="18">
        <v>0</v>
      </c>
      <c r="P22" s="40"/>
      <c r="Q22" s="19">
        <v>16</v>
      </c>
      <c r="R22" s="15" t="s">
        <v>18</v>
      </c>
      <c r="S22" s="26">
        <v>44602</v>
      </c>
      <c r="T22" s="41">
        <v>830311.37899999996</v>
      </c>
      <c r="U22" s="17">
        <v>833000</v>
      </c>
      <c r="V22" s="22">
        <f t="shared" si="0"/>
        <v>-2688.6210000000428</v>
      </c>
      <c r="W22" s="18">
        <v>0</v>
      </c>
      <c r="X22" s="24">
        <v>13</v>
      </c>
      <c r="Y22" s="19">
        <v>16</v>
      </c>
      <c r="Z22" s="20" t="s">
        <v>14</v>
      </c>
      <c r="AA22" s="21">
        <v>44633</v>
      </c>
      <c r="AB22" s="41">
        <v>855910.93</v>
      </c>
      <c r="AC22" s="43">
        <v>840000</v>
      </c>
      <c r="AD22" s="28">
        <f t="shared" si="1"/>
        <v>15910.930000000051</v>
      </c>
      <c r="AE22" s="44">
        <f t="shared" si="2"/>
        <v>0</v>
      </c>
      <c r="AF22" s="50">
        <v>5.21</v>
      </c>
      <c r="AG22" s="63">
        <v>258274.16</v>
      </c>
      <c r="AH22" s="71"/>
      <c r="AI22" s="24">
        <v>16</v>
      </c>
      <c r="AJ22" s="19">
        <v>16</v>
      </c>
      <c r="AK22" s="20" t="s">
        <v>14</v>
      </c>
      <c r="AL22" s="21">
        <v>44661</v>
      </c>
      <c r="AM22" s="46">
        <v>891065.05</v>
      </c>
      <c r="AN22" s="43">
        <v>840000</v>
      </c>
      <c r="AO22" s="28">
        <f t="shared" si="3"/>
        <v>51065.050000000047</v>
      </c>
      <c r="AP22" s="44">
        <f t="shared" si="4"/>
        <v>0</v>
      </c>
      <c r="AQ22" s="50"/>
      <c r="AR22" s="48">
        <v>244817.23</v>
      </c>
      <c r="AS22" s="71"/>
      <c r="AT22" s="24"/>
      <c r="AU22" s="19">
        <v>16</v>
      </c>
      <c r="AV22" s="266" t="s">
        <v>15</v>
      </c>
      <c r="AW22" s="21">
        <v>44692</v>
      </c>
      <c r="AX22" s="46">
        <v>1144381.74</v>
      </c>
      <c r="AY22" s="285">
        <v>840000</v>
      </c>
      <c r="AZ22" s="28">
        <f t="shared" si="5"/>
        <v>304381.74</v>
      </c>
      <c r="BA22" s="44">
        <f t="shared" si="6"/>
        <v>0</v>
      </c>
      <c r="BB22" s="50"/>
      <c r="BC22" s="48">
        <v>2503425.81</v>
      </c>
      <c r="BD22" s="71"/>
      <c r="BE22" s="24"/>
      <c r="BF22" s="19">
        <v>16</v>
      </c>
      <c r="BG22" s="266" t="s">
        <v>13</v>
      </c>
      <c r="BH22" s="21">
        <v>44722</v>
      </c>
      <c r="BI22" s="46">
        <v>1072327</v>
      </c>
      <c r="BJ22" s="261">
        <v>840000</v>
      </c>
      <c r="BK22" s="28">
        <f t="shared" si="7"/>
        <v>232327</v>
      </c>
      <c r="BL22" s="44">
        <f t="shared" si="8"/>
        <v>0</v>
      </c>
      <c r="BM22" s="45" t="s">
        <v>48</v>
      </c>
      <c r="BN22" s="48">
        <v>7156960.1600000001</v>
      </c>
      <c r="BO22" s="71"/>
      <c r="BP22" s="72"/>
      <c r="BQ22" s="19">
        <v>16</v>
      </c>
      <c r="BR22" s="15" t="s">
        <v>22</v>
      </c>
      <c r="BS22" s="21">
        <v>44753</v>
      </c>
      <c r="BT22" s="46">
        <v>1054922.1299999999</v>
      </c>
      <c r="BU22" s="261">
        <v>840000</v>
      </c>
      <c r="BV22" s="28">
        <f t="shared" si="9"/>
        <v>214922.12999999989</v>
      </c>
      <c r="BW22" s="44">
        <f t="shared" si="10"/>
        <v>0</v>
      </c>
      <c r="BX22" s="45" t="s">
        <v>48</v>
      </c>
      <c r="BY22" s="48">
        <v>5402142.6799999997</v>
      </c>
      <c r="BZ22" s="71"/>
      <c r="CA22" s="72"/>
      <c r="CB22" s="19">
        <v>16</v>
      </c>
      <c r="CC22" s="266" t="s">
        <v>15</v>
      </c>
      <c r="CD22" s="21">
        <v>44783</v>
      </c>
      <c r="CE22" s="46">
        <v>853680.39</v>
      </c>
      <c r="CF22" s="261">
        <v>840000</v>
      </c>
      <c r="CG22" s="28">
        <f t="shared" si="11"/>
        <v>13680.390000000014</v>
      </c>
      <c r="CH22" s="44">
        <f t="shared" si="12"/>
        <v>0</v>
      </c>
      <c r="CI22" s="271" t="s">
        <v>86</v>
      </c>
      <c r="CJ22" s="48">
        <v>371095.37</v>
      </c>
      <c r="CK22" s="71"/>
      <c r="CL22" s="73" t="s">
        <v>79</v>
      </c>
      <c r="CM22" s="72"/>
      <c r="CN22" s="19">
        <v>16</v>
      </c>
      <c r="CO22" s="20" t="s">
        <v>16</v>
      </c>
      <c r="CP22" s="263">
        <v>44814</v>
      </c>
      <c r="CQ22" s="46">
        <v>895989.18</v>
      </c>
      <c r="CR22" s="265">
        <v>840000</v>
      </c>
      <c r="CS22" s="28">
        <f t="shared" si="13"/>
        <v>55989.180000000051</v>
      </c>
      <c r="CT22" s="44">
        <f t="shared" si="14"/>
        <v>0</v>
      </c>
      <c r="CU22" s="271"/>
      <c r="CV22" s="48"/>
      <c r="CW22" s="71"/>
      <c r="CX22" s="73"/>
      <c r="CY22" s="74"/>
      <c r="CZ22" s="19">
        <v>16</v>
      </c>
      <c r="DA22" s="35" t="s">
        <v>17</v>
      </c>
      <c r="DB22" s="263">
        <v>44845</v>
      </c>
      <c r="DC22" s="46">
        <f>1038.30834*1000</f>
        <v>1038308.3400000001</v>
      </c>
      <c r="DD22" s="261">
        <v>840000</v>
      </c>
      <c r="DE22" s="28">
        <f t="shared" si="15"/>
        <v>198308.34000000008</v>
      </c>
      <c r="DF22" s="44">
        <f t="shared" si="16"/>
        <v>0</v>
      </c>
      <c r="DG22" s="271"/>
      <c r="DH22" s="48"/>
      <c r="DI22" s="71"/>
      <c r="DJ22" s="73"/>
      <c r="DK22" s="74"/>
      <c r="DL22" s="19">
        <v>16</v>
      </c>
      <c r="DM22" s="266" t="s">
        <v>18</v>
      </c>
      <c r="DN22" s="263">
        <v>44875</v>
      </c>
      <c r="DO22" s="46">
        <v>1015031.65</v>
      </c>
      <c r="DP22" s="265">
        <v>840000</v>
      </c>
      <c r="DQ22" s="28">
        <f t="shared" si="17"/>
        <v>175031.65000000002</v>
      </c>
      <c r="DR22" s="44">
        <f t="shared" si="18"/>
        <v>0</v>
      </c>
      <c r="DS22" s="271"/>
      <c r="DT22" s="48">
        <v>2581082.27</v>
      </c>
      <c r="DU22" s="71"/>
      <c r="DV22" s="73"/>
      <c r="DW22" s="38">
        <f t="shared" si="19"/>
        <v>42292.98541666667</v>
      </c>
      <c r="DX22" s="19">
        <v>16</v>
      </c>
      <c r="DY22" s="20" t="s">
        <v>14</v>
      </c>
      <c r="DZ22" s="263">
        <v>44906</v>
      </c>
      <c r="EA22" s="46">
        <v>874013.7</v>
      </c>
      <c r="EB22" s="265">
        <v>840000</v>
      </c>
      <c r="EC22" s="28">
        <f t="shared" si="20"/>
        <v>34013.699999999953</v>
      </c>
      <c r="ED22" s="44">
        <f t="shared" si="21"/>
        <v>0</v>
      </c>
      <c r="EE22" s="271"/>
      <c r="EF22" s="48">
        <v>1255396.6499999999</v>
      </c>
      <c r="EG22" s="71"/>
      <c r="EH22" s="36" t="s">
        <v>87</v>
      </c>
      <c r="EI22" s="38">
        <f t="shared" si="22"/>
        <v>36417.237499999996</v>
      </c>
      <c r="EJ22" s="19">
        <v>16</v>
      </c>
      <c r="EK22" s="35" t="s">
        <v>17</v>
      </c>
      <c r="EL22" s="263">
        <v>44936</v>
      </c>
      <c r="EM22" s="46">
        <v>798959.74</v>
      </c>
      <c r="EN22" s="265">
        <v>879798.33</v>
      </c>
      <c r="EO22" s="28">
        <f t="shared" si="23"/>
        <v>0</v>
      </c>
      <c r="EP22" s="44">
        <f t="shared" si="24"/>
        <v>80838.589999999967</v>
      </c>
      <c r="EQ22" s="271"/>
      <c r="ER22" s="48"/>
      <c r="ES22" s="71">
        <v>370177.76</v>
      </c>
      <c r="ET22" s="36" t="s">
        <v>88</v>
      </c>
    </row>
    <row r="23" spans="1:150" ht="14.25" customHeight="1">
      <c r="A23" s="14">
        <v>17</v>
      </c>
      <c r="B23" s="20" t="s">
        <v>14</v>
      </c>
      <c r="C23" s="16">
        <v>44907</v>
      </c>
      <c r="D23" s="267">
        <v>782869.80099999998</v>
      </c>
      <c r="E23" s="68">
        <v>723511</v>
      </c>
      <c r="F23" s="68">
        <v>59358.800999999999</v>
      </c>
      <c r="G23" s="57">
        <v>0</v>
      </c>
      <c r="H23" s="255"/>
      <c r="I23" s="19">
        <v>17</v>
      </c>
      <c r="J23" s="15" t="s">
        <v>17</v>
      </c>
      <c r="K23" s="21">
        <v>44572</v>
      </c>
      <c r="L23" s="39">
        <v>808228.5037</v>
      </c>
      <c r="M23" s="68">
        <v>796379</v>
      </c>
      <c r="N23" s="68">
        <v>11849.503699999999</v>
      </c>
      <c r="O23" s="57">
        <v>0</v>
      </c>
      <c r="P23" s="40"/>
      <c r="Q23" s="19">
        <v>17</v>
      </c>
      <c r="R23" s="20" t="s">
        <v>13</v>
      </c>
      <c r="S23" s="26">
        <v>44603</v>
      </c>
      <c r="T23" s="41">
        <v>735132.7844</v>
      </c>
      <c r="U23" s="17">
        <v>832300</v>
      </c>
      <c r="V23" s="22">
        <f t="shared" si="0"/>
        <v>-97167.215599999996</v>
      </c>
      <c r="W23" s="18">
        <v>0</v>
      </c>
      <c r="X23" s="24">
        <v>12</v>
      </c>
      <c r="Y23" s="19">
        <v>17</v>
      </c>
      <c r="Z23" s="15" t="s">
        <v>22</v>
      </c>
      <c r="AA23" s="21">
        <v>44634</v>
      </c>
      <c r="AB23" s="41">
        <v>950736.4</v>
      </c>
      <c r="AC23" s="43">
        <v>840000</v>
      </c>
      <c r="AD23" s="28">
        <f t="shared" si="1"/>
        <v>110736.40000000002</v>
      </c>
      <c r="AE23" s="44">
        <f t="shared" si="2"/>
        <v>0</v>
      </c>
      <c r="AF23" s="50">
        <v>11.38</v>
      </c>
      <c r="AG23" s="63">
        <v>2118465.9900000002</v>
      </c>
      <c r="AH23" s="71"/>
      <c r="AI23" s="24">
        <v>15</v>
      </c>
      <c r="AJ23" s="19">
        <v>17</v>
      </c>
      <c r="AK23" s="15" t="s">
        <v>22</v>
      </c>
      <c r="AL23" s="21">
        <v>44662</v>
      </c>
      <c r="AM23" s="46">
        <v>957648.39</v>
      </c>
      <c r="AN23" s="43">
        <v>840000</v>
      </c>
      <c r="AO23" s="28">
        <f t="shared" si="3"/>
        <v>117648.39000000001</v>
      </c>
      <c r="AP23" s="44">
        <f t="shared" si="4"/>
        <v>0</v>
      </c>
      <c r="AQ23" s="50"/>
      <c r="AR23" s="48">
        <v>564681.88</v>
      </c>
      <c r="AS23" s="71"/>
      <c r="AT23" s="24"/>
      <c r="AU23" s="19">
        <v>17</v>
      </c>
      <c r="AV23" s="266" t="s">
        <v>18</v>
      </c>
      <c r="AW23" s="21">
        <v>44693</v>
      </c>
      <c r="AX23" s="46">
        <v>1135618.8500000001</v>
      </c>
      <c r="AY23" s="285">
        <v>840000</v>
      </c>
      <c r="AZ23" s="28">
        <f t="shared" si="5"/>
        <v>295618.85000000009</v>
      </c>
      <c r="BA23" s="44">
        <f t="shared" si="6"/>
        <v>0</v>
      </c>
      <c r="BB23" s="49" t="s">
        <v>89</v>
      </c>
      <c r="BC23" s="48">
        <v>3919311.35</v>
      </c>
      <c r="BD23" s="71"/>
      <c r="BE23" s="24"/>
      <c r="BF23" s="19">
        <v>17</v>
      </c>
      <c r="BG23" s="20" t="s">
        <v>16</v>
      </c>
      <c r="BH23" s="21">
        <v>44723</v>
      </c>
      <c r="BI23" s="46">
        <v>1056532.4099999999</v>
      </c>
      <c r="BJ23" s="261">
        <v>840000</v>
      </c>
      <c r="BK23" s="28">
        <f t="shared" si="7"/>
        <v>216532.40999999992</v>
      </c>
      <c r="BL23" s="44">
        <f t="shared" si="8"/>
        <v>0</v>
      </c>
      <c r="BM23" s="45" t="s">
        <v>48</v>
      </c>
      <c r="BN23" s="48">
        <v>7010703.7000000002</v>
      </c>
      <c r="BO23" s="71"/>
      <c r="BP23" s="72"/>
      <c r="BQ23" s="19">
        <v>17</v>
      </c>
      <c r="BR23" s="35" t="s">
        <v>17</v>
      </c>
      <c r="BS23" s="21">
        <v>44754</v>
      </c>
      <c r="BT23" s="46">
        <v>981582.92</v>
      </c>
      <c r="BU23" s="261">
        <v>840000</v>
      </c>
      <c r="BV23" s="28">
        <f t="shared" si="9"/>
        <v>141582.92000000004</v>
      </c>
      <c r="BW23" s="44">
        <f t="shared" si="10"/>
        <v>0</v>
      </c>
      <c r="BX23" s="45"/>
      <c r="BY23" s="48">
        <v>1366053.15</v>
      </c>
      <c r="BZ23" s="71"/>
      <c r="CA23" s="72"/>
      <c r="CB23" s="19">
        <v>17</v>
      </c>
      <c r="CC23" s="266" t="s">
        <v>18</v>
      </c>
      <c r="CD23" s="21">
        <v>44784</v>
      </c>
      <c r="CE23" s="46">
        <v>892894.35</v>
      </c>
      <c r="CF23" s="261">
        <v>840000</v>
      </c>
      <c r="CG23" s="28">
        <f t="shared" si="11"/>
        <v>52894.349999999977</v>
      </c>
      <c r="CH23" s="44">
        <f t="shared" si="12"/>
        <v>0</v>
      </c>
      <c r="CI23" s="271" t="s">
        <v>90</v>
      </c>
      <c r="CJ23" s="48">
        <v>1142370.3500000001</v>
      </c>
      <c r="CK23" s="71"/>
      <c r="CL23" s="73" t="s">
        <v>91</v>
      </c>
      <c r="CM23" s="72"/>
      <c r="CN23" s="19">
        <v>17</v>
      </c>
      <c r="CO23" s="20" t="s">
        <v>14</v>
      </c>
      <c r="CP23" s="21">
        <v>44815</v>
      </c>
      <c r="CQ23" s="46">
        <v>852150.03</v>
      </c>
      <c r="CR23" s="265">
        <v>840000</v>
      </c>
      <c r="CS23" s="28">
        <f t="shared" si="13"/>
        <v>12150.030000000028</v>
      </c>
      <c r="CT23" s="44">
        <f t="shared" si="14"/>
        <v>0</v>
      </c>
      <c r="CU23" s="271"/>
      <c r="CV23" s="48"/>
      <c r="CW23" s="71"/>
      <c r="CX23" s="73"/>
      <c r="CY23" s="74"/>
      <c r="CZ23" s="19">
        <v>17</v>
      </c>
      <c r="DA23" s="266" t="s">
        <v>15</v>
      </c>
      <c r="DB23" s="263">
        <v>44846</v>
      </c>
      <c r="DC23" s="46">
        <f>1011.977166*1000</f>
        <v>1011977.166</v>
      </c>
      <c r="DD23" s="261">
        <v>840000</v>
      </c>
      <c r="DE23" s="28">
        <f t="shared" si="15"/>
        <v>171977.16599999997</v>
      </c>
      <c r="DF23" s="44">
        <f t="shared" si="16"/>
        <v>0</v>
      </c>
      <c r="DG23" s="271"/>
      <c r="DH23" s="48"/>
      <c r="DI23" s="71"/>
      <c r="DJ23" s="73"/>
      <c r="DK23" s="74"/>
      <c r="DL23" s="19">
        <v>17</v>
      </c>
      <c r="DM23" s="266" t="s">
        <v>13</v>
      </c>
      <c r="DN23" s="263">
        <v>44876</v>
      </c>
      <c r="DO23" s="46">
        <v>997595.34</v>
      </c>
      <c r="DP23" s="265">
        <v>840000</v>
      </c>
      <c r="DQ23" s="28">
        <f t="shared" si="17"/>
        <v>157595.33999999997</v>
      </c>
      <c r="DR23" s="44">
        <f t="shared" si="18"/>
        <v>0</v>
      </c>
      <c r="DS23" s="271"/>
      <c r="DT23" s="48">
        <v>1778275.35</v>
      </c>
      <c r="DU23" s="71"/>
      <c r="DV23" s="73"/>
      <c r="DW23" s="38">
        <f t="shared" si="19"/>
        <v>41566.472499999996</v>
      </c>
      <c r="DX23" s="19">
        <v>17</v>
      </c>
      <c r="DY23" s="15" t="s">
        <v>22</v>
      </c>
      <c r="DZ23" s="263">
        <v>44907</v>
      </c>
      <c r="EA23" s="46">
        <v>973718.54</v>
      </c>
      <c r="EB23" s="265">
        <v>840000</v>
      </c>
      <c r="EC23" s="28">
        <f t="shared" si="20"/>
        <v>133718.54000000004</v>
      </c>
      <c r="ED23" s="44">
        <f t="shared" si="21"/>
        <v>0</v>
      </c>
      <c r="EE23" s="271"/>
      <c r="EF23" s="48">
        <v>3273242.4</v>
      </c>
      <c r="EG23" s="71"/>
      <c r="EH23" s="36" t="s">
        <v>92</v>
      </c>
      <c r="EI23" s="38">
        <f t="shared" si="22"/>
        <v>40571.605833333335</v>
      </c>
      <c r="EJ23" s="19">
        <v>17</v>
      </c>
      <c r="EK23" s="266" t="s">
        <v>15</v>
      </c>
      <c r="EL23" s="263">
        <v>44937</v>
      </c>
      <c r="EM23" s="46">
        <v>828064.69</v>
      </c>
      <c r="EN23" s="265">
        <v>879798.33</v>
      </c>
      <c r="EO23" s="28">
        <f t="shared" si="23"/>
        <v>0</v>
      </c>
      <c r="EP23" s="44">
        <f t="shared" si="24"/>
        <v>51733.640000000014</v>
      </c>
      <c r="EQ23" s="271"/>
      <c r="ER23" s="48"/>
      <c r="ES23" s="71">
        <v>199090.71</v>
      </c>
      <c r="ET23" s="36" t="s">
        <v>93</v>
      </c>
    </row>
    <row r="24" spans="1:150" ht="14.25" customHeight="1">
      <c r="A24" s="14">
        <v>18</v>
      </c>
      <c r="B24" s="15" t="s">
        <v>22</v>
      </c>
      <c r="C24" s="16">
        <v>44908</v>
      </c>
      <c r="D24" s="267">
        <v>849292.27489999996</v>
      </c>
      <c r="E24" s="68">
        <v>784839.99959999998</v>
      </c>
      <c r="F24" s="68">
        <v>64452.275300000001</v>
      </c>
      <c r="G24" s="57">
        <v>0</v>
      </c>
      <c r="H24" s="255"/>
      <c r="I24" s="19">
        <v>18</v>
      </c>
      <c r="J24" s="15" t="s">
        <v>15</v>
      </c>
      <c r="K24" s="21">
        <v>44573</v>
      </c>
      <c r="L24" s="39">
        <v>864854.929</v>
      </c>
      <c r="M24" s="68">
        <v>793470</v>
      </c>
      <c r="N24" s="68">
        <v>71384.929000000004</v>
      </c>
      <c r="O24" s="57">
        <v>0</v>
      </c>
      <c r="P24" s="40"/>
      <c r="Q24" s="19">
        <v>18</v>
      </c>
      <c r="R24" s="20" t="s">
        <v>16</v>
      </c>
      <c r="S24" s="26">
        <v>44604</v>
      </c>
      <c r="T24" s="41">
        <v>791097.70449999999</v>
      </c>
      <c r="U24" s="17">
        <v>832300</v>
      </c>
      <c r="V24" s="22">
        <f t="shared" si="0"/>
        <v>-41202.295500000007</v>
      </c>
      <c r="W24" s="18">
        <v>0</v>
      </c>
      <c r="X24" s="24">
        <v>11</v>
      </c>
      <c r="Y24" s="19">
        <v>18</v>
      </c>
      <c r="Z24" s="15" t="s">
        <v>17</v>
      </c>
      <c r="AA24" s="21">
        <v>44635</v>
      </c>
      <c r="AB24" s="75">
        <v>967268.38</v>
      </c>
      <c r="AC24" s="76">
        <v>840000</v>
      </c>
      <c r="AD24" s="28">
        <f t="shared" si="1"/>
        <v>127268.38</v>
      </c>
      <c r="AE24" s="44">
        <f t="shared" si="2"/>
        <v>0</v>
      </c>
      <c r="AF24" s="45">
        <v>8.6999999999999993</v>
      </c>
      <c r="AG24" s="63">
        <v>1655894.55</v>
      </c>
      <c r="AH24" s="77"/>
      <c r="AI24" s="24">
        <v>14</v>
      </c>
      <c r="AJ24" s="19">
        <v>18</v>
      </c>
      <c r="AK24" s="15" t="s">
        <v>17</v>
      </c>
      <c r="AL24" s="21">
        <v>44663</v>
      </c>
      <c r="AM24" s="78">
        <v>976306.82</v>
      </c>
      <c r="AN24" s="76">
        <v>840000</v>
      </c>
      <c r="AO24" s="28">
        <f t="shared" si="3"/>
        <v>136306.81999999995</v>
      </c>
      <c r="AP24" s="44">
        <f t="shared" si="4"/>
        <v>0</v>
      </c>
      <c r="AQ24" s="45"/>
      <c r="AR24" s="48">
        <v>709280.89</v>
      </c>
      <c r="AS24" s="77"/>
      <c r="AT24" s="24"/>
      <c r="AU24" s="19">
        <v>18</v>
      </c>
      <c r="AV24" s="266" t="s">
        <v>13</v>
      </c>
      <c r="AW24" s="21">
        <v>44694</v>
      </c>
      <c r="AX24" s="78">
        <v>1121715.49</v>
      </c>
      <c r="AY24" s="285">
        <v>840000</v>
      </c>
      <c r="AZ24" s="28">
        <f t="shared" si="5"/>
        <v>281715.49</v>
      </c>
      <c r="BA24" s="44">
        <f t="shared" si="6"/>
        <v>0</v>
      </c>
      <c r="BB24" s="49" t="s">
        <v>94</v>
      </c>
      <c r="BC24" s="48">
        <v>5325449.46</v>
      </c>
      <c r="BD24" s="77"/>
      <c r="BE24" s="24"/>
      <c r="BF24" s="19">
        <v>18</v>
      </c>
      <c r="BG24" s="20" t="s">
        <v>14</v>
      </c>
      <c r="BH24" s="21">
        <v>44724</v>
      </c>
      <c r="BI24" s="78">
        <v>981672.33</v>
      </c>
      <c r="BJ24" s="261">
        <v>840000</v>
      </c>
      <c r="BK24" s="28">
        <f t="shared" si="7"/>
        <v>141672.32999999996</v>
      </c>
      <c r="BL24" s="44">
        <f t="shared" si="8"/>
        <v>0</v>
      </c>
      <c r="BM24" s="49"/>
      <c r="BN24" s="48">
        <v>1488876.73</v>
      </c>
      <c r="BO24" s="77"/>
      <c r="BP24" s="79"/>
      <c r="BQ24" s="19">
        <v>18</v>
      </c>
      <c r="BR24" s="266" t="s">
        <v>15</v>
      </c>
      <c r="BS24" s="21">
        <v>44755</v>
      </c>
      <c r="BT24" s="78">
        <v>933407.07</v>
      </c>
      <c r="BU24" s="261">
        <v>840000</v>
      </c>
      <c r="BV24" s="28">
        <f t="shared" si="9"/>
        <v>93407.069999999949</v>
      </c>
      <c r="BW24" s="44">
        <f t="shared" si="10"/>
        <v>0</v>
      </c>
      <c r="BX24" s="45" t="s">
        <v>49</v>
      </c>
      <c r="BY24" s="48">
        <v>1205231.1299999999</v>
      </c>
      <c r="BZ24" s="77"/>
      <c r="CA24" s="79"/>
      <c r="CB24" s="19">
        <v>18</v>
      </c>
      <c r="CC24" s="266" t="s">
        <v>13</v>
      </c>
      <c r="CD24" s="21">
        <v>44785</v>
      </c>
      <c r="CE24" s="78">
        <v>1146861.3700000001</v>
      </c>
      <c r="CF24" s="261">
        <v>840000</v>
      </c>
      <c r="CG24" s="28">
        <f t="shared" si="11"/>
        <v>306861.37000000011</v>
      </c>
      <c r="CH24" s="44">
        <f t="shared" si="12"/>
        <v>0</v>
      </c>
      <c r="CI24" s="271" t="s">
        <v>95</v>
      </c>
      <c r="CJ24" s="48">
        <v>471106.87</v>
      </c>
      <c r="CK24" s="77"/>
      <c r="CL24" s="36" t="s">
        <v>96</v>
      </c>
      <c r="CM24" s="79"/>
      <c r="CN24" s="19">
        <v>18</v>
      </c>
      <c r="CO24" s="15" t="s">
        <v>22</v>
      </c>
      <c r="CP24" s="263">
        <v>44816</v>
      </c>
      <c r="CQ24" s="78">
        <v>917634.54</v>
      </c>
      <c r="CR24" s="265">
        <v>840000</v>
      </c>
      <c r="CS24" s="28">
        <f t="shared" si="13"/>
        <v>77634.540000000037</v>
      </c>
      <c r="CT24" s="44">
        <f t="shared" si="14"/>
        <v>0</v>
      </c>
      <c r="CU24" s="271"/>
      <c r="CV24" s="48"/>
      <c r="CW24" s="77"/>
      <c r="CX24" s="36"/>
      <c r="CY24" s="37"/>
      <c r="CZ24" s="19">
        <v>18</v>
      </c>
      <c r="DA24" s="266" t="s">
        <v>18</v>
      </c>
      <c r="DB24" s="263">
        <v>44847</v>
      </c>
      <c r="DC24" s="78">
        <f>999.2674559*1000</f>
        <v>999267.45589999994</v>
      </c>
      <c r="DD24" s="261">
        <v>840000</v>
      </c>
      <c r="DE24" s="28">
        <f t="shared" si="15"/>
        <v>159267.45589999994</v>
      </c>
      <c r="DF24" s="44">
        <f t="shared" si="16"/>
        <v>0</v>
      </c>
      <c r="DG24" s="271"/>
      <c r="DH24" s="48"/>
      <c r="DI24" s="77"/>
      <c r="DJ24" s="36"/>
      <c r="DK24" s="37"/>
      <c r="DL24" s="19">
        <v>18</v>
      </c>
      <c r="DM24" s="20" t="s">
        <v>16</v>
      </c>
      <c r="DN24" s="263">
        <v>44877</v>
      </c>
      <c r="DO24" s="78">
        <v>1004632.97</v>
      </c>
      <c r="DP24" s="265">
        <v>840000</v>
      </c>
      <c r="DQ24" s="28">
        <f t="shared" si="17"/>
        <v>164632.96999999997</v>
      </c>
      <c r="DR24" s="44">
        <f t="shared" si="18"/>
        <v>0</v>
      </c>
      <c r="DS24" s="271"/>
      <c r="DT24" s="48">
        <v>1703117.89</v>
      </c>
      <c r="DU24" s="77"/>
      <c r="DV24" s="36"/>
      <c r="DW24" s="38">
        <f t="shared" si="19"/>
        <v>41859.707083333335</v>
      </c>
      <c r="DX24" s="19">
        <v>18</v>
      </c>
      <c r="DY24" s="35" t="s">
        <v>17</v>
      </c>
      <c r="DZ24" s="263">
        <v>44908</v>
      </c>
      <c r="EA24" s="78">
        <v>960189.67</v>
      </c>
      <c r="EB24" s="265">
        <v>840000</v>
      </c>
      <c r="EC24" s="28">
        <f t="shared" si="20"/>
        <v>120189.67000000004</v>
      </c>
      <c r="ED24" s="44">
        <f t="shared" si="21"/>
        <v>0</v>
      </c>
      <c r="EE24" s="271"/>
      <c r="EF24" s="48">
        <v>4177943.49</v>
      </c>
      <c r="EG24" s="77"/>
      <c r="EH24" s="36" t="s">
        <v>23</v>
      </c>
      <c r="EI24" s="38">
        <f t="shared" si="22"/>
        <v>40007.902916666666</v>
      </c>
      <c r="EJ24" s="19">
        <v>18</v>
      </c>
      <c r="EK24" s="266" t="s">
        <v>18</v>
      </c>
      <c r="EL24" s="263">
        <v>44938</v>
      </c>
      <c r="EM24" s="78">
        <v>852541.72</v>
      </c>
      <c r="EN24" s="265">
        <v>879798.26</v>
      </c>
      <c r="EO24" s="28">
        <f t="shared" si="23"/>
        <v>0</v>
      </c>
      <c r="EP24" s="44">
        <f t="shared" si="24"/>
        <v>27256.540000000037</v>
      </c>
      <c r="EQ24" s="271"/>
      <c r="ER24" s="48">
        <v>34747.129999999997</v>
      </c>
      <c r="ES24" s="77"/>
      <c r="ET24" s="36" t="s">
        <v>97</v>
      </c>
    </row>
    <row r="25" spans="1:150" ht="14.25" customHeight="1">
      <c r="A25" s="14">
        <v>19</v>
      </c>
      <c r="B25" s="15" t="s">
        <v>17</v>
      </c>
      <c r="C25" s="16">
        <v>44909</v>
      </c>
      <c r="D25" s="267">
        <v>800615.00100000005</v>
      </c>
      <c r="E25" s="68">
        <v>727922</v>
      </c>
      <c r="F25" s="68">
        <v>72693.001000000004</v>
      </c>
      <c r="G25" s="57">
        <v>0</v>
      </c>
      <c r="H25" s="255"/>
      <c r="I25" s="19">
        <v>19</v>
      </c>
      <c r="J25" s="15" t="s">
        <v>18</v>
      </c>
      <c r="K25" s="21">
        <v>44574</v>
      </c>
      <c r="L25" s="39">
        <v>773916.13580000005</v>
      </c>
      <c r="M25" s="68">
        <v>793470</v>
      </c>
      <c r="N25" s="68">
        <v>-19553.8642</v>
      </c>
      <c r="O25" s="57">
        <v>0</v>
      </c>
      <c r="P25" s="40"/>
      <c r="Q25" s="19">
        <v>19</v>
      </c>
      <c r="R25" s="20" t="s">
        <v>14</v>
      </c>
      <c r="S25" s="26">
        <v>44605</v>
      </c>
      <c r="T25" s="41">
        <v>754366.87320000003</v>
      </c>
      <c r="U25" s="48">
        <v>829500</v>
      </c>
      <c r="V25" s="22">
        <f t="shared" si="0"/>
        <v>-75133.126799999969</v>
      </c>
      <c r="W25" s="80">
        <v>0</v>
      </c>
      <c r="X25" s="24">
        <v>10</v>
      </c>
      <c r="Y25" s="19">
        <v>19</v>
      </c>
      <c r="Z25" s="15" t="s">
        <v>34</v>
      </c>
      <c r="AA25" s="21">
        <v>44636</v>
      </c>
      <c r="AB25" s="75">
        <v>1006009.86</v>
      </c>
      <c r="AC25" s="81">
        <v>840000</v>
      </c>
      <c r="AD25" s="28">
        <f t="shared" si="1"/>
        <v>166009.85999999999</v>
      </c>
      <c r="AE25" s="44">
        <f t="shared" si="2"/>
        <v>0</v>
      </c>
      <c r="AF25" s="45">
        <v>19.57</v>
      </c>
      <c r="AG25" s="287">
        <v>1544036.68</v>
      </c>
      <c r="AH25" s="288"/>
      <c r="AI25" s="24">
        <v>13</v>
      </c>
      <c r="AJ25" s="19">
        <v>19</v>
      </c>
      <c r="AK25" s="15" t="s">
        <v>15</v>
      </c>
      <c r="AL25" s="21">
        <v>44664</v>
      </c>
      <c r="AM25" s="78">
        <v>1019655.87</v>
      </c>
      <c r="AN25" s="81">
        <v>840000</v>
      </c>
      <c r="AO25" s="28">
        <f t="shared" si="3"/>
        <v>179655.87</v>
      </c>
      <c r="AP25" s="44">
        <f t="shared" si="4"/>
        <v>0</v>
      </c>
      <c r="AQ25" s="371" t="s">
        <v>98</v>
      </c>
      <c r="AR25" s="289">
        <v>783032.81</v>
      </c>
      <c r="AS25" s="290"/>
      <c r="AT25" s="24"/>
      <c r="AU25" s="19">
        <v>19</v>
      </c>
      <c r="AV25" s="20" t="s">
        <v>16</v>
      </c>
      <c r="AW25" s="21">
        <v>44695</v>
      </c>
      <c r="AX25" s="78">
        <v>1076442.51</v>
      </c>
      <c r="AY25" s="285">
        <v>840000</v>
      </c>
      <c r="AZ25" s="28">
        <f t="shared" si="5"/>
        <v>236442.51</v>
      </c>
      <c r="BA25" s="44">
        <f t="shared" si="6"/>
        <v>0</v>
      </c>
      <c r="BB25" s="82"/>
      <c r="BC25" s="289">
        <v>1627290.87</v>
      </c>
      <c r="BD25" s="290"/>
      <c r="BE25" s="24"/>
      <c r="BF25" s="19">
        <v>19</v>
      </c>
      <c r="BG25" s="15" t="s">
        <v>22</v>
      </c>
      <c r="BH25" s="21">
        <v>44725</v>
      </c>
      <c r="BI25" s="78">
        <v>1010476.83</v>
      </c>
      <c r="BJ25" s="261">
        <v>840000</v>
      </c>
      <c r="BK25" s="28">
        <f t="shared" si="7"/>
        <v>170476.82999999996</v>
      </c>
      <c r="BL25" s="44">
        <f t="shared" si="8"/>
        <v>0</v>
      </c>
      <c r="BM25" s="82"/>
      <c r="BN25" s="289">
        <v>2549564.7799999998</v>
      </c>
      <c r="BO25" s="290"/>
      <c r="BP25" s="291"/>
      <c r="BQ25" s="19">
        <v>19</v>
      </c>
      <c r="BR25" s="266" t="s">
        <v>18</v>
      </c>
      <c r="BS25" s="21">
        <v>44756</v>
      </c>
      <c r="BT25" s="78">
        <v>1000642.75</v>
      </c>
      <c r="BU25" s="261">
        <v>840000</v>
      </c>
      <c r="BV25" s="28">
        <f t="shared" si="9"/>
        <v>160642.75</v>
      </c>
      <c r="BW25" s="44">
        <f t="shared" si="10"/>
        <v>0</v>
      </c>
      <c r="BX25" s="45" t="s">
        <v>48</v>
      </c>
      <c r="BY25" s="289">
        <v>4936807.7</v>
      </c>
      <c r="BZ25" s="290"/>
      <c r="CA25" s="291"/>
      <c r="CB25" s="19">
        <v>19</v>
      </c>
      <c r="CC25" s="20" t="s">
        <v>16</v>
      </c>
      <c r="CD25" s="21">
        <v>44786</v>
      </c>
      <c r="CE25" s="78">
        <v>868606.98</v>
      </c>
      <c r="CF25" s="261">
        <v>840000</v>
      </c>
      <c r="CG25" s="28">
        <f t="shared" si="11"/>
        <v>28606.979999999981</v>
      </c>
      <c r="CH25" s="44">
        <f t="shared" si="12"/>
        <v>0</v>
      </c>
      <c r="CI25" s="271" t="s">
        <v>99</v>
      </c>
      <c r="CJ25" s="289">
        <v>340700.46</v>
      </c>
      <c r="CK25" s="290"/>
      <c r="CL25" s="53" t="s">
        <v>100</v>
      </c>
      <c r="CM25" s="291"/>
      <c r="CN25" s="19">
        <v>19</v>
      </c>
      <c r="CO25" s="35" t="s">
        <v>17</v>
      </c>
      <c r="CP25" s="263">
        <v>44817</v>
      </c>
      <c r="CQ25" s="78">
        <v>958759.88</v>
      </c>
      <c r="CR25" s="265">
        <v>840000</v>
      </c>
      <c r="CS25" s="28">
        <f t="shared" si="13"/>
        <v>118759.88</v>
      </c>
      <c r="CT25" s="44">
        <f t="shared" si="14"/>
        <v>0</v>
      </c>
      <c r="CU25" s="271"/>
      <c r="CV25" s="289"/>
      <c r="CW25" s="290"/>
      <c r="CX25" s="53"/>
      <c r="CY25" s="292"/>
      <c r="CZ25" s="19">
        <v>19</v>
      </c>
      <c r="DA25" s="266" t="s">
        <v>13</v>
      </c>
      <c r="DB25" s="263">
        <v>44848</v>
      </c>
      <c r="DC25" s="78">
        <f>1045.280095*1000</f>
        <v>1045280.0950000001</v>
      </c>
      <c r="DD25" s="261">
        <v>840000</v>
      </c>
      <c r="DE25" s="28">
        <f t="shared" si="15"/>
        <v>205280.09500000009</v>
      </c>
      <c r="DF25" s="44">
        <f t="shared" si="16"/>
        <v>0</v>
      </c>
      <c r="DG25" s="271"/>
      <c r="DH25" s="289"/>
      <c r="DI25" s="290"/>
      <c r="DJ25" s="53"/>
      <c r="DK25" s="292"/>
      <c r="DL25" s="19">
        <v>19</v>
      </c>
      <c r="DM25" s="20" t="s">
        <v>14</v>
      </c>
      <c r="DN25" s="263">
        <v>44878</v>
      </c>
      <c r="DO25" s="78">
        <v>973038.72</v>
      </c>
      <c r="DP25" s="265">
        <v>840000</v>
      </c>
      <c r="DQ25" s="28">
        <f t="shared" si="17"/>
        <v>133038.71999999997</v>
      </c>
      <c r="DR25" s="44">
        <f t="shared" si="18"/>
        <v>0</v>
      </c>
      <c r="DS25" s="271"/>
      <c r="DT25" s="289">
        <v>1350536.47</v>
      </c>
      <c r="DU25" s="290"/>
      <c r="DV25" s="53"/>
      <c r="DW25" s="38">
        <f t="shared" si="19"/>
        <v>40543.279999999999</v>
      </c>
      <c r="DX25" s="19">
        <v>19</v>
      </c>
      <c r="DY25" s="266" t="s">
        <v>15</v>
      </c>
      <c r="DZ25" s="263">
        <v>44909</v>
      </c>
      <c r="EA25" s="78">
        <v>999930.94</v>
      </c>
      <c r="EB25" s="265">
        <v>840000</v>
      </c>
      <c r="EC25" s="28">
        <f t="shared" si="20"/>
        <v>159930.93999999994</v>
      </c>
      <c r="ED25" s="44">
        <f t="shared" si="21"/>
        <v>0</v>
      </c>
      <c r="EE25" s="271"/>
      <c r="EF25" s="289">
        <v>5452098.75</v>
      </c>
      <c r="EG25" s="290"/>
      <c r="EH25" s="36" t="s">
        <v>28</v>
      </c>
      <c r="EI25" s="38">
        <f t="shared" si="22"/>
        <v>41663.789166666662</v>
      </c>
      <c r="EJ25" s="19">
        <v>19</v>
      </c>
      <c r="EK25" s="266" t="s">
        <v>13</v>
      </c>
      <c r="EL25" s="263">
        <v>44939</v>
      </c>
      <c r="EM25" s="78">
        <v>841568.95</v>
      </c>
      <c r="EN25" s="265">
        <v>879798.26</v>
      </c>
      <c r="EO25" s="28">
        <f t="shared" si="23"/>
        <v>0</v>
      </c>
      <c r="EP25" s="44">
        <f t="shared" si="24"/>
        <v>38229.310000000056</v>
      </c>
      <c r="EQ25" s="271"/>
      <c r="ER25" s="289"/>
      <c r="ES25" s="290">
        <v>133896.64000000001</v>
      </c>
      <c r="ET25" s="36" t="s">
        <v>101</v>
      </c>
    </row>
    <row r="26" spans="1:150" ht="14.25" customHeight="1">
      <c r="A26" s="14">
        <v>20</v>
      </c>
      <c r="B26" s="15" t="s">
        <v>15</v>
      </c>
      <c r="C26" s="16">
        <v>44910</v>
      </c>
      <c r="D26" s="267">
        <v>784553.80539999995</v>
      </c>
      <c r="E26" s="68">
        <v>727922</v>
      </c>
      <c r="F26" s="68">
        <v>56631.805399999997</v>
      </c>
      <c r="G26" s="57">
        <v>0</v>
      </c>
      <c r="H26" s="255"/>
      <c r="I26" s="19">
        <v>20</v>
      </c>
      <c r="J26" s="20" t="s">
        <v>13</v>
      </c>
      <c r="K26" s="21">
        <v>44575</v>
      </c>
      <c r="L26" s="39">
        <v>739583.72120000003</v>
      </c>
      <c r="M26" s="68">
        <v>793470</v>
      </c>
      <c r="N26" s="68">
        <v>-53886.2788</v>
      </c>
      <c r="O26" s="57">
        <v>0</v>
      </c>
      <c r="P26" s="40"/>
      <c r="Q26" s="19">
        <v>20</v>
      </c>
      <c r="R26" s="15" t="s">
        <v>22</v>
      </c>
      <c r="S26" s="26">
        <v>44606</v>
      </c>
      <c r="T26" s="41">
        <v>830109.20660000003</v>
      </c>
      <c r="U26" s="48">
        <v>832300</v>
      </c>
      <c r="V26" s="22">
        <f t="shared" si="0"/>
        <v>-2190.7933999999659</v>
      </c>
      <c r="W26" s="80">
        <v>0</v>
      </c>
      <c r="X26" s="24">
        <v>9</v>
      </c>
      <c r="Y26" s="19">
        <v>20</v>
      </c>
      <c r="Z26" s="15" t="s">
        <v>40</v>
      </c>
      <c r="AA26" s="21">
        <v>44637</v>
      </c>
      <c r="AB26" s="75">
        <v>1004690.036</v>
      </c>
      <c r="AC26" s="81">
        <v>840000</v>
      </c>
      <c r="AD26" s="28">
        <f t="shared" si="1"/>
        <v>164690.03599999996</v>
      </c>
      <c r="AE26" s="44">
        <f t="shared" si="2"/>
        <v>0</v>
      </c>
      <c r="AF26" s="45">
        <v>13.28</v>
      </c>
      <c r="AG26" s="287">
        <v>1905295.9</v>
      </c>
      <c r="AH26" s="288"/>
      <c r="AI26" s="24">
        <v>12</v>
      </c>
      <c r="AJ26" s="19">
        <v>20</v>
      </c>
      <c r="AK26" s="15" t="s">
        <v>18</v>
      </c>
      <c r="AL26" s="21">
        <v>44665</v>
      </c>
      <c r="AM26" s="78">
        <v>990026.69</v>
      </c>
      <c r="AN26" s="81">
        <v>840000</v>
      </c>
      <c r="AO26" s="28">
        <f t="shared" si="3"/>
        <v>150026.68999999994</v>
      </c>
      <c r="AP26" s="44">
        <f t="shared" si="4"/>
        <v>0</v>
      </c>
      <c r="AQ26" s="356"/>
      <c r="AR26" s="289">
        <v>602420.81999999995</v>
      </c>
      <c r="AS26" s="290"/>
      <c r="AT26" s="24"/>
      <c r="AU26" s="19">
        <v>20</v>
      </c>
      <c r="AV26" s="20" t="s">
        <v>14</v>
      </c>
      <c r="AW26" s="21">
        <v>44696</v>
      </c>
      <c r="AX26" s="78">
        <v>925304.41</v>
      </c>
      <c r="AY26" s="285">
        <v>840000</v>
      </c>
      <c r="AZ26" s="28">
        <f t="shared" si="5"/>
        <v>85304.410000000033</v>
      </c>
      <c r="BA26" s="44">
        <f t="shared" si="6"/>
        <v>0</v>
      </c>
      <c r="BB26" s="82"/>
      <c r="BC26" s="289">
        <v>543067.18000000005</v>
      </c>
      <c r="BD26" s="290"/>
      <c r="BE26" s="24"/>
      <c r="BF26" s="19">
        <v>20</v>
      </c>
      <c r="BG26" s="35" t="s">
        <v>17</v>
      </c>
      <c r="BH26" s="21">
        <v>44726</v>
      </c>
      <c r="BI26" s="78">
        <v>1005684.02</v>
      </c>
      <c r="BJ26" s="261">
        <v>840000</v>
      </c>
      <c r="BK26" s="28">
        <f t="shared" si="7"/>
        <v>165684.02000000002</v>
      </c>
      <c r="BL26" s="44">
        <f t="shared" si="8"/>
        <v>0</v>
      </c>
      <c r="BM26" s="82"/>
      <c r="BN26" s="289">
        <v>1930700.7</v>
      </c>
      <c r="BO26" s="290"/>
      <c r="BP26" s="291"/>
      <c r="BQ26" s="19">
        <v>20</v>
      </c>
      <c r="BR26" s="266" t="s">
        <v>13</v>
      </c>
      <c r="BS26" s="21">
        <v>44757</v>
      </c>
      <c r="BT26" s="78">
        <v>1033208.36</v>
      </c>
      <c r="BU26" s="261">
        <v>840000</v>
      </c>
      <c r="BV26" s="28">
        <f t="shared" si="9"/>
        <v>193208.36</v>
      </c>
      <c r="BW26" s="44">
        <f t="shared" si="10"/>
        <v>0</v>
      </c>
      <c r="BX26" s="45" t="s">
        <v>48</v>
      </c>
      <c r="BY26" s="289">
        <v>6064425.5899999999</v>
      </c>
      <c r="BZ26" s="290"/>
      <c r="CA26" s="291"/>
      <c r="CB26" s="19">
        <v>20</v>
      </c>
      <c r="CC26" s="20" t="s">
        <v>14</v>
      </c>
      <c r="CD26" s="21">
        <v>44787</v>
      </c>
      <c r="CE26" s="78">
        <v>856571.55</v>
      </c>
      <c r="CF26" s="261">
        <v>840000</v>
      </c>
      <c r="CG26" s="28">
        <f t="shared" si="11"/>
        <v>16571.550000000047</v>
      </c>
      <c r="CH26" s="44">
        <f t="shared" si="12"/>
        <v>0</v>
      </c>
      <c r="CI26" s="45"/>
      <c r="CJ26" s="289">
        <v>219845.59</v>
      </c>
      <c r="CK26" s="290"/>
      <c r="CL26" s="53" t="s">
        <v>102</v>
      </c>
      <c r="CM26" s="291"/>
      <c r="CN26" s="19">
        <v>20</v>
      </c>
      <c r="CO26" s="266" t="s">
        <v>15</v>
      </c>
      <c r="CP26" s="21">
        <v>44818</v>
      </c>
      <c r="CQ26" s="78">
        <v>978503.78</v>
      </c>
      <c r="CR26" s="265">
        <v>840000</v>
      </c>
      <c r="CS26" s="28">
        <f t="shared" si="13"/>
        <v>138503.78000000003</v>
      </c>
      <c r="CT26" s="44">
        <f t="shared" si="14"/>
        <v>0</v>
      </c>
      <c r="CU26" s="45"/>
      <c r="CV26" s="289"/>
      <c r="CW26" s="290"/>
      <c r="CX26" s="53"/>
      <c r="CY26" s="292"/>
      <c r="CZ26" s="19">
        <v>20</v>
      </c>
      <c r="DA26" s="20" t="s">
        <v>16</v>
      </c>
      <c r="DB26" s="263">
        <v>44849</v>
      </c>
      <c r="DC26" s="78">
        <f>973.7095902*1000</f>
        <v>973709.59019999998</v>
      </c>
      <c r="DD26" s="261">
        <v>840000</v>
      </c>
      <c r="DE26" s="28">
        <f t="shared" si="15"/>
        <v>133709.59019999998</v>
      </c>
      <c r="DF26" s="44">
        <f t="shared" si="16"/>
        <v>0</v>
      </c>
      <c r="DG26" s="45"/>
      <c r="DH26" s="289"/>
      <c r="DI26" s="290"/>
      <c r="DJ26" s="53"/>
      <c r="DK26" s="292"/>
      <c r="DL26" s="19">
        <v>20</v>
      </c>
      <c r="DM26" s="15" t="s">
        <v>22</v>
      </c>
      <c r="DN26" s="263">
        <v>44879</v>
      </c>
      <c r="DO26" s="78">
        <v>1030627.16</v>
      </c>
      <c r="DP26" s="265">
        <v>840000</v>
      </c>
      <c r="DQ26" s="28">
        <f t="shared" si="17"/>
        <v>190627.16000000003</v>
      </c>
      <c r="DR26" s="44">
        <f t="shared" si="18"/>
        <v>0</v>
      </c>
      <c r="DS26" s="45"/>
      <c r="DT26" s="289">
        <v>3528821.3</v>
      </c>
      <c r="DU26" s="290"/>
      <c r="DV26" s="53" t="s">
        <v>103</v>
      </c>
      <c r="DW26" s="38">
        <f t="shared" si="19"/>
        <v>42942.798333333332</v>
      </c>
      <c r="DX26" s="19">
        <v>20</v>
      </c>
      <c r="DY26" s="266" t="s">
        <v>18</v>
      </c>
      <c r="DZ26" s="263">
        <v>44910</v>
      </c>
      <c r="EA26" s="78">
        <v>961140.49</v>
      </c>
      <c r="EB26" s="265">
        <v>840000</v>
      </c>
      <c r="EC26" s="28">
        <f t="shared" si="20"/>
        <v>121140.48999999999</v>
      </c>
      <c r="ED26" s="44">
        <f t="shared" si="21"/>
        <v>0</v>
      </c>
      <c r="EE26" s="45"/>
      <c r="EF26" s="289">
        <v>3976299.65</v>
      </c>
      <c r="EG26" s="290"/>
      <c r="EH26" s="36" t="s">
        <v>45</v>
      </c>
      <c r="EI26" s="38">
        <f t="shared" si="22"/>
        <v>40047.520416666666</v>
      </c>
      <c r="EJ26" s="19">
        <v>20</v>
      </c>
      <c r="EK26" s="20" t="s">
        <v>16</v>
      </c>
      <c r="EL26" s="263">
        <v>44940</v>
      </c>
      <c r="EM26" s="78">
        <v>851030.95</v>
      </c>
      <c r="EN26" s="265">
        <v>879798.26</v>
      </c>
      <c r="EO26" s="28">
        <f t="shared" si="23"/>
        <v>0</v>
      </c>
      <c r="EP26" s="44">
        <f t="shared" si="24"/>
        <v>28767.310000000056</v>
      </c>
      <c r="EQ26" s="45"/>
      <c r="ER26" s="289"/>
      <c r="ES26" s="290">
        <v>297920.65999999997</v>
      </c>
      <c r="ET26" s="36" t="s">
        <v>104</v>
      </c>
    </row>
    <row r="27" spans="1:150" ht="14.25" customHeight="1">
      <c r="A27" s="14">
        <v>21</v>
      </c>
      <c r="B27" s="15" t="s">
        <v>18</v>
      </c>
      <c r="C27" s="16">
        <v>44911</v>
      </c>
      <c r="D27" s="267">
        <v>804159.89980000001</v>
      </c>
      <c r="E27" s="68">
        <v>727922</v>
      </c>
      <c r="F27" s="68">
        <v>76237.899799999999</v>
      </c>
      <c r="G27" s="57">
        <v>0</v>
      </c>
      <c r="H27" s="255"/>
      <c r="I27" s="19">
        <v>21</v>
      </c>
      <c r="J27" s="20" t="s">
        <v>16</v>
      </c>
      <c r="K27" s="21">
        <v>44576</v>
      </c>
      <c r="L27" s="39">
        <v>701021.52740000002</v>
      </c>
      <c r="M27" s="68">
        <v>793470</v>
      </c>
      <c r="N27" s="68">
        <v>-92448.472599999994</v>
      </c>
      <c r="O27" s="57">
        <v>0</v>
      </c>
      <c r="P27" s="40"/>
      <c r="Q27" s="19">
        <v>21</v>
      </c>
      <c r="R27" s="15" t="s">
        <v>17</v>
      </c>
      <c r="S27" s="26">
        <v>44607</v>
      </c>
      <c r="T27" s="41">
        <v>869876.84880000004</v>
      </c>
      <c r="U27" s="17">
        <v>831173</v>
      </c>
      <c r="V27" s="22">
        <f t="shared" si="0"/>
        <v>38703.848800000036</v>
      </c>
      <c r="W27" s="18">
        <v>0</v>
      </c>
      <c r="X27" s="24">
        <v>8</v>
      </c>
      <c r="Y27" s="19">
        <v>21</v>
      </c>
      <c r="Z27" s="15" t="s">
        <v>47</v>
      </c>
      <c r="AA27" s="21">
        <v>44638</v>
      </c>
      <c r="AB27" s="75">
        <v>979061.94880000001</v>
      </c>
      <c r="AC27" s="76">
        <v>840000</v>
      </c>
      <c r="AD27" s="28">
        <f t="shared" si="1"/>
        <v>139061.94880000001</v>
      </c>
      <c r="AE27" s="44">
        <f t="shared" si="2"/>
        <v>0</v>
      </c>
      <c r="AF27" s="45">
        <v>12.8</v>
      </c>
      <c r="AG27" s="287">
        <v>2139424.41</v>
      </c>
      <c r="AH27" s="288"/>
      <c r="AI27" s="24">
        <v>11</v>
      </c>
      <c r="AJ27" s="19">
        <v>21</v>
      </c>
      <c r="AK27" s="15" t="s">
        <v>13</v>
      </c>
      <c r="AL27" s="21">
        <v>44666</v>
      </c>
      <c r="AM27" s="78">
        <v>951775.38</v>
      </c>
      <c r="AN27" s="76">
        <v>840000</v>
      </c>
      <c r="AO27" s="28">
        <f t="shared" si="3"/>
        <v>111775.38</v>
      </c>
      <c r="AP27" s="44">
        <f t="shared" si="4"/>
        <v>0</v>
      </c>
      <c r="AQ27" s="356"/>
      <c r="AR27" s="289">
        <v>383317.41</v>
      </c>
      <c r="AS27" s="290"/>
      <c r="AT27" s="24"/>
      <c r="AU27" s="19">
        <v>21</v>
      </c>
      <c r="AV27" s="15" t="s">
        <v>22</v>
      </c>
      <c r="AW27" s="21">
        <v>44697</v>
      </c>
      <c r="AX27" s="78">
        <v>974772.8</v>
      </c>
      <c r="AY27" s="285">
        <v>840000</v>
      </c>
      <c r="AZ27" s="28">
        <f t="shared" si="5"/>
        <v>134772.80000000005</v>
      </c>
      <c r="BA27" s="44">
        <f t="shared" si="6"/>
        <v>0</v>
      </c>
      <c r="BB27" s="82"/>
      <c r="BC27" s="289">
        <v>1553113.52</v>
      </c>
      <c r="BD27" s="290"/>
      <c r="BE27" s="24"/>
      <c r="BF27" s="19">
        <v>21</v>
      </c>
      <c r="BG27" s="266" t="s">
        <v>15</v>
      </c>
      <c r="BH27" s="21">
        <v>44727</v>
      </c>
      <c r="BI27" s="78">
        <v>1030858.59</v>
      </c>
      <c r="BJ27" s="261">
        <v>840000</v>
      </c>
      <c r="BK27" s="28">
        <f t="shared" si="7"/>
        <v>190858.58999999997</v>
      </c>
      <c r="BL27" s="44">
        <f t="shared" si="8"/>
        <v>0</v>
      </c>
      <c r="BM27" s="82"/>
      <c r="BN27" s="289">
        <v>1865794.5600000001</v>
      </c>
      <c r="BO27" s="290"/>
      <c r="BP27" s="291"/>
      <c r="BQ27" s="19">
        <v>21</v>
      </c>
      <c r="BR27" s="20" t="s">
        <v>16</v>
      </c>
      <c r="BS27" s="21">
        <v>44758</v>
      </c>
      <c r="BT27" s="78">
        <v>950980.9</v>
      </c>
      <c r="BU27" s="261">
        <v>840000</v>
      </c>
      <c r="BV27" s="28">
        <f t="shared" si="9"/>
        <v>110980.90000000002</v>
      </c>
      <c r="BW27" s="44">
        <f t="shared" si="10"/>
        <v>0</v>
      </c>
      <c r="BX27" s="45" t="s">
        <v>48</v>
      </c>
      <c r="BY27" s="289">
        <v>1476743.35</v>
      </c>
      <c r="BZ27" s="290"/>
      <c r="CA27" s="291"/>
      <c r="CB27" s="19">
        <v>21</v>
      </c>
      <c r="CC27" s="15" t="s">
        <v>22</v>
      </c>
      <c r="CD27" s="21">
        <v>44788</v>
      </c>
      <c r="CE27" s="78">
        <v>869945.66</v>
      </c>
      <c r="CF27" s="261">
        <v>840000</v>
      </c>
      <c r="CG27" s="28">
        <f t="shared" si="11"/>
        <v>29945.660000000033</v>
      </c>
      <c r="CH27" s="44">
        <f t="shared" si="12"/>
        <v>0</v>
      </c>
      <c r="CI27" s="45"/>
      <c r="CJ27" s="289">
        <v>180890.61</v>
      </c>
      <c r="CK27" s="290"/>
      <c r="CL27" s="53" t="s">
        <v>102</v>
      </c>
      <c r="CM27" s="291"/>
      <c r="CN27" s="19">
        <v>21</v>
      </c>
      <c r="CO27" s="266" t="s">
        <v>18</v>
      </c>
      <c r="CP27" s="263">
        <v>44819</v>
      </c>
      <c r="CQ27" s="78">
        <v>982147.64</v>
      </c>
      <c r="CR27" s="265">
        <v>840000</v>
      </c>
      <c r="CS27" s="28">
        <f t="shared" si="13"/>
        <v>142147.64000000001</v>
      </c>
      <c r="CT27" s="44">
        <f t="shared" si="14"/>
        <v>0</v>
      </c>
      <c r="CU27" s="45"/>
      <c r="CV27" s="289"/>
      <c r="CW27" s="290"/>
      <c r="CX27" s="53"/>
      <c r="CY27" s="292"/>
      <c r="CZ27" s="19">
        <v>21</v>
      </c>
      <c r="DA27" s="20" t="s">
        <v>14</v>
      </c>
      <c r="DB27" s="263">
        <v>44850</v>
      </c>
      <c r="DC27" s="78">
        <f>918.3646223*1000</f>
        <v>918364.62229999993</v>
      </c>
      <c r="DD27" s="261">
        <v>840000</v>
      </c>
      <c r="DE27" s="28">
        <f t="shared" si="15"/>
        <v>78364.62229999993</v>
      </c>
      <c r="DF27" s="44">
        <f t="shared" si="16"/>
        <v>0</v>
      </c>
      <c r="DG27" s="45"/>
      <c r="DH27" s="289"/>
      <c r="DI27" s="290"/>
      <c r="DJ27" s="53"/>
      <c r="DK27" s="292"/>
      <c r="DL27" s="19">
        <v>21</v>
      </c>
      <c r="DM27" s="35" t="s">
        <v>17</v>
      </c>
      <c r="DN27" s="263">
        <v>44880</v>
      </c>
      <c r="DO27" s="78">
        <v>1005268.4</v>
      </c>
      <c r="DP27" s="265">
        <v>840000</v>
      </c>
      <c r="DQ27" s="28">
        <f t="shared" si="17"/>
        <v>165268.40000000002</v>
      </c>
      <c r="DR27" s="44">
        <f t="shared" si="18"/>
        <v>0</v>
      </c>
      <c r="DS27" s="45"/>
      <c r="DT27" s="289">
        <v>2424119.5299999998</v>
      </c>
      <c r="DU27" s="290"/>
      <c r="DV27" s="53" t="s">
        <v>105</v>
      </c>
      <c r="DW27" s="38">
        <f t="shared" si="19"/>
        <v>41886.183333333334</v>
      </c>
      <c r="DX27" s="19">
        <v>21</v>
      </c>
      <c r="DY27" s="266" t="s">
        <v>13</v>
      </c>
      <c r="DZ27" s="263">
        <v>44911</v>
      </c>
      <c r="EA27" s="78">
        <v>962663.1</v>
      </c>
      <c r="EB27" s="265">
        <v>840000</v>
      </c>
      <c r="EC27" s="28">
        <f t="shared" si="20"/>
        <v>122663.09999999998</v>
      </c>
      <c r="ED27" s="44">
        <f t="shared" si="21"/>
        <v>0</v>
      </c>
      <c r="EE27" s="45"/>
      <c r="EF27" s="289">
        <v>4247814.83</v>
      </c>
      <c r="EG27" s="290"/>
      <c r="EH27" s="36" t="s">
        <v>28</v>
      </c>
      <c r="EI27" s="38">
        <f t="shared" si="22"/>
        <v>40110.962500000001</v>
      </c>
      <c r="EJ27" s="19">
        <v>21</v>
      </c>
      <c r="EK27" s="20" t="s">
        <v>14</v>
      </c>
      <c r="EL27" s="263">
        <v>44941</v>
      </c>
      <c r="EM27" s="78">
        <v>840019.35</v>
      </c>
      <c r="EN27" s="265">
        <v>879798.26</v>
      </c>
      <c r="EO27" s="28">
        <f t="shared" si="23"/>
        <v>0</v>
      </c>
      <c r="EP27" s="44">
        <f t="shared" si="24"/>
        <v>39778.910000000033</v>
      </c>
      <c r="EQ27" s="45"/>
      <c r="ER27" s="289"/>
      <c r="ES27" s="290">
        <v>107062.98</v>
      </c>
      <c r="ET27" s="36" t="s">
        <v>106</v>
      </c>
    </row>
    <row r="28" spans="1:150" ht="14.25" customHeight="1">
      <c r="A28" s="14">
        <v>22</v>
      </c>
      <c r="B28" s="15" t="s">
        <v>13</v>
      </c>
      <c r="C28" s="16">
        <v>44912</v>
      </c>
      <c r="D28" s="267">
        <v>861304.73710000003</v>
      </c>
      <c r="E28" s="68">
        <v>727922</v>
      </c>
      <c r="F28" s="68">
        <v>133382.7371</v>
      </c>
      <c r="G28" s="57">
        <v>0</v>
      </c>
      <c r="H28" s="255"/>
      <c r="I28" s="19">
        <v>22</v>
      </c>
      <c r="J28" s="20" t="s">
        <v>14</v>
      </c>
      <c r="K28" s="21">
        <v>44577</v>
      </c>
      <c r="L28" s="39">
        <v>679054.14469999995</v>
      </c>
      <c r="M28" s="68">
        <v>793470</v>
      </c>
      <c r="N28" s="68">
        <v>-114415.8553</v>
      </c>
      <c r="O28" s="57">
        <v>0</v>
      </c>
      <c r="P28" s="40"/>
      <c r="Q28" s="19">
        <v>22</v>
      </c>
      <c r="R28" s="15" t="s">
        <v>15</v>
      </c>
      <c r="S28" s="26">
        <v>44608</v>
      </c>
      <c r="T28" s="41">
        <v>840738.98109999998</v>
      </c>
      <c r="U28" s="17">
        <v>833700</v>
      </c>
      <c r="V28" s="22">
        <f t="shared" si="0"/>
        <v>7038.9810999999754</v>
      </c>
      <c r="W28" s="18">
        <v>0</v>
      </c>
      <c r="X28" s="24">
        <v>7</v>
      </c>
      <c r="Y28" s="19">
        <v>22</v>
      </c>
      <c r="Z28" s="20" t="s">
        <v>16</v>
      </c>
      <c r="AA28" s="21">
        <v>44639</v>
      </c>
      <c r="AB28" s="75">
        <v>940401.11</v>
      </c>
      <c r="AC28" s="76">
        <v>840000</v>
      </c>
      <c r="AD28" s="28">
        <f t="shared" si="1"/>
        <v>100401.10999999999</v>
      </c>
      <c r="AE28" s="44">
        <f t="shared" si="2"/>
        <v>0</v>
      </c>
      <c r="AF28" s="45">
        <v>5.45</v>
      </c>
      <c r="AG28" s="63">
        <v>676752.17</v>
      </c>
      <c r="AH28" s="77"/>
      <c r="AI28" s="24">
        <v>10</v>
      </c>
      <c r="AJ28" s="19">
        <v>22</v>
      </c>
      <c r="AK28" s="20" t="s">
        <v>16</v>
      </c>
      <c r="AL28" s="21">
        <v>44667</v>
      </c>
      <c r="AM28" s="78">
        <v>887368.89</v>
      </c>
      <c r="AN28" s="76">
        <v>840000</v>
      </c>
      <c r="AO28" s="28">
        <f t="shared" si="3"/>
        <v>47368.890000000014</v>
      </c>
      <c r="AP28" s="44">
        <f t="shared" si="4"/>
        <v>0</v>
      </c>
      <c r="AQ28" s="356"/>
      <c r="AR28" s="48">
        <v>223558.86</v>
      </c>
      <c r="AS28" s="77"/>
      <c r="AT28" s="24"/>
      <c r="AU28" s="19">
        <v>22</v>
      </c>
      <c r="AV28" s="35" t="s">
        <v>17</v>
      </c>
      <c r="AW28" s="21">
        <v>44698</v>
      </c>
      <c r="AX28" s="78">
        <v>949726.69</v>
      </c>
      <c r="AY28" s="285">
        <v>840000</v>
      </c>
      <c r="AZ28" s="28">
        <f t="shared" si="5"/>
        <v>109726.68999999994</v>
      </c>
      <c r="BA28" s="44">
        <f t="shared" si="6"/>
        <v>0</v>
      </c>
      <c r="BB28" s="82"/>
      <c r="BC28" s="48">
        <v>1221454.21</v>
      </c>
      <c r="BD28" s="77"/>
      <c r="BE28" s="24"/>
      <c r="BF28" s="19">
        <v>22</v>
      </c>
      <c r="BG28" s="266" t="s">
        <v>18</v>
      </c>
      <c r="BH28" s="21">
        <v>44728</v>
      </c>
      <c r="BI28" s="78">
        <v>1037910.88</v>
      </c>
      <c r="BJ28" s="261">
        <v>840000</v>
      </c>
      <c r="BK28" s="28">
        <f t="shared" si="7"/>
        <v>197910.88</v>
      </c>
      <c r="BL28" s="44">
        <f t="shared" si="8"/>
        <v>0</v>
      </c>
      <c r="BM28" s="45" t="s">
        <v>48</v>
      </c>
      <c r="BN28" s="48">
        <v>4257915.2699999996</v>
      </c>
      <c r="BO28" s="77"/>
      <c r="BP28" s="79"/>
      <c r="BQ28" s="19">
        <v>22</v>
      </c>
      <c r="BR28" s="20" t="s">
        <v>14</v>
      </c>
      <c r="BS28" s="21">
        <v>44759</v>
      </c>
      <c r="BT28" s="78">
        <v>909282.24</v>
      </c>
      <c r="BU28" s="261">
        <v>840000</v>
      </c>
      <c r="BV28" s="28">
        <f t="shared" si="9"/>
        <v>69282.239999999991</v>
      </c>
      <c r="BW28" s="44">
        <f t="shared" si="10"/>
        <v>0</v>
      </c>
      <c r="BX28" s="45"/>
      <c r="BY28" s="48">
        <v>814653.43</v>
      </c>
      <c r="BZ28" s="77"/>
      <c r="CA28" s="79"/>
      <c r="CB28" s="19">
        <v>22</v>
      </c>
      <c r="CC28" s="35" t="s">
        <v>17</v>
      </c>
      <c r="CD28" s="21">
        <v>44789</v>
      </c>
      <c r="CE28" s="78">
        <v>895372.11</v>
      </c>
      <c r="CF28" s="261">
        <v>840000</v>
      </c>
      <c r="CG28" s="28">
        <f t="shared" si="11"/>
        <v>55372.109999999986</v>
      </c>
      <c r="CH28" s="44">
        <f t="shared" si="12"/>
        <v>0</v>
      </c>
      <c r="CI28" s="45"/>
      <c r="CJ28" s="48">
        <v>359996.89</v>
      </c>
      <c r="CK28" s="77"/>
      <c r="CL28" s="36" t="s">
        <v>107</v>
      </c>
      <c r="CM28" s="79"/>
      <c r="CN28" s="19">
        <v>22</v>
      </c>
      <c r="CO28" s="266" t="s">
        <v>13</v>
      </c>
      <c r="CP28" s="21">
        <v>44820</v>
      </c>
      <c r="CQ28" s="78">
        <v>981921.04</v>
      </c>
      <c r="CR28" s="265">
        <v>840000</v>
      </c>
      <c r="CS28" s="28">
        <f t="shared" si="13"/>
        <v>141921.04000000004</v>
      </c>
      <c r="CT28" s="44">
        <f t="shared" si="14"/>
        <v>0</v>
      </c>
      <c r="CU28" s="45"/>
      <c r="CV28" s="48"/>
      <c r="CW28" s="77"/>
      <c r="CX28" s="36"/>
      <c r="CY28" s="37"/>
      <c r="CZ28" s="19">
        <v>22</v>
      </c>
      <c r="DA28" s="15" t="s">
        <v>22</v>
      </c>
      <c r="DB28" s="263">
        <v>44851</v>
      </c>
      <c r="DC28" s="78">
        <f>1004.013775*1000</f>
        <v>1004013.775</v>
      </c>
      <c r="DD28" s="261">
        <v>840000</v>
      </c>
      <c r="DE28" s="28">
        <f t="shared" si="15"/>
        <v>164013.77500000002</v>
      </c>
      <c r="DF28" s="44">
        <f t="shared" si="16"/>
        <v>0</v>
      </c>
      <c r="DG28" s="45"/>
      <c r="DH28" s="48"/>
      <c r="DI28" s="77"/>
      <c r="DJ28" s="36"/>
      <c r="DK28" s="37"/>
      <c r="DL28" s="19">
        <v>22</v>
      </c>
      <c r="DM28" s="266" t="s">
        <v>15</v>
      </c>
      <c r="DN28" s="263">
        <v>44881</v>
      </c>
      <c r="DO28" s="78">
        <v>984230.5</v>
      </c>
      <c r="DP28" s="265">
        <v>840000</v>
      </c>
      <c r="DQ28" s="28">
        <f t="shared" si="17"/>
        <v>144230.5</v>
      </c>
      <c r="DR28" s="44">
        <f t="shared" si="18"/>
        <v>0</v>
      </c>
      <c r="DS28" s="45"/>
      <c r="DT28" s="48">
        <v>1871915.16</v>
      </c>
      <c r="DU28" s="77"/>
      <c r="DV28" s="36"/>
      <c r="DW28" s="38">
        <f t="shared" si="19"/>
        <v>41009.604166666664</v>
      </c>
      <c r="DX28" s="19">
        <v>22</v>
      </c>
      <c r="DY28" s="20" t="s">
        <v>16</v>
      </c>
      <c r="DZ28" s="263">
        <v>44912</v>
      </c>
      <c r="EA28" s="78">
        <v>967770</v>
      </c>
      <c r="EB28" s="265">
        <v>840000</v>
      </c>
      <c r="EC28" s="28">
        <f t="shared" si="20"/>
        <v>127770</v>
      </c>
      <c r="ED28" s="44">
        <f t="shared" si="21"/>
        <v>0</v>
      </c>
      <c r="EE28" s="45"/>
      <c r="EF28" s="48">
        <v>3443250.04</v>
      </c>
      <c r="EG28" s="77"/>
      <c r="EH28" s="36" t="s">
        <v>108</v>
      </c>
      <c r="EI28" s="38">
        <f t="shared" si="22"/>
        <v>40323.75</v>
      </c>
      <c r="EJ28" s="19">
        <v>22</v>
      </c>
      <c r="EK28" s="15" t="s">
        <v>22</v>
      </c>
      <c r="EL28" s="263">
        <v>44942</v>
      </c>
      <c r="EM28" s="78">
        <v>872691.1</v>
      </c>
      <c r="EN28" s="265">
        <v>879798.26</v>
      </c>
      <c r="EO28" s="28">
        <f t="shared" si="23"/>
        <v>0</v>
      </c>
      <c r="EP28" s="44">
        <f t="shared" si="24"/>
        <v>7107.1600000000326</v>
      </c>
      <c r="EQ28" s="45"/>
      <c r="ER28" s="48">
        <v>93082.46</v>
      </c>
      <c r="ES28" s="77"/>
      <c r="ET28" s="36" t="s">
        <v>109</v>
      </c>
    </row>
    <row r="29" spans="1:150" ht="14.25" customHeight="1">
      <c r="A29" s="14">
        <v>23</v>
      </c>
      <c r="B29" s="20" t="s">
        <v>16</v>
      </c>
      <c r="C29" s="16">
        <v>44913</v>
      </c>
      <c r="D29" s="267">
        <v>760865.69389999995</v>
      </c>
      <c r="E29" s="68">
        <v>727922</v>
      </c>
      <c r="F29" s="68">
        <v>32943.693899999998</v>
      </c>
      <c r="G29" s="57">
        <v>0</v>
      </c>
      <c r="H29" s="255"/>
      <c r="I29" s="19">
        <v>23</v>
      </c>
      <c r="J29" s="15" t="s">
        <v>22</v>
      </c>
      <c r="K29" s="21">
        <v>44578</v>
      </c>
      <c r="L29" s="39">
        <v>721787.92960000003</v>
      </c>
      <c r="M29" s="68">
        <v>793470</v>
      </c>
      <c r="N29" s="68">
        <v>-71682.070399999997</v>
      </c>
      <c r="O29" s="57">
        <v>0</v>
      </c>
      <c r="P29" s="40"/>
      <c r="Q29" s="19">
        <v>23</v>
      </c>
      <c r="R29" s="15" t="s">
        <v>18</v>
      </c>
      <c r="S29" s="26">
        <v>44609</v>
      </c>
      <c r="T29" s="41">
        <v>806008.25899999996</v>
      </c>
      <c r="U29" s="17">
        <v>833700</v>
      </c>
      <c r="V29" s="22">
        <f t="shared" si="0"/>
        <v>-27691.741000000038</v>
      </c>
      <c r="W29" s="18">
        <v>0</v>
      </c>
      <c r="X29" s="24">
        <v>6</v>
      </c>
      <c r="Y29" s="19">
        <v>23</v>
      </c>
      <c r="Z29" s="20" t="s">
        <v>14</v>
      </c>
      <c r="AA29" s="21">
        <v>44640</v>
      </c>
      <c r="AB29" s="75">
        <v>924427.62</v>
      </c>
      <c r="AC29" s="76">
        <v>840000</v>
      </c>
      <c r="AD29" s="28">
        <f t="shared" si="1"/>
        <v>84427.62</v>
      </c>
      <c r="AE29" s="44">
        <f t="shared" si="2"/>
        <v>0</v>
      </c>
      <c r="AF29" s="45">
        <v>5.39</v>
      </c>
      <c r="AG29" s="63">
        <v>570264.68999999994</v>
      </c>
      <c r="AH29" s="77"/>
      <c r="AI29" s="24">
        <v>9</v>
      </c>
      <c r="AJ29" s="19">
        <v>23</v>
      </c>
      <c r="AK29" s="20" t="s">
        <v>14</v>
      </c>
      <c r="AL29" s="21">
        <v>44668</v>
      </c>
      <c r="AM29" s="78">
        <v>882059.17</v>
      </c>
      <c r="AN29" s="76">
        <v>840000</v>
      </c>
      <c r="AO29" s="28">
        <f t="shared" si="3"/>
        <v>42059.170000000042</v>
      </c>
      <c r="AP29" s="44">
        <f t="shared" si="4"/>
        <v>0</v>
      </c>
      <c r="AQ29" s="359"/>
      <c r="AR29" s="48">
        <v>183000.13</v>
      </c>
      <c r="AS29" s="77"/>
      <c r="AT29" s="24"/>
      <c r="AU29" s="19">
        <v>23</v>
      </c>
      <c r="AV29" s="266" t="s">
        <v>15</v>
      </c>
      <c r="AW29" s="21">
        <v>44699</v>
      </c>
      <c r="AX29" s="78">
        <v>882335.43</v>
      </c>
      <c r="AY29" s="285">
        <v>840000</v>
      </c>
      <c r="AZ29" s="28">
        <f t="shared" si="5"/>
        <v>42335.430000000051</v>
      </c>
      <c r="BA29" s="44">
        <f t="shared" si="6"/>
        <v>0</v>
      </c>
      <c r="BB29" s="83"/>
      <c r="BC29" s="48">
        <v>333575.51</v>
      </c>
      <c r="BD29" s="77"/>
      <c r="BE29" s="24"/>
      <c r="BF29" s="19">
        <v>23</v>
      </c>
      <c r="BG29" s="266" t="s">
        <v>13</v>
      </c>
      <c r="BH29" s="21">
        <v>44729</v>
      </c>
      <c r="BI29" s="78">
        <v>1086868.2</v>
      </c>
      <c r="BJ29" s="261">
        <v>840000</v>
      </c>
      <c r="BK29" s="28">
        <f t="shared" si="7"/>
        <v>246868.19999999995</v>
      </c>
      <c r="BL29" s="44">
        <f t="shared" si="8"/>
        <v>0</v>
      </c>
      <c r="BM29" s="45" t="s">
        <v>48</v>
      </c>
      <c r="BN29" s="48">
        <v>7885842.1200000001</v>
      </c>
      <c r="BO29" s="77"/>
      <c r="BP29" s="79"/>
      <c r="BQ29" s="19">
        <v>23</v>
      </c>
      <c r="BR29" s="266" t="s">
        <v>22</v>
      </c>
      <c r="BS29" s="21">
        <v>44760</v>
      </c>
      <c r="BT29" s="78">
        <v>940102.97</v>
      </c>
      <c r="BU29" s="261">
        <v>840000</v>
      </c>
      <c r="BV29" s="28">
        <f t="shared" si="9"/>
        <v>100102.96999999997</v>
      </c>
      <c r="BW29" s="44">
        <f t="shared" si="10"/>
        <v>0</v>
      </c>
      <c r="BX29" s="45" t="s">
        <v>110</v>
      </c>
      <c r="BY29" s="48">
        <v>1319971.29</v>
      </c>
      <c r="BZ29" s="77"/>
      <c r="CA29" s="79"/>
      <c r="CB29" s="19">
        <v>23</v>
      </c>
      <c r="CC29" s="266" t="s">
        <v>15</v>
      </c>
      <c r="CD29" s="21">
        <v>44790</v>
      </c>
      <c r="CE29" s="78">
        <v>880143.52</v>
      </c>
      <c r="CF29" s="261">
        <v>840000</v>
      </c>
      <c r="CG29" s="28">
        <f t="shared" si="11"/>
        <v>40143.520000000019</v>
      </c>
      <c r="CH29" s="44">
        <f t="shared" si="12"/>
        <v>0</v>
      </c>
      <c r="CI29" s="45"/>
      <c r="CJ29" s="48">
        <v>271245.15000000002</v>
      </c>
      <c r="CK29" s="77"/>
      <c r="CL29" s="36" t="s">
        <v>21</v>
      </c>
      <c r="CM29" s="79"/>
      <c r="CN29" s="19">
        <v>23</v>
      </c>
      <c r="CO29" s="20" t="s">
        <v>16</v>
      </c>
      <c r="CP29" s="263">
        <v>44821</v>
      </c>
      <c r="CQ29" s="78">
        <v>900294.72</v>
      </c>
      <c r="CR29" s="265">
        <v>840000</v>
      </c>
      <c r="CS29" s="28">
        <f t="shared" si="13"/>
        <v>60294.719999999972</v>
      </c>
      <c r="CT29" s="44">
        <f t="shared" si="14"/>
        <v>0</v>
      </c>
      <c r="CU29" s="45"/>
      <c r="CV29" s="48"/>
      <c r="CW29" s="77"/>
      <c r="CX29" s="36"/>
      <c r="CY29" s="37"/>
      <c r="CZ29" s="19">
        <v>23</v>
      </c>
      <c r="DA29" s="35" t="s">
        <v>17</v>
      </c>
      <c r="DB29" s="263">
        <v>44852</v>
      </c>
      <c r="DC29" s="78">
        <f>1000*932.2864938</f>
        <v>932286.49380000005</v>
      </c>
      <c r="DD29" s="261">
        <v>840000</v>
      </c>
      <c r="DE29" s="28">
        <f t="shared" si="15"/>
        <v>92286.493800000055</v>
      </c>
      <c r="DF29" s="44">
        <f t="shared" si="16"/>
        <v>0</v>
      </c>
      <c r="DG29" s="45"/>
      <c r="DH29" s="48"/>
      <c r="DI29" s="77"/>
      <c r="DJ29" s="36"/>
      <c r="DK29" s="37"/>
      <c r="DL29" s="19">
        <v>23</v>
      </c>
      <c r="DM29" s="266" t="s">
        <v>18</v>
      </c>
      <c r="DN29" s="263">
        <v>44882</v>
      </c>
      <c r="DO29" s="78">
        <v>987311.53</v>
      </c>
      <c r="DP29" s="265">
        <v>840000</v>
      </c>
      <c r="DQ29" s="28">
        <f t="shared" si="17"/>
        <v>147311.53000000003</v>
      </c>
      <c r="DR29" s="44">
        <f t="shared" si="18"/>
        <v>0</v>
      </c>
      <c r="DS29" s="45"/>
      <c r="DT29" s="48">
        <v>1634748.76</v>
      </c>
      <c r="DU29" s="77"/>
      <c r="DV29" s="36"/>
      <c r="DW29" s="38">
        <f t="shared" si="19"/>
        <v>41137.980416666665</v>
      </c>
      <c r="DX29" s="19">
        <v>23</v>
      </c>
      <c r="DY29" s="20" t="s">
        <v>14</v>
      </c>
      <c r="DZ29" s="263">
        <v>44913</v>
      </c>
      <c r="EA29" s="78">
        <v>878595.7</v>
      </c>
      <c r="EB29" s="265">
        <v>840000</v>
      </c>
      <c r="EC29" s="28">
        <f t="shared" si="20"/>
        <v>38595.699999999953</v>
      </c>
      <c r="ED29" s="44">
        <f t="shared" si="21"/>
        <v>0</v>
      </c>
      <c r="EE29" s="45"/>
      <c r="EF29" s="48">
        <v>469729.62</v>
      </c>
      <c r="EG29" s="77"/>
      <c r="EH29" s="36" t="s">
        <v>111</v>
      </c>
      <c r="EI29" s="38">
        <f t="shared" si="22"/>
        <v>36608.154166666667</v>
      </c>
      <c r="EJ29" s="19">
        <v>23</v>
      </c>
      <c r="EK29" s="35" t="s">
        <v>17</v>
      </c>
      <c r="EL29" s="263">
        <v>44943</v>
      </c>
      <c r="EM29" s="78">
        <v>839183.04</v>
      </c>
      <c r="EN29" s="265">
        <v>879798.26</v>
      </c>
      <c r="EO29" s="28">
        <f t="shared" si="23"/>
        <v>0</v>
      </c>
      <c r="EP29" s="44">
        <f t="shared" si="24"/>
        <v>40615.219999999972</v>
      </c>
      <c r="EQ29" s="45"/>
      <c r="ER29" s="48"/>
      <c r="ES29" s="77">
        <v>172211.13</v>
      </c>
      <c r="ET29" s="36" t="s">
        <v>112</v>
      </c>
    </row>
    <row r="30" spans="1:150" ht="14.25" customHeight="1">
      <c r="A30" s="14">
        <v>24</v>
      </c>
      <c r="B30" s="20" t="s">
        <v>14</v>
      </c>
      <c r="C30" s="16">
        <v>44914</v>
      </c>
      <c r="D30" s="267">
        <v>697224.65130000003</v>
      </c>
      <c r="E30" s="68">
        <v>783356.00040000002</v>
      </c>
      <c r="F30" s="68">
        <v>-86131.349100000007</v>
      </c>
      <c r="G30" s="57">
        <v>0</v>
      </c>
      <c r="H30" s="255"/>
      <c r="I30" s="19">
        <v>24</v>
      </c>
      <c r="J30" s="15" t="s">
        <v>17</v>
      </c>
      <c r="K30" s="21">
        <v>44579</v>
      </c>
      <c r="L30" s="39">
        <v>731154.40410000004</v>
      </c>
      <c r="M30" s="68">
        <v>793470</v>
      </c>
      <c r="N30" s="68">
        <v>-62315.5959</v>
      </c>
      <c r="O30" s="57">
        <v>0</v>
      </c>
      <c r="P30" s="40"/>
      <c r="Q30" s="19">
        <v>24</v>
      </c>
      <c r="R30" s="15" t="s">
        <v>13</v>
      </c>
      <c r="S30" s="26">
        <v>44610</v>
      </c>
      <c r="T30" s="41">
        <v>860820.03029999998</v>
      </c>
      <c r="U30" s="17">
        <v>833700</v>
      </c>
      <c r="V30" s="22">
        <f t="shared" si="0"/>
        <v>27120.030299999984</v>
      </c>
      <c r="W30" s="18">
        <v>0</v>
      </c>
      <c r="X30" s="24">
        <v>5</v>
      </c>
      <c r="Y30" s="19">
        <v>24</v>
      </c>
      <c r="Z30" s="15" t="s">
        <v>22</v>
      </c>
      <c r="AA30" s="21">
        <v>44641</v>
      </c>
      <c r="AB30" s="75">
        <v>1009967.43</v>
      </c>
      <c r="AC30" s="76">
        <v>840000</v>
      </c>
      <c r="AD30" s="28">
        <f t="shared" si="1"/>
        <v>169967.43000000005</v>
      </c>
      <c r="AE30" s="44">
        <f t="shared" si="2"/>
        <v>0</v>
      </c>
      <c r="AF30" s="45">
        <v>7.32</v>
      </c>
      <c r="AG30" s="63">
        <v>1741247.89</v>
      </c>
      <c r="AH30" s="77"/>
      <c r="AI30" s="24">
        <v>8</v>
      </c>
      <c r="AJ30" s="19">
        <v>24</v>
      </c>
      <c r="AK30" s="15" t="s">
        <v>22</v>
      </c>
      <c r="AL30" s="21">
        <v>44669</v>
      </c>
      <c r="AM30" s="78">
        <v>1007410.92</v>
      </c>
      <c r="AN30" s="76">
        <v>840000</v>
      </c>
      <c r="AO30" s="28">
        <f t="shared" si="3"/>
        <v>167410.92000000004</v>
      </c>
      <c r="AP30" s="44">
        <f t="shared" si="4"/>
        <v>0</v>
      </c>
      <c r="AQ30" s="49" t="s">
        <v>89</v>
      </c>
      <c r="AR30" s="48">
        <v>2447268.12</v>
      </c>
      <c r="AS30" s="77"/>
      <c r="AT30" s="24"/>
      <c r="AU30" s="19">
        <v>24</v>
      </c>
      <c r="AV30" s="266" t="s">
        <v>18</v>
      </c>
      <c r="AW30" s="21">
        <v>44700</v>
      </c>
      <c r="AX30" s="78">
        <v>859880.84</v>
      </c>
      <c r="AY30" s="285">
        <v>840000</v>
      </c>
      <c r="AZ30" s="28">
        <f t="shared" si="5"/>
        <v>19880.839999999967</v>
      </c>
      <c r="BA30" s="44">
        <f t="shared" si="6"/>
        <v>0</v>
      </c>
      <c r="BB30" s="49" t="s">
        <v>94</v>
      </c>
      <c r="BC30" s="48">
        <v>496205.8</v>
      </c>
      <c r="BD30" s="77"/>
      <c r="BE30" s="24"/>
      <c r="BF30" s="19">
        <v>24</v>
      </c>
      <c r="BG30" s="20" t="s">
        <v>16</v>
      </c>
      <c r="BH30" s="21">
        <v>44730</v>
      </c>
      <c r="BI30" s="78">
        <v>874069.19</v>
      </c>
      <c r="BJ30" s="261">
        <v>840000</v>
      </c>
      <c r="BK30" s="28">
        <f t="shared" si="7"/>
        <v>34069.189999999944</v>
      </c>
      <c r="BL30" s="44">
        <f t="shared" si="8"/>
        <v>0</v>
      </c>
      <c r="BM30" s="49"/>
      <c r="BN30" s="48">
        <v>3285086.08</v>
      </c>
      <c r="BO30" s="77"/>
      <c r="BP30" s="79"/>
      <c r="BQ30" s="19">
        <v>24</v>
      </c>
      <c r="BR30" s="266" t="s">
        <v>17</v>
      </c>
      <c r="BS30" s="21">
        <v>44761</v>
      </c>
      <c r="BT30" s="78">
        <v>995331.91</v>
      </c>
      <c r="BU30" s="261">
        <v>840000</v>
      </c>
      <c r="BV30" s="28">
        <f t="shared" si="9"/>
        <v>155331.91000000003</v>
      </c>
      <c r="BW30" s="44">
        <f t="shared" si="10"/>
        <v>0</v>
      </c>
      <c r="BX30" s="49"/>
      <c r="BY30" s="48">
        <v>1422363.62</v>
      </c>
      <c r="BZ30" s="77"/>
      <c r="CA30" s="79"/>
      <c r="CB30" s="19">
        <v>24</v>
      </c>
      <c r="CC30" s="266" t="s">
        <v>18</v>
      </c>
      <c r="CD30" s="21">
        <v>44791</v>
      </c>
      <c r="CE30" s="78">
        <v>866368.43</v>
      </c>
      <c r="CF30" s="261">
        <v>840000</v>
      </c>
      <c r="CG30" s="28">
        <f t="shared" si="11"/>
        <v>26368.430000000051</v>
      </c>
      <c r="CH30" s="44">
        <f t="shared" si="12"/>
        <v>0</v>
      </c>
      <c r="CI30" s="49"/>
      <c r="CJ30" s="48"/>
      <c r="CK30" s="77">
        <v>13070.88</v>
      </c>
      <c r="CL30" s="36" t="s">
        <v>21</v>
      </c>
      <c r="CM30" s="79"/>
      <c r="CN30" s="19">
        <v>24</v>
      </c>
      <c r="CO30" s="20" t="s">
        <v>14</v>
      </c>
      <c r="CP30" s="21">
        <v>44822</v>
      </c>
      <c r="CQ30" s="78">
        <v>861109.23</v>
      </c>
      <c r="CR30" s="265">
        <v>840000</v>
      </c>
      <c r="CS30" s="28">
        <f t="shared" si="13"/>
        <v>21109.229999999981</v>
      </c>
      <c r="CT30" s="44">
        <f t="shared" si="14"/>
        <v>0</v>
      </c>
      <c r="CU30" s="49"/>
      <c r="CV30" s="48"/>
      <c r="CW30" s="77"/>
      <c r="CX30" s="36"/>
      <c r="CY30" s="37"/>
      <c r="CZ30" s="19">
        <v>24</v>
      </c>
      <c r="DA30" s="266" t="s">
        <v>15</v>
      </c>
      <c r="DB30" s="263">
        <v>44853</v>
      </c>
      <c r="DC30" s="78">
        <f>1000*913.4657861</f>
        <v>913465.78609999991</v>
      </c>
      <c r="DD30" s="261">
        <v>840000</v>
      </c>
      <c r="DE30" s="28">
        <f t="shared" si="15"/>
        <v>73465.78609999991</v>
      </c>
      <c r="DF30" s="44">
        <f t="shared" si="16"/>
        <v>0</v>
      </c>
      <c r="DG30" s="49"/>
      <c r="DH30" s="48"/>
      <c r="DI30" s="77"/>
      <c r="DJ30" s="36"/>
      <c r="DK30" s="37"/>
      <c r="DL30" s="19">
        <v>24</v>
      </c>
      <c r="DM30" s="266" t="s">
        <v>13</v>
      </c>
      <c r="DN30" s="263">
        <v>44883</v>
      </c>
      <c r="DO30" s="78">
        <v>954548.8</v>
      </c>
      <c r="DP30" s="265">
        <v>840000</v>
      </c>
      <c r="DQ30" s="28">
        <f t="shared" si="17"/>
        <v>114548.80000000005</v>
      </c>
      <c r="DR30" s="44">
        <f t="shared" si="18"/>
        <v>0</v>
      </c>
      <c r="DS30" s="49"/>
      <c r="DT30" s="48">
        <v>1384592.03</v>
      </c>
      <c r="DU30" s="77"/>
      <c r="DV30" s="36"/>
      <c r="DW30" s="38">
        <f t="shared" si="19"/>
        <v>39772.866666666669</v>
      </c>
      <c r="DX30" s="19">
        <v>24</v>
      </c>
      <c r="DY30" s="15" t="s">
        <v>22</v>
      </c>
      <c r="DZ30" s="263">
        <v>44914</v>
      </c>
      <c r="EA30" s="78">
        <v>875485.43</v>
      </c>
      <c r="EB30" s="265">
        <v>840000</v>
      </c>
      <c r="EC30" s="28">
        <f t="shared" si="20"/>
        <v>35485.430000000051</v>
      </c>
      <c r="ED30" s="44">
        <f t="shared" si="21"/>
        <v>0</v>
      </c>
      <c r="EE30" s="49"/>
      <c r="EF30" s="48">
        <v>411743.5</v>
      </c>
      <c r="EG30" s="77"/>
      <c r="EH30" s="36" t="s">
        <v>113</v>
      </c>
      <c r="EI30" s="38">
        <f t="shared" si="22"/>
        <v>36478.559583333335</v>
      </c>
      <c r="EJ30" s="19">
        <v>24</v>
      </c>
      <c r="EK30" s="266" t="s">
        <v>15</v>
      </c>
      <c r="EL30" s="263">
        <v>44944</v>
      </c>
      <c r="EM30" s="78">
        <v>844344.17</v>
      </c>
      <c r="EN30" s="265">
        <v>887999.04</v>
      </c>
      <c r="EO30" s="28">
        <f t="shared" si="23"/>
        <v>0</v>
      </c>
      <c r="EP30" s="44">
        <f t="shared" si="24"/>
        <v>43654.869999999995</v>
      </c>
      <c r="EQ30" s="49"/>
      <c r="ER30" s="48"/>
      <c r="ES30" s="77">
        <v>200233.06</v>
      </c>
      <c r="ET30" s="36" t="s">
        <v>114</v>
      </c>
    </row>
    <row r="31" spans="1:150" ht="14.25" customHeight="1">
      <c r="A31" s="14">
        <v>25</v>
      </c>
      <c r="B31" s="15" t="s">
        <v>22</v>
      </c>
      <c r="C31" s="16">
        <v>44915</v>
      </c>
      <c r="D31" s="267">
        <v>776184.41029999999</v>
      </c>
      <c r="E31" s="68">
        <v>727921.99919999996</v>
      </c>
      <c r="F31" s="68">
        <v>48262.411099999998</v>
      </c>
      <c r="G31" s="57">
        <v>0</v>
      </c>
      <c r="H31" s="255"/>
      <c r="I31" s="19">
        <v>25</v>
      </c>
      <c r="J31" s="15" t="s">
        <v>15</v>
      </c>
      <c r="K31" s="21">
        <v>44580</v>
      </c>
      <c r="L31" s="39">
        <v>748923.65190000006</v>
      </c>
      <c r="M31" s="68">
        <v>793470</v>
      </c>
      <c r="N31" s="68">
        <v>-44546.348100000003</v>
      </c>
      <c r="O31" s="57">
        <v>0</v>
      </c>
      <c r="P31" s="40"/>
      <c r="Q31" s="19">
        <v>25</v>
      </c>
      <c r="R31" s="20" t="s">
        <v>16</v>
      </c>
      <c r="S31" s="26">
        <v>44611</v>
      </c>
      <c r="T31" s="41">
        <v>824820.59259999997</v>
      </c>
      <c r="U31" s="17">
        <v>831604</v>
      </c>
      <c r="V31" s="22">
        <f t="shared" si="0"/>
        <v>-6783.4074000000255</v>
      </c>
      <c r="W31" s="18">
        <v>0</v>
      </c>
      <c r="X31" s="24">
        <v>4</v>
      </c>
      <c r="Y31" s="19">
        <v>25</v>
      </c>
      <c r="Z31" s="293" t="s">
        <v>17</v>
      </c>
      <c r="AA31" s="21">
        <v>44642</v>
      </c>
      <c r="AB31" s="75">
        <v>1042592.24</v>
      </c>
      <c r="AC31" s="76">
        <v>840000</v>
      </c>
      <c r="AD31" s="28">
        <f t="shared" si="1"/>
        <v>202592.24</v>
      </c>
      <c r="AE31" s="44">
        <f t="shared" si="2"/>
        <v>0</v>
      </c>
      <c r="AF31" s="45">
        <v>10.17</v>
      </c>
      <c r="AG31" s="63">
        <v>3063293.18</v>
      </c>
      <c r="AH31" s="77"/>
      <c r="AI31" s="24">
        <v>7</v>
      </c>
      <c r="AJ31" s="19">
        <v>25</v>
      </c>
      <c r="AK31" s="293" t="s">
        <v>17</v>
      </c>
      <c r="AL31" s="21">
        <v>44670</v>
      </c>
      <c r="AM31" s="78">
        <v>845382.43</v>
      </c>
      <c r="AN31" s="76">
        <v>840000</v>
      </c>
      <c r="AO31" s="28">
        <f t="shared" si="3"/>
        <v>5382.4300000000512</v>
      </c>
      <c r="AP31" s="44">
        <f t="shared" si="4"/>
        <v>0</v>
      </c>
      <c r="AQ31" s="45"/>
      <c r="AR31" s="48">
        <v>44040.9</v>
      </c>
      <c r="AS31" s="77"/>
      <c r="AT31" s="24"/>
      <c r="AU31" s="19">
        <v>25</v>
      </c>
      <c r="AV31" s="266" t="s">
        <v>13</v>
      </c>
      <c r="AW31" s="21">
        <v>44701</v>
      </c>
      <c r="AX31" s="78">
        <v>778002.91</v>
      </c>
      <c r="AY31" s="294">
        <v>840000</v>
      </c>
      <c r="AZ31" s="28">
        <f t="shared" si="5"/>
        <v>0</v>
      </c>
      <c r="BA31" s="44">
        <f t="shared" si="6"/>
        <v>61997.089999999967</v>
      </c>
      <c r="BB31" s="49" t="s">
        <v>115</v>
      </c>
      <c r="BC31" s="48"/>
      <c r="BD31" s="77">
        <v>136970.10999999999</v>
      </c>
      <c r="BE31" s="24"/>
      <c r="BF31" s="19">
        <v>25</v>
      </c>
      <c r="BG31" s="20" t="s">
        <v>14</v>
      </c>
      <c r="BH31" s="21">
        <v>44731</v>
      </c>
      <c r="BI31" s="78">
        <v>963160.83</v>
      </c>
      <c r="BJ31" s="261">
        <v>840000</v>
      </c>
      <c r="BK31" s="28">
        <f t="shared" si="7"/>
        <v>123160.82999999996</v>
      </c>
      <c r="BL31" s="44">
        <f t="shared" si="8"/>
        <v>0</v>
      </c>
      <c r="BM31" s="45" t="s">
        <v>48</v>
      </c>
      <c r="BN31" s="48">
        <v>3461396.61</v>
      </c>
      <c r="BO31" s="77"/>
      <c r="BP31" s="79"/>
      <c r="BQ31" s="19">
        <v>25</v>
      </c>
      <c r="BR31" s="295" t="s">
        <v>15</v>
      </c>
      <c r="BS31" s="21">
        <v>44762</v>
      </c>
      <c r="BT31" s="78">
        <v>1015316.68</v>
      </c>
      <c r="BU31" s="261">
        <v>840000</v>
      </c>
      <c r="BV31" s="28">
        <f t="shared" si="9"/>
        <v>175316.68000000005</v>
      </c>
      <c r="BW31" s="44">
        <f t="shared" si="10"/>
        <v>0</v>
      </c>
      <c r="BX31" s="45"/>
      <c r="BY31" s="48">
        <v>1914539.59</v>
      </c>
      <c r="BZ31" s="77"/>
      <c r="CA31" s="79"/>
      <c r="CB31" s="19">
        <v>25</v>
      </c>
      <c r="CC31" s="266" t="s">
        <v>13</v>
      </c>
      <c r="CD31" s="21">
        <v>44792</v>
      </c>
      <c r="CE31" s="78">
        <v>892628.07</v>
      </c>
      <c r="CF31" s="261">
        <v>840000</v>
      </c>
      <c r="CG31" s="28">
        <f t="shared" si="11"/>
        <v>52628.069999999949</v>
      </c>
      <c r="CH31" s="44">
        <f t="shared" si="12"/>
        <v>0</v>
      </c>
      <c r="CI31" s="45"/>
      <c r="CJ31" s="48">
        <v>463057.88</v>
      </c>
      <c r="CK31" s="77"/>
      <c r="CL31" s="36" t="s">
        <v>21</v>
      </c>
      <c r="CM31" s="79"/>
      <c r="CN31" s="19">
        <v>25</v>
      </c>
      <c r="CO31" s="15" t="s">
        <v>22</v>
      </c>
      <c r="CP31" s="263">
        <v>44823</v>
      </c>
      <c r="CQ31" s="78">
        <v>898147.43</v>
      </c>
      <c r="CR31" s="265">
        <v>840000</v>
      </c>
      <c r="CS31" s="28">
        <f t="shared" si="13"/>
        <v>58147.430000000051</v>
      </c>
      <c r="CT31" s="44">
        <f t="shared" si="14"/>
        <v>0</v>
      </c>
      <c r="CU31" s="45"/>
      <c r="CV31" s="48"/>
      <c r="CW31" s="77"/>
      <c r="CX31" s="36"/>
      <c r="CY31" s="37"/>
      <c r="CZ31" s="19">
        <v>25</v>
      </c>
      <c r="DA31" s="266" t="s">
        <v>18</v>
      </c>
      <c r="DB31" s="263">
        <v>44854</v>
      </c>
      <c r="DC31" s="78">
        <f>1000*895.1715193</f>
        <v>895171.51930000004</v>
      </c>
      <c r="DD31" s="261">
        <v>840000</v>
      </c>
      <c r="DE31" s="28">
        <f t="shared" si="15"/>
        <v>55171.519300000044</v>
      </c>
      <c r="DF31" s="44">
        <f t="shared" si="16"/>
        <v>0</v>
      </c>
      <c r="DG31" s="45"/>
      <c r="DH31" s="48"/>
      <c r="DI31" s="77"/>
      <c r="DJ31" s="36"/>
      <c r="DK31" s="37"/>
      <c r="DL31" s="19">
        <v>25</v>
      </c>
      <c r="DM31" s="20" t="s">
        <v>16</v>
      </c>
      <c r="DN31" s="263">
        <v>44884</v>
      </c>
      <c r="DO31" s="78">
        <v>911690.2</v>
      </c>
      <c r="DP31" s="265">
        <v>840000</v>
      </c>
      <c r="DQ31" s="28">
        <f t="shared" si="17"/>
        <v>71690.199999999953</v>
      </c>
      <c r="DR31" s="44">
        <f t="shared" si="18"/>
        <v>0</v>
      </c>
      <c r="DS31" s="45"/>
      <c r="DT31" s="48">
        <v>667693.82999999996</v>
      </c>
      <c r="DU31" s="77"/>
      <c r="DV31" s="36"/>
      <c r="DW31" s="38">
        <f t="shared" si="19"/>
        <v>37987.091666666667</v>
      </c>
      <c r="DX31" s="19">
        <v>25</v>
      </c>
      <c r="DY31" s="35" t="s">
        <v>17</v>
      </c>
      <c r="DZ31" s="263">
        <v>44915</v>
      </c>
      <c r="EA31" s="78">
        <v>901559.43</v>
      </c>
      <c r="EB31" s="265">
        <v>840000</v>
      </c>
      <c r="EC31" s="28">
        <f t="shared" si="20"/>
        <v>61559.430000000051</v>
      </c>
      <c r="ED31" s="44">
        <f t="shared" si="21"/>
        <v>0</v>
      </c>
      <c r="EE31" s="45"/>
      <c r="EF31" s="48">
        <v>598051.97</v>
      </c>
      <c r="EG31" s="77"/>
      <c r="EH31" s="36" t="s">
        <v>116</v>
      </c>
      <c r="EI31" s="38">
        <f t="shared" si="22"/>
        <v>37564.97625</v>
      </c>
      <c r="EJ31" s="19">
        <v>25</v>
      </c>
      <c r="EK31" s="266" t="s">
        <v>18</v>
      </c>
      <c r="EL31" s="263">
        <v>44945</v>
      </c>
      <c r="EM31" s="78">
        <v>850660.94</v>
      </c>
      <c r="EN31" s="265">
        <v>887999.04</v>
      </c>
      <c r="EO31" s="28">
        <f t="shared" si="23"/>
        <v>0</v>
      </c>
      <c r="EP31" s="44">
        <f t="shared" si="24"/>
        <v>37338.100000000093</v>
      </c>
      <c r="EQ31" s="45"/>
      <c r="ER31" s="48"/>
      <c r="ES31" s="77">
        <v>109577.76</v>
      </c>
      <c r="ET31" s="36" t="s">
        <v>117</v>
      </c>
    </row>
    <row r="32" spans="1:150" ht="14.25" customHeight="1">
      <c r="A32" s="14">
        <v>26</v>
      </c>
      <c r="B32" s="15" t="s">
        <v>17</v>
      </c>
      <c r="C32" s="16">
        <v>44916</v>
      </c>
      <c r="D32" s="267">
        <v>875563.67929999996</v>
      </c>
      <c r="E32" s="68">
        <v>732151</v>
      </c>
      <c r="F32" s="68">
        <v>143412.67929999999</v>
      </c>
      <c r="G32" s="57">
        <v>0</v>
      </c>
      <c r="H32" s="255"/>
      <c r="I32" s="19">
        <v>26</v>
      </c>
      <c r="J32" s="15" t="s">
        <v>18</v>
      </c>
      <c r="K32" s="21">
        <v>44581</v>
      </c>
      <c r="L32" s="39">
        <v>763491.33319999999</v>
      </c>
      <c r="M32" s="68">
        <v>793470</v>
      </c>
      <c r="N32" s="68">
        <v>-29978.666799999999</v>
      </c>
      <c r="O32" s="57">
        <v>0</v>
      </c>
      <c r="P32" s="40"/>
      <c r="Q32" s="19">
        <v>26</v>
      </c>
      <c r="R32" s="20" t="s">
        <v>14</v>
      </c>
      <c r="S32" s="26">
        <v>44612</v>
      </c>
      <c r="T32" s="68">
        <v>827369.06570000004</v>
      </c>
      <c r="U32" s="68">
        <v>831604</v>
      </c>
      <c r="V32" s="22">
        <f t="shared" si="0"/>
        <v>-4234.9342999999644</v>
      </c>
      <c r="W32" s="84">
        <v>0</v>
      </c>
      <c r="X32" s="24">
        <v>3</v>
      </c>
      <c r="Y32" s="19">
        <v>26</v>
      </c>
      <c r="Z32" s="15" t="s">
        <v>15</v>
      </c>
      <c r="AA32" s="21">
        <v>44643</v>
      </c>
      <c r="AB32" s="68">
        <v>1077404.03</v>
      </c>
      <c r="AC32" s="68">
        <v>840000</v>
      </c>
      <c r="AD32" s="28">
        <f t="shared" si="1"/>
        <v>237404.03000000003</v>
      </c>
      <c r="AE32" s="44">
        <f t="shared" si="2"/>
        <v>0</v>
      </c>
      <c r="AF32" s="49">
        <v>8.6300000000000008</v>
      </c>
      <c r="AG32" s="63">
        <v>2604904.61</v>
      </c>
      <c r="AH32" s="85"/>
      <c r="AI32" s="24">
        <v>6</v>
      </c>
      <c r="AJ32" s="19">
        <v>26</v>
      </c>
      <c r="AK32" s="15" t="s">
        <v>15</v>
      </c>
      <c r="AL32" s="21">
        <v>44671</v>
      </c>
      <c r="AM32" s="86">
        <v>1038215.86</v>
      </c>
      <c r="AN32" s="68">
        <v>840000</v>
      </c>
      <c r="AO32" s="28">
        <f t="shared" si="3"/>
        <v>198215.86</v>
      </c>
      <c r="AP32" s="44">
        <f t="shared" si="4"/>
        <v>0</v>
      </c>
      <c r="AQ32" s="49" t="s">
        <v>89</v>
      </c>
      <c r="AR32" s="48">
        <v>4290624</v>
      </c>
      <c r="AS32" s="85"/>
      <c r="AT32" s="24"/>
      <c r="AU32" s="19">
        <v>26</v>
      </c>
      <c r="AV32" s="20" t="s">
        <v>16</v>
      </c>
      <c r="AW32" s="21">
        <v>44702</v>
      </c>
      <c r="AX32" s="86">
        <v>829078.14</v>
      </c>
      <c r="AY32" s="294">
        <v>840000</v>
      </c>
      <c r="AZ32" s="28">
        <f t="shared" si="5"/>
        <v>0</v>
      </c>
      <c r="BA32" s="44">
        <f t="shared" si="6"/>
        <v>10921.859999999986</v>
      </c>
      <c r="BB32" s="49"/>
      <c r="BC32" s="48"/>
      <c r="BD32" s="87">
        <v>73164.759999999995</v>
      </c>
      <c r="BE32" s="24"/>
      <c r="BF32" s="19">
        <v>26</v>
      </c>
      <c r="BG32" s="15" t="s">
        <v>22</v>
      </c>
      <c r="BH32" s="21">
        <v>44732</v>
      </c>
      <c r="BI32" s="86">
        <v>1038197.34</v>
      </c>
      <c r="BJ32" s="261">
        <v>840000</v>
      </c>
      <c r="BK32" s="28">
        <f t="shared" si="7"/>
        <v>198197.33999999997</v>
      </c>
      <c r="BL32" s="44">
        <f t="shared" si="8"/>
        <v>0</v>
      </c>
      <c r="BM32" s="45" t="s">
        <v>48</v>
      </c>
      <c r="BN32" s="48">
        <v>6169304.5599999996</v>
      </c>
      <c r="BO32" s="87"/>
      <c r="BP32" s="88"/>
      <c r="BQ32" s="19">
        <v>26</v>
      </c>
      <c r="BR32" s="266" t="s">
        <v>18</v>
      </c>
      <c r="BS32" s="21">
        <v>44763</v>
      </c>
      <c r="BT32" s="86">
        <v>921607.33</v>
      </c>
      <c r="BU32" s="261">
        <v>840000</v>
      </c>
      <c r="BV32" s="28">
        <f t="shared" si="9"/>
        <v>81607.329999999958</v>
      </c>
      <c r="BW32" s="44">
        <f t="shared" si="10"/>
        <v>0</v>
      </c>
      <c r="BX32" s="45"/>
      <c r="BY32" s="48">
        <v>714293.24</v>
      </c>
      <c r="BZ32" s="87"/>
      <c r="CA32" s="88"/>
      <c r="CB32" s="19">
        <v>26</v>
      </c>
      <c r="CC32" s="20" t="s">
        <v>16</v>
      </c>
      <c r="CD32" s="21">
        <v>44793</v>
      </c>
      <c r="CE32" s="86">
        <v>870887.31</v>
      </c>
      <c r="CF32" s="261">
        <v>840000</v>
      </c>
      <c r="CG32" s="28">
        <f t="shared" si="11"/>
        <v>30887.310000000056</v>
      </c>
      <c r="CH32" s="44">
        <f t="shared" si="12"/>
        <v>0</v>
      </c>
      <c r="CI32" s="45"/>
      <c r="CJ32" s="48">
        <v>372472.99</v>
      </c>
      <c r="CK32" s="87"/>
      <c r="CL32" s="73" t="s">
        <v>21</v>
      </c>
      <c r="CM32" s="88"/>
      <c r="CN32" s="19">
        <v>26</v>
      </c>
      <c r="CO32" s="35" t="s">
        <v>17</v>
      </c>
      <c r="CP32" s="21">
        <v>44824</v>
      </c>
      <c r="CQ32" s="86">
        <v>885826.99</v>
      </c>
      <c r="CR32" s="265">
        <v>840000</v>
      </c>
      <c r="CS32" s="28">
        <f t="shared" si="13"/>
        <v>45826.989999999991</v>
      </c>
      <c r="CT32" s="44">
        <f t="shared" si="14"/>
        <v>0</v>
      </c>
      <c r="CU32" s="45"/>
      <c r="CV32" s="48"/>
      <c r="CW32" s="87"/>
      <c r="CX32" s="73"/>
      <c r="CY32" s="74"/>
      <c r="CZ32" s="19">
        <v>26</v>
      </c>
      <c r="DA32" s="266" t="s">
        <v>13</v>
      </c>
      <c r="DB32" s="263">
        <v>44855</v>
      </c>
      <c r="DC32" s="86">
        <f>959.0152826*1000</f>
        <v>959015.28260000004</v>
      </c>
      <c r="DD32" s="261">
        <v>840000</v>
      </c>
      <c r="DE32" s="28">
        <f t="shared" si="15"/>
        <v>119015.28260000004</v>
      </c>
      <c r="DF32" s="44">
        <f t="shared" si="16"/>
        <v>0</v>
      </c>
      <c r="DG32" s="45"/>
      <c r="DH32" s="48"/>
      <c r="DI32" s="87"/>
      <c r="DJ32" s="73"/>
      <c r="DK32" s="74"/>
      <c r="DL32" s="19">
        <v>26</v>
      </c>
      <c r="DM32" s="20" t="s">
        <v>14</v>
      </c>
      <c r="DN32" s="263">
        <v>44885</v>
      </c>
      <c r="DO32" s="86">
        <v>862264.63</v>
      </c>
      <c r="DP32" s="265">
        <v>840000</v>
      </c>
      <c r="DQ32" s="28">
        <f t="shared" si="17"/>
        <v>22264.630000000005</v>
      </c>
      <c r="DR32" s="44">
        <f t="shared" si="18"/>
        <v>0</v>
      </c>
      <c r="DS32" s="45"/>
      <c r="DT32" s="48">
        <v>288897.23</v>
      </c>
      <c r="DU32" s="87"/>
      <c r="DV32" s="73"/>
      <c r="DW32" s="38">
        <f t="shared" si="19"/>
        <v>35927.692916666667</v>
      </c>
      <c r="DX32" s="19">
        <v>26</v>
      </c>
      <c r="DY32" s="266" t="s">
        <v>15</v>
      </c>
      <c r="DZ32" s="263">
        <v>44916</v>
      </c>
      <c r="EA32" s="86">
        <v>936570.36</v>
      </c>
      <c r="EB32" s="265">
        <v>840000</v>
      </c>
      <c r="EC32" s="28">
        <f t="shared" si="20"/>
        <v>96570.359999999986</v>
      </c>
      <c r="ED32" s="44">
        <f t="shared" si="21"/>
        <v>0</v>
      </c>
      <c r="EE32" s="45"/>
      <c r="EF32" s="48">
        <v>952884.93</v>
      </c>
      <c r="EG32" s="87"/>
      <c r="EH32" s="36" t="s">
        <v>118</v>
      </c>
      <c r="EI32" s="38">
        <f t="shared" si="22"/>
        <v>39023.764999999999</v>
      </c>
      <c r="EJ32" s="19">
        <v>26</v>
      </c>
      <c r="EK32" s="266" t="s">
        <v>13</v>
      </c>
      <c r="EL32" s="263">
        <v>44946</v>
      </c>
      <c r="EM32" s="86">
        <v>835456.39</v>
      </c>
      <c r="EN32" s="265">
        <v>887999.04</v>
      </c>
      <c r="EO32" s="28">
        <f t="shared" si="23"/>
        <v>0</v>
      </c>
      <c r="EP32" s="44">
        <f t="shared" si="24"/>
        <v>52542.650000000023</v>
      </c>
      <c r="EQ32" s="45"/>
      <c r="ER32" s="48"/>
      <c r="ES32" s="87">
        <v>248476.9</v>
      </c>
      <c r="ET32" s="36" t="s">
        <v>119</v>
      </c>
    </row>
    <row r="33" spans="1:150" ht="14.25" customHeight="1">
      <c r="A33" s="14">
        <v>27</v>
      </c>
      <c r="B33" s="15" t="s">
        <v>15</v>
      </c>
      <c r="C33" s="89">
        <v>44917</v>
      </c>
      <c r="D33" s="267">
        <v>868094.1385</v>
      </c>
      <c r="E33" s="17">
        <v>732151</v>
      </c>
      <c r="F33" s="17">
        <v>135943.1385</v>
      </c>
      <c r="G33" s="80">
        <v>0</v>
      </c>
      <c r="H33" s="255"/>
      <c r="I33" s="19">
        <v>27</v>
      </c>
      <c r="J33" s="15" t="s">
        <v>13</v>
      </c>
      <c r="K33" s="21">
        <v>44582</v>
      </c>
      <c r="L33" s="39">
        <v>785585.06960000005</v>
      </c>
      <c r="M33" s="17">
        <v>793470</v>
      </c>
      <c r="N33" s="17">
        <v>-7884.9304000000002</v>
      </c>
      <c r="O33" s="80">
        <v>0</v>
      </c>
      <c r="P33" s="40"/>
      <c r="Q33" s="19">
        <v>27</v>
      </c>
      <c r="R33" s="15" t="s">
        <v>22</v>
      </c>
      <c r="S33" s="26">
        <v>44613</v>
      </c>
      <c r="T33" s="17">
        <v>852092.62379999994</v>
      </c>
      <c r="U33" s="17">
        <v>832670</v>
      </c>
      <c r="V33" s="22">
        <f t="shared" si="0"/>
        <v>19422.623799999943</v>
      </c>
      <c r="W33" s="84">
        <v>0</v>
      </c>
      <c r="X33" s="24">
        <v>2</v>
      </c>
      <c r="Y33" s="19">
        <v>27</v>
      </c>
      <c r="Z33" s="15" t="s">
        <v>18</v>
      </c>
      <c r="AA33" s="21">
        <v>44644</v>
      </c>
      <c r="AB33" s="17">
        <v>1064290.68</v>
      </c>
      <c r="AC33" s="17">
        <v>840000</v>
      </c>
      <c r="AD33" s="28">
        <f t="shared" si="1"/>
        <v>224290.67999999993</v>
      </c>
      <c r="AE33" s="44">
        <f t="shared" si="2"/>
        <v>0</v>
      </c>
      <c r="AF33" s="49">
        <v>7.42</v>
      </c>
      <c r="AG33" s="63">
        <v>2078418.05</v>
      </c>
      <c r="AH33" s="85"/>
      <c r="AI33" s="24">
        <v>5</v>
      </c>
      <c r="AJ33" s="19">
        <v>27</v>
      </c>
      <c r="AK33" s="15" t="s">
        <v>18</v>
      </c>
      <c r="AL33" s="21">
        <v>44672</v>
      </c>
      <c r="AM33" s="90">
        <v>997219.87</v>
      </c>
      <c r="AN33" s="68">
        <v>840000</v>
      </c>
      <c r="AO33" s="28">
        <f t="shared" si="3"/>
        <v>157219.87</v>
      </c>
      <c r="AP33" s="44">
        <f t="shared" si="4"/>
        <v>0</v>
      </c>
      <c r="AQ33" s="49" t="s">
        <v>89</v>
      </c>
      <c r="AR33" s="48">
        <v>4424646.55</v>
      </c>
      <c r="AS33" s="85"/>
      <c r="AT33" s="24"/>
      <c r="AU33" s="19">
        <v>27</v>
      </c>
      <c r="AV33" s="20" t="s">
        <v>14</v>
      </c>
      <c r="AW33" s="21">
        <v>44703</v>
      </c>
      <c r="AX33" s="90">
        <v>882545.08</v>
      </c>
      <c r="AY33" s="294">
        <v>840000</v>
      </c>
      <c r="AZ33" s="28">
        <f t="shared" si="5"/>
        <v>42545.079999999958</v>
      </c>
      <c r="BA33" s="44">
        <f t="shared" si="6"/>
        <v>0</v>
      </c>
      <c r="BB33" s="49" t="s">
        <v>120</v>
      </c>
      <c r="BC33" s="48">
        <v>375835.49</v>
      </c>
      <c r="BD33" s="87"/>
      <c r="BE33" s="24"/>
      <c r="BF33" s="19">
        <v>27</v>
      </c>
      <c r="BG33" s="15" t="s">
        <v>17</v>
      </c>
      <c r="BH33" s="21">
        <v>44733</v>
      </c>
      <c r="BI33" s="90">
        <v>981701.15</v>
      </c>
      <c r="BJ33" s="261">
        <v>840000</v>
      </c>
      <c r="BK33" s="28">
        <f t="shared" si="7"/>
        <v>141701.15000000002</v>
      </c>
      <c r="BL33" s="44">
        <f t="shared" si="8"/>
        <v>0</v>
      </c>
      <c r="BM33" s="45" t="s">
        <v>121</v>
      </c>
      <c r="BN33" s="48">
        <v>8447817.7400000002</v>
      </c>
      <c r="BO33" s="87"/>
      <c r="BP33" s="88"/>
      <c r="BQ33" s="19">
        <v>27</v>
      </c>
      <c r="BR33" s="295" t="s">
        <v>13</v>
      </c>
      <c r="BS33" s="21">
        <v>44764</v>
      </c>
      <c r="BT33" s="90">
        <v>985067.8</v>
      </c>
      <c r="BU33" s="261">
        <v>840000</v>
      </c>
      <c r="BV33" s="28">
        <f t="shared" si="9"/>
        <v>145067.80000000005</v>
      </c>
      <c r="BW33" s="44">
        <f t="shared" si="10"/>
        <v>0</v>
      </c>
      <c r="BX33" s="45" t="s">
        <v>122</v>
      </c>
      <c r="BY33" s="48">
        <v>2520986.5299999998</v>
      </c>
      <c r="BZ33" s="87"/>
      <c r="CA33" s="88"/>
      <c r="CB33" s="19">
        <v>27</v>
      </c>
      <c r="CC33" s="20" t="s">
        <v>14</v>
      </c>
      <c r="CD33" s="21">
        <v>44794</v>
      </c>
      <c r="CE33" s="90">
        <v>863703.89</v>
      </c>
      <c r="CF33" s="261">
        <v>840000</v>
      </c>
      <c r="CG33" s="28">
        <f t="shared" si="11"/>
        <v>23703.890000000014</v>
      </c>
      <c r="CH33" s="44">
        <f t="shared" si="12"/>
        <v>0</v>
      </c>
      <c r="CI33" s="45"/>
      <c r="CJ33" s="48">
        <v>393386.7</v>
      </c>
      <c r="CK33" s="87"/>
      <c r="CL33" s="73" t="s">
        <v>21</v>
      </c>
      <c r="CM33" s="88"/>
      <c r="CN33" s="19">
        <v>27</v>
      </c>
      <c r="CO33" s="266" t="s">
        <v>15</v>
      </c>
      <c r="CP33" s="263">
        <v>44825</v>
      </c>
      <c r="CQ33" s="90">
        <v>895614.37</v>
      </c>
      <c r="CR33" s="265">
        <v>840000</v>
      </c>
      <c r="CS33" s="28">
        <f t="shared" si="13"/>
        <v>55614.369999999995</v>
      </c>
      <c r="CT33" s="44">
        <f t="shared" si="14"/>
        <v>0</v>
      </c>
      <c r="CU33" s="45"/>
      <c r="CV33" s="48"/>
      <c r="CW33" s="87"/>
      <c r="CX33" s="73"/>
      <c r="CY33" s="74"/>
      <c r="CZ33" s="19">
        <v>27</v>
      </c>
      <c r="DA33" s="20" t="s">
        <v>16</v>
      </c>
      <c r="DB33" s="263">
        <v>44856</v>
      </c>
      <c r="DC33" s="90">
        <f>1007.898755*1000</f>
        <v>1007898.755</v>
      </c>
      <c r="DD33" s="261">
        <v>840000</v>
      </c>
      <c r="DE33" s="28">
        <f t="shared" si="15"/>
        <v>167898.755</v>
      </c>
      <c r="DF33" s="44">
        <f t="shared" si="16"/>
        <v>0</v>
      </c>
      <c r="DG33" s="45"/>
      <c r="DH33" s="48"/>
      <c r="DI33" s="87"/>
      <c r="DJ33" s="73" t="s">
        <v>123</v>
      </c>
      <c r="DK33" s="74"/>
      <c r="DL33" s="19">
        <v>27</v>
      </c>
      <c r="DM33" s="15" t="s">
        <v>22</v>
      </c>
      <c r="DN33" s="263">
        <v>44886</v>
      </c>
      <c r="DO33" s="90">
        <v>933387.48</v>
      </c>
      <c r="DP33" s="265">
        <v>840000</v>
      </c>
      <c r="DQ33" s="28">
        <f t="shared" si="17"/>
        <v>93387.479999999981</v>
      </c>
      <c r="DR33" s="44">
        <f t="shared" si="18"/>
        <v>0</v>
      </c>
      <c r="DS33" s="45"/>
      <c r="DT33" s="48">
        <v>1146049.57</v>
      </c>
      <c r="DU33" s="87"/>
      <c r="DV33" s="73"/>
      <c r="DW33" s="38">
        <f t="shared" si="19"/>
        <v>38891.144999999997</v>
      </c>
      <c r="DX33" s="19">
        <v>27</v>
      </c>
      <c r="DY33" s="266" t="s">
        <v>18</v>
      </c>
      <c r="DZ33" s="263">
        <v>44917</v>
      </c>
      <c r="EA33" s="90">
        <v>916911.21</v>
      </c>
      <c r="EB33" s="265">
        <v>840000</v>
      </c>
      <c r="EC33" s="28">
        <f t="shared" si="20"/>
        <v>76911.209999999963</v>
      </c>
      <c r="ED33" s="44">
        <f t="shared" si="21"/>
        <v>0</v>
      </c>
      <c r="EE33" s="45"/>
      <c r="EF33" s="48">
        <v>479515.22</v>
      </c>
      <c r="EG33" s="87"/>
      <c r="EH33" s="36" t="s">
        <v>124</v>
      </c>
      <c r="EI33" s="38">
        <f t="shared" si="22"/>
        <v>38204.633750000001</v>
      </c>
      <c r="EJ33" s="19">
        <v>27</v>
      </c>
      <c r="EK33" s="20" t="s">
        <v>16</v>
      </c>
      <c r="EL33" s="263">
        <v>44947</v>
      </c>
      <c r="EM33" s="90">
        <v>829978.44</v>
      </c>
      <c r="EN33" s="265">
        <v>887999.04</v>
      </c>
      <c r="EO33" s="28">
        <f t="shared" si="23"/>
        <v>0</v>
      </c>
      <c r="EP33" s="44">
        <f t="shared" si="24"/>
        <v>58020.600000000093</v>
      </c>
      <c r="EQ33" s="45"/>
      <c r="ER33" s="48"/>
      <c r="ES33" s="87">
        <v>636178.01</v>
      </c>
      <c r="ET33" s="36" t="s">
        <v>125</v>
      </c>
    </row>
    <row r="34" spans="1:150" ht="14.25" customHeight="1">
      <c r="A34" s="14">
        <v>28</v>
      </c>
      <c r="B34" s="15" t="s">
        <v>18</v>
      </c>
      <c r="C34" s="89">
        <v>44918</v>
      </c>
      <c r="D34" s="267">
        <v>860637.38809999998</v>
      </c>
      <c r="E34" s="17">
        <v>784839.99959999998</v>
      </c>
      <c r="F34" s="17">
        <v>75797.388500000001</v>
      </c>
      <c r="G34" s="80">
        <v>0</v>
      </c>
      <c r="H34" s="255"/>
      <c r="I34" s="19">
        <v>28</v>
      </c>
      <c r="J34" s="20" t="s">
        <v>16</v>
      </c>
      <c r="K34" s="21">
        <v>44583</v>
      </c>
      <c r="L34" s="39">
        <v>783947.17350000003</v>
      </c>
      <c r="M34" s="17">
        <v>751578</v>
      </c>
      <c r="N34" s="17">
        <v>32369.173500000001</v>
      </c>
      <c r="O34" s="80">
        <v>0</v>
      </c>
      <c r="P34" s="40"/>
      <c r="Q34" s="19">
        <v>28</v>
      </c>
      <c r="R34" s="293" t="s">
        <v>17</v>
      </c>
      <c r="S34" s="26">
        <v>44614</v>
      </c>
      <c r="T34" s="17">
        <v>818563.32770000002</v>
      </c>
      <c r="U34" s="17">
        <v>834400</v>
      </c>
      <c r="V34" s="22">
        <f t="shared" si="0"/>
        <v>-15836.672299999977</v>
      </c>
      <c r="W34" s="91">
        <v>0</v>
      </c>
      <c r="X34" s="24">
        <v>1</v>
      </c>
      <c r="Y34" s="19">
        <v>28</v>
      </c>
      <c r="Z34" s="293" t="s">
        <v>13</v>
      </c>
      <c r="AA34" s="21">
        <v>44645</v>
      </c>
      <c r="AB34" s="17">
        <v>1043219.78</v>
      </c>
      <c r="AC34" s="17">
        <v>840000</v>
      </c>
      <c r="AD34" s="28">
        <f t="shared" si="1"/>
        <v>203219.78000000003</v>
      </c>
      <c r="AE34" s="44">
        <f t="shared" si="2"/>
        <v>0</v>
      </c>
      <c r="AF34" s="49">
        <v>10.86</v>
      </c>
      <c r="AG34" s="63">
        <v>3073091.17</v>
      </c>
      <c r="AH34" s="85"/>
      <c r="AI34" s="24">
        <v>4</v>
      </c>
      <c r="AJ34" s="19">
        <v>28</v>
      </c>
      <c r="AK34" s="293" t="s">
        <v>13</v>
      </c>
      <c r="AL34" s="21">
        <v>44673</v>
      </c>
      <c r="AM34" s="90">
        <v>1077278.8500000001</v>
      </c>
      <c r="AN34" s="68">
        <v>840000</v>
      </c>
      <c r="AO34" s="28">
        <f t="shared" si="3"/>
        <v>237278.85000000009</v>
      </c>
      <c r="AP34" s="44">
        <f t="shared" si="4"/>
        <v>0</v>
      </c>
      <c r="AQ34" s="49" t="s">
        <v>89</v>
      </c>
      <c r="AR34" s="48">
        <v>3456128.69</v>
      </c>
      <c r="AS34" s="85"/>
      <c r="AT34" s="24"/>
      <c r="AU34" s="19">
        <v>28</v>
      </c>
      <c r="AV34" s="15" t="s">
        <v>22</v>
      </c>
      <c r="AW34" s="21">
        <v>44704</v>
      </c>
      <c r="AX34" s="90">
        <v>974815.1</v>
      </c>
      <c r="AY34" s="92">
        <v>840000</v>
      </c>
      <c r="AZ34" s="28">
        <f t="shared" si="5"/>
        <v>134815.09999999998</v>
      </c>
      <c r="BA34" s="44">
        <f t="shared" si="6"/>
        <v>0</v>
      </c>
      <c r="BB34" s="49"/>
      <c r="BC34" s="48">
        <v>998357.11</v>
      </c>
      <c r="BD34" s="87"/>
      <c r="BE34" s="24"/>
      <c r="BF34" s="19">
        <v>28</v>
      </c>
      <c r="BG34" s="15" t="s">
        <v>15</v>
      </c>
      <c r="BH34" s="21">
        <v>44734</v>
      </c>
      <c r="BI34" s="90">
        <v>1045369.95</v>
      </c>
      <c r="BJ34" s="261">
        <v>840000</v>
      </c>
      <c r="BK34" s="28">
        <f t="shared" si="7"/>
        <v>205369.94999999995</v>
      </c>
      <c r="BL34" s="44">
        <f t="shared" si="8"/>
        <v>0</v>
      </c>
      <c r="BM34" s="45" t="s">
        <v>126</v>
      </c>
      <c r="BN34" s="48">
        <v>13546717.01</v>
      </c>
      <c r="BO34" s="87"/>
      <c r="BP34" s="88"/>
      <c r="BQ34" s="19">
        <v>28</v>
      </c>
      <c r="BR34" s="20" t="s">
        <v>16</v>
      </c>
      <c r="BS34" s="21">
        <v>44765</v>
      </c>
      <c r="BT34" s="90">
        <v>1022211.61</v>
      </c>
      <c r="BU34" s="261">
        <v>840000</v>
      </c>
      <c r="BV34" s="28">
        <f t="shared" si="9"/>
        <v>182211.61</v>
      </c>
      <c r="BW34" s="44">
        <f t="shared" si="10"/>
        <v>0</v>
      </c>
      <c r="BX34" s="45" t="s">
        <v>127</v>
      </c>
      <c r="BY34" s="48">
        <v>8155542.5499999998</v>
      </c>
      <c r="BZ34" s="87"/>
      <c r="CA34" s="88"/>
      <c r="CB34" s="19">
        <v>28</v>
      </c>
      <c r="CC34" s="15" t="s">
        <v>22</v>
      </c>
      <c r="CD34" s="21">
        <v>44795</v>
      </c>
      <c r="CE34" s="90">
        <v>849458.3</v>
      </c>
      <c r="CF34" s="261">
        <v>840000</v>
      </c>
      <c r="CG34" s="28">
        <f t="shared" si="11"/>
        <v>9458.3000000000466</v>
      </c>
      <c r="CH34" s="44">
        <f t="shared" si="12"/>
        <v>0</v>
      </c>
      <c r="CI34" s="45"/>
      <c r="CJ34" s="48">
        <v>136698.75</v>
      </c>
      <c r="CK34" s="87"/>
      <c r="CL34" s="73" t="s">
        <v>19</v>
      </c>
      <c r="CM34" s="88"/>
      <c r="CN34" s="19">
        <v>28</v>
      </c>
      <c r="CO34" s="266" t="s">
        <v>18</v>
      </c>
      <c r="CP34" s="263">
        <v>44826</v>
      </c>
      <c r="CQ34" s="90">
        <v>933170.95</v>
      </c>
      <c r="CR34" s="265">
        <v>840000</v>
      </c>
      <c r="CS34" s="28">
        <f t="shared" si="13"/>
        <v>93170.949999999953</v>
      </c>
      <c r="CT34" s="44">
        <f t="shared" si="14"/>
        <v>0</v>
      </c>
      <c r="CU34" s="45"/>
      <c r="CV34" s="48"/>
      <c r="CW34" s="87"/>
      <c r="CX34" s="73"/>
      <c r="CY34" s="74"/>
      <c r="CZ34" s="19">
        <v>28</v>
      </c>
      <c r="DA34" s="20" t="s">
        <v>14</v>
      </c>
      <c r="DB34" s="263">
        <v>44857</v>
      </c>
      <c r="DC34" s="90">
        <v>991870.68</v>
      </c>
      <c r="DD34" s="261">
        <v>840000</v>
      </c>
      <c r="DE34" s="28">
        <f t="shared" si="15"/>
        <v>151870.68000000005</v>
      </c>
      <c r="DF34" s="44">
        <f t="shared" si="16"/>
        <v>0</v>
      </c>
      <c r="DG34" s="45"/>
      <c r="DH34" s="48">
        <v>1633025.54</v>
      </c>
      <c r="DI34" s="87"/>
      <c r="DJ34" s="296" t="s">
        <v>128</v>
      </c>
      <c r="DK34" s="74"/>
      <c r="DL34" s="19">
        <v>28</v>
      </c>
      <c r="DM34" s="35" t="s">
        <v>17</v>
      </c>
      <c r="DN34" s="263">
        <v>44887</v>
      </c>
      <c r="DO34" s="90">
        <v>947835.61</v>
      </c>
      <c r="DP34" s="265">
        <v>840000</v>
      </c>
      <c r="DQ34" s="28">
        <f t="shared" si="17"/>
        <v>107835.60999999999</v>
      </c>
      <c r="DR34" s="44">
        <f t="shared" si="18"/>
        <v>0</v>
      </c>
      <c r="DS34" s="45"/>
      <c r="DT34" s="48">
        <v>1494415.94</v>
      </c>
      <c r="DU34" s="87"/>
      <c r="DV34" s="73"/>
      <c r="DW34" s="38">
        <f t="shared" si="19"/>
        <v>39493.150416666664</v>
      </c>
      <c r="DX34" s="19">
        <v>28</v>
      </c>
      <c r="DY34" s="266" t="s">
        <v>13</v>
      </c>
      <c r="DZ34" s="263">
        <v>44918</v>
      </c>
      <c r="EA34" s="90">
        <v>815887.77</v>
      </c>
      <c r="EB34" s="265">
        <v>840000</v>
      </c>
      <c r="EC34" s="28">
        <f t="shared" si="20"/>
        <v>0</v>
      </c>
      <c r="ED34" s="44">
        <f t="shared" si="21"/>
        <v>24112.229999999981</v>
      </c>
      <c r="EE34" s="45"/>
      <c r="EF34" s="48">
        <v>129593.96</v>
      </c>
      <c r="EG34" s="87"/>
      <c r="EH34" s="36" t="s">
        <v>129</v>
      </c>
      <c r="EI34" s="38">
        <f t="shared" si="22"/>
        <v>33995.323750000003</v>
      </c>
      <c r="EJ34" s="19">
        <v>28</v>
      </c>
      <c r="EK34" s="20" t="s">
        <v>14</v>
      </c>
      <c r="EL34" s="263">
        <v>44948</v>
      </c>
      <c r="EM34" s="90">
        <v>796385.64</v>
      </c>
      <c r="EN34" s="265">
        <v>887999.04</v>
      </c>
      <c r="EO34" s="28">
        <f t="shared" si="23"/>
        <v>0</v>
      </c>
      <c r="EP34" s="44">
        <f t="shared" si="24"/>
        <v>91613.400000000023</v>
      </c>
      <c r="EQ34" s="45"/>
      <c r="ER34" s="48"/>
      <c r="ES34" s="87">
        <v>717340.72</v>
      </c>
      <c r="ET34" s="36" t="s">
        <v>130</v>
      </c>
    </row>
    <row r="35" spans="1:150" ht="14.25" customHeight="1">
      <c r="A35" s="14">
        <v>29</v>
      </c>
      <c r="B35" s="15" t="s">
        <v>13</v>
      </c>
      <c r="C35" s="89">
        <v>44919</v>
      </c>
      <c r="D35" s="267">
        <v>868134.71750000003</v>
      </c>
      <c r="E35" s="17">
        <v>784839.99959999998</v>
      </c>
      <c r="F35" s="17">
        <v>83294.717900000003</v>
      </c>
      <c r="G35" s="80">
        <v>0</v>
      </c>
      <c r="H35" s="255"/>
      <c r="I35" s="19">
        <v>29</v>
      </c>
      <c r="J35" s="20" t="s">
        <v>14</v>
      </c>
      <c r="K35" s="21">
        <v>44584</v>
      </c>
      <c r="L35" s="39">
        <v>761003.97889999999</v>
      </c>
      <c r="M35" s="17">
        <v>751578</v>
      </c>
      <c r="N35" s="17">
        <v>9425.9789000000001</v>
      </c>
      <c r="O35" s="80">
        <v>0</v>
      </c>
      <c r="P35" s="40"/>
      <c r="Q35" s="19">
        <v>29</v>
      </c>
      <c r="R35" s="15" t="s">
        <v>15</v>
      </c>
      <c r="S35" s="26">
        <v>44615</v>
      </c>
      <c r="T35" s="41">
        <v>811431.31669999997</v>
      </c>
      <c r="U35" s="48">
        <v>832800</v>
      </c>
      <c r="V35" s="22">
        <f t="shared" si="0"/>
        <v>-21368.683300000033</v>
      </c>
      <c r="W35" s="93">
        <v>0</v>
      </c>
      <c r="X35" s="24"/>
      <c r="Y35" s="19">
        <v>29</v>
      </c>
      <c r="Z35" s="15"/>
      <c r="AA35" s="21"/>
      <c r="AB35" s="17"/>
      <c r="AC35" s="17"/>
      <c r="AD35" s="94"/>
      <c r="AE35" s="95"/>
      <c r="AF35" s="95"/>
      <c r="AG35" s="22"/>
      <c r="AH35" s="84"/>
      <c r="AI35" s="24">
        <v>3</v>
      </c>
      <c r="AJ35" s="19">
        <v>29</v>
      </c>
      <c r="AK35" s="20" t="s">
        <v>16</v>
      </c>
      <c r="AL35" s="21">
        <v>44674</v>
      </c>
      <c r="AM35" s="90">
        <v>990724.35</v>
      </c>
      <c r="AN35" s="68">
        <v>840000</v>
      </c>
      <c r="AO35" s="28">
        <f t="shared" si="3"/>
        <v>150724.34999999998</v>
      </c>
      <c r="AP35" s="44">
        <f t="shared" si="4"/>
        <v>0</v>
      </c>
      <c r="AQ35" s="95"/>
      <c r="AR35" s="17">
        <v>1119330.96</v>
      </c>
      <c r="AS35" s="96"/>
      <c r="AT35" s="24"/>
      <c r="AU35" s="19">
        <v>29</v>
      </c>
      <c r="AV35" s="15" t="s">
        <v>17</v>
      </c>
      <c r="AW35" s="21">
        <v>44705</v>
      </c>
      <c r="AX35" s="90">
        <v>1016331.09</v>
      </c>
      <c r="AY35" s="297">
        <v>840000</v>
      </c>
      <c r="AZ35" s="28">
        <f t="shared" si="5"/>
        <v>176331.08999999997</v>
      </c>
      <c r="BA35" s="44">
        <f t="shared" si="6"/>
        <v>0</v>
      </c>
      <c r="BB35" s="49" t="s">
        <v>131</v>
      </c>
      <c r="BC35" s="17">
        <v>4541251</v>
      </c>
      <c r="BD35" s="97"/>
      <c r="BE35" s="24"/>
      <c r="BF35" s="19">
        <v>29</v>
      </c>
      <c r="BG35" s="266" t="s">
        <v>18</v>
      </c>
      <c r="BH35" s="21">
        <v>44735</v>
      </c>
      <c r="BI35" s="90">
        <v>993956.54</v>
      </c>
      <c r="BJ35" s="261">
        <v>840000</v>
      </c>
      <c r="BK35" s="28">
        <f t="shared" si="7"/>
        <v>153956.54000000004</v>
      </c>
      <c r="BL35" s="44">
        <f t="shared" si="8"/>
        <v>0</v>
      </c>
      <c r="BM35" s="49"/>
      <c r="BN35" s="17">
        <v>4277923.78</v>
      </c>
      <c r="BO35" s="97"/>
      <c r="BP35" s="88"/>
      <c r="BQ35" s="19">
        <v>29</v>
      </c>
      <c r="BR35" s="20" t="s">
        <v>14</v>
      </c>
      <c r="BS35" s="21">
        <v>44766</v>
      </c>
      <c r="BT35" s="90">
        <v>1093255.57</v>
      </c>
      <c r="BU35" s="261">
        <v>840000</v>
      </c>
      <c r="BV35" s="28">
        <f t="shared" si="9"/>
        <v>253255.57000000007</v>
      </c>
      <c r="BW35" s="44">
        <f t="shared" si="10"/>
        <v>0</v>
      </c>
      <c r="BX35" s="45" t="s">
        <v>132</v>
      </c>
      <c r="BY35" s="17">
        <v>11423594.34</v>
      </c>
      <c r="BZ35" s="97"/>
      <c r="CA35" s="88"/>
      <c r="CB35" s="19">
        <v>29</v>
      </c>
      <c r="CC35" s="35" t="s">
        <v>17</v>
      </c>
      <c r="CD35" s="21">
        <v>44796</v>
      </c>
      <c r="CE35" s="90">
        <v>751311.88</v>
      </c>
      <c r="CF35" s="261">
        <v>840000</v>
      </c>
      <c r="CG35" s="28">
        <f t="shared" si="11"/>
        <v>0</v>
      </c>
      <c r="CH35" s="44">
        <f t="shared" si="12"/>
        <v>88688.12</v>
      </c>
      <c r="CI35" s="49"/>
      <c r="CJ35" s="17"/>
      <c r="CK35" s="97">
        <v>658280.48</v>
      </c>
      <c r="CL35" s="73" t="s">
        <v>133</v>
      </c>
      <c r="CM35" s="88"/>
      <c r="CN35" s="19">
        <v>29</v>
      </c>
      <c r="CO35" s="266" t="s">
        <v>13</v>
      </c>
      <c r="CP35" s="21">
        <v>44827</v>
      </c>
      <c r="CQ35" s="90">
        <v>917506.91</v>
      </c>
      <c r="CR35" s="265">
        <v>840000</v>
      </c>
      <c r="CS35" s="28">
        <f t="shared" si="13"/>
        <v>77506.910000000033</v>
      </c>
      <c r="CT35" s="44">
        <f t="shared" si="14"/>
        <v>0</v>
      </c>
      <c r="CU35" s="49"/>
      <c r="CV35" s="17"/>
      <c r="CW35" s="97"/>
      <c r="CX35" s="73"/>
      <c r="CY35" s="74"/>
      <c r="CZ35" s="19">
        <v>29</v>
      </c>
      <c r="DA35" s="15" t="s">
        <v>22</v>
      </c>
      <c r="DB35" s="263">
        <v>44858</v>
      </c>
      <c r="DC35" s="90">
        <v>1064308.99</v>
      </c>
      <c r="DD35" s="261">
        <v>840000</v>
      </c>
      <c r="DE35" s="28">
        <f t="shared" si="15"/>
        <v>224308.99</v>
      </c>
      <c r="DF35" s="44">
        <f t="shared" si="16"/>
        <v>0</v>
      </c>
      <c r="DG35" s="49"/>
      <c r="DH35" s="17">
        <v>4586504.07</v>
      </c>
      <c r="DI35" s="97"/>
      <c r="DJ35" s="73" t="s">
        <v>134</v>
      </c>
      <c r="DK35" s="74"/>
      <c r="DL35" s="19">
        <v>29</v>
      </c>
      <c r="DM35" s="266" t="s">
        <v>15</v>
      </c>
      <c r="DN35" s="263">
        <v>44888</v>
      </c>
      <c r="DO35" s="90">
        <v>930746.32</v>
      </c>
      <c r="DP35" s="265">
        <v>840000</v>
      </c>
      <c r="DQ35" s="28">
        <f t="shared" si="17"/>
        <v>90746.319999999949</v>
      </c>
      <c r="DR35" s="44">
        <f t="shared" si="18"/>
        <v>0</v>
      </c>
      <c r="DS35" s="49"/>
      <c r="DT35" s="17">
        <v>2992841.45</v>
      </c>
      <c r="DU35" s="97"/>
      <c r="DV35" s="73"/>
      <c r="DW35" s="38">
        <f t="shared" si="19"/>
        <v>38781.096666666665</v>
      </c>
      <c r="DX35" s="19">
        <v>29</v>
      </c>
      <c r="DY35" s="20" t="s">
        <v>16</v>
      </c>
      <c r="DZ35" s="263">
        <v>44919</v>
      </c>
      <c r="EA35" s="90">
        <v>720750.86</v>
      </c>
      <c r="EB35" s="265">
        <v>840000</v>
      </c>
      <c r="EC35" s="28">
        <f t="shared" si="20"/>
        <v>0</v>
      </c>
      <c r="ED35" s="44">
        <f t="shared" si="21"/>
        <v>119249.14000000001</v>
      </c>
      <c r="EE35" s="49"/>
      <c r="EF35" s="17"/>
      <c r="EG35" s="97">
        <v>186222.01</v>
      </c>
      <c r="EH35" s="36" t="s">
        <v>135</v>
      </c>
      <c r="EI35" s="38">
        <f t="shared" si="22"/>
        <v>30031.285833333332</v>
      </c>
      <c r="EJ35" s="19">
        <v>29</v>
      </c>
      <c r="EK35" s="15" t="s">
        <v>22</v>
      </c>
      <c r="EL35" s="263">
        <v>44949</v>
      </c>
      <c r="EM35" s="90">
        <v>901814.89</v>
      </c>
      <c r="EN35" s="265">
        <v>887999.04</v>
      </c>
      <c r="EO35" s="28">
        <f t="shared" si="23"/>
        <v>13815.849999999977</v>
      </c>
      <c r="EP35" s="44">
        <f t="shared" si="24"/>
        <v>0</v>
      </c>
      <c r="EQ35" s="49"/>
      <c r="ER35" s="17">
        <v>364156.4</v>
      </c>
      <c r="ES35" s="97"/>
      <c r="ET35" s="36" t="s">
        <v>136</v>
      </c>
    </row>
    <row r="36" spans="1:150" ht="14.25" customHeight="1">
      <c r="A36" s="14">
        <v>30</v>
      </c>
      <c r="B36" s="20" t="s">
        <v>16</v>
      </c>
      <c r="C36" s="89">
        <v>44920</v>
      </c>
      <c r="D36" s="267">
        <v>812657.82079999999</v>
      </c>
      <c r="E36" s="17">
        <v>784839.99959999998</v>
      </c>
      <c r="F36" s="17">
        <v>27817.821199999998</v>
      </c>
      <c r="G36" s="80">
        <v>0</v>
      </c>
      <c r="H36" s="255"/>
      <c r="I36" s="19">
        <v>30</v>
      </c>
      <c r="J36" s="15" t="s">
        <v>22</v>
      </c>
      <c r="K36" s="21">
        <v>44585</v>
      </c>
      <c r="L36" s="39">
        <v>861032.38439999998</v>
      </c>
      <c r="M36" s="17">
        <v>793470</v>
      </c>
      <c r="N36" s="17">
        <v>67562.384399999995</v>
      </c>
      <c r="O36" s="80">
        <v>0</v>
      </c>
      <c r="P36" s="40"/>
      <c r="Q36" s="19">
        <v>30</v>
      </c>
      <c r="R36" s="15" t="s">
        <v>18</v>
      </c>
      <c r="S36" s="26">
        <v>44616</v>
      </c>
      <c r="T36" s="41">
        <v>854536.57239999995</v>
      </c>
      <c r="U36" s="17">
        <v>832800</v>
      </c>
      <c r="V36" s="22">
        <f t="shared" si="0"/>
        <v>21736.572399999946</v>
      </c>
      <c r="W36" s="98">
        <v>0</v>
      </c>
      <c r="X36" s="24"/>
      <c r="Y36" s="19">
        <v>30</v>
      </c>
      <c r="Z36" s="15"/>
      <c r="AA36" s="21"/>
      <c r="AB36" s="17"/>
      <c r="AC36" s="17"/>
      <c r="AD36" s="99"/>
      <c r="AE36" s="95"/>
      <c r="AF36" s="95"/>
      <c r="AG36" s="95"/>
      <c r="AH36" s="84"/>
      <c r="AI36" s="24">
        <v>2</v>
      </c>
      <c r="AJ36" s="19">
        <v>30</v>
      </c>
      <c r="AK36" s="20" t="s">
        <v>14</v>
      </c>
      <c r="AL36" s="21">
        <v>44675</v>
      </c>
      <c r="AM36" s="90">
        <v>995611.48</v>
      </c>
      <c r="AN36" s="17">
        <v>840000</v>
      </c>
      <c r="AO36" s="28">
        <f t="shared" si="3"/>
        <v>155611.47999999998</v>
      </c>
      <c r="AP36" s="44">
        <f t="shared" si="4"/>
        <v>0</v>
      </c>
      <c r="AQ36" s="95"/>
      <c r="AR36" s="95">
        <v>1147626.6299999999</v>
      </c>
      <c r="AS36" s="96"/>
      <c r="AT36" s="24"/>
      <c r="AU36" s="19">
        <v>30</v>
      </c>
      <c r="AV36" s="15" t="s">
        <v>15</v>
      </c>
      <c r="AW36" s="21">
        <v>44706</v>
      </c>
      <c r="AX36" s="90">
        <v>1034953.66</v>
      </c>
      <c r="AY36" s="297">
        <v>840000</v>
      </c>
      <c r="AZ36" s="28">
        <f t="shared" si="5"/>
        <v>194953.66000000003</v>
      </c>
      <c r="BA36" s="44">
        <f t="shared" si="6"/>
        <v>0</v>
      </c>
      <c r="BB36" s="95"/>
      <c r="BC36" s="33">
        <v>7403586.29</v>
      </c>
      <c r="BD36" s="97"/>
      <c r="BE36" s="24"/>
      <c r="BF36" s="19">
        <v>30</v>
      </c>
      <c r="BG36" s="266" t="s">
        <v>13</v>
      </c>
      <c r="BH36" s="21">
        <v>44736</v>
      </c>
      <c r="BI36" s="90">
        <v>1025409.48</v>
      </c>
      <c r="BJ36" s="261">
        <v>840000</v>
      </c>
      <c r="BK36" s="28">
        <f t="shared" si="7"/>
        <v>185409.47999999998</v>
      </c>
      <c r="BL36" s="44">
        <f t="shared" si="8"/>
        <v>0</v>
      </c>
      <c r="BM36" s="95"/>
      <c r="BN36" s="33">
        <v>4860787.83</v>
      </c>
      <c r="BO36" s="97"/>
      <c r="BP36" s="88"/>
      <c r="BQ36" s="19">
        <v>30</v>
      </c>
      <c r="BR36" s="266" t="s">
        <v>22</v>
      </c>
      <c r="BS36" s="21">
        <v>44767</v>
      </c>
      <c r="BT36" s="90">
        <v>1041117.57</v>
      </c>
      <c r="BU36" s="261">
        <v>840000</v>
      </c>
      <c r="BV36" s="28">
        <f t="shared" si="9"/>
        <v>201117.56999999995</v>
      </c>
      <c r="BW36" s="44">
        <f t="shared" si="10"/>
        <v>0</v>
      </c>
      <c r="BX36" s="45" t="s">
        <v>137</v>
      </c>
      <c r="BY36" s="33">
        <v>6864036.8600000003</v>
      </c>
      <c r="BZ36" s="97"/>
      <c r="CA36" s="88"/>
      <c r="CB36" s="19">
        <v>30</v>
      </c>
      <c r="CC36" s="266" t="s">
        <v>15</v>
      </c>
      <c r="CD36" s="21">
        <v>44797</v>
      </c>
      <c r="CE36" s="90">
        <v>790248.84</v>
      </c>
      <c r="CF36" s="261">
        <v>840000</v>
      </c>
      <c r="CG36" s="28">
        <f t="shared" si="11"/>
        <v>0</v>
      </c>
      <c r="CH36" s="44">
        <f t="shared" si="12"/>
        <v>49751.160000000033</v>
      </c>
      <c r="CI36" s="95"/>
      <c r="CJ36" s="33"/>
      <c r="CK36" s="97">
        <v>141382.85999999999</v>
      </c>
      <c r="CL36" s="73" t="s">
        <v>19</v>
      </c>
      <c r="CM36" s="88"/>
      <c r="CN36" s="19">
        <v>30</v>
      </c>
      <c r="CO36" s="20" t="s">
        <v>16</v>
      </c>
      <c r="CP36" s="263">
        <v>44828</v>
      </c>
      <c r="CQ36" s="90">
        <v>911203.38</v>
      </c>
      <c r="CR36" s="265">
        <v>840000</v>
      </c>
      <c r="CS36" s="28">
        <f t="shared" si="13"/>
        <v>71203.38</v>
      </c>
      <c r="CT36" s="44">
        <f t="shared" si="14"/>
        <v>0</v>
      </c>
      <c r="CU36" s="95"/>
      <c r="CV36" s="33"/>
      <c r="CW36" s="97"/>
      <c r="CX36" s="73"/>
      <c r="CY36" s="74"/>
      <c r="CZ36" s="19">
        <v>30</v>
      </c>
      <c r="DA36" s="35" t="s">
        <v>17</v>
      </c>
      <c r="DB36" s="263">
        <v>44859</v>
      </c>
      <c r="DC36" s="90">
        <v>951790.43</v>
      </c>
      <c r="DD36" s="261">
        <v>840000</v>
      </c>
      <c r="DE36" s="28">
        <f t="shared" si="15"/>
        <v>111790.43000000005</v>
      </c>
      <c r="DF36" s="44">
        <f t="shared" si="16"/>
        <v>0</v>
      </c>
      <c r="DG36" s="95"/>
      <c r="DH36" s="33">
        <v>1118648.29</v>
      </c>
      <c r="DI36" s="97"/>
      <c r="DJ36" s="73"/>
      <c r="DK36" s="74"/>
      <c r="DL36" s="19">
        <v>30</v>
      </c>
      <c r="DM36" s="266" t="s">
        <v>18</v>
      </c>
      <c r="DN36" s="263">
        <v>44889</v>
      </c>
      <c r="DO36" s="90">
        <v>991898.8</v>
      </c>
      <c r="DP36" s="265">
        <v>840000</v>
      </c>
      <c r="DQ36" s="28">
        <f t="shared" si="17"/>
        <v>151898.80000000005</v>
      </c>
      <c r="DR36" s="44">
        <f t="shared" si="18"/>
        <v>0</v>
      </c>
      <c r="DS36" s="95"/>
      <c r="DT36" s="33">
        <v>5029950</v>
      </c>
      <c r="DU36" s="97"/>
      <c r="DV36" s="73"/>
      <c r="DW36" s="38">
        <f t="shared" si="19"/>
        <v>41329.116666666669</v>
      </c>
      <c r="DX36" s="19">
        <v>30</v>
      </c>
      <c r="DY36" s="20" t="s">
        <v>14</v>
      </c>
      <c r="DZ36" s="263">
        <v>44920</v>
      </c>
      <c r="EA36" s="90">
        <v>651834.69999999995</v>
      </c>
      <c r="EB36" s="265">
        <v>840000</v>
      </c>
      <c r="EC36" s="28">
        <f t="shared" si="20"/>
        <v>0</v>
      </c>
      <c r="ED36" s="44">
        <f t="shared" si="21"/>
        <v>188165.30000000005</v>
      </c>
      <c r="EE36" s="95"/>
      <c r="EF36" s="33"/>
      <c r="EG36" s="97">
        <v>234133.79</v>
      </c>
      <c r="EH36" s="36" t="s">
        <v>138</v>
      </c>
      <c r="EI36" s="38">
        <f t="shared" si="22"/>
        <v>27159.779166666664</v>
      </c>
      <c r="EJ36" s="19">
        <v>30</v>
      </c>
      <c r="EK36" s="35" t="s">
        <v>17</v>
      </c>
      <c r="EL36" s="263">
        <v>44950</v>
      </c>
      <c r="EM36" s="90">
        <v>896569.38</v>
      </c>
      <c r="EN36" s="265">
        <v>887999.04</v>
      </c>
      <c r="EO36" s="28">
        <f t="shared" si="23"/>
        <v>8570.3399999999674</v>
      </c>
      <c r="EP36" s="44">
        <f t="shared" si="24"/>
        <v>0</v>
      </c>
      <c r="EQ36" s="95"/>
      <c r="ER36" s="33">
        <v>194295.87</v>
      </c>
      <c r="ES36" s="97"/>
      <c r="ET36" s="36" t="s">
        <v>139</v>
      </c>
    </row>
    <row r="37" spans="1:150" ht="14.25" customHeight="1">
      <c r="A37" s="100">
        <v>31</v>
      </c>
      <c r="B37" s="298"/>
      <c r="C37" s="299"/>
      <c r="D37" s="300"/>
      <c r="E37" s="101"/>
      <c r="F37" s="102"/>
      <c r="G37" s="103"/>
      <c r="H37" s="255"/>
      <c r="I37" s="104">
        <v>31</v>
      </c>
      <c r="J37" s="293" t="s">
        <v>17</v>
      </c>
      <c r="K37" s="105">
        <v>44586</v>
      </c>
      <c r="L37" s="301">
        <v>855511.75249999994</v>
      </c>
      <c r="M37" s="101">
        <v>793470</v>
      </c>
      <c r="N37" s="102">
        <v>62041.752500000002</v>
      </c>
      <c r="O37" s="103">
        <v>0</v>
      </c>
      <c r="P37" s="40"/>
      <c r="Q37" s="104">
        <v>31</v>
      </c>
      <c r="R37" s="302" t="s">
        <v>140</v>
      </c>
      <c r="S37" s="106">
        <v>44617</v>
      </c>
      <c r="T37" s="303">
        <v>797129.11</v>
      </c>
      <c r="U37" s="62">
        <v>831600</v>
      </c>
      <c r="V37" s="22">
        <f t="shared" si="0"/>
        <v>-34470.890000000014</v>
      </c>
      <c r="W37" s="107">
        <v>0</v>
      </c>
      <c r="X37" s="24"/>
      <c r="Y37" s="104">
        <v>31</v>
      </c>
      <c r="Z37" s="293"/>
      <c r="AA37" s="105"/>
      <c r="AB37" s="101"/>
      <c r="AC37" s="102"/>
      <c r="AD37" s="99"/>
      <c r="AE37" s="108"/>
      <c r="AF37" s="108"/>
      <c r="AG37" s="108"/>
      <c r="AH37" s="109"/>
      <c r="AI37" s="24">
        <v>1</v>
      </c>
      <c r="AJ37" s="104">
        <v>31</v>
      </c>
      <c r="AK37" s="15" t="s">
        <v>141</v>
      </c>
      <c r="AL37" s="21">
        <v>44676</v>
      </c>
      <c r="AM37" s="110">
        <v>1071263.58</v>
      </c>
      <c r="AN37" s="102">
        <v>840000</v>
      </c>
      <c r="AO37" s="28">
        <f t="shared" si="3"/>
        <v>231263.58000000007</v>
      </c>
      <c r="AP37" s="44">
        <f t="shared" si="4"/>
        <v>0</v>
      </c>
      <c r="AQ37" s="108"/>
      <c r="AR37" s="108">
        <v>1799748.76</v>
      </c>
      <c r="AS37" s="96"/>
      <c r="AT37" s="24"/>
      <c r="AU37" s="104"/>
      <c r="AV37" s="15"/>
      <c r="AW37" s="21"/>
      <c r="AX37" s="110"/>
      <c r="AY37" s="111"/>
      <c r="AZ37" s="28">
        <f t="shared" si="5"/>
        <v>0</v>
      </c>
      <c r="BA37" s="44">
        <f t="shared" si="6"/>
        <v>0</v>
      </c>
      <c r="BB37" s="108"/>
      <c r="BC37" s="112"/>
      <c r="BD37" s="97"/>
      <c r="BE37" s="24"/>
      <c r="BF37" s="25">
        <v>31</v>
      </c>
      <c r="BG37" s="20" t="s">
        <v>16</v>
      </c>
      <c r="BH37" s="21">
        <v>44737</v>
      </c>
      <c r="BI37" s="110">
        <v>1009890.1</v>
      </c>
      <c r="BJ37" s="111">
        <v>840000</v>
      </c>
      <c r="BK37" s="28">
        <f t="shared" si="7"/>
        <v>169890.09999999998</v>
      </c>
      <c r="BL37" s="44">
        <f t="shared" si="8"/>
        <v>0</v>
      </c>
      <c r="BM37" s="108"/>
      <c r="BN37" s="112">
        <v>1499769.26</v>
      </c>
      <c r="BO37" s="97"/>
      <c r="BP37" s="88"/>
      <c r="BQ37" s="19"/>
      <c r="BR37" s="266"/>
      <c r="BS37" s="21"/>
      <c r="BT37" s="110"/>
      <c r="BU37" s="111"/>
      <c r="BV37" s="28">
        <f t="shared" si="9"/>
        <v>0</v>
      </c>
      <c r="BW37" s="44">
        <f t="shared" si="10"/>
        <v>0</v>
      </c>
      <c r="BX37" s="108"/>
      <c r="BY37" s="112"/>
      <c r="BZ37" s="97"/>
      <c r="CA37" s="88"/>
      <c r="CB37" s="25">
        <v>31</v>
      </c>
      <c r="CC37" s="266" t="s">
        <v>18</v>
      </c>
      <c r="CD37" s="21">
        <v>44798</v>
      </c>
      <c r="CE37" s="110">
        <v>901201.74</v>
      </c>
      <c r="CF37" s="261">
        <v>840000</v>
      </c>
      <c r="CG37" s="113">
        <f t="shared" si="11"/>
        <v>61201.739999999991</v>
      </c>
      <c r="CH37" s="114">
        <f t="shared" si="12"/>
        <v>0</v>
      </c>
      <c r="CI37" s="271" t="s">
        <v>142</v>
      </c>
      <c r="CJ37" s="112">
        <v>2700237.59</v>
      </c>
      <c r="CK37" s="115"/>
      <c r="CL37" s="116" t="s">
        <v>21</v>
      </c>
      <c r="CM37" s="88"/>
      <c r="CN37" s="25">
        <v>31</v>
      </c>
      <c r="CO37" s="20" t="s">
        <v>14</v>
      </c>
      <c r="CP37" s="21">
        <v>44829</v>
      </c>
      <c r="CQ37" s="110">
        <v>700949.77</v>
      </c>
      <c r="CR37" s="265">
        <v>840000</v>
      </c>
      <c r="CS37" s="113">
        <f t="shared" si="13"/>
        <v>0</v>
      </c>
      <c r="CT37" s="114">
        <f t="shared" si="14"/>
        <v>139050.22999999998</v>
      </c>
      <c r="CU37" s="271" t="s">
        <v>142</v>
      </c>
      <c r="CV37" s="112"/>
      <c r="CW37" s="115"/>
      <c r="CX37" s="116"/>
      <c r="CY37" s="74"/>
      <c r="CZ37" s="25"/>
      <c r="DA37" s="20"/>
      <c r="DB37" s="263"/>
      <c r="DC37" s="110"/>
      <c r="DD37" s="261"/>
      <c r="DE37" s="113">
        <f t="shared" si="15"/>
        <v>0</v>
      </c>
      <c r="DF37" s="114">
        <f t="shared" si="16"/>
        <v>0</v>
      </c>
      <c r="DG37" s="271" t="s">
        <v>142</v>
      </c>
      <c r="DH37" s="112"/>
      <c r="DI37" s="115"/>
      <c r="DJ37" s="116"/>
      <c r="DK37" s="74"/>
      <c r="DL37" s="25">
        <v>31</v>
      </c>
      <c r="DM37" s="266" t="s">
        <v>13</v>
      </c>
      <c r="DN37" s="263">
        <v>44890</v>
      </c>
      <c r="DO37" s="110">
        <v>971250.21</v>
      </c>
      <c r="DP37" s="265">
        <v>840000</v>
      </c>
      <c r="DQ37" s="113">
        <f t="shared" si="17"/>
        <v>131250.20999999996</v>
      </c>
      <c r="DR37" s="114">
        <f t="shared" si="18"/>
        <v>0</v>
      </c>
      <c r="DS37" s="271" t="s">
        <v>142</v>
      </c>
      <c r="DT37" s="112">
        <v>3925967.38</v>
      </c>
      <c r="DU37" s="115"/>
      <c r="DV37" s="116"/>
      <c r="DW37" s="38">
        <f t="shared" si="19"/>
        <v>40468.758750000001</v>
      </c>
      <c r="DX37" s="25"/>
      <c r="DY37" s="15"/>
      <c r="DZ37" s="263"/>
      <c r="EA37" s="110"/>
      <c r="EB37" s="265"/>
      <c r="EC37" s="113"/>
      <c r="ED37" s="114"/>
      <c r="EE37" s="271" t="s">
        <v>142</v>
      </c>
      <c r="EF37" s="112"/>
      <c r="EG37" s="115"/>
      <c r="EH37" s="116"/>
      <c r="EI37" s="38">
        <f t="shared" si="22"/>
        <v>0</v>
      </c>
      <c r="EJ37" s="25">
        <v>31</v>
      </c>
      <c r="EK37" s="266" t="s">
        <v>15</v>
      </c>
      <c r="EL37" s="263">
        <v>44951</v>
      </c>
      <c r="EM37" s="110">
        <v>809597.7</v>
      </c>
      <c r="EN37" s="265">
        <v>887999.04</v>
      </c>
      <c r="EO37" s="28">
        <f t="shared" si="23"/>
        <v>0</v>
      </c>
      <c r="EP37" s="44">
        <f t="shared" si="24"/>
        <v>78401.340000000084</v>
      </c>
      <c r="EQ37" s="271" t="s">
        <v>142</v>
      </c>
      <c r="ER37" s="112">
        <v>525732.06000000006</v>
      </c>
      <c r="ES37" s="115"/>
      <c r="ET37" s="36" t="s">
        <v>143</v>
      </c>
    </row>
    <row r="38" spans="1:150" ht="14.25" customHeight="1">
      <c r="A38" s="366"/>
      <c r="B38" s="347"/>
      <c r="C38" s="367"/>
      <c r="D38" s="304">
        <v>24399801.755500004</v>
      </c>
      <c r="E38" s="305">
        <v>22887107.997600004</v>
      </c>
      <c r="F38" s="305">
        <v>1512693.7709999999</v>
      </c>
      <c r="G38" s="306">
        <v>0</v>
      </c>
      <c r="H38" s="307"/>
      <c r="I38" s="368"/>
      <c r="J38" s="347"/>
      <c r="K38" s="347"/>
      <c r="L38" s="117">
        <v>24026680.845600002</v>
      </c>
      <c r="M38" s="118">
        <v>24404303</v>
      </c>
      <c r="N38" s="119">
        <v>-377622.15049999999</v>
      </c>
      <c r="O38" s="120">
        <v>0</v>
      </c>
      <c r="Q38" s="368"/>
      <c r="R38" s="347"/>
      <c r="S38" s="367"/>
      <c r="T38" s="118">
        <f t="shared" ref="T38:V38" si="25">SUM(T7:T37)</f>
        <v>25034501.557899993</v>
      </c>
      <c r="U38" s="119">
        <f t="shared" si="25"/>
        <v>25776856</v>
      </c>
      <c r="V38" s="119">
        <f t="shared" si="25"/>
        <v>-742354.44210000033</v>
      </c>
      <c r="W38" s="121">
        <f>SUM(W7:W12)/6</f>
        <v>0</v>
      </c>
      <c r="Y38" s="368"/>
      <c r="Z38" s="347"/>
      <c r="AA38" s="367"/>
      <c r="AB38" s="118">
        <f t="shared" ref="AB38:AE38" si="26">SUM(AB7:AB37)</f>
        <v>25530413.783199999</v>
      </c>
      <c r="AC38" s="118">
        <f t="shared" si="26"/>
        <v>23446644</v>
      </c>
      <c r="AD38" s="118">
        <f t="shared" si="26"/>
        <v>2323121.1932000006</v>
      </c>
      <c r="AE38" s="118">
        <f t="shared" si="26"/>
        <v>239351.41000000015</v>
      </c>
      <c r="AF38" s="121">
        <f>AVERAGE(AF7:AF37)</f>
        <v>7.4582142857142832</v>
      </c>
      <c r="AG38" s="121">
        <f t="shared" ref="AG38:AH38" si="27">SUM(AG7:AG37)</f>
        <v>27010736.969999999</v>
      </c>
      <c r="AH38" s="122">
        <f t="shared" si="27"/>
        <v>963875.2300000001</v>
      </c>
      <c r="AI38" s="24"/>
      <c r="AJ38" s="368"/>
      <c r="AK38" s="347"/>
      <c r="AL38" s="367"/>
      <c r="AM38" s="118">
        <f t="shared" ref="AM38:AP38" si="28">SUM(AM7:AM37)</f>
        <v>29583054.800000012</v>
      </c>
      <c r="AN38" s="118">
        <f t="shared" si="28"/>
        <v>26040000</v>
      </c>
      <c r="AO38" s="118">
        <f t="shared" si="28"/>
        <v>3914808.46</v>
      </c>
      <c r="AP38" s="118">
        <f t="shared" si="28"/>
        <v>371753.66</v>
      </c>
      <c r="AQ38" s="121" t="e">
        <f>AVERAGE(AQ7:AQ37)</f>
        <v>#DIV/0!</v>
      </c>
      <c r="AR38" s="121">
        <f t="shared" ref="AR38:AS38" si="29">SUM(AR7:AR37)</f>
        <v>37236768.840000004</v>
      </c>
      <c r="AS38" s="308">
        <f t="shared" si="29"/>
        <v>1475469.65</v>
      </c>
      <c r="AT38" s="24"/>
      <c r="AU38" s="368"/>
      <c r="AV38" s="347"/>
      <c r="AW38" s="367"/>
      <c r="AX38" s="118">
        <f t="shared" ref="AX38:BA38" si="30">SUM(AX7:AX37)</f>
        <v>30321518.160000004</v>
      </c>
      <c r="AY38" s="118">
        <f t="shared" si="30"/>
        <v>25200000</v>
      </c>
      <c r="AZ38" s="118">
        <f t="shared" si="30"/>
        <v>5194437.1099999994</v>
      </c>
      <c r="BA38" s="118">
        <f t="shared" si="30"/>
        <v>72918.949999999953</v>
      </c>
      <c r="BB38" s="121" t="e">
        <f>AVERAGE(BB7:BB37)</f>
        <v>#DIV/0!</v>
      </c>
      <c r="BC38" s="121">
        <f t="shared" ref="BC38:BD38" si="31">SUM(BC7:BC37)</f>
        <v>54527696.159999996</v>
      </c>
      <c r="BD38" s="308">
        <f t="shared" si="31"/>
        <v>210134.87</v>
      </c>
      <c r="BE38" s="24"/>
      <c r="BF38" s="368"/>
      <c r="BG38" s="347"/>
      <c r="BH38" s="367"/>
      <c r="BI38" s="118">
        <f t="shared" ref="BI38:BL38" si="32">SUM(BI7:BI37)</f>
        <v>31202792.519999996</v>
      </c>
      <c r="BJ38" s="118">
        <f t="shared" si="32"/>
        <v>26040000</v>
      </c>
      <c r="BK38" s="118">
        <f t="shared" si="32"/>
        <v>5172852.8900000006</v>
      </c>
      <c r="BL38" s="118">
        <f t="shared" si="32"/>
        <v>10060.369999999995</v>
      </c>
      <c r="BM38" s="121" t="e">
        <f>AVERAGE(BM7:BM37)</f>
        <v>#DIV/0!</v>
      </c>
      <c r="BN38" s="121">
        <f t="shared" ref="BN38:BO38" si="33">SUM(BN7:BN37)</f>
        <v>119246577.81000002</v>
      </c>
      <c r="BO38" s="308">
        <f t="shared" si="33"/>
        <v>0</v>
      </c>
      <c r="BP38" s="309"/>
      <c r="BQ38" s="368"/>
      <c r="BR38" s="347"/>
      <c r="BS38" s="367"/>
      <c r="BT38" s="118">
        <f t="shared" ref="BT38:BW38" si="34">SUM(BT7:BT37)</f>
        <v>28427175.999999996</v>
      </c>
      <c r="BU38" s="118">
        <f t="shared" si="34"/>
        <v>25200000</v>
      </c>
      <c r="BV38" s="118">
        <f t="shared" si="34"/>
        <v>3422273.0099999993</v>
      </c>
      <c r="BW38" s="118">
        <f t="shared" si="34"/>
        <v>195097.01</v>
      </c>
      <c r="BX38" s="121" t="e">
        <f>AVERAGE(BX7:BX37)</f>
        <v>#DIV/0!</v>
      </c>
      <c r="BY38" s="121">
        <f t="shared" ref="BY38:BZ38" si="35">SUM(BY7:BY37)</f>
        <v>75730845.269999996</v>
      </c>
      <c r="BZ38" s="308">
        <f t="shared" si="35"/>
        <v>1320848.96</v>
      </c>
      <c r="CA38" s="310"/>
      <c r="CB38" s="368"/>
      <c r="CC38" s="347"/>
      <c r="CD38" s="367"/>
      <c r="CE38" s="118">
        <f t="shared" ref="CE38:CH38" si="36">SUM(CE7:CE37)</f>
        <v>27803472.379999995</v>
      </c>
      <c r="CF38" s="311">
        <f t="shared" si="36"/>
        <v>26040000</v>
      </c>
      <c r="CG38" s="123">
        <f t="shared" si="36"/>
        <v>2023145.8000000007</v>
      </c>
      <c r="CH38" s="123">
        <f t="shared" si="36"/>
        <v>259673.42000000004</v>
      </c>
      <c r="CI38" s="124" t="e">
        <f>AVERAGE(CI7:CI37)</f>
        <v>#DIV/0!</v>
      </c>
      <c r="CJ38" s="124">
        <f t="shared" ref="CJ38:CK38" si="37">SUM(CJ7:CJ37)</f>
        <v>21247013.50999999</v>
      </c>
      <c r="CK38" s="125">
        <f t="shared" si="37"/>
        <v>1198299.46</v>
      </c>
      <c r="CL38" s="126"/>
      <c r="CM38" s="310"/>
      <c r="CN38" s="368"/>
      <c r="CO38" s="347"/>
      <c r="CP38" s="367"/>
      <c r="CQ38" s="118">
        <f t="shared" ref="CQ38:CT38" si="38">SUM(CQ7:CQ37)</f>
        <v>28312318.302099995</v>
      </c>
      <c r="CR38" s="311">
        <f t="shared" si="38"/>
        <v>26040000</v>
      </c>
      <c r="CS38" s="123">
        <f t="shared" si="38"/>
        <v>2493342.7321000006</v>
      </c>
      <c r="CT38" s="123">
        <f t="shared" si="38"/>
        <v>221024.42999999993</v>
      </c>
      <c r="CU38" s="124" t="e">
        <f>AVERAGE(CU7:CU37)</f>
        <v>#DIV/0!</v>
      </c>
      <c r="CV38" s="124">
        <f t="shared" ref="CV38:CW38" si="39">SUM(CV7:CV37)</f>
        <v>17809339.019999996</v>
      </c>
      <c r="CW38" s="125">
        <f t="shared" si="39"/>
        <v>491421.63</v>
      </c>
      <c r="CX38" s="126"/>
      <c r="CY38" s="312"/>
      <c r="CZ38" s="368"/>
      <c r="DA38" s="347"/>
      <c r="DB38" s="367"/>
      <c r="DC38" s="118">
        <f t="shared" ref="DC38:DF38" si="40">SUM(DC7:DC37)</f>
        <v>27825316.352499992</v>
      </c>
      <c r="DD38" s="311">
        <f t="shared" si="40"/>
        <v>25200000</v>
      </c>
      <c r="DE38" s="123">
        <f t="shared" si="40"/>
        <v>3510618.3012000001</v>
      </c>
      <c r="DF38" s="123">
        <f t="shared" si="40"/>
        <v>885301.94870000007</v>
      </c>
      <c r="DG38" s="124" t="e">
        <f>AVERAGE(DG7:DG37)</f>
        <v>#DIV/0!</v>
      </c>
      <c r="DH38" s="124">
        <f t="shared" ref="DH38:DI38" si="41">SUM(DH7:DH37)</f>
        <v>7338177.9000000004</v>
      </c>
      <c r="DI38" s="125">
        <f t="shared" si="41"/>
        <v>0</v>
      </c>
      <c r="DJ38" s="126"/>
      <c r="DK38" s="312"/>
      <c r="DL38" s="368"/>
      <c r="DM38" s="347"/>
      <c r="DN38" s="367"/>
      <c r="DO38" s="118">
        <f t="shared" ref="DO38:DR38" si="42">SUM(DO7:DO37)</f>
        <v>29299858.23</v>
      </c>
      <c r="DP38" s="311">
        <f t="shared" si="42"/>
        <v>26040000</v>
      </c>
      <c r="DQ38" s="123">
        <f t="shared" si="42"/>
        <v>3352231.6799999997</v>
      </c>
      <c r="DR38" s="123">
        <f t="shared" si="42"/>
        <v>92373.449999999953</v>
      </c>
      <c r="DS38" s="124" t="e">
        <f>AVERAGE(DS7:DS37)</f>
        <v>#DIV/0!</v>
      </c>
      <c r="DT38" s="124">
        <f t="shared" ref="DT38:DU38" si="43">SUM(DT7:DT37)</f>
        <v>47186808.980000004</v>
      </c>
      <c r="DU38" s="125">
        <f t="shared" si="43"/>
        <v>0</v>
      </c>
      <c r="DV38" s="126"/>
      <c r="DW38" s="313">
        <f>AVERAGE(DW7:DW37)</f>
        <v>39381.529879032256</v>
      </c>
      <c r="DX38" s="368"/>
      <c r="DY38" s="347"/>
      <c r="DZ38" s="367"/>
      <c r="EA38" s="118">
        <f t="shared" ref="EA38:ED38" si="44">SUM(EA7:EA37)</f>
        <v>28172473.079999998</v>
      </c>
      <c r="EB38" s="311">
        <f t="shared" si="44"/>
        <v>25198310</v>
      </c>
      <c r="EC38" s="123">
        <f t="shared" si="44"/>
        <v>3305689.7499999995</v>
      </c>
      <c r="ED38" s="123">
        <f t="shared" si="44"/>
        <v>331526.67000000004</v>
      </c>
      <c r="EE38" s="124" t="e">
        <f>AVERAGE(EE7:EE37)</f>
        <v>#DIV/0!</v>
      </c>
      <c r="EF38" s="124">
        <f t="shared" ref="EF38:EG38" si="45">SUM(EF7:EF37)</f>
        <v>108824907.02000003</v>
      </c>
      <c r="EG38" s="125">
        <f t="shared" si="45"/>
        <v>420355.80000000005</v>
      </c>
      <c r="EH38" s="126"/>
      <c r="EI38" s="313">
        <f>AVERAGE(EI7:EI37)</f>
        <v>37866.227258064522</v>
      </c>
      <c r="EJ38" s="368"/>
      <c r="EK38" s="347"/>
      <c r="EL38" s="367"/>
      <c r="EM38" s="118">
        <f t="shared" ref="EM38:EP38" si="46">SUM(EM7:EM37)</f>
        <v>25832674.700000007</v>
      </c>
      <c r="EN38" s="311">
        <f t="shared" si="46"/>
        <v>27375675.199999999</v>
      </c>
      <c r="EO38" s="123">
        <f t="shared" si="46"/>
        <v>293458.27999999991</v>
      </c>
      <c r="EP38" s="123">
        <f t="shared" si="46"/>
        <v>1836458.7800000005</v>
      </c>
      <c r="EQ38" s="124" t="e">
        <f>AVERAGE(EQ7:EQ37)</f>
        <v>#DIV/0!</v>
      </c>
      <c r="ER38" s="124">
        <f t="shared" ref="ER38:ES38" si="47">SUM(ER7:ER37)</f>
        <v>3060478.24</v>
      </c>
      <c r="ES38" s="125">
        <f t="shared" si="47"/>
        <v>6509607.0299999993</v>
      </c>
      <c r="ET38" s="126"/>
    </row>
    <row r="39" spans="1:150" ht="14.25" customHeight="1">
      <c r="L39" s="205">
        <f t="shared" ref="L39:N39" si="48">SUM(L7:L37)</f>
        <v>24026680.845600002</v>
      </c>
      <c r="M39" s="240">
        <f t="shared" si="48"/>
        <v>24404303</v>
      </c>
      <c r="N39" s="240">
        <f t="shared" si="48"/>
        <v>-377622.15049999999</v>
      </c>
      <c r="T39" s="250" t="s">
        <v>144</v>
      </c>
      <c r="U39" s="127">
        <v>31</v>
      </c>
      <c r="AB39" s="314" t="s">
        <v>144</v>
      </c>
      <c r="AC39" s="127">
        <v>28</v>
      </c>
      <c r="AE39" s="241">
        <f>AD38-AE38</f>
        <v>2083769.7832000004</v>
      </c>
      <c r="AH39" s="205">
        <f>AG38-AH38</f>
        <v>26046861.739999998</v>
      </c>
      <c r="AM39" s="314" t="s">
        <v>144</v>
      </c>
      <c r="AN39" s="127">
        <v>31</v>
      </c>
      <c r="AP39" s="241">
        <f>AO38-AP38</f>
        <v>3543054.8</v>
      </c>
      <c r="AS39" s="205">
        <f>AR38-AS38</f>
        <v>35761299.190000005</v>
      </c>
      <c r="AX39" s="314" t="s">
        <v>144</v>
      </c>
      <c r="AY39" s="127">
        <v>30</v>
      </c>
      <c r="BA39" s="241">
        <f>AZ38-BA38</f>
        <v>5121518.1599999992</v>
      </c>
      <c r="BD39" s="205">
        <f>BC38-BD38</f>
        <v>54317561.289999999</v>
      </c>
      <c r="BI39" s="314" t="s">
        <v>144</v>
      </c>
      <c r="BJ39" s="127">
        <v>31</v>
      </c>
      <c r="BL39" s="241">
        <f>BK38-BL38</f>
        <v>5162792.5200000005</v>
      </c>
      <c r="BO39" s="205">
        <f>BN38-BO38</f>
        <v>119246577.81000002</v>
      </c>
      <c r="BP39" s="241">
        <f>BI38-BT38</f>
        <v>2775616.5199999996</v>
      </c>
      <c r="BT39" s="314" t="s">
        <v>144</v>
      </c>
      <c r="BU39" s="127">
        <v>30</v>
      </c>
      <c r="BW39" s="241">
        <f>BV38-BW38</f>
        <v>3227175.9999999991</v>
      </c>
      <c r="BZ39" s="205">
        <f>BY38-BZ38</f>
        <v>74409996.310000002</v>
      </c>
      <c r="CE39" s="314" t="s">
        <v>144</v>
      </c>
      <c r="CF39" s="127">
        <v>31</v>
      </c>
      <c r="CH39" s="241">
        <f>CG38-CH38</f>
        <v>1763472.3800000008</v>
      </c>
      <c r="CK39" s="205">
        <f>CJ38-CK38</f>
        <v>20048714.04999999</v>
      </c>
      <c r="CL39" s="138"/>
      <c r="CQ39" s="314" t="s">
        <v>144</v>
      </c>
      <c r="CR39" s="127">
        <v>31</v>
      </c>
      <c r="CT39" s="241">
        <f>CS38-CT38</f>
        <v>2272318.3021000009</v>
      </c>
      <c r="CW39" s="205">
        <f>CV38-CW38</f>
        <v>17317917.389999997</v>
      </c>
      <c r="CX39" s="138"/>
      <c r="CY39" s="138"/>
      <c r="DC39" s="314" t="s">
        <v>144</v>
      </c>
      <c r="DD39" s="127">
        <v>30</v>
      </c>
      <c r="DF39" s="241">
        <f>DE38-DF38</f>
        <v>2625316.3525</v>
      </c>
      <c r="DI39" s="205">
        <f>DH38-DI38</f>
        <v>7338177.9000000004</v>
      </c>
      <c r="DJ39" s="138"/>
      <c r="DK39" s="138"/>
      <c r="DO39" s="314" t="s">
        <v>144</v>
      </c>
      <c r="DP39" s="127">
        <v>31</v>
      </c>
      <c r="DR39" s="241">
        <f>DQ38-DR38</f>
        <v>3259858.2299999995</v>
      </c>
      <c r="DU39" s="205">
        <f>DT38-DU38</f>
        <v>47186808.980000004</v>
      </c>
      <c r="DV39" s="138"/>
      <c r="DW39" s="138"/>
      <c r="EA39" s="314" t="s">
        <v>144</v>
      </c>
      <c r="EB39" s="127">
        <v>30</v>
      </c>
      <c r="ED39" s="241">
        <f>EC38-ED38</f>
        <v>2974163.0799999996</v>
      </c>
      <c r="EG39" s="205">
        <f>EF38-EG38</f>
        <v>108404551.22000003</v>
      </c>
      <c r="EH39" s="138"/>
      <c r="EI39" s="138"/>
      <c r="EM39" s="314" t="s">
        <v>144</v>
      </c>
      <c r="EN39" s="127">
        <v>31</v>
      </c>
      <c r="EP39" s="241">
        <f>EO38-EP38</f>
        <v>-1543000.5000000005</v>
      </c>
      <c r="ES39" s="205">
        <f>ER38-ES38</f>
        <v>-3449128.7899999991</v>
      </c>
      <c r="ET39" s="138"/>
    </row>
    <row r="40" spans="1:150" ht="14.25" customHeight="1">
      <c r="M40" s="250"/>
      <c r="N40" s="240"/>
      <c r="T40" s="250" t="s">
        <v>145</v>
      </c>
      <c r="U40" s="127">
        <v>0</v>
      </c>
      <c r="AB40" s="314" t="s">
        <v>145</v>
      </c>
      <c r="AC40" s="127">
        <v>0</v>
      </c>
      <c r="AM40" s="314" t="s">
        <v>145</v>
      </c>
      <c r="AN40" s="127">
        <v>0</v>
      </c>
      <c r="AX40" s="314" t="s">
        <v>145</v>
      </c>
      <c r="AY40" s="127">
        <v>0</v>
      </c>
      <c r="BI40" s="314" t="s">
        <v>145</v>
      </c>
      <c r="BJ40" s="127">
        <v>0</v>
      </c>
      <c r="BT40" s="314" t="s">
        <v>145</v>
      </c>
      <c r="BU40" s="127">
        <v>0</v>
      </c>
      <c r="CE40" s="314" t="s">
        <v>145</v>
      </c>
      <c r="CF40" s="127">
        <v>0</v>
      </c>
      <c r="CL40" s="138"/>
      <c r="CQ40" s="314" t="s">
        <v>145</v>
      </c>
      <c r="CR40" s="127">
        <v>0</v>
      </c>
      <c r="CX40" s="138"/>
      <c r="CY40" s="138"/>
      <c r="DC40" s="314" t="s">
        <v>145</v>
      </c>
      <c r="DD40" s="127">
        <v>0</v>
      </c>
      <c r="DJ40" s="138"/>
      <c r="DK40" s="138"/>
      <c r="DO40" s="314" t="s">
        <v>145</v>
      </c>
      <c r="DP40" s="127">
        <f>31-DP39</f>
        <v>0</v>
      </c>
      <c r="DV40" s="138"/>
      <c r="DW40" s="138"/>
      <c r="EA40" s="314" t="s">
        <v>145</v>
      </c>
      <c r="EB40" s="127">
        <f>30-EB39</f>
        <v>0</v>
      </c>
      <c r="EH40" s="138"/>
      <c r="EI40" s="138"/>
      <c r="EM40" s="314" t="s">
        <v>145</v>
      </c>
      <c r="EN40" s="127">
        <f>31-EN39</f>
        <v>0</v>
      </c>
      <c r="ET40" s="138"/>
    </row>
    <row r="41" spans="1:150" ht="14.25" customHeight="1">
      <c r="M41" s="250"/>
      <c r="N41" s="240"/>
      <c r="AB41" s="138"/>
      <c r="AM41" s="138"/>
      <c r="AX41" s="138"/>
      <c r="BI41" s="138"/>
      <c r="BT41" s="138"/>
      <c r="CE41" s="138"/>
      <c r="CL41" s="138"/>
      <c r="CQ41" s="138"/>
      <c r="CX41" s="138"/>
      <c r="CY41" s="138"/>
      <c r="DC41" s="138"/>
      <c r="DJ41" s="138"/>
      <c r="DK41" s="138"/>
      <c r="DO41" s="138"/>
      <c r="DV41" s="138"/>
      <c r="DW41" s="138"/>
      <c r="EA41" s="138"/>
      <c r="EH41" s="138"/>
      <c r="EI41" s="138"/>
      <c r="EM41" s="138"/>
      <c r="ET41" s="138"/>
    </row>
    <row r="42" spans="1:150" ht="14.25" customHeight="1">
      <c r="A42" s="369"/>
      <c r="B42" s="351"/>
      <c r="C42" s="351"/>
      <c r="D42" s="351"/>
      <c r="E42" s="250"/>
      <c r="F42" s="240"/>
      <c r="H42" s="315"/>
      <c r="I42" s="369"/>
      <c r="J42" s="351"/>
      <c r="K42" s="351"/>
      <c r="L42" s="351"/>
      <c r="M42" s="250"/>
      <c r="N42" s="240"/>
      <c r="P42" s="315"/>
      <c r="Q42" s="316"/>
      <c r="R42" s="316"/>
      <c r="S42" s="316"/>
      <c r="T42" s="250" t="s">
        <v>146</v>
      </c>
      <c r="U42" s="240">
        <f>T38/U39</f>
        <v>807564.56638387078</v>
      </c>
      <c r="V42" s="169" t="s">
        <v>147</v>
      </c>
      <c r="W42" s="164">
        <f>U48/31</f>
        <v>823200</v>
      </c>
      <c r="X42" s="315"/>
      <c r="Y42" s="316"/>
      <c r="Z42" s="316"/>
      <c r="AA42" s="316"/>
      <c r="AB42" s="317" t="s">
        <v>146</v>
      </c>
      <c r="AC42" s="318">
        <f>AB38/AC39</f>
        <v>911800.49225714279</v>
      </c>
      <c r="AD42" s="14" t="s">
        <v>147</v>
      </c>
      <c r="AE42" s="164"/>
      <c r="AF42" s="164"/>
      <c r="AG42" s="164"/>
      <c r="AH42" s="164">
        <f>AC48/28</f>
        <v>823200</v>
      </c>
      <c r="AI42" s="315"/>
      <c r="AJ42" s="316"/>
      <c r="AK42" s="316"/>
      <c r="AL42" s="316"/>
      <c r="AM42" s="317" t="s">
        <v>146</v>
      </c>
      <c r="AN42" s="318">
        <f>AM38/AN39</f>
        <v>954292.090322581</v>
      </c>
      <c r="AO42" s="14" t="s">
        <v>147</v>
      </c>
      <c r="AP42" s="164"/>
      <c r="AQ42" s="164"/>
      <c r="AR42" s="164"/>
      <c r="AS42" s="164">
        <f>AN48/29</f>
        <v>879972.41379310342</v>
      </c>
      <c r="AT42" s="315"/>
      <c r="AU42" s="316"/>
      <c r="AV42" s="316"/>
      <c r="AW42" s="316"/>
      <c r="AX42" s="317" t="s">
        <v>146</v>
      </c>
      <c r="AY42" s="318">
        <f>AX38/AY39</f>
        <v>1010717.2720000001</v>
      </c>
      <c r="AZ42" s="14" t="s">
        <v>147</v>
      </c>
      <c r="BA42" s="164"/>
      <c r="BB42" s="164"/>
      <c r="BC42" s="164"/>
      <c r="BD42" s="164">
        <f>AY48/30</f>
        <v>823200</v>
      </c>
      <c r="BE42" s="315"/>
      <c r="BF42" s="316"/>
      <c r="BG42" s="316"/>
      <c r="BH42" s="316"/>
      <c r="BI42" s="317" t="s">
        <v>146</v>
      </c>
      <c r="BJ42" s="318">
        <f>BI38/BJ39</f>
        <v>1006541.6941935483</v>
      </c>
      <c r="BK42" s="14" t="s">
        <v>147</v>
      </c>
      <c r="BL42" s="164"/>
      <c r="BM42" s="164"/>
      <c r="BN42" s="164"/>
      <c r="BO42" s="164">
        <f>BJ48/29</f>
        <v>851586.20689655177</v>
      </c>
      <c r="BP42" s="164"/>
      <c r="BQ42" s="316"/>
      <c r="BR42" s="316"/>
      <c r="BS42" s="316"/>
      <c r="BT42" s="317" t="s">
        <v>146</v>
      </c>
      <c r="BU42" s="318">
        <f>BT38/BU39</f>
        <v>947572.53333333321</v>
      </c>
      <c r="BV42" s="14" t="s">
        <v>147</v>
      </c>
      <c r="BW42" s="164"/>
      <c r="BX42" s="164"/>
      <c r="BY42" s="164"/>
      <c r="BZ42" s="164">
        <f>BU48/29</f>
        <v>851586.20689655177</v>
      </c>
      <c r="CA42" s="164"/>
      <c r="CB42" s="316"/>
      <c r="CC42" s="316"/>
      <c r="CD42" s="316"/>
      <c r="CE42" s="317" t="s">
        <v>146</v>
      </c>
      <c r="CF42" s="318">
        <f>CE38/CF39</f>
        <v>896886.2058064515</v>
      </c>
      <c r="CG42" s="14" t="s">
        <v>147</v>
      </c>
      <c r="CH42" s="164"/>
      <c r="CI42" s="164"/>
      <c r="CJ42" s="164"/>
      <c r="CK42" s="164">
        <f>CF48/29</f>
        <v>851586.20689655177</v>
      </c>
      <c r="CL42" s="154"/>
      <c r="CM42" s="164"/>
      <c r="CN42" s="316"/>
      <c r="CO42" s="316"/>
      <c r="CP42" s="316"/>
      <c r="CQ42" s="317" t="s">
        <v>146</v>
      </c>
      <c r="CR42" s="318">
        <f>CQ38/CR39</f>
        <v>913300.59039032238</v>
      </c>
      <c r="CS42" s="14" t="s">
        <v>147</v>
      </c>
      <c r="CT42" s="164"/>
      <c r="CU42" s="164"/>
      <c r="CV42" s="164"/>
      <c r="CW42" s="164">
        <f>CR48/29</f>
        <v>851586.20689655177</v>
      </c>
      <c r="CX42" s="154"/>
      <c r="CY42" s="154"/>
      <c r="CZ42" s="316"/>
      <c r="DA42" s="316"/>
      <c r="DB42" s="316"/>
      <c r="DC42" s="317" t="s">
        <v>146</v>
      </c>
      <c r="DD42" s="318">
        <f>DC38/DD39</f>
        <v>927510.54508333304</v>
      </c>
      <c r="DE42" s="14" t="s">
        <v>147</v>
      </c>
      <c r="DF42" s="164"/>
      <c r="DG42" s="164"/>
      <c r="DH42" s="164"/>
      <c r="DI42" s="164">
        <f>DD48/29</f>
        <v>851586.20689655177</v>
      </c>
      <c r="DJ42" s="154"/>
      <c r="DK42" s="154"/>
      <c r="DL42" s="316"/>
      <c r="DM42" s="316"/>
      <c r="DN42" s="316"/>
      <c r="DO42" s="317" t="s">
        <v>146</v>
      </c>
      <c r="DP42" s="318">
        <f>DO38/DP39</f>
        <v>945156.71709677426</v>
      </c>
      <c r="DQ42" s="14" t="s">
        <v>147</v>
      </c>
      <c r="DR42" s="164"/>
      <c r="DS42" s="164"/>
      <c r="DT42" s="164"/>
      <c r="DU42" s="164">
        <f>DP48/29</f>
        <v>879972.41379310342</v>
      </c>
      <c r="DV42" s="154"/>
      <c r="DW42" s="154"/>
      <c r="DX42" s="316"/>
      <c r="DY42" s="316"/>
      <c r="DZ42" s="316"/>
      <c r="EA42" s="317" t="s">
        <v>146</v>
      </c>
      <c r="EB42" s="318">
        <f>EA38/EB39</f>
        <v>939082.43599999999</v>
      </c>
      <c r="EC42" s="14" t="s">
        <v>147</v>
      </c>
      <c r="ED42" s="164"/>
      <c r="EE42" s="164"/>
      <c r="EF42" s="164"/>
      <c r="EG42" s="164">
        <f>EB48/29</f>
        <v>851586.20689655177</v>
      </c>
      <c r="EH42" s="154"/>
      <c r="EI42" s="154"/>
      <c r="EJ42" s="316"/>
      <c r="EK42" s="316"/>
      <c r="EL42" s="316"/>
      <c r="EM42" s="317" t="s">
        <v>146</v>
      </c>
      <c r="EN42" s="318">
        <f>EM38/EN39</f>
        <v>833312.08709677437</v>
      </c>
      <c r="EO42" s="14" t="s">
        <v>147</v>
      </c>
      <c r="EP42" s="164"/>
      <c r="EQ42" s="164"/>
      <c r="ER42" s="164"/>
      <c r="ES42" s="164">
        <f>EN48/31</f>
        <v>870240</v>
      </c>
      <c r="ET42" s="154"/>
    </row>
    <row r="43" spans="1:150" ht="14.25" customHeight="1">
      <c r="A43" s="370"/>
      <c r="B43" s="351"/>
      <c r="C43" s="351"/>
      <c r="D43" s="351"/>
      <c r="H43" s="319"/>
      <c r="I43" s="370"/>
      <c r="J43" s="351"/>
      <c r="K43" s="351"/>
      <c r="L43" s="351"/>
      <c r="T43" s="250" t="s">
        <v>148</v>
      </c>
      <c r="U43" s="240">
        <f>T38+(U42*U40)</f>
        <v>25034501.557899993</v>
      </c>
      <c r="V43" s="128">
        <v>44614</v>
      </c>
      <c r="AB43" s="317" t="s">
        <v>148</v>
      </c>
      <c r="AC43" s="318">
        <f>AB38+(AC42*AC40)</f>
        <v>25530413.783199999</v>
      </c>
      <c r="AD43" s="129">
        <v>44642</v>
      </c>
      <c r="AM43" s="317" t="s">
        <v>148</v>
      </c>
      <c r="AN43" s="318">
        <f>AM38+(AN42*AN40)</f>
        <v>29583054.800000012</v>
      </c>
      <c r="AO43" s="129">
        <v>44668</v>
      </c>
      <c r="AX43" s="317" t="s">
        <v>148</v>
      </c>
      <c r="AY43" s="318">
        <f>AX38+(AY42*AY40)</f>
        <v>30321518.160000004</v>
      </c>
      <c r="AZ43" s="129">
        <v>44706</v>
      </c>
      <c r="BI43" s="317" t="s">
        <v>148</v>
      </c>
      <c r="BJ43" s="318">
        <f>BI38+(BJ42*BJ40)</f>
        <v>31202792.519999996</v>
      </c>
      <c r="BK43" s="129">
        <v>44737</v>
      </c>
      <c r="BT43" s="317" t="s">
        <v>148</v>
      </c>
      <c r="BU43" s="318">
        <f>BT38+(BU42*BU40)</f>
        <v>28427175.999999996</v>
      </c>
      <c r="BV43" s="129">
        <v>44737</v>
      </c>
      <c r="CE43" s="317" t="s">
        <v>148</v>
      </c>
      <c r="CF43" s="318">
        <f>CE38+(CF42*CF40)</f>
        <v>27803472.379999995</v>
      </c>
      <c r="CG43" s="129">
        <v>44767</v>
      </c>
      <c r="CL43" s="138"/>
      <c r="CQ43" s="317" t="s">
        <v>148</v>
      </c>
      <c r="CR43" s="318">
        <f>CQ38+(CR42*CR40)</f>
        <v>28312318.302099995</v>
      </c>
      <c r="CS43" s="129">
        <v>44767</v>
      </c>
      <c r="CX43" s="138"/>
      <c r="CY43" s="138"/>
      <c r="DC43" s="317" t="s">
        <v>148</v>
      </c>
      <c r="DD43" s="318">
        <f>DC38+(DD42*DD40)</f>
        <v>27825316.352499992</v>
      </c>
      <c r="DE43" s="129">
        <v>44767</v>
      </c>
      <c r="DJ43" s="138"/>
      <c r="DK43" s="138"/>
      <c r="DO43" s="317" t="s">
        <v>148</v>
      </c>
      <c r="DP43" s="318">
        <f>DO38+(DP42*DP40)</f>
        <v>29299858.23</v>
      </c>
      <c r="DQ43" s="129">
        <v>44890</v>
      </c>
      <c r="DV43" s="138"/>
      <c r="DW43" s="138"/>
      <c r="EA43" s="317" t="s">
        <v>148</v>
      </c>
      <c r="EB43" s="318">
        <f>EA38+(EB42*EB40)</f>
        <v>28172473.079999998</v>
      </c>
      <c r="EC43" s="129">
        <v>44890</v>
      </c>
      <c r="EH43" s="138"/>
      <c r="EI43" s="138"/>
      <c r="EM43" s="317" t="s">
        <v>148</v>
      </c>
      <c r="EN43" s="318">
        <f>EM38+(EN42*EN40)</f>
        <v>25832674.700000007</v>
      </c>
      <c r="EO43" s="129">
        <v>44890</v>
      </c>
      <c r="ET43" s="138"/>
    </row>
    <row r="44" spans="1:150" ht="14.25" customHeight="1">
      <c r="E44" s="319"/>
      <c r="M44" s="319"/>
      <c r="N44" s="130"/>
      <c r="O44" s="130"/>
      <c r="T44" s="363" t="s">
        <v>149</v>
      </c>
      <c r="U44" s="240">
        <f>U38/U39</f>
        <v>831511.48387096776</v>
      </c>
      <c r="V44" s="130" t="s">
        <v>147</v>
      </c>
      <c r="AB44" s="364" t="s">
        <v>149</v>
      </c>
      <c r="AC44" s="318">
        <f>AC38/AC39</f>
        <v>837380.14285714284</v>
      </c>
      <c r="AD44" s="132" t="s">
        <v>147</v>
      </c>
      <c r="AH44" s="363" t="s">
        <v>150</v>
      </c>
      <c r="AM44" s="364" t="s">
        <v>149</v>
      </c>
      <c r="AN44" s="318">
        <f>AN38/AN39</f>
        <v>840000</v>
      </c>
      <c r="AO44" s="132" t="s">
        <v>147</v>
      </c>
      <c r="AS44" s="363" t="s">
        <v>150</v>
      </c>
      <c r="AX44" s="364" t="s">
        <v>149</v>
      </c>
      <c r="AY44" s="318">
        <f>AY38/AY39</f>
        <v>840000</v>
      </c>
      <c r="AZ44" s="132" t="s">
        <v>147</v>
      </c>
      <c r="BD44" s="363" t="s">
        <v>150</v>
      </c>
      <c r="BI44" s="364" t="s">
        <v>149</v>
      </c>
      <c r="BJ44" s="318">
        <f>BJ38/BJ39</f>
        <v>840000</v>
      </c>
      <c r="BK44" s="132" t="s">
        <v>147</v>
      </c>
      <c r="BO44" s="363" t="s">
        <v>150</v>
      </c>
      <c r="BP44" s="131"/>
      <c r="BT44" s="364" t="s">
        <v>149</v>
      </c>
      <c r="BU44" s="318">
        <f>BU38/BU39</f>
        <v>840000</v>
      </c>
      <c r="BV44" s="132" t="s">
        <v>147</v>
      </c>
      <c r="BZ44" s="363" t="s">
        <v>150</v>
      </c>
      <c r="CA44" s="131"/>
      <c r="CE44" s="364" t="s">
        <v>149</v>
      </c>
      <c r="CF44" s="318">
        <f>CF38/CF39</f>
        <v>840000</v>
      </c>
      <c r="CG44" s="132" t="s">
        <v>147</v>
      </c>
      <c r="CK44" s="363" t="s">
        <v>150</v>
      </c>
      <c r="CL44" s="133"/>
      <c r="CM44" s="131"/>
      <c r="CQ44" s="364" t="s">
        <v>149</v>
      </c>
      <c r="CR44" s="318">
        <f>CR38/CR39</f>
        <v>840000</v>
      </c>
      <c r="CS44" s="132" t="s">
        <v>147</v>
      </c>
      <c r="CW44" s="363" t="s">
        <v>150</v>
      </c>
      <c r="CX44" s="133"/>
      <c r="CY44" s="133"/>
      <c r="DC44" s="364" t="s">
        <v>149</v>
      </c>
      <c r="DD44" s="318">
        <f>DD38/DD39</f>
        <v>840000</v>
      </c>
      <c r="DE44" s="132" t="s">
        <v>147</v>
      </c>
      <c r="DI44" s="363" t="s">
        <v>150</v>
      </c>
      <c r="DJ44" s="133"/>
      <c r="DK44" s="133"/>
      <c r="DO44" s="364" t="s">
        <v>149</v>
      </c>
      <c r="DP44" s="318">
        <f>DP38/DP39</f>
        <v>840000</v>
      </c>
      <c r="DQ44" s="132" t="s">
        <v>147</v>
      </c>
      <c r="DU44" s="363" t="s">
        <v>150</v>
      </c>
      <c r="DV44" s="133"/>
      <c r="DW44" s="133"/>
      <c r="EA44" s="364" t="s">
        <v>149</v>
      </c>
      <c r="EB44" s="318">
        <f>EB38/EB39</f>
        <v>839943.66666666663</v>
      </c>
      <c r="EC44" s="132" t="s">
        <v>147</v>
      </c>
      <c r="EG44" s="363" t="s">
        <v>150</v>
      </c>
      <c r="EH44" s="133"/>
      <c r="EI44" s="133"/>
      <c r="EM44" s="364" t="s">
        <v>149</v>
      </c>
      <c r="EN44" s="318">
        <f>EN38/EN39</f>
        <v>883086.29677419353</v>
      </c>
      <c r="EO44" s="132" t="s">
        <v>147</v>
      </c>
      <c r="ES44" s="362" t="s">
        <v>151</v>
      </c>
      <c r="ET44" s="133"/>
    </row>
    <row r="45" spans="1:150" ht="14.25" customHeight="1">
      <c r="A45" s="240"/>
      <c r="E45" s="205"/>
      <c r="F45" s="319"/>
      <c r="G45" s="319"/>
      <c r="H45" s="240"/>
      <c r="I45" s="240"/>
      <c r="M45" s="205"/>
      <c r="T45" s="351"/>
      <c r="U45" s="215">
        <f>U38+(U44*U40)</f>
        <v>25776856</v>
      </c>
      <c r="V45" s="240">
        <f>744*35000</f>
        <v>26040000</v>
      </c>
      <c r="W45" s="363" t="s">
        <v>150</v>
      </c>
      <c r="AB45" s="365"/>
      <c r="AC45" s="320">
        <f>AC38+(AC44*AC40)</f>
        <v>23446644</v>
      </c>
      <c r="AD45" s="318">
        <f>35000*24*28</f>
        <v>23520000</v>
      </c>
      <c r="AE45" s="131">
        <f>AC45/AD45</f>
        <v>0.99688112244897964</v>
      </c>
      <c r="AF45" s="131"/>
      <c r="AG45" s="131"/>
      <c r="AH45" s="351"/>
      <c r="AM45" s="365"/>
      <c r="AN45" s="320">
        <f>AN38+(AN44*AN40)</f>
        <v>26040000</v>
      </c>
      <c r="AO45" s="318">
        <f>35000*24*31</f>
        <v>26040000</v>
      </c>
      <c r="AP45" s="134">
        <f>AN45/AO45</f>
        <v>1</v>
      </c>
      <c r="AQ45" s="131"/>
      <c r="AR45" s="134">
        <f>AN38/AO45</f>
        <v>1</v>
      </c>
      <c r="AS45" s="351"/>
      <c r="AX45" s="365"/>
      <c r="AY45" s="320">
        <f>AY38+(AY44*AY40)</f>
        <v>25200000</v>
      </c>
      <c r="AZ45" s="318">
        <f>35000*24*30</f>
        <v>25200000</v>
      </c>
      <c r="BA45" s="134">
        <f>AY45/AZ45</f>
        <v>1</v>
      </c>
      <c r="BB45" s="131"/>
      <c r="BC45" s="134">
        <f>AY38/AZ45</f>
        <v>1</v>
      </c>
      <c r="BD45" s="351"/>
      <c r="BI45" s="365"/>
      <c r="BJ45" s="320">
        <f>BJ38+(BJ44*BJ40)</f>
        <v>26040000</v>
      </c>
      <c r="BK45" s="318">
        <f>35000*24*30</f>
        <v>25200000</v>
      </c>
      <c r="BL45" s="134">
        <f>BJ45/BK45</f>
        <v>1.0333333333333334</v>
      </c>
      <c r="BM45" s="131"/>
      <c r="BN45" s="134">
        <f>BJ38/BK45</f>
        <v>1.0333333333333334</v>
      </c>
      <c r="BO45" s="351"/>
      <c r="BP45" s="131"/>
      <c r="BT45" s="365"/>
      <c r="BU45" s="320">
        <f>BU38+(BU44*BU40)</f>
        <v>25200000</v>
      </c>
      <c r="BV45" s="318">
        <f>35000*24*30</f>
        <v>25200000</v>
      </c>
      <c r="BW45" s="134">
        <f>BU45/BV45</f>
        <v>1</v>
      </c>
      <c r="BX45" s="131"/>
      <c r="BY45" s="134">
        <f>BU38/BV45</f>
        <v>1</v>
      </c>
      <c r="BZ45" s="351"/>
      <c r="CA45" s="131"/>
      <c r="CE45" s="365"/>
      <c r="CF45" s="320">
        <f>CF38+(CF44*CF40)</f>
        <v>26040000</v>
      </c>
      <c r="CG45" s="318">
        <f>35000*24*30</f>
        <v>25200000</v>
      </c>
      <c r="CH45" s="134">
        <f>CF45/CG45</f>
        <v>1.0333333333333334</v>
      </c>
      <c r="CI45" s="131"/>
      <c r="CJ45" s="134">
        <f>CF38/CG45</f>
        <v>1.0333333333333334</v>
      </c>
      <c r="CK45" s="351"/>
      <c r="CL45" s="133"/>
      <c r="CM45" s="131"/>
      <c r="CQ45" s="365"/>
      <c r="CR45" s="320">
        <f>CR38+(CR44*CR40)</f>
        <v>26040000</v>
      </c>
      <c r="CS45" s="318">
        <f>35000*24*30</f>
        <v>25200000</v>
      </c>
      <c r="CT45" s="134">
        <f>CR45/CS45</f>
        <v>1.0333333333333334</v>
      </c>
      <c r="CU45" s="131"/>
      <c r="CV45" s="134">
        <f>CR38/CS45</f>
        <v>1.0333333333333334</v>
      </c>
      <c r="CW45" s="351"/>
      <c r="CX45" s="133"/>
      <c r="CY45" s="133"/>
      <c r="DC45" s="365"/>
      <c r="DD45" s="320">
        <f>DD38+(DD44*DD40)</f>
        <v>25200000</v>
      </c>
      <c r="DE45" s="318">
        <f>35000*24*30</f>
        <v>25200000</v>
      </c>
      <c r="DF45" s="134">
        <f>DD45/DE45</f>
        <v>1</v>
      </c>
      <c r="DG45" s="131"/>
      <c r="DH45" s="134">
        <f>DD38/DE45</f>
        <v>1</v>
      </c>
      <c r="DI45" s="351"/>
      <c r="DJ45" s="133"/>
      <c r="DK45" s="133"/>
      <c r="DO45" s="365"/>
      <c r="DP45" s="320">
        <f>DP38+(DP44*DP40)</f>
        <v>26040000</v>
      </c>
      <c r="DQ45" s="318">
        <f>35000*24*31</f>
        <v>26040000</v>
      </c>
      <c r="DR45" s="134">
        <f>DP45/DQ45</f>
        <v>1</v>
      </c>
      <c r="DS45" s="131"/>
      <c r="DT45" s="134">
        <f>DP38/DQ45</f>
        <v>1</v>
      </c>
      <c r="DU45" s="351"/>
      <c r="DV45" s="133"/>
      <c r="DW45" s="133"/>
      <c r="EA45" s="365"/>
      <c r="EB45" s="320">
        <f>EB38+(EB44*EB40)</f>
        <v>25198310</v>
      </c>
      <c r="EC45" s="318">
        <f>35000*24*30</f>
        <v>25200000</v>
      </c>
      <c r="ED45" s="134">
        <f>EB45/EC45</f>
        <v>0.99993293650793647</v>
      </c>
      <c r="EE45" s="131"/>
      <c r="EF45" s="134">
        <f>EB38/EC45</f>
        <v>0.99993293650793647</v>
      </c>
      <c r="EG45" s="351"/>
      <c r="EH45" s="133"/>
      <c r="EI45" s="133"/>
      <c r="EM45" s="365"/>
      <c r="EN45" s="320">
        <f>EN38+(EN44*EN40)</f>
        <v>27375675.199999999</v>
      </c>
      <c r="EO45" s="318">
        <f>37000*24*31</f>
        <v>27528000</v>
      </c>
      <c r="EP45" s="134">
        <f>EN45/EO45</f>
        <v>0.99446655042138909</v>
      </c>
      <c r="EQ45" s="131"/>
      <c r="ER45" s="134">
        <f>EN38/EO45</f>
        <v>0.99446655042138909</v>
      </c>
      <c r="ES45" s="351"/>
      <c r="ET45" s="133"/>
    </row>
    <row r="46" spans="1:150" ht="14.25" customHeight="1">
      <c r="G46" s="240"/>
      <c r="V46" s="135">
        <f>V45/31</f>
        <v>840000</v>
      </c>
      <c r="W46" s="351"/>
      <c r="AD46" s="135">
        <f>AD45/28</f>
        <v>840000</v>
      </c>
      <c r="AE46" s="131"/>
      <c r="AF46" s="131"/>
      <c r="AG46" s="131"/>
      <c r="AH46" s="351"/>
      <c r="AO46" s="135">
        <f>AO45/31</f>
        <v>840000</v>
      </c>
      <c r="AP46" s="131"/>
      <c r="AQ46" s="131"/>
      <c r="AR46" s="131"/>
      <c r="AS46" s="351"/>
      <c r="AZ46" s="135">
        <f>AZ45/30</f>
        <v>840000</v>
      </c>
      <c r="BA46" s="131"/>
      <c r="BB46" s="131"/>
      <c r="BC46" s="131"/>
      <c r="BD46" s="351"/>
      <c r="BK46" s="135">
        <f>BK45/30</f>
        <v>840000</v>
      </c>
      <c r="BL46" s="131"/>
      <c r="BM46" s="131"/>
      <c r="BN46" s="131"/>
      <c r="BO46" s="351"/>
      <c r="BP46" s="131"/>
      <c r="BV46" s="135">
        <f>BV45/30</f>
        <v>840000</v>
      </c>
      <c r="BW46" s="131"/>
      <c r="BX46" s="131"/>
      <c r="BY46" s="131"/>
      <c r="BZ46" s="351"/>
      <c r="CA46" s="131"/>
      <c r="CG46" s="135">
        <f>CG45/30</f>
        <v>840000</v>
      </c>
      <c r="CH46" s="131"/>
      <c r="CI46" s="131"/>
      <c r="CJ46" s="131"/>
      <c r="CK46" s="351"/>
      <c r="CL46" s="133"/>
      <c r="CM46" s="131"/>
      <c r="CS46" s="135">
        <f>CS45/30</f>
        <v>840000</v>
      </c>
      <c r="CT46" s="131"/>
      <c r="CU46" s="131"/>
      <c r="CV46" s="131"/>
      <c r="CW46" s="351"/>
      <c r="CX46" s="133"/>
      <c r="CY46" s="133"/>
      <c r="DE46" s="135">
        <f>DE45/30</f>
        <v>840000</v>
      </c>
      <c r="DF46" s="131"/>
      <c r="DG46" s="131"/>
      <c r="DH46" s="131"/>
      <c r="DI46" s="351"/>
      <c r="DJ46" s="133"/>
      <c r="DK46" s="133"/>
      <c r="DQ46" s="135">
        <f>DQ45/31</f>
        <v>840000</v>
      </c>
      <c r="DR46" s="131"/>
      <c r="DS46" s="131"/>
      <c r="DT46" s="131"/>
      <c r="DU46" s="351"/>
      <c r="DV46" s="133"/>
      <c r="DW46" s="133"/>
      <c r="EC46" s="135">
        <f>EC45/30</f>
        <v>840000</v>
      </c>
      <c r="ED46" s="131"/>
      <c r="EE46" s="131"/>
      <c r="EF46" s="131"/>
      <c r="EG46" s="351"/>
      <c r="EH46" s="133"/>
      <c r="EI46" s="133"/>
      <c r="EO46" s="135">
        <f>EO45/31</f>
        <v>888000</v>
      </c>
      <c r="EP46" s="131"/>
      <c r="EQ46" s="131"/>
      <c r="ER46" s="131"/>
      <c r="ES46" s="351"/>
      <c r="ET46" s="133"/>
    </row>
    <row r="47" spans="1:150" ht="14.25" customHeight="1">
      <c r="G47" s="240"/>
      <c r="U47" s="164"/>
      <c r="V47" s="321">
        <f>1-(U45/V45)</f>
        <v>1.0105376344086037E-2</v>
      </c>
      <c r="AC47" s="164"/>
      <c r="AD47" s="321">
        <f>1-(AC45/AD45)</f>
        <v>3.1188775510203604E-3</v>
      </c>
      <c r="AN47" s="164"/>
      <c r="AO47" s="321">
        <f>1-(AN45/AO45)</f>
        <v>0</v>
      </c>
      <c r="AY47" s="164"/>
      <c r="AZ47" s="321">
        <f>1-(AY45/AZ45)</f>
        <v>0</v>
      </c>
      <c r="BJ47" s="164"/>
      <c r="BK47" s="321">
        <f>1-(BJ45/BK45)</f>
        <v>-3.3333333333333437E-2</v>
      </c>
      <c r="BU47" s="164"/>
      <c r="BV47" s="321">
        <f>1-(BU45/BV45)</f>
        <v>0</v>
      </c>
      <c r="CF47" s="164"/>
      <c r="CG47" s="321">
        <f>1-(CF45/CG45)</f>
        <v>-3.3333333333333437E-2</v>
      </c>
      <c r="CL47" s="138"/>
      <c r="CR47" s="164"/>
      <c r="CS47" s="321">
        <f>1-(CR45/CS45)</f>
        <v>-3.3333333333333437E-2</v>
      </c>
      <c r="CX47" s="138"/>
      <c r="CY47" s="138"/>
      <c r="DD47" s="164"/>
      <c r="DE47" s="321">
        <f>1-(DD45/DE45)</f>
        <v>0</v>
      </c>
      <c r="DJ47" s="138"/>
      <c r="DK47" s="138"/>
      <c r="DP47" s="164">
        <f>DP48/31</f>
        <v>823200</v>
      </c>
      <c r="DQ47" s="321">
        <f>1-(DP45/DQ45)</f>
        <v>0</v>
      </c>
      <c r="DV47" s="138"/>
      <c r="DW47" s="138"/>
      <c r="EB47" s="164">
        <f>EB48/31</f>
        <v>796645.16129032255</v>
      </c>
      <c r="EC47" s="321">
        <f>1-(EB45/EC45)</f>
        <v>6.7063492063534902E-5</v>
      </c>
      <c r="EH47" s="138"/>
      <c r="EI47" s="138"/>
      <c r="EN47" s="164">
        <f>EN48/31</f>
        <v>870240</v>
      </c>
      <c r="EO47" s="321">
        <f>1-(EN45/EO45)</f>
        <v>5.533449578610905E-3</v>
      </c>
      <c r="ET47" s="138"/>
    </row>
    <row r="48" spans="1:150" ht="14.25" customHeight="1">
      <c r="F48" s="240"/>
      <c r="G48" s="240"/>
      <c r="T48" s="130"/>
      <c r="U48" s="164">
        <f>V45*98%</f>
        <v>25519200</v>
      </c>
      <c r="V48" s="214">
        <f>U45/V45</f>
        <v>0.98989462365591396</v>
      </c>
      <c r="W48" s="164"/>
      <c r="AB48" s="130"/>
      <c r="AC48" s="164">
        <f>AD45*98%</f>
        <v>23049600</v>
      </c>
      <c r="AD48" s="214">
        <f>AC45/AD45</f>
        <v>0.99688112244897964</v>
      </c>
      <c r="AE48" s="164"/>
      <c r="AF48" s="164"/>
      <c r="AG48" s="164"/>
      <c r="AH48" s="164"/>
      <c r="AM48" s="130"/>
      <c r="AN48" s="164">
        <f>AO45*98%</f>
        <v>25519200</v>
      </c>
      <c r="AO48" s="214">
        <f>AN45/AO45</f>
        <v>1</v>
      </c>
      <c r="AP48" s="322">
        <f>SUM(AO47:AO48)</f>
        <v>1</v>
      </c>
      <c r="AQ48" s="164"/>
      <c r="AR48" s="164"/>
      <c r="AS48" s="164"/>
      <c r="AX48" s="130"/>
      <c r="AY48" s="164">
        <f>AZ45*98%</f>
        <v>24696000</v>
      </c>
      <c r="AZ48" s="214">
        <f>AY45/AZ45</f>
        <v>1</v>
      </c>
      <c r="BA48" s="322">
        <f>SUM(AZ47:AZ48)</f>
        <v>1</v>
      </c>
      <c r="BB48" s="164"/>
      <c r="BC48" s="164"/>
      <c r="BD48" s="164"/>
      <c r="BI48" s="130"/>
      <c r="BJ48" s="164">
        <f>BK45*98%</f>
        <v>24696000</v>
      </c>
      <c r="BK48" s="214">
        <f>BJ45/BK45</f>
        <v>1.0333333333333334</v>
      </c>
      <c r="BL48" s="322">
        <f>SUM(BK47:BK48)</f>
        <v>1</v>
      </c>
      <c r="BM48" s="164"/>
      <c r="BN48" s="164"/>
      <c r="BO48" s="164"/>
      <c r="BP48" s="164"/>
      <c r="BT48" s="130"/>
      <c r="BU48" s="164">
        <f>BV45*98%</f>
        <v>24696000</v>
      </c>
      <c r="BV48" s="214">
        <f>BU45/BV45</f>
        <v>1</v>
      </c>
      <c r="BW48" s="322">
        <f>SUM(BV47:BV48)</f>
        <v>1</v>
      </c>
      <c r="BX48" s="164"/>
      <c r="BY48" s="164"/>
      <c r="BZ48" s="164"/>
      <c r="CA48" s="164"/>
      <c r="CE48" s="130"/>
      <c r="CF48" s="164">
        <f>CG45*98%</f>
        <v>24696000</v>
      </c>
      <c r="CG48" s="214">
        <f>CF45/CG45</f>
        <v>1.0333333333333334</v>
      </c>
      <c r="CH48" s="322">
        <f>SUM(CG47:CG48)</f>
        <v>1</v>
      </c>
      <c r="CI48" s="164"/>
      <c r="CJ48" s="164"/>
      <c r="CK48" s="164"/>
      <c r="CL48" s="154"/>
      <c r="CM48" s="164"/>
      <c r="CQ48" s="130"/>
      <c r="CR48" s="164">
        <f>CS45*98%</f>
        <v>24696000</v>
      </c>
      <c r="CS48" s="214">
        <f>CR45/CS45</f>
        <v>1.0333333333333334</v>
      </c>
      <c r="CT48" s="322">
        <f>SUM(CS47:CS48)</f>
        <v>1</v>
      </c>
      <c r="CU48" s="164"/>
      <c r="CV48" s="164"/>
      <c r="CW48" s="164"/>
      <c r="CX48" s="154"/>
      <c r="CY48" s="154"/>
      <c r="DC48" s="130"/>
      <c r="DD48" s="164">
        <f>DE45*98%</f>
        <v>24696000</v>
      </c>
      <c r="DE48" s="214">
        <f>DD45/DE45</f>
        <v>1</v>
      </c>
      <c r="DF48" s="322">
        <f>SUM(DE47:DE48)</f>
        <v>1</v>
      </c>
      <c r="DG48" s="164"/>
      <c r="DH48" s="164"/>
      <c r="DI48" s="164"/>
      <c r="DJ48" s="154"/>
      <c r="DK48" s="154"/>
      <c r="DO48" s="130"/>
      <c r="DP48" s="164">
        <f>DQ45*98%</f>
        <v>25519200</v>
      </c>
      <c r="DQ48" s="214">
        <f>DP45/DQ45</f>
        <v>1</v>
      </c>
      <c r="DR48" s="322">
        <f>SUM(DQ47:DQ48)</f>
        <v>1</v>
      </c>
      <c r="DS48" s="164"/>
      <c r="DT48" s="164"/>
      <c r="DU48" s="164"/>
      <c r="DV48" s="154"/>
      <c r="DW48" s="154"/>
      <c r="EA48" s="130"/>
      <c r="EB48" s="164">
        <f>EC45*98%</f>
        <v>24696000</v>
      </c>
      <c r="EC48" s="214">
        <f>EB45/EC45</f>
        <v>0.99993293650793647</v>
      </c>
      <c r="ED48" s="322">
        <f>SUM(EC47:EC48)</f>
        <v>1</v>
      </c>
      <c r="EE48" s="164"/>
      <c r="EF48" s="164"/>
      <c r="EG48" s="164"/>
      <c r="EH48" s="154"/>
      <c r="EI48" s="154"/>
      <c r="EM48" s="130"/>
      <c r="EN48" s="164">
        <f>EO45*98%</f>
        <v>26977440</v>
      </c>
      <c r="EO48" s="214">
        <f>EN45/EO45</f>
        <v>0.99446655042138909</v>
      </c>
      <c r="EP48" s="322">
        <f>SUM(EO47:EO48)</f>
        <v>1</v>
      </c>
      <c r="EQ48" s="164"/>
      <c r="ER48" s="164"/>
      <c r="ES48" s="164"/>
      <c r="ET48" s="154"/>
    </row>
    <row r="49" spans="5:150" ht="14.25" customHeight="1">
      <c r="V49" s="164"/>
      <c r="AD49" s="164"/>
      <c r="AO49" s="164"/>
      <c r="AZ49" s="164"/>
      <c r="BK49" s="164"/>
      <c r="BV49" s="164"/>
      <c r="CG49" s="164"/>
      <c r="CL49" s="138"/>
      <c r="CS49" s="164"/>
      <c r="CX49" s="138"/>
      <c r="CY49" s="138"/>
      <c r="DE49" s="164"/>
      <c r="DJ49" s="138"/>
      <c r="DK49" s="138"/>
      <c r="DQ49" s="164"/>
      <c r="DV49" s="138"/>
      <c r="DW49" s="138"/>
      <c r="EC49" s="164"/>
      <c r="EH49" s="138"/>
      <c r="EI49" s="138"/>
      <c r="EO49" s="164"/>
      <c r="ET49" s="138"/>
    </row>
    <row r="50" spans="5:150" ht="14.25" customHeight="1">
      <c r="F50" s="240"/>
      <c r="G50" s="240"/>
      <c r="V50" s="130"/>
      <c r="W50" s="164"/>
      <c r="AB50" s="323" t="s">
        <v>152</v>
      </c>
      <c r="AD50" s="130"/>
      <c r="AE50" s="164"/>
      <c r="AF50" s="164"/>
      <c r="AG50" s="164"/>
      <c r="AH50" s="164"/>
      <c r="AM50" s="323" t="s">
        <v>152</v>
      </c>
      <c r="AO50" s="130"/>
      <c r="AP50" s="164"/>
      <c r="AQ50" s="164"/>
      <c r="AR50" s="164"/>
      <c r="AS50" s="164"/>
      <c r="AX50" s="323" t="s">
        <v>152</v>
      </c>
      <c r="AZ50" s="130"/>
      <c r="BA50" s="164"/>
      <c r="BB50" s="164"/>
      <c r="BC50" s="164"/>
      <c r="BD50" s="164"/>
      <c r="BI50" s="323" t="s">
        <v>152</v>
      </c>
      <c r="BK50" s="130"/>
      <c r="BL50" s="164"/>
      <c r="BM50" s="164"/>
      <c r="BN50" s="164"/>
      <c r="BO50" s="164"/>
      <c r="BP50" s="164"/>
      <c r="BT50" s="323" t="s">
        <v>152</v>
      </c>
      <c r="BV50" s="130"/>
      <c r="BW50" s="164"/>
      <c r="BX50" s="164"/>
      <c r="BY50" s="164"/>
      <c r="BZ50" s="164"/>
      <c r="CA50" s="164"/>
      <c r="CE50" s="323" t="s">
        <v>152</v>
      </c>
      <c r="CG50" s="130"/>
      <c r="CH50" s="164"/>
      <c r="CI50" s="164"/>
      <c r="CJ50" s="164"/>
      <c r="CK50" s="164"/>
      <c r="CL50" s="154"/>
      <c r="CM50" s="164"/>
      <c r="CQ50" s="323" t="s">
        <v>152</v>
      </c>
      <c r="CS50" s="130"/>
      <c r="CT50" s="164"/>
      <c r="CU50" s="164"/>
      <c r="CV50" s="164"/>
      <c r="CW50" s="164"/>
      <c r="CX50" s="154"/>
      <c r="CY50" s="154"/>
      <c r="DC50" s="323" t="s">
        <v>152</v>
      </c>
      <c r="DE50" s="130"/>
      <c r="DF50" s="164"/>
      <c r="DG50" s="164"/>
      <c r="DH50" s="164"/>
      <c r="DI50" s="164"/>
      <c r="DJ50" s="154"/>
      <c r="DK50" s="154"/>
      <c r="DO50" s="323" t="s">
        <v>152</v>
      </c>
      <c r="DQ50" s="130"/>
      <c r="DR50" s="164"/>
      <c r="DS50" s="164"/>
      <c r="DT50" s="164"/>
      <c r="DU50" s="164"/>
      <c r="DV50" s="154"/>
      <c r="DW50" s="154"/>
      <c r="EA50" s="323" t="s">
        <v>152</v>
      </c>
      <c r="EC50" s="130"/>
      <c r="ED50" s="164"/>
      <c r="EE50" s="164"/>
      <c r="EF50" s="164"/>
      <c r="EG50" s="164"/>
      <c r="EH50" s="154"/>
      <c r="EI50" s="154"/>
      <c r="EM50" s="323" t="s">
        <v>152</v>
      </c>
      <c r="EO50" s="130"/>
      <c r="EP50" s="164"/>
      <c r="EQ50" s="164"/>
      <c r="ER50" s="164"/>
      <c r="ES50" s="164"/>
      <c r="ET50" s="154"/>
    </row>
    <row r="51" spans="5:150" ht="14.25" customHeight="1">
      <c r="E51" s="240"/>
      <c r="G51" s="240"/>
      <c r="M51" s="240"/>
      <c r="U51" s="324" t="s">
        <v>153</v>
      </c>
      <c r="V51" s="325">
        <f>V7+V8+V9+V16+V20+V27+V28+V33+V36+V30</f>
        <v>194012.5656999998</v>
      </c>
      <c r="CL51" s="138"/>
      <c r="CX51" s="138"/>
      <c r="CY51" s="138"/>
      <c r="DJ51" s="138"/>
      <c r="DK51" s="138"/>
      <c r="DV51" s="138"/>
      <c r="DW51" s="138"/>
      <c r="EH51" s="138"/>
      <c r="EI51" s="138"/>
      <c r="ET51" s="138"/>
    </row>
    <row r="52" spans="5:150" ht="14.25" customHeight="1">
      <c r="E52" s="240"/>
      <c r="F52" s="240"/>
      <c r="G52" s="240"/>
      <c r="M52" s="240"/>
      <c r="N52" s="240"/>
      <c r="O52" s="240"/>
      <c r="U52" s="324" t="s">
        <v>154</v>
      </c>
      <c r="V52" s="325">
        <f>V10+V11+V12+V13+V14+V15+V17+V18+V19+V21+V22+V23+V24+V25+V26+V29+V31+V32+V34+V35+V37</f>
        <v>-936367.00780000014</v>
      </c>
      <c r="AA52" s="136" t="s">
        <v>155</v>
      </c>
      <c r="AB52" s="326"/>
      <c r="AC52" s="137"/>
      <c r="AD52" s="137"/>
      <c r="AE52" s="137"/>
      <c r="AF52" s="137"/>
      <c r="AG52" s="137"/>
      <c r="AH52" s="137"/>
      <c r="AL52" s="136" t="s">
        <v>156</v>
      </c>
      <c r="AM52" s="326"/>
      <c r="AN52" s="137"/>
      <c r="AO52" s="137" t="str">
        <f>AL53</f>
        <v>MAR 26-APR 25, 2022</v>
      </c>
      <c r="AP52" s="137"/>
      <c r="AQ52" s="137"/>
      <c r="AR52" s="137"/>
      <c r="AS52" s="137"/>
      <c r="AW52" s="136" t="s">
        <v>157</v>
      </c>
      <c r="AX52" s="326"/>
      <c r="AY52" s="137"/>
      <c r="AZ52" s="137" t="str">
        <f>AW53</f>
        <v>APR 26-MAY 25, 2022</v>
      </c>
      <c r="BA52" s="137"/>
      <c r="BB52" s="137"/>
      <c r="BC52" s="137"/>
      <c r="BD52" s="137"/>
      <c r="BH52" s="136" t="s">
        <v>158</v>
      </c>
      <c r="BI52" s="326"/>
      <c r="BJ52" s="137"/>
      <c r="BK52" s="137" t="str">
        <f>BH53</f>
        <v>MAY 26-JUNE 25, 2022</v>
      </c>
      <c r="BL52" s="137"/>
      <c r="BM52" s="137"/>
      <c r="BN52" s="137"/>
      <c r="BO52" s="137"/>
      <c r="BP52" s="137"/>
      <c r="BS52" s="136" t="s">
        <v>159</v>
      </c>
      <c r="BT52" s="326"/>
      <c r="BU52" s="137"/>
      <c r="BV52" s="137" t="str">
        <f>BS53</f>
        <v>JUNE 26-JULY 25, 2022</v>
      </c>
      <c r="BW52" s="137"/>
      <c r="BX52" s="137"/>
      <c r="BY52" s="137"/>
      <c r="BZ52" s="137"/>
      <c r="CA52" s="137"/>
      <c r="CD52" s="136" t="s">
        <v>160</v>
      </c>
      <c r="CE52" s="326"/>
      <c r="CF52" s="137"/>
      <c r="CG52" s="137" t="str">
        <f>CD53</f>
        <v>JUL 26-AUG 25, 2022</v>
      </c>
      <c r="CH52" s="137"/>
      <c r="CI52" s="137"/>
      <c r="CJ52" s="137"/>
      <c r="CK52" s="137"/>
      <c r="CL52" s="138"/>
      <c r="CM52" s="137"/>
      <c r="CP52" s="136" t="s">
        <v>161</v>
      </c>
      <c r="CQ52" s="326"/>
      <c r="CR52" s="137"/>
      <c r="CS52" s="137" t="str">
        <f>CP53</f>
        <v>AUG 26-SEP 25, 2022</v>
      </c>
      <c r="CT52" s="137"/>
      <c r="CU52" s="137"/>
      <c r="CV52" s="137"/>
      <c r="CW52" s="137"/>
      <c r="CX52" s="138"/>
      <c r="CY52" s="138"/>
      <c r="DB52" s="136" t="s">
        <v>162</v>
      </c>
      <c r="DC52" s="326"/>
      <c r="DD52" s="137"/>
      <c r="DE52" s="137" t="str">
        <f>DB53</f>
        <v>SEP 26-OCT 25, 2022</v>
      </c>
      <c r="DF52" s="137"/>
      <c r="DG52" s="137"/>
      <c r="DH52" s="137"/>
      <c r="DI52" s="137"/>
      <c r="DJ52" s="138"/>
      <c r="DK52" s="138"/>
      <c r="DN52" s="136" t="s">
        <v>163</v>
      </c>
      <c r="DO52" s="326"/>
      <c r="DP52" s="137"/>
      <c r="DQ52" s="137" t="str">
        <f>DN53</f>
        <v>OCT 26-NOV 25, 2022</v>
      </c>
      <c r="DR52" s="137"/>
      <c r="DS52" s="137"/>
      <c r="DT52" s="137"/>
      <c r="DU52" s="137"/>
      <c r="DV52" s="138"/>
      <c r="DW52" s="138"/>
      <c r="DZ52" s="136" t="s">
        <v>163</v>
      </c>
      <c r="EA52" s="326"/>
      <c r="EB52" s="137"/>
      <c r="EC52" s="137" t="str">
        <f>DZ53</f>
        <v>OCT 26-NOV 25, 2022</v>
      </c>
      <c r="ED52" s="137"/>
      <c r="EE52" s="137"/>
      <c r="EF52" s="137"/>
      <c r="EG52" s="137"/>
      <c r="EH52" s="138"/>
      <c r="EI52" s="138"/>
      <c r="EL52" s="136" t="s">
        <v>163</v>
      </c>
      <c r="EM52" s="326"/>
      <c r="EN52" s="137"/>
      <c r="EO52" s="137" t="str">
        <f>EL53</f>
        <v>OCT 26-NOV 25, 2022</v>
      </c>
      <c r="EP52" s="137"/>
      <c r="EQ52" s="137"/>
      <c r="ER52" s="137"/>
      <c r="ES52" s="137"/>
      <c r="ET52" s="138"/>
    </row>
    <row r="53" spans="5:150" ht="14.25" customHeight="1">
      <c r="U53" s="327"/>
      <c r="V53" s="328">
        <v>-743079.43</v>
      </c>
      <c r="AA53" s="139" t="s">
        <v>164</v>
      </c>
      <c r="AB53" s="329" t="s">
        <v>165</v>
      </c>
      <c r="AC53" s="140" t="s">
        <v>166</v>
      </c>
      <c r="AD53" s="140" t="s">
        <v>167</v>
      </c>
      <c r="AE53" s="140" t="s">
        <v>5</v>
      </c>
      <c r="AF53" s="140" t="s">
        <v>168</v>
      </c>
      <c r="AG53" s="140" t="s">
        <v>169</v>
      </c>
      <c r="AH53" s="141" t="s">
        <v>170</v>
      </c>
      <c r="AL53" s="139" t="s">
        <v>171</v>
      </c>
      <c r="AM53" s="329" t="s">
        <v>165</v>
      </c>
      <c r="AN53" s="140" t="s">
        <v>166</v>
      </c>
      <c r="AO53" s="140" t="s">
        <v>167</v>
      </c>
      <c r="AP53" s="140" t="s">
        <v>5</v>
      </c>
      <c r="AQ53" s="140" t="s">
        <v>168</v>
      </c>
      <c r="AR53" s="140" t="s">
        <v>172</v>
      </c>
      <c r="AS53" s="141" t="s">
        <v>170</v>
      </c>
      <c r="AW53" s="139" t="s">
        <v>173</v>
      </c>
      <c r="AX53" s="329" t="s">
        <v>165</v>
      </c>
      <c r="AY53" s="140" t="s">
        <v>174</v>
      </c>
      <c r="AZ53" s="140" t="s">
        <v>167</v>
      </c>
      <c r="BA53" s="140" t="s">
        <v>5</v>
      </c>
      <c r="BB53" s="140" t="s">
        <v>168</v>
      </c>
      <c r="BC53" s="140" t="s">
        <v>172</v>
      </c>
      <c r="BD53" s="141" t="s">
        <v>170</v>
      </c>
      <c r="BH53" s="142" t="s">
        <v>175</v>
      </c>
      <c r="BI53" s="329" t="s">
        <v>165</v>
      </c>
      <c r="BJ53" s="140" t="s">
        <v>174</v>
      </c>
      <c r="BK53" s="140" t="s">
        <v>167</v>
      </c>
      <c r="BL53" s="140" t="s">
        <v>5</v>
      </c>
      <c r="BM53" s="140" t="s">
        <v>168</v>
      </c>
      <c r="BN53" s="140" t="s">
        <v>172</v>
      </c>
      <c r="BO53" s="141" t="s">
        <v>170</v>
      </c>
      <c r="BP53" s="143"/>
      <c r="BS53" s="142" t="s">
        <v>176</v>
      </c>
      <c r="BT53" s="329" t="s">
        <v>165</v>
      </c>
      <c r="BU53" s="140" t="s">
        <v>174</v>
      </c>
      <c r="BV53" s="140" t="s">
        <v>167</v>
      </c>
      <c r="BW53" s="140" t="s">
        <v>5</v>
      </c>
      <c r="BX53" s="140" t="s">
        <v>168</v>
      </c>
      <c r="BY53" s="140" t="s">
        <v>172</v>
      </c>
      <c r="BZ53" s="141" t="s">
        <v>170</v>
      </c>
      <c r="CA53" s="143"/>
      <c r="CD53" s="142" t="s">
        <v>177</v>
      </c>
      <c r="CE53" s="329" t="s">
        <v>165</v>
      </c>
      <c r="CF53" s="140" t="s">
        <v>174</v>
      </c>
      <c r="CG53" s="140" t="s">
        <v>167</v>
      </c>
      <c r="CH53" s="140" t="s">
        <v>5</v>
      </c>
      <c r="CI53" s="140" t="s">
        <v>168</v>
      </c>
      <c r="CJ53" s="140" t="s">
        <v>172</v>
      </c>
      <c r="CK53" s="141" t="s">
        <v>170</v>
      </c>
      <c r="CL53" s="144"/>
      <c r="CM53" s="143"/>
      <c r="CP53" s="142" t="s">
        <v>178</v>
      </c>
      <c r="CQ53" s="329" t="s">
        <v>165</v>
      </c>
      <c r="CR53" s="140" t="s">
        <v>179</v>
      </c>
      <c r="CS53" s="140" t="s">
        <v>167</v>
      </c>
      <c r="CT53" s="140" t="s">
        <v>5</v>
      </c>
      <c r="CU53" s="140" t="s">
        <v>168</v>
      </c>
      <c r="CV53" s="140" t="s">
        <v>172</v>
      </c>
      <c r="CW53" s="141" t="s">
        <v>170</v>
      </c>
      <c r="CX53" s="144"/>
      <c r="CY53" s="144"/>
      <c r="DB53" s="142" t="s">
        <v>180</v>
      </c>
      <c r="DC53" s="329" t="s">
        <v>165</v>
      </c>
      <c r="DD53" s="140" t="s">
        <v>166</v>
      </c>
      <c r="DE53" s="140" t="s">
        <v>167</v>
      </c>
      <c r="DF53" s="140" t="s">
        <v>5</v>
      </c>
      <c r="DG53" s="140" t="s">
        <v>168</v>
      </c>
      <c r="DH53" s="140" t="s">
        <v>172</v>
      </c>
      <c r="DI53" s="141" t="s">
        <v>170</v>
      </c>
      <c r="DJ53" s="144"/>
      <c r="DK53" s="144"/>
      <c r="DN53" s="142" t="s">
        <v>181</v>
      </c>
      <c r="DO53" s="329" t="s">
        <v>165</v>
      </c>
      <c r="DP53" s="140" t="s">
        <v>166</v>
      </c>
      <c r="DQ53" s="140" t="s">
        <v>167</v>
      </c>
      <c r="DR53" s="140" t="s">
        <v>5</v>
      </c>
      <c r="DS53" s="140" t="s">
        <v>168</v>
      </c>
      <c r="DT53" s="140" t="s">
        <v>172</v>
      </c>
      <c r="DU53" s="141" t="s">
        <v>170</v>
      </c>
      <c r="DV53" s="144"/>
      <c r="DW53" s="144"/>
      <c r="DZ53" s="142" t="s">
        <v>181</v>
      </c>
      <c r="EA53" s="329" t="s">
        <v>165</v>
      </c>
      <c r="EB53" s="140" t="s">
        <v>166</v>
      </c>
      <c r="EC53" s="140" t="s">
        <v>167</v>
      </c>
      <c r="ED53" s="140" t="s">
        <v>5</v>
      </c>
      <c r="EE53" s="140" t="s">
        <v>168</v>
      </c>
      <c r="EF53" s="140" t="s">
        <v>172</v>
      </c>
      <c r="EG53" s="141" t="s">
        <v>170</v>
      </c>
      <c r="EH53" s="144"/>
      <c r="EI53" s="144"/>
      <c r="EL53" s="142" t="s">
        <v>181</v>
      </c>
      <c r="EM53" s="329" t="s">
        <v>165</v>
      </c>
      <c r="EN53" s="140" t="s">
        <v>166</v>
      </c>
      <c r="EO53" s="140" t="s">
        <v>167</v>
      </c>
      <c r="EP53" s="140" t="s">
        <v>5</v>
      </c>
      <c r="EQ53" s="140" t="s">
        <v>168</v>
      </c>
      <c r="ER53" s="140" t="s">
        <v>172</v>
      </c>
      <c r="ES53" s="141" t="s">
        <v>170</v>
      </c>
      <c r="ET53" s="144"/>
    </row>
    <row r="54" spans="5:150" ht="14.25" customHeight="1">
      <c r="U54" s="145" t="s">
        <v>182</v>
      </c>
      <c r="V54" s="330">
        <f>V53-V38</f>
        <v>-724.98789999971632</v>
      </c>
      <c r="AA54" s="146" t="s">
        <v>183</v>
      </c>
      <c r="AB54" s="331">
        <v>25530413.780000001</v>
      </c>
      <c r="AC54" s="137"/>
      <c r="AD54" s="137"/>
      <c r="AE54" s="137"/>
      <c r="AF54" s="137"/>
      <c r="AG54" s="137"/>
      <c r="AH54" s="148"/>
      <c r="AL54" s="146" t="s">
        <v>183</v>
      </c>
      <c r="AM54" s="331">
        <f>AM38</f>
        <v>29583054.800000012</v>
      </c>
      <c r="AN54" s="137"/>
      <c r="AO54" s="137"/>
      <c r="AP54" s="137"/>
      <c r="AQ54" s="137"/>
      <c r="AR54" s="137"/>
      <c r="AS54" s="148"/>
      <c r="AW54" s="146" t="s">
        <v>183</v>
      </c>
      <c r="AX54" s="331">
        <f>AX38</f>
        <v>30321518.160000004</v>
      </c>
      <c r="AY54" s="137"/>
      <c r="AZ54" s="137"/>
      <c r="BA54" s="137"/>
      <c r="BB54" s="137"/>
      <c r="BC54" s="137"/>
      <c r="BD54" s="148"/>
      <c r="BH54" s="146" t="s">
        <v>183</v>
      </c>
      <c r="BI54" s="331">
        <f>BI38</f>
        <v>31202792.519999996</v>
      </c>
      <c r="BJ54" s="137"/>
      <c r="BK54" s="137"/>
      <c r="BL54" s="137"/>
      <c r="BM54" s="137"/>
      <c r="BN54" s="137"/>
      <c r="BO54" s="148"/>
      <c r="BP54" s="137"/>
      <c r="BS54" s="146" t="s">
        <v>183</v>
      </c>
      <c r="BT54" s="331">
        <f>BT38</f>
        <v>28427175.999999996</v>
      </c>
      <c r="BU54" s="137"/>
      <c r="BV54" s="137"/>
      <c r="BW54" s="137"/>
      <c r="BX54" s="137"/>
      <c r="BY54" s="137"/>
      <c r="BZ54" s="148"/>
      <c r="CA54" s="137"/>
      <c r="CD54" s="146" t="s">
        <v>183</v>
      </c>
      <c r="CE54" s="331">
        <f>CE38</f>
        <v>27803472.379999995</v>
      </c>
      <c r="CF54" s="137"/>
      <c r="CG54" s="137"/>
      <c r="CH54" s="137"/>
      <c r="CI54" s="137"/>
      <c r="CJ54" s="137"/>
      <c r="CK54" s="148"/>
      <c r="CL54" s="138"/>
      <c r="CM54" s="137"/>
      <c r="CP54" s="146" t="s">
        <v>183</v>
      </c>
      <c r="CQ54" s="331">
        <f>CQ38</f>
        <v>28312318.302099995</v>
      </c>
      <c r="CR54" s="137"/>
      <c r="CS54" s="137"/>
      <c r="CT54" s="137"/>
      <c r="CU54" s="137"/>
      <c r="CV54" s="137"/>
      <c r="CW54" s="148"/>
      <c r="CX54" s="138"/>
      <c r="CY54" s="138"/>
      <c r="DB54" s="146" t="s">
        <v>183</v>
      </c>
      <c r="DC54" s="331">
        <f>DC38</f>
        <v>27825316.352499992</v>
      </c>
      <c r="DD54" s="137"/>
      <c r="DE54" s="137"/>
      <c r="DF54" s="137"/>
      <c r="DG54" s="137"/>
      <c r="DH54" s="137"/>
      <c r="DI54" s="148"/>
      <c r="DJ54" s="138"/>
      <c r="DK54" s="138"/>
      <c r="DN54" s="146" t="s">
        <v>183</v>
      </c>
      <c r="DO54" s="331">
        <v>29299858.23</v>
      </c>
      <c r="DP54" s="137"/>
      <c r="DQ54" s="137"/>
      <c r="DR54" s="137"/>
      <c r="DS54" s="137"/>
      <c r="DT54" s="137"/>
      <c r="DU54" s="148"/>
      <c r="DV54" s="138"/>
      <c r="DW54" s="138"/>
      <c r="DZ54" s="146" t="s">
        <v>183</v>
      </c>
      <c r="EA54" s="332">
        <v>28172473.079999998</v>
      </c>
      <c r="EB54" s="137"/>
      <c r="EC54" s="137"/>
      <c r="ED54" s="137"/>
      <c r="EE54" s="137"/>
      <c r="EF54" s="137"/>
      <c r="EG54" s="148"/>
      <c r="EH54" s="138"/>
      <c r="EI54" s="138"/>
      <c r="EL54" s="146" t="s">
        <v>183</v>
      </c>
      <c r="EM54" s="331"/>
      <c r="EN54" s="137"/>
      <c r="EO54" s="137"/>
      <c r="EP54" s="137"/>
      <c r="EQ54" s="137"/>
      <c r="ER54" s="137"/>
      <c r="ES54" s="148"/>
      <c r="ET54" s="138"/>
    </row>
    <row r="55" spans="5:150" ht="14.25" customHeight="1">
      <c r="AA55" s="150" t="s">
        <v>184</v>
      </c>
      <c r="AB55" s="333">
        <v>24889155</v>
      </c>
      <c r="AC55" s="151">
        <v>26346176.800000001</v>
      </c>
      <c r="AD55" s="151">
        <v>3013305.72</v>
      </c>
      <c r="AE55" s="151">
        <v>29359482.52</v>
      </c>
      <c r="AF55" s="137"/>
      <c r="AG55" s="152">
        <v>0</v>
      </c>
      <c r="AH55" s="153">
        <v>29359482.52</v>
      </c>
      <c r="AL55" s="150" t="s">
        <v>184</v>
      </c>
      <c r="AM55" s="333">
        <v>28932165</v>
      </c>
      <c r="AN55" s="151">
        <v>28364692.219999999</v>
      </c>
      <c r="AO55" s="151">
        <v>3256009.2</v>
      </c>
      <c r="AP55" s="151">
        <v>31620701.420000002</v>
      </c>
      <c r="AQ55" s="137"/>
      <c r="AR55" s="152">
        <v>0</v>
      </c>
      <c r="AS55" s="153">
        <f>AP55-AR55</f>
        <v>31620701.420000002</v>
      </c>
      <c r="AW55" s="150" t="s">
        <v>184</v>
      </c>
      <c r="AX55" s="333">
        <v>29607494</v>
      </c>
      <c r="AY55" s="151">
        <v>29738860.109999999</v>
      </c>
      <c r="AZ55" s="151">
        <f>2175153.45+1142728.61</f>
        <v>3317882.0600000005</v>
      </c>
      <c r="BA55" s="151">
        <f>AY55+AZ55</f>
        <v>33056742.170000002</v>
      </c>
      <c r="BB55" s="137"/>
      <c r="BC55" s="152">
        <v>0</v>
      </c>
      <c r="BD55" s="153">
        <f t="shared" ref="BD55:BD58" si="49">BA55-BC55</f>
        <v>33056742.170000002</v>
      </c>
      <c r="BH55" s="150" t="s">
        <v>184</v>
      </c>
      <c r="BI55" s="333">
        <v>30558097</v>
      </c>
      <c r="BJ55" s="151">
        <v>30603056.989999998</v>
      </c>
      <c r="BK55" s="151">
        <f>2170090.12+1211632.4</f>
        <v>3381722.52</v>
      </c>
      <c r="BL55" s="151">
        <f>BJ55+BK55</f>
        <v>33984779.509999998</v>
      </c>
      <c r="BM55" s="137"/>
      <c r="BN55" s="152">
        <v>0</v>
      </c>
      <c r="BO55" s="153">
        <f>BL55+BN55</f>
        <v>33984779.509999998</v>
      </c>
      <c r="BP55" s="151"/>
      <c r="BS55" s="150" t="s">
        <v>184</v>
      </c>
      <c r="BT55" s="333">
        <v>27778274</v>
      </c>
      <c r="BU55" s="151">
        <f>33265074.05-BV55</f>
        <v>29942162.920000002</v>
      </c>
      <c r="BV55" s="151">
        <f>2176639.38+1146271.75</f>
        <v>3322911.13</v>
      </c>
      <c r="BW55" s="151">
        <f>BU55+BV55</f>
        <v>33265074.050000001</v>
      </c>
      <c r="BX55" s="137"/>
      <c r="BY55" s="152">
        <v>0</v>
      </c>
      <c r="BZ55" s="153">
        <f>BW55-BY55</f>
        <v>33265074.050000001</v>
      </c>
      <c r="CA55" s="151"/>
      <c r="CD55" s="150" t="s">
        <v>184</v>
      </c>
      <c r="CE55" s="333">
        <v>26962433.940000001</v>
      </c>
      <c r="CF55" s="151">
        <f>30904042.15-2198913.71-926631.61</f>
        <v>27778496.829999998</v>
      </c>
      <c r="CG55" s="151">
        <f>2198913.71+926631.61</f>
        <v>3125545.32</v>
      </c>
      <c r="CH55" s="151">
        <f>CF55+CG55</f>
        <v>30904042.149999999</v>
      </c>
      <c r="CI55" s="137"/>
      <c r="CJ55" s="152">
        <v>0</v>
      </c>
      <c r="CK55" s="153">
        <f>CH55-CJ55</f>
        <v>30904042.149999999</v>
      </c>
      <c r="CL55" s="154"/>
      <c r="CM55" s="151"/>
      <c r="CP55" s="150" t="s">
        <v>184</v>
      </c>
      <c r="CQ55" s="333">
        <v>28351968.800000001</v>
      </c>
      <c r="CR55" s="151">
        <v>28351968.800000001</v>
      </c>
      <c r="CS55" s="151">
        <v>3196545.03</v>
      </c>
      <c r="CT55" s="151">
        <f>CR55+CS55</f>
        <v>31548513.830000002</v>
      </c>
      <c r="CU55" s="137"/>
      <c r="CV55" s="152">
        <v>0</v>
      </c>
      <c r="CW55" s="153">
        <f>CT55-CV55</f>
        <v>31548513.830000002</v>
      </c>
      <c r="CX55" s="154"/>
      <c r="CY55" s="154"/>
      <c r="DB55" s="150" t="s">
        <v>184</v>
      </c>
      <c r="DC55" s="332">
        <v>27036870</v>
      </c>
      <c r="DD55" s="155">
        <f>31538201.31-2201116.69-991164.88</f>
        <v>28345919.739999998</v>
      </c>
      <c r="DE55" s="155">
        <f>2201116.69+991164.88</f>
        <v>3192281.57</v>
      </c>
      <c r="DF55" s="151">
        <f>DD55+DE55</f>
        <v>31538201.309999999</v>
      </c>
      <c r="DG55" s="137"/>
      <c r="DH55" s="152">
        <v>0</v>
      </c>
      <c r="DI55" s="153">
        <f>DF55-DH55</f>
        <v>31538201.309999999</v>
      </c>
      <c r="DJ55" s="154">
        <f>DI55/DC55</f>
        <v>1.1664886249776694</v>
      </c>
      <c r="DK55" s="154"/>
      <c r="DN55" s="150" t="s">
        <v>184</v>
      </c>
      <c r="DO55" s="333">
        <v>28313488</v>
      </c>
      <c r="DP55" s="151">
        <v>29921711.649999999</v>
      </c>
      <c r="DQ55" s="151">
        <v>3397937.56</v>
      </c>
      <c r="DR55" s="151">
        <f>DP55+DQ55</f>
        <v>33319649.209999997</v>
      </c>
      <c r="DS55" s="137"/>
      <c r="DT55" s="156">
        <v>-54751.81</v>
      </c>
      <c r="DU55" s="153">
        <f>DR55-DT55</f>
        <v>33374401.019999996</v>
      </c>
      <c r="DV55" s="154">
        <f>DU55/DO55</f>
        <v>1.17874565719349</v>
      </c>
      <c r="DW55" s="154"/>
      <c r="DZ55" s="150" t="s">
        <v>184</v>
      </c>
      <c r="EA55" s="332">
        <v>27648822</v>
      </c>
      <c r="EB55" s="155">
        <v>28662366.399999999</v>
      </c>
      <c r="EC55" s="155">
        <v>3218669.73</v>
      </c>
      <c r="ED55" s="151">
        <f>EB55+EC55</f>
        <v>31881036.129999999</v>
      </c>
      <c r="EE55" s="137"/>
      <c r="EF55" s="152">
        <v>0</v>
      </c>
      <c r="EG55" s="153">
        <f>ED55-EF55</f>
        <v>31881036.129999999</v>
      </c>
      <c r="EH55" s="154"/>
      <c r="EI55" s="154"/>
      <c r="EL55" s="150" t="s">
        <v>184</v>
      </c>
      <c r="EM55" s="333"/>
      <c r="EN55" s="151"/>
      <c r="EO55" s="151"/>
      <c r="EP55" s="151">
        <f>EN55+EO55</f>
        <v>0</v>
      </c>
      <c r="EQ55" s="137"/>
      <c r="ER55" s="152">
        <v>0</v>
      </c>
      <c r="ES55" s="153">
        <f>EP55-ER55</f>
        <v>0</v>
      </c>
      <c r="ET55" s="154"/>
    </row>
    <row r="56" spans="5:150" ht="14.25" customHeight="1">
      <c r="AA56" s="146" t="s">
        <v>185</v>
      </c>
      <c r="AB56" s="331">
        <f>AB54-AB55</f>
        <v>641258.78000000119</v>
      </c>
      <c r="AC56" s="137"/>
      <c r="AD56" s="137"/>
      <c r="AE56" s="137"/>
      <c r="AF56" s="137"/>
      <c r="AG56" s="137"/>
      <c r="AH56" s="157">
        <v>0</v>
      </c>
      <c r="AL56" s="146" t="s">
        <v>185</v>
      </c>
      <c r="AM56" s="331">
        <f>AM54-AM55</f>
        <v>650889.80000001192</v>
      </c>
      <c r="AN56" s="137"/>
      <c r="AO56" s="137"/>
      <c r="AP56" s="151"/>
      <c r="AQ56" s="137"/>
      <c r="AR56" s="137"/>
      <c r="AS56" s="153"/>
      <c r="AW56" s="146" t="s">
        <v>185</v>
      </c>
      <c r="AX56" s="331">
        <f>AX54-AX55</f>
        <v>714024.16000000387</v>
      </c>
      <c r="AY56" s="137"/>
      <c r="AZ56" s="137"/>
      <c r="BA56" s="151"/>
      <c r="BB56" s="137"/>
      <c r="BC56" s="137"/>
      <c r="BD56" s="153">
        <f t="shared" si="49"/>
        <v>0</v>
      </c>
      <c r="BH56" s="146" t="s">
        <v>185</v>
      </c>
      <c r="BI56" s="331">
        <f>BI54-BI55</f>
        <v>644695.51999999583</v>
      </c>
      <c r="BJ56" s="137"/>
      <c r="BK56" s="137"/>
      <c r="BL56" s="151"/>
      <c r="BM56" s="137"/>
      <c r="BN56" s="137"/>
      <c r="BO56" s="153"/>
      <c r="BP56" s="151"/>
      <c r="BS56" s="146" t="s">
        <v>185</v>
      </c>
      <c r="BT56" s="331">
        <f>BT54-BT55</f>
        <v>648901.99999999627</v>
      </c>
      <c r="BU56" s="137"/>
      <c r="BV56" s="137"/>
      <c r="BW56" s="151"/>
      <c r="BX56" s="137"/>
      <c r="BY56" s="137"/>
      <c r="BZ56" s="153"/>
      <c r="CA56" s="151"/>
      <c r="CD56" s="146" t="s">
        <v>185</v>
      </c>
      <c r="CE56" s="331">
        <f>CE54-CE55</f>
        <v>841038.43999999389</v>
      </c>
      <c r="CF56" s="137"/>
      <c r="CG56" s="137"/>
      <c r="CH56" s="151"/>
      <c r="CI56" s="137"/>
      <c r="CJ56" s="137"/>
      <c r="CK56" s="153"/>
      <c r="CL56" s="154"/>
      <c r="CM56" s="151"/>
      <c r="CP56" s="146" t="s">
        <v>185</v>
      </c>
      <c r="CQ56" s="331">
        <f>CQ54-CQ55</f>
        <v>-39650.49790000543</v>
      </c>
      <c r="CR56" s="137"/>
      <c r="CS56" s="137"/>
      <c r="CT56" s="151"/>
      <c r="CU56" s="158"/>
      <c r="CV56" s="137"/>
      <c r="CW56" s="153"/>
      <c r="CX56" s="154"/>
      <c r="CY56" s="154"/>
      <c r="DB56" s="146" t="s">
        <v>185</v>
      </c>
      <c r="DC56" s="331">
        <f>DC54-DC55</f>
        <v>788446.35249999166</v>
      </c>
      <c r="DD56" s="137"/>
      <c r="DE56" s="137"/>
      <c r="DF56" s="151"/>
      <c r="DG56" s="137"/>
      <c r="DH56" s="137"/>
      <c r="DI56" s="153"/>
      <c r="DJ56" s="154"/>
      <c r="DK56" s="154"/>
      <c r="DN56" s="146" t="s">
        <v>185</v>
      </c>
      <c r="DO56" s="331">
        <f>DO54-DO55</f>
        <v>986370.23000000045</v>
      </c>
      <c r="DP56" s="137"/>
      <c r="DQ56" s="137"/>
      <c r="DR56" s="151"/>
      <c r="DS56" s="137"/>
      <c r="DT56" s="137"/>
      <c r="DU56" s="153"/>
      <c r="DV56" s="154"/>
      <c r="DW56" s="154"/>
      <c r="DZ56" s="146" t="s">
        <v>185</v>
      </c>
      <c r="EA56" s="331">
        <f>EA54-EA55</f>
        <v>523651.07999999821</v>
      </c>
      <c r="EB56" s="137"/>
      <c r="EC56" s="137"/>
      <c r="ED56" s="151"/>
      <c r="EE56" s="137"/>
      <c r="EF56" s="137"/>
      <c r="EG56" s="153"/>
      <c r="EH56" s="154"/>
      <c r="EI56" s="154"/>
      <c r="EL56" s="146" t="s">
        <v>185</v>
      </c>
      <c r="EM56" s="331">
        <f>EM54-EM55</f>
        <v>0</v>
      </c>
      <c r="EN56" s="137"/>
      <c r="EO56" s="137"/>
      <c r="EP56" s="151"/>
      <c r="EQ56" s="137"/>
      <c r="ER56" s="137"/>
      <c r="ES56" s="153"/>
      <c r="ET56" s="154"/>
    </row>
    <row r="57" spans="5:150" ht="14.25" customHeight="1">
      <c r="AA57" s="159" t="s">
        <v>2</v>
      </c>
      <c r="AB57" s="333">
        <v>23446644</v>
      </c>
      <c r="AC57" s="151">
        <v>93878017.909999996</v>
      </c>
      <c r="AD57" s="137"/>
      <c r="AE57" s="151">
        <v>93878017.909999996</v>
      </c>
      <c r="AF57" s="151">
        <v>8562714.3900000006</v>
      </c>
      <c r="AG57" s="137"/>
      <c r="AH57" s="153">
        <v>85315303.519999996</v>
      </c>
      <c r="AL57" s="159" t="s">
        <v>2</v>
      </c>
      <c r="AM57" s="333">
        <v>26039999.940000001</v>
      </c>
      <c r="AN57" s="151">
        <v>104726818.40000001</v>
      </c>
      <c r="AO57" s="137">
        <v>0</v>
      </c>
      <c r="AP57" s="151">
        <f t="shared" ref="AP57:AP58" si="50">AN57+AO57</f>
        <v>104726818.40000001</v>
      </c>
      <c r="AQ57" s="151"/>
      <c r="AR57" s="158">
        <v>9509807.9800000004</v>
      </c>
      <c r="AS57" s="153">
        <f t="shared" ref="AS57:AS58" si="51">AP57-AR57</f>
        <v>95217010.420000002</v>
      </c>
      <c r="AW57" s="159" t="s">
        <v>2</v>
      </c>
      <c r="AX57" s="333">
        <f>AY38</f>
        <v>25200000</v>
      </c>
      <c r="AY57" s="151">
        <v>100898279.77</v>
      </c>
      <c r="AZ57" s="137"/>
      <c r="BA57" s="151">
        <f t="shared" ref="BA57:BA58" si="52">AY57+AZ57</f>
        <v>100898279.77</v>
      </c>
      <c r="BB57" s="151"/>
      <c r="BC57" s="158">
        <f>(5039999.99+4163039.99)</f>
        <v>9203039.9800000004</v>
      </c>
      <c r="BD57" s="153">
        <f t="shared" si="49"/>
        <v>91695239.789999992</v>
      </c>
      <c r="BH57" s="159" t="s">
        <v>2</v>
      </c>
      <c r="BI57" s="333">
        <f>BJ38</f>
        <v>26040000</v>
      </c>
      <c r="BJ57" s="151">
        <v>104261555.76000001</v>
      </c>
      <c r="BK57" s="137"/>
      <c r="BL57" s="151">
        <f t="shared" ref="BL57:BL58" si="53">BJ57+BK57</f>
        <v>104261555.76000001</v>
      </c>
      <c r="BM57" s="151">
        <v>8562714.3900000006</v>
      </c>
      <c r="BN57" s="158">
        <f>(5207999.99+4301807.99)</f>
        <v>9509807.9800000004</v>
      </c>
      <c r="BO57" s="153">
        <f>BL57-BN57</f>
        <v>94751747.780000001</v>
      </c>
      <c r="BP57" s="151"/>
      <c r="BS57" s="159" t="s">
        <v>2</v>
      </c>
      <c r="BT57" s="333">
        <f>BU45</f>
        <v>25200000</v>
      </c>
      <c r="BU57" s="151">
        <v>100898279.77</v>
      </c>
      <c r="BV57" s="137"/>
      <c r="BW57" s="151">
        <f t="shared" ref="BW57:BW58" si="54">BU57+BV57</f>
        <v>100898279.77</v>
      </c>
      <c r="BX57" s="151"/>
      <c r="BY57" s="160">
        <f>4163039.99+5039999.99</f>
        <v>9203039.9800000004</v>
      </c>
      <c r="BZ57" s="153">
        <f t="shared" ref="BZ57:BZ58" si="55">BW57-BY57</f>
        <v>91695239.789999992</v>
      </c>
      <c r="CA57" s="151"/>
      <c r="CD57" s="159" t="s">
        <v>2</v>
      </c>
      <c r="CE57" s="333">
        <f>31*840000</f>
        <v>26040000</v>
      </c>
      <c r="CF57" s="151">
        <v>104261555.76000001</v>
      </c>
      <c r="CG57" s="137"/>
      <c r="CH57" s="151">
        <f t="shared" ref="CH57:CH58" si="56">CF57+CG57</f>
        <v>104261555.76000001</v>
      </c>
      <c r="CI57" s="151"/>
      <c r="CJ57" s="158">
        <f>(4301807.99+5207999.99)</f>
        <v>9509807.9800000004</v>
      </c>
      <c r="CK57" s="153">
        <f t="shared" ref="CK57:CK58" si="57">CH57-CJ57</f>
        <v>94751747.780000001</v>
      </c>
      <c r="CL57" s="154"/>
      <c r="CM57" s="151"/>
      <c r="CP57" s="159" t="s">
        <v>2</v>
      </c>
      <c r="CQ57" s="333">
        <v>26039999.940000001</v>
      </c>
      <c r="CR57" s="151">
        <v>104261555.76000001</v>
      </c>
      <c r="CS57" s="137"/>
      <c r="CT57" s="151">
        <f t="shared" ref="CT57:CT58" si="58">CR57+CS57</f>
        <v>104261555.76000001</v>
      </c>
      <c r="CU57" s="151">
        <f>(5207999.99+4301807.99)</f>
        <v>9509807.9800000004</v>
      </c>
      <c r="CV57" s="137"/>
      <c r="CW57" s="153">
        <f t="shared" ref="CW57:CW58" si="59">CT57-CV57</f>
        <v>104261555.76000001</v>
      </c>
      <c r="CX57" s="154"/>
      <c r="CY57" s="154"/>
      <c r="DB57" s="159" t="s">
        <v>2</v>
      </c>
      <c r="DC57" s="333">
        <v>25199999.940000001</v>
      </c>
      <c r="DD57" s="151">
        <v>91695239.799999997</v>
      </c>
      <c r="DE57" s="137"/>
      <c r="DF57" s="151">
        <f t="shared" ref="DF57:DF58" si="60">DD57+DE57</f>
        <v>91695239.799999997</v>
      </c>
      <c r="DG57" s="151"/>
      <c r="DH57" s="158">
        <v>9203039.9800000004</v>
      </c>
      <c r="DI57" s="153">
        <f t="shared" ref="DI57:DI58" si="61">DF57-DH57</f>
        <v>82492199.819999993</v>
      </c>
      <c r="DJ57" s="154"/>
      <c r="DK57" s="154"/>
      <c r="DN57" s="159" t="s">
        <v>2</v>
      </c>
      <c r="DO57" s="333">
        <v>26039999.940000001</v>
      </c>
      <c r="DP57" s="151">
        <v>104261555.76000001</v>
      </c>
      <c r="DQ57" s="137"/>
      <c r="DR57" s="151">
        <f t="shared" ref="DR57:DR58" si="62">DP57+DQ57</f>
        <v>104261555.76000001</v>
      </c>
      <c r="DS57" s="151"/>
      <c r="DT57" s="155">
        <v>9509807.9800000004</v>
      </c>
      <c r="DU57" s="153">
        <f t="shared" ref="DU57:DU58" si="63">DR57-DT57</f>
        <v>94751747.780000001</v>
      </c>
      <c r="DV57" s="154"/>
      <c r="DW57" s="154"/>
      <c r="DZ57" s="159" t="s">
        <v>2</v>
      </c>
      <c r="EA57" s="332">
        <v>25198308.309999999</v>
      </c>
      <c r="EB57" s="155">
        <v>100219891.41</v>
      </c>
      <c r="EC57" s="137"/>
      <c r="ED57" s="151">
        <f t="shared" ref="ED57:ED58" si="64">EB57+EC57</f>
        <v>100219891.41</v>
      </c>
      <c r="EE57" s="151"/>
      <c r="EF57" s="155">
        <v>9202422.1899999995</v>
      </c>
      <c r="EG57" s="153">
        <f t="shared" ref="EG57:EG58" si="65">ED57-EF57</f>
        <v>91017469.219999999</v>
      </c>
      <c r="EH57" s="154"/>
      <c r="EI57" s="154"/>
      <c r="EL57" s="159" t="s">
        <v>2</v>
      </c>
      <c r="EM57" s="333"/>
      <c r="EN57" s="151"/>
      <c r="EO57" s="137"/>
      <c r="EP57" s="151">
        <f t="shared" ref="EP57:EP58" si="66">EN57+EO57</f>
        <v>0</v>
      </c>
      <c r="EQ57" s="151"/>
      <c r="ER57" s="137"/>
      <c r="ES57" s="153">
        <f t="shared" ref="ES57:ES58" si="67">EP57-ER57</f>
        <v>0</v>
      </c>
      <c r="ET57" s="154"/>
    </row>
    <row r="58" spans="5:150" ht="14.25" customHeight="1">
      <c r="AA58" s="161"/>
      <c r="AB58" s="334" t="s">
        <v>186</v>
      </c>
      <c r="AC58" s="151">
        <v>799407.86</v>
      </c>
      <c r="AD58" s="137"/>
      <c r="AE58" s="151">
        <v>799407.86</v>
      </c>
      <c r="AF58" s="137"/>
      <c r="AG58" s="137"/>
      <c r="AH58" s="153">
        <v>799407.86</v>
      </c>
      <c r="AL58" s="161"/>
      <c r="AM58" s="334" t="s">
        <v>187</v>
      </c>
      <c r="AN58" s="151">
        <v>-526623.49</v>
      </c>
      <c r="AO58" s="137"/>
      <c r="AP58" s="151">
        <f t="shared" si="50"/>
        <v>-526623.49</v>
      </c>
      <c r="AQ58" s="137"/>
      <c r="AR58" s="137">
        <v>101080.23</v>
      </c>
      <c r="AS58" s="153">
        <f t="shared" si="51"/>
        <v>-627703.72</v>
      </c>
      <c r="AW58" s="161" t="s">
        <v>186</v>
      </c>
      <c r="AX58" s="334"/>
      <c r="AY58" s="151">
        <v>-710592.28</v>
      </c>
      <c r="AZ58" s="137"/>
      <c r="BA58" s="151">
        <f t="shared" si="52"/>
        <v>-710592.28</v>
      </c>
      <c r="BB58" s="137"/>
      <c r="BC58" s="137"/>
      <c r="BD58" s="153">
        <f t="shared" si="49"/>
        <v>-710592.28</v>
      </c>
      <c r="BH58" s="161" t="s">
        <v>186</v>
      </c>
      <c r="BI58" s="334"/>
      <c r="BJ58" s="151">
        <v>-1280552.1599999999</v>
      </c>
      <c r="BK58" s="137"/>
      <c r="BL58" s="162">
        <f t="shared" si="53"/>
        <v>-1280552.1599999999</v>
      </c>
      <c r="BM58" s="137"/>
      <c r="BN58" s="137"/>
      <c r="BO58" s="153">
        <f>BL58+BN58</f>
        <v>-1280552.1599999999</v>
      </c>
      <c r="BP58" s="151"/>
      <c r="BS58" s="161" t="s">
        <v>186</v>
      </c>
      <c r="BT58" s="334" t="s">
        <v>186</v>
      </c>
      <c r="BU58" s="162">
        <v>-1672170.97</v>
      </c>
      <c r="BV58" s="137"/>
      <c r="BW58" s="151">
        <f t="shared" si="54"/>
        <v>-1672170.97</v>
      </c>
      <c r="BX58" s="137"/>
      <c r="BY58" s="137"/>
      <c r="BZ58" s="153">
        <f t="shared" si="55"/>
        <v>-1672170.97</v>
      </c>
      <c r="CA58" s="151"/>
      <c r="CD58" s="161" t="s">
        <v>186</v>
      </c>
      <c r="CE58" s="334" t="s">
        <v>186</v>
      </c>
      <c r="CF58" s="151">
        <v>84211.72</v>
      </c>
      <c r="CG58" s="137"/>
      <c r="CH58" s="151">
        <f t="shared" si="56"/>
        <v>84211.72</v>
      </c>
      <c r="CI58" s="137"/>
      <c r="CJ58" s="137"/>
      <c r="CK58" s="153">
        <f t="shared" si="57"/>
        <v>84211.72</v>
      </c>
      <c r="CL58" s="154"/>
      <c r="CM58" s="151"/>
      <c r="CP58" s="161" t="s">
        <v>186</v>
      </c>
      <c r="CQ58" s="334" t="s">
        <v>186</v>
      </c>
      <c r="CR58" s="151">
        <v>853058.39</v>
      </c>
      <c r="CS58" s="137"/>
      <c r="CT58" s="151">
        <f t="shared" si="58"/>
        <v>853058.39</v>
      </c>
      <c r="CU58" s="137"/>
      <c r="CV58" s="137"/>
      <c r="CW58" s="153">
        <f t="shared" si="59"/>
        <v>853058.39</v>
      </c>
      <c r="CX58" s="154"/>
      <c r="CY58" s="154"/>
      <c r="DB58" s="161" t="s">
        <v>186</v>
      </c>
      <c r="DC58" s="334" t="s">
        <v>186</v>
      </c>
      <c r="DD58" s="151">
        <v>-1339332.78</v>
      </c>
      <c r="DE58" s="137"/>
      <c r="DF58" s="151">
        <f t="shared" si="60"/>
        <v>-1339332.78</v>
      </c>
      <c r="DG58" s="137"/>
      <c r="DH58" s="137"/>
      <c r="DI58" s="153">
        <f t="shared" si="61"/>
        <v>-1339332.78</v>
      </c>
      <c r="DJ58" s="154"/>
      <c r="DK58" s="154"/>
      <c r="DN58" s="161" t="s">
        <v>186</v>
      </c>
      <c r="DO58" s="334" t="s">
        <v>186</v>
      </c>
      <c r="DP58" s="151">
        <v>-905665.47</v>
      </c>
      <c r="DQ58" s="137"/>
      <c r="DR58" s="151">
        <f t="shared" si="62"/>
        <v>-905665.47</v>
      </c>
      <c r="DS58" s="137"/>
      <c r="DT58" s="137"/>
      <c r="DU58" s="153">
        <f t="shared" si="63"/>
        <v>-905665.47</v>
      </c>
      <c r="DV58" s="154"/>
      <c r="DW58" s="154"/>
      <c r="DZ58" s="161" t="s">
        <v>186</v>
      </c>
      <c r="EA58" s="334" t="s">
        <v>186</v>
      </c>
      <c r="EB58" s="151"/>
      <c r="EC58" s="137"/>
      <c r="ED58" s="151">
        <f t="shared" si="64"/>
        <v>0</v>
      </c>
      <c r="EE58" s="137"/>
      <c r="EF58" s="137"/>
      <c r="EG58" s="153">
        <f t="shared" si="65"/>
        <v>0</v>
      </c>
      <c r="EH58" s="154"/>
      <c r="EI58" s="154"/>
      <c r="EL58" s="161" t="s">
        <v>186</v>
      </c>
      <c r="EM58" s="334" t="s">
        <v>186</v>
      </c>
      <c r="EN58" s="151"/>
      <c r="EO58" s="137"/>
      <c r="EP58" s="151">
        <f t="shared" si="66"/>
        <v>0</v>
      </c>
      <c r="EQ58" s="137"/>
      <c r="ER58" s="137"/>
      <c r="ES58" s="153">
        <f t="shared" si="67"/>
        <v>0</v>
      </c>
      <c r="ET58" s="154"/>
    </row>
    <row r="59" spans="5:150" ht="14.25" customHeight="1">
      <c r="AA59" s="161"/>
      <c r="AB59" s="334"/>
      <c r="AC59" s="335">
        <f t="shared" ref="AC59:AH59" si="68">SUM(AC57:AC58)</f>
        <v>94677425.769999996</v>
      </c>
      <c r="AD59" s="335">
        <f t="shared" si="68"/>
        <v>0</v>
      </c>
      <c r="AE59" s="335">
        <f t="shared" si="68"/>
        <v>94677425.769999996</v>
      </c>
      <c r="AF59" s="335">
        <f t="shared" si="68"/>
        <v>8562714.3900000006</v>
      </c>
      <c r="AG59" s="335">
        <f t="shared" si="68"/>
        <v>0</v>
      </c>
      <c r="AH59" s="335">
        <f t="shared" si="68"/>
        <v>86114711.379999995</v>
      </c>
      <c r="AL59" s="161"/>
      <c r="AM59" s="334"/>
      <c r="AN59" s="335">
        <f t="shared" ref="AN59:AS59" si="69">SUM(AN57:AN58)</f>
        <v>104200194.91000001</v>
      </c>
      <c r="AO59" s="335">
        <f t="shared" si="69"/>
        <v>0</v>
      </c>
      <c r="AP59" s="335">
        <f t="shared" si="69"/>
        <v>104200194.91000001</v>
      </c>
      <c r="AQ59" s="335">
        <f t="shared" si="69"/>
        <v>0</v>
      </c>
      <c r="AR59" s="335">
        <f t="shared" si="69"/>
        <v>9610888.2100000009</v>
      </c>
      <c r="AS59" s="335">
        <f t="shared" si="69"/>
        <v>94589306.700000003</v>
      </c>
      <c r="AW59" s="161"/>
      <c r="AX59" s="334"/>
      <c r="AY59" s="335">
        <f t="shared" ref="AY59:BD59" si="70">SUM(AY57:AY58)</f>
        <v>100187687.48999999</v>
      </c>
      <c r="AZ59" s="335">
        <f t="shared" si="70"/>
        <v>0</v>
      </c>
      <c r="BA59" s="335">
        <f t="shared" si="70"/>
        <v>100187687.48999999</v>
      </c>
      <c r="BB59" s="335">
        <f t="shared" si="70"/>
        <v>0</v>
      </c>
      <c r="BC59" s="335">
        <f t="shared" si="70"/>
        <v>9203039.9800000004</v>
      </c>
      <c r="BD59" s="335">
        <f t="shared" si="70"/>
        <v>90984647.50999999</v>
      </c>
      <c r="BH59" s="161"/>
      <c r="BI59" s="334"/>
      <c r="BJ59" s="335">
        <f t="shared" ref="BJ59:BO59" si="71">SUM(BJ57:BJ58)</f>
        <v>102981003.60000001</v>
      </c>
      <c r="BK59" s="335">
        <f t="shared" si="71"/>
        <v>0</v>
      </c>
      <c r="BL59" s="335">
        <f t="shared" si="71"/>
        <v>102981003.60000001</v>
      </c>
      <c r="BM59" s="335">
        <f t="shared" si="71"/>
        <v>8562714.3900000006</v>
      </c>
      <c r="BN59" s="335">
        <f t="shared" si="71"/>
        <v>9509807.9800000004</v>
      </c>
      <c r="BO59" s="335">
        <f t="shared" si="71"/>
        <v>93471195.620000005</v>
      </c>
      <c r="BP59" s="335"/>
      <c r="BS59" s="161"/>
      <c r="BT59" s="334"/>
      <c r="BU59" s="335">
        <f t="shared" ref="BU59:BZ59" si="72">SUM(BU57:BU58)</f>
        <v>99226108.799999997</v>
      </c>
      <c r="BV59" s="335">
        <f t="shared" si="72"/>
        <v>0</v>
      </c>
      <c r="BW59" s="335">
        <f t="shared" si="72"/>
        <v>99226108.799999997</v>
      </c>
      <c r="BX59" s="335">
        <f t="shared" si="72"/>
        <v>0</v>
      </c>
      <c r="BY59" s="335">
        <f t="shared" si="72"/>
        <v>9203039.9800000004</v>
      </c>
      <c r="BZ59" s="335">
        <f t="shared" si="72"/>
        <v>90023068.819999993</v>
      </c>
      <c r="CA59" s="335"/>
      <c r="CD59" s="161"/>
      <c r="CE59" s="334"/>
      <c r="CF59" s="335">
        <f t="shared" ref="CF59:CK59" si="73">SUM(CF57:CF58)</f>
        <v>104345767.48</v>
      </c>
      <c r="CG59" s="335">
        <f t="shared" si="73"/>
        <v>0</v>
      </c>
      <c r="CH59" s="335">
        <f t="shared" si="73"/>
        <v>104345767.48</v>
      </c>
      <c r="CI59" s="335">
        <f t="shared" si="73"/>
        <v>0</v>
      </c>
      <c r="CJ59" s="335">
        <f t="shared" si="73"/>
        <v>9509807.9800000004</v>
      </c>
      <c r="CK59" s="335">
        <f t="shared" si="73"/>
        <v>94835959.5</v>
      </c>
      <c r="CL59" s="336"/>
      <c r="CM59" s="335"/>
      <c r="CP59" s="161"/>
      <c r="CQ59" s="334"/>
      <c r="CR59" s="335">
        <f t="shared" ref="CR59:CW59" si="74">SUM(CR57:CR58)</f>
        <v>105114614.15000001</v>
      </c>
      <c r="CS59" s="335">
        <f t="shared" si="74"/>
        <v>0</v>
      </c>
      <c r="CT59" s="335">
        <f t="shared" si="74"/>
        <v>105114614.15000001</v>
      </c>
      <c r="CU59" s="335">
        <f t="shared" si="74"/>
        <v>9509807.9800000004</v>
      </c>
      <c r="CV59" s="335">
        <f t="shared" si="74"/>
        <v>0</v>
      </c>
      <c r="CW59" s="335">
        <f t="shared" si="74"/>
        <v>105114614.15000001</v>
      </c>
      <c r="CX59" s="336"/>
      <c r="CY59" s="336"/>
      <c r="DB59" s="161"/>
      <c r="DC59" s="334"/>
      <c r="DD59" s="335">
        <f t="shared" ref="DD59:DI59" si="75">SUM(DD57:DD58)</f>
        <v>90355907.019999996</v>
      </c>
      <c r="DE59" s="335">
        <f t="shared" si="75"/>
        <v>0</v>
      </c>
      <c r="DF59" s="335">
        <f t="shared" si="75"/>
        <v>90355907.019999996</v>
      </c>
      <c r="DG59" s="335">
        <f t="shared" si="75"/>
        <v>0</v>
      </c>
      <c r="DH59" s="335">
        <f t="shared" si="75"/>
        <v>9203039.9800000004</v>
      </c>
      <c r="DI59" s="335">
        <f t="shared" si="75"/>
        <v>81152867.039999992</v>
      </c>
      <c r="DJ59" s="154">
        <f>DI59/DC57</f>
        <v>3.2203518743341708</v>
      </c>
      <c r="DK59" s="336"/>
      <c r="DN59" s="161"/>
      <c r="DO59" s="334"/>
      <c r="DP59" s="335">
        <f t="shared" ref="DP59:DU59" si="76">SUM(DP57:DP58)</f>
        <v>103355890.29000001</v>
      </c>
      <c r="DQ59" s="335">
        <f t="shared" si="76"/>
        <v>0</v>
      </c>
      <c r="DR59" s="335">
        <f t="shared" si="76"/>
        <v>103355890.29000001</v>
      </c>
      <c r="DS59" s="335">
        <f t="shared" si="76"/>
        <v>0</v>
      </c>
      <c r="DT59" s="335">
        <f t="shared" si="76"/>
        <v>9509807.9800000004</v>
      </c>
      <c r="DU59" s="335">
        <f t="shared" si="76"/>
        <v>93846082.310000002</v>
      </c>
      <c r="DV59" s="154">
        <f>DU59/DO57</f>
        <v>3.6039202199015059</v>
      </c>
      <c r="DW59" s="336"/>
      <c r="DZ59" s="161"/>
      <c r="EA59" s="334"/>
      <c r="EB59" s="335">
        <f t="shared" ref="EB59:EG59" si="77">SUM(EB57:EB58)</f>
        <v>100219891.41</v>
      </c>
      <c r="EC59" s="335">
        <f t="shared" si="77"/>
        <v>0</v>
      </c>
      <c r="ED59" s="335">
        <f t="shared" si="77"/>
        <v>100219891.41</v>
      </c>
      <c r="EE59" s="335">
        <f t="shared" si="77"/>
        <v>0</v>
      </c>
      <c r="EF59" s="335">
        <f t="shared" si="77"/>
        <v>9202422.1899999995</v>
      </c>
      <c r="EG59" s="335">
        <f t="shared" si="77"/>
        <v>91017469.219999999</v>
      </c>
      <c r="EH59" s="336"/>
      <c r="EI59" s="336"/>
      <c r="EL59" s="161"/>
      <c r="EM59" s="334"/>
      <c r="EN59" s="335">
        <f t="shared" ref="EN59:ES59" si="78">SUM(EN57:EN58)</f>
        <v>0</v>
      </c>
      <c r="EO59" s="335">
        <f t="shared" si="78"/>
        <v>0</v>
      </c>
      <c r="EP59" s="335">
        <f t="shared" si="78"/>
        <v>0</v>
      </c>
      <c r="EQ59" s="335">
        <f t="shared" si="78"/>
        <v>0</v>
      </c>
      <c r="ER59" s="335">
        <f t="shared" si="78"/>
        <v>0</v>
      </c>
      <c r="ES59" s="335">
        <f t="shared" si="78"/>
        <v>0</v>
      </c>
      <c r="ET59" s="336"/>
    </row>
    <row r="60" spans="5:150" ht="14.25" customHeight="1">
      <c r="AA60" s="161"/>
      <c r="AB60" s="334" t="s">
        <v>188</v>
      </c>
      <c r="AC60" s="137"/>
      <c r="AD60" s="137"/>
      <c r="AE60" s="137"/>
      <c r="AF60" s="137"/>
      <c r="AG60" s="137"/>
      <c r="AH60" s="148"/>
      <c r="AL60" s="161"/>
      <c r="AM60" s="337" t="s">
        <v>188</v>
      </c>
      <c r="AN60" s="137"/>
      <c r="AO60" s="137"/>
      <c r="AP60" s="137"/>
      <c r="AQ60" s="137"/>
      <c r="AR60" s="137"/>
      <c r="AS60" s="148"/>
      <c r="AW60" s="338" t="s">
        <v>188</v>
      </c>
      <c r="AX60" s="334"/>
      <c r="AY60" s="137"/>
      <c r="AZ60" s="137"/>
      <c r="BA60" s="137"/>
      <c r="BB60" s="137"/>
      <c r="BC60" s="137"/>
      <c r="BD60" s="148"/>
      <c r="BH60" s="338" t="s">
        <v>188</v>
      </c>
      <c r="BI60" s="334"/>
      <c r="BJ60" s="137"/>
      <c r="BK60" s="137"/>
      <c r="BL60" s="137"/>
      <c r="BM60" s="137"/>
      <c r="BN60" s="137"/>
      <c r="BO60" s="148"/>
      <c r="BP60" s="137"/>
      <c r="BS60" s="338" t="s">
        <v>188</v>
      </c>
      <c r="BT60" s="334" t="s">
        <v>188</v>
      </c>
      <c r="BU60" s="137"/>
      <c r="BV60" s="137"/>
      <c r="BW60" s="137"/>
      <c r="BX60" s="137"/>
      <c r="BY60" s="137"/>
      <c r="BZ60" s="148"/>
      <c r="CA60" s="137"/>
      <c r="CD60" s="338" t="s">
        <v>188</v>
      </c>
      <c r="CE60" s="333"/>
      <c r="CF60" s="158"/>
      <c r="CG60" s="158"/>
      <c r="CH60" s="158">
        <f t="shared" ref="CH60:CH62" si="79">CF60+CG60</f>
        <v>0</v>
      </c>
      <c r="CI60" s="137"/>
      <c r="CJ60" s="137"/>
      <c r="CK60" s="148"/>
      <c r="CL60" s="138"/>
      <c r="CM60" s="137"/>
      <c r="CP60" s="338" t="s">
        <v>188</v>
      </c>
      <c r="CQ60" s="334"/>
      <c r="CR60" s="137"/>
      <c r="CS60" s="137"/>
      <c r="CT60" s="137"/>
      <c r="CU60" s="137"/>
      <c r="CV60" s="137"/>
      <c r="CW60" s="148"/>
      <c r="CX60" s="138"/>
      <c r="CY60" s="138"/>
      <c r="DB60" s="338" t="s">
        <v>188</v>
      </c>
      <c r="DC60" s="333">
        <f t="shared" ref="DC60:DC61" si="80">2622.51*1000</f>
        <v>2622510</v>
      </c>
      <c r="DD60" s="158">
        <f>40886854.32-9462460.99</f>
        <v>31424393.329999998</v>
      </c>
      <c r="DE60" s="158">
        <f>3204604.03-993581.64</f>
        <v>2211022.3899999997</v>
      </c>
      <c r="DF60" s="151">
        <f t="shared" ref="DF60:DF62" si="81">DD60+DE60</f>
        <v>33635415.719999999</v>
      </c>
      <c r="DG60" s="158"/>
      <c r="DH60" s="158"/>
      <c r="DI60" s="153">
        <f t="shared" ref="DI60:DI62" si="82">DF60-DH60</f>
        <v>33635415.719999999</v>
      </c>
      <c r="DJ60" s="154">
        <f t="shared" ref="DJ60:DJ61" si="83">DI60/DC60</f>
        <v>12.825657755356509</v>
      </c>
      <c r="DK60" s="154"/>
      <c r="DL60" s="164"/>
      <c r="DM60" s="164"/>
      <c r="DN60" s="339" t="s">
        <v>189</v>
      </c>
      <c r="DO60" s="334"/>
      <c r="DP60" s="137"/>
      <c r="DQ60" s="137"/>
      <c r="DR60" s="137"/>
      <c r="DS60" s="137"/>
      <c r="DT60" s="137"/>
      <c r="DU60" s="148"/>
      <c r="DV60" s="154"/>
      <c r="DW60" s="138"/>
      <c r="DX60" s="164"/>
      <c r="DY60" s="164"/>
      <c r="DZ60" s="339" t="s">
        <v>190</v>
      </c>
      <c r="EA60" s="334"/>
      <c r="EB60" s="137"/>
      <c r="EC60" s="137"/>
      <c r="ED60" s="137"/>
      <c r="EE60" s="137"/>
      <c r="EF60" s="137"/>
      <c r="EG60" s="148"/>
      <c r="EH60" s="138"/>
      <c r="EI60" s="138"/>
      <c r="EJ60" s="164"/>
      <c r="EK60" s="164"/>
      <c r="EL60" s="339" t="s">
        <v>188</v>
      </c>
      <c r="EM60" s="334" t="s">
        <v>188</v>
      </c>
      <c r="EN60" s="137"/>
      <c r="EO60" s="137"/>
      <c r="EP60" s="137"/>
      <c r="EQ60" s="137"/>
      <c r="ER60" s="137"/>
      <c r="ES60" s="148"/>
      <c r="ET60" s="138"/>
    </row>
    <row r="61" spans="5:150" ht="14.25" customHeight="1">
      <c r="AA61" s="159" t="s">
        <v>191</v>
      </c>
      <c r="AB61" s="332">
        <v>2108880</v>
      </c>
      <c r="AC61" s="155">
        <v>25211352.670000002</v>
      </c>
      <c r="AD61" s="155">
        <v>2174197.6</v>
      </c>
      <c r="AE61" s="155">
        <v>27385550.27</v>
      </c>
      <c r="AF61" s="163"/>
      <c r="AG61" s="163"/>
      <c r="AH61" s="153">
        <v>27385550.27</v>
      </c>
      <c r="AL61" s="159" t="s">
        <v>191</v>
      </c>
      <c r="AM61" s="332"/>
      <c r="AN61" s="155">
        <v>34319803.57</v>
      </c>
      <c r="AO61" s="155">
        <v>2793030.85</v>
      </c>
      <c r="AP61" s="151">
        <f t="shared" ref="AP61:AP62" si="84">AN61+AO61</f>
        <v>37112834.420000002</v>
      </c>
      <c r="AQ61" s="163"/>
      <c r="AR61" s="163"/>
      <c r="AS61" s="153">
        <f t="shared" ref="AS61:AS62" si="85">AP61-AR61</f>
        <v>37112834.420000002</v>
      </c>
      <c r="AW61" s="159" t="s">
        <v>192</v>
      </c>
      <c r="AX61" s="372">
        <v>5288190</v>
      </c>
      <c r="AY61" s="155">
        <f>42186169.31</f>
        <v>42186169.310000002</v>
      </c>
      <c r="AZ61" s="155">
        <v>3553599.64</v>
      </c>
      <c r="BA61" s="151">
        <f t="shared" ref="BA61:BA63" si="86">AY61+AZ61</f>
        <v>45739768.950000003</v>
      </c>
      <c r="BB61" s="163"/>
      <c r="BC61" s="163"/>
      <c r="BD61" s="153">
        <f t="shared" ref="BD61:BD63" si="87">BA61+BC61</f>
        <v>45739768.950000003</v>
      </c>
      <c r="BH61" s="159" t="s">
        <v>192</v>
      </c>
      <c r="BI61" s="372">
        <f>5421.68*1000</f>
        <v>5421680</v>
      </c>
      <c r="BJ61" s="155">
        <v>60633668.869999997</v>
      </c>
      <c r="BK61" s="155">
        <v>4987941.55</v>
      </c>
      <c r="BL61" s="151">
        <f t="shared" ref="BL61:BL63" si="88">BJ61+BK61</f>
        <v>65621610.419999994</v>
      </c>
      <c r="BM61" s="164"/>
      <c r="BN61" s="164"/>
      <c r="BO61" s="153">
        <f t="shared" ref="BO61:BO63" si="89">BL61+BN61</f>
        <v>65621610.419999994</v>
      </c>
      <c r="BP61" s="151"/>
      <c r="BS61" s="159" t="s">
        <v>192</v>
      </c>
      <c r="BT61" s="332"/>
      <c r="BU61" s="155"/>
      <c r="BV61" s="155"/>
      <c r="BW61" s="151">
        <f t="shared" ref="BW61:BW62" si="90">BU61+BV61</f>
        <v>0</v>
      </c>
      <c r="BX61" s="163"/>
      <c r="BY61" s="163"/>
      <c r="BZ61" s="153">
        <f t="shared" ref="BZ61:BZ62" si="91">BW61-BY61</f>
        <v>0</v>
      </c>
      <c r="CA61" s="151"/>
      <c r="CD61" s="159" t="s">
        <v>192</v>
      </c>
      <c r="CE61" s="332" t="e">
        <f t="shared" ref="CE61:CG61" si="92">#REF!</f>
        <v>#REF!</v>
      </c>
      <c r="CF61" s="155" t="e">
        <f t="shared" si="92"/>
        <v>#REF!</v>
      </c>
      <c r="CG61" s="155" t="e">
        <f t="shared" si="92"/>
        <v>#REF!</v>
      </c>
      <c r="CH61" s="151" t="e">
        <f t="shared" si="79"/>
        <v>#REF!</v>
      </c>
      <c r="CI61" s="163"/>
      <c r="CJ61" s="163"/>
      <c r="CK61" s="153" t="e">
        <f t="shared" ref="CK61:CK62" si="93">CH61-CJ61</f>
        <v>#REF!</v>
      </c>
      <c r="CL61" s="154"/>
      <c r="CM61" s="151"/>
      <c r="CP61" s="159" t="s">
        <v>192</v>
      </c>
      <c r="CQ61" s="332">
        <v>2277620</v>
      </c>
      <c r="CR61" s="155">
        <v>33911015.359999999</v>
      </c>
      <c r="CS61" s="155">
        <v>2549183.48</v>
      </c>
      <c r="CT61" s="151">
        <f t="shared" ref="CT61:CT63" si="94">CR61+CS61</f>
        <v>36460198.839999996</v>
      </c>
      <c r="CU61" s="163"/>
      <c r="CV61" s="163"/>
      <c r="CW61" s="153">
        <f t="shared" ref="CW61:CW64" si="95">CT61-CV61</f>
        <v>36460198.839999996</v>
      </c>
      <c r="CX61" s="154"/>
      <c r="CY61" s="154"/>
      <c r="DB61" s="159" t="s">
        <v>192</v>
      </c>
      <c r="DC61" s="333">
        <f t="shared" si="80"/>
        <v>2622510</v>
      </c>
      <c r="DD61" s="155">
        <f>40863765.41-9465322.65</f>
        <v>31398442.759999998</v>
      </c>
      <c r="DE61" s="155">
        <f>3202944.27-993749.01</f>
        <v>2209195.2599999998</v>
      </c>
      <c r="DF61" s="151">
        <f t="shared" si="81"/>
        <v>33607638.019999996</v>
      </c>
      <c r="DG61" s="163"/>
      <c r="DH61" s="163"/>
      <c r="DI61" s="153">
        <f t="shared" si="82"/>
        <v>33607638.019999996</v>
      </c>
      <c r="DJ61" s="154">
        <f t="shared" si="83"/>
        <v>12.815065727108761</v>
      </c>
      <c r="DK61" s="154"/>
      <c r="DN61" s="159" t="s">
        <v>192</v>
      </c>
      <c r="DO61" s="332">
        <v>3036400</v>
      </c>
      <c r="DP61" s="155">
        <v>38706054.950000003</v>
      </c>
      <c r="DQ61" s="155">
        <v>2710010.77</v>
      </c>
      <c r="DR61" s="151">
        <f t="shared" ref="DR61:DR62" si="96">DP61+DQ61</f>
        <v>41416065.720000006</v>
      </c>
      <c r="DS61" s="163"/>
      <c r="DT61" s="163"/>
      <c r="DU61" s="153">
        <f t="shared" ref="DU61:DU62" si="97">DR61-DT61</f>
        <v>41416065.720000006</v>
      </c>
      <c r="DV61" s="154">
        <f>DU61/DO61</f>
        <v>13.63985829271506</v>
      </c>
      <c r="DW61" s="154"/>
      <c r="DZ61" s="159" t="s">
        <v>193</v>
      </c>
      <c r="EA61" s="332" t="e">
        <f>#REF!</f>
        <v>#REF!</v>
      </c>
      <c r="EB61" s="155">
        <v>40096020.960000001</v>
      </c>
      <c r="EC61" s="155">
        <v>2896945.98</v>
      </c>
      <c r="ED61" s="151">
        <f t="shared" ref="ED61:ED62" si="98">EB61+EC61</f>
        <v>42992966.939999998</v>
      </c>
      <c r="EE61" s="163"/>
      <c r="EF61" s="163"/>
      <c r="EG61" s="153">
        <f t="shared" ref="EG61:EG62" si="99">ED61-EF61</f>
        <v>42992966.939999998</v>
      </c>
      <c r="EH61" s="154"/>
      <c r="EI61" s="154"/>
      <c r="EL61" s="159" t="s">
        <v>192</v>
      </c>
      <c r="EM61" s="332"/>
      <c r="EN61" s="155"/>
      <c r="EO61" s="155"/>
      <c r="EP61" s="151">
        <f t="shared" ref="EP61:EP62" si="100">EN61+EO61</f>
        <v>0</v>
      </c>
      <c r="EQ61" s="163"/>
      <c r="ER61" s="163"/>
      <c r="ES61" s="153">
        <f t="shared" ref="ES61:ES62" si="101">EP61-ER61</f>
        <v>0</v>
      </c>
      <c r="ET61" s="154"/>
    </row>
    <row r="62" spans="5:150" ht="14.25" customHeight="1">
      <c r="AA62" s="150" t="s">
        <v>194</v>
      </c>
      <c r="AB62" s="334"/>
      <c r="AC62" s="137"/>
      <c r="AD62" s="137"/>
      <c r="AE62" s="152">
        <v>0</v>
      </c>
      <c r="AF62" s="137"/>
      <c r="AG62" s="137"/>
      <c r="AH62" s="157">
        <v>0</v>
      </c>
      <c r="AL62" s="150" t="s">
        <v>194</v>
      </c>
      <c r="AM62" s="334" t="s">
        <v>195</v>
      </c>
      <c r="AN62" s="158">
        <v>-3661358.89</v>
      </c>
      <c r="AO62" s="158">
        <v>-357314.68</v>
      </c>
      <c r="AP62" s="151">
        <f t="shared" si="84"/>
        <v>-4018673.5700000003</v>
      </c>
      <c r="AQ62" s="137"/>
      <c r="AR62" s="137"/>
      <c r="AS62" s="153">
        <f t="shared" si="85"/>
        <v>-4018673.5700000003</v>
      </c>
      <c r="AW62" s="150" t="s">
        <v>196</v>
      </c>
      <c r="AX62" s="373"/>
      <c r="AY62" s="158">
        <v>-1703527.6</v>
      </c>
      <c r="AZ62" s="158">
        <v>-163805.15</v>
      </c>
      <c r="BA62" s="151">
        <f t="shared" si="86"/>
        <v>-1867332.75</v>
      </c>
      <c r="BB62" s="137"/>
      <c r="BC62" s="137"/>
      <c r="BD62" s="153">
        <f t="shared" si="87"/>
        <v>-1867332.75</v>
      </c>
      <c r="BH62" s="150" t="s">
        <v>196</v>
      </c>
      <c r="BI62" s="373"/>
      <c r="BJ62" s="158">
        <v>-2461633.31</v>
      </c>
      <c r="BK62" s="158">
        <v>-240432.7</v>
      </c>
      <c r="BL62" s="151">
        <f t="shared" si="88"/>
        <v>-2702066.0100000002</v>
      </c>
      <c r="BM62" s="158"/>
      <c r="BN62" s="158"/>
      <c r="BO62" s="153">
        <f t="shared" si="89"/>
        <v>-2702066.0100000002</v>
      </c>
      <c r="BP62" s="151"/>
      <c r="BS62" s="150" t="s">
        <v>196</v>
      </c>
      <c r="BT62" s="334"/>
      <c r="BU62" s="137"/>
      <c r="BV62" s="137"/>
      <c r="BW62" s="151">
        <f t="shared" si="90"/>
        <v>0</v>
      </c>
      <c r="BX62" s="137"/>
      <c r="BY62" s="137"/>
      <c r="BZ62" s="153">
        <f t="shared" si="91"/>
        <v>0</v>
      </c>
      <c r="CA62" s="151"/>
      <c r="CD62" s="150" t="s">
        <v>196</v>
      </c>
      <c r="CE62" s="334"/>
      <c r="CF62" s="137"/>
      <c r="CG62" s="137"/>
      <c r="CH62" s="151">
        <f t="shared" si="79"/>
        <v>0</v>
      </c>
      <c r="CI62" s="137"/>
      <c r="CJ62" s="137"/>
      <c r="CK62" s="153">
        <f t="shared" si="93"/>
        <v>0</v>
      </c>
      <c r="CL62" s="154"/>
      <c r="CM62" s="151"/>
      <c r="CP62" s="150" t="s">
        <v>196</v>
      </c>
      <c r="CQ62" s="334"/>
      <c r="CR62" s="137">
        <v>-5589590.2199999997</v>
      </c>
      <c r="CS62" s="137">
        <v>-567711.03</v>
      </c>
      <c r="CT62" s="151">
        <f t="shared" si="94"/>
        <v>-6157301.25</v>
      </c>
      <c r="CU62" s="137"/>
      <c r="CV62" s="137"/>
      <c r="CW62" s="153">
        <f t="shared" si="95"/>
        <v>-6157301.25</v>
      </c>
      <c r="CX62" s="154"/>
      <c r="CY62" s="154"/>
      <c r="DB62" s="150" t="s">
        <v>196</v>
      </c>
      <c r="DC62" s="334"/>
      <c r="DD62" s="137"/>
      <c r="DE62" s="137"/>
      <c r="DF62" s="151">
        <f t="shared" si="81"/>
        <v>0</v>
      </c>
      <c r="DG62" s="137"/>
      <c r="DH62" s="137"/>
      <c r="DI62" s="153">
        <f t="shared" si="82"/>
        <v>0</v>
      </c>
      <c r="DJ62" s="154"/>
      <c r="DK62" s="154"/>
      <c r="DN62" s="150" t="s">
        <v>196</v>
      </c>
      <c r="DO62" s="332"/>
      <c r="DP62" s="158">
        <v>-4017718.05</v>
      </c>
      <c r="DQ62" s="158">
        <v>-413516.79999999999</v>
      </c>
      <c r="DR62" s="151">
        <f t="shared" si="96"/>
        <v>-4431234.8499999996</v>
      </c>
      <c r="DS62" s="137"/>
      <c r="DT62" s="137"/>
      <c r="DU62" s="153">
        <f t="shared" si="97"/>
        <v>-4431234.8499999996</v>
      </c>
      <c r="DV62" s="154"/>
      <c r="DW62" s="154"/>
      <c r="DZ62" s="150" t="s">
        <v>196</v>
      </c>
      <c r="EA62" s="334"/>
      <c r="EB62" s="165">
        <v>-2631559.83</v>
      </c>
      <c r="EC62" s="165">
        <v>-264890.95</v>
      </c>
      <c r="ED62" s="151">
        <f t="shared" si="98"/>
        <v>-2896450.7800000003</v>
      </c>
      <c r="EE62" s="137"/>
      <c r="EF62" s="137"/>
      <c r="EG62" s="153">
        <f t="shared" si="99"/>
        <v>-2896450.7800000003</v>
      </c>
      <c r="EH62" s="154"/>
      <c r="EI62" s="154"/>
      <c r="EL62" s="150" t="s">
        <v>196</v>
      </c>
      <c r="EM62" s="334"/>
      <c r="EN62" s="137"/>
      <c r="EO62" s="137"/>
      <c r="EP62" s="151">
        <f t="shared" si="100"/>
        <v>0</v>
      </c>
      <c r="EQ62" s="137"/>
      <c r="ER62" s="137"/>
      <c r="ES62" s="153">
        <f t="shared" si="101"/>
        <v>0</v>
      </c>
      <c r="ET62" s="154"/>
    </row>
    <row r="63" spans="5:150" ht="14.25" customHeight="1">
      <c r="AA63" s="150"/>
      <c r="AB63" s="334"/>
      <c r="AC63" s="151"/>
      <c r="AD63" s="151"/>
      <c r="AE63" s="151"/>
      <c r="AF63" s="151"/>
      <c r="AG63" s="151"/>
      <c r="AH63" s="340"/>
      <c r="AL63" s="150"/>
      <c r="AM63" s="334"/>
      <c r="AN63" s="151"/>
      <c r="AO63" s="151"/>
      <c r="AP63" s="151"/>
      <c r="AQ63" s="151"/>
      <c r="AR63" s="151"/>
      <c r="AS63" s="340"/>
      <c r="AW63" s="150" t="s">
        <v>197</v>
      </c>
      <c r="AX63" s="334"/>
      <c r="AY63" s="151">
        <v>413881.53</v>
      </c>
      <c r="AZ63" s="151">
        <v>49000.95</v>
      </c>
      <c r="BA63" s="151">
        <f t="shared" si="86"/>
        <v>462882.48000000004</v>
      </c>
      <c r="BB63" s="151"/>
      <c r="BC63" s="151"/>
      <c r="BD63" s="153">
        <f t="shared" si="87"/>
        <v>462882.48000000004</v>
      </c>
      <c r="BH63" s="150" t="s">
        <v>197</v>
      </c>
      <c r="BI63" s="334"/>
      <c r="BJ63" s="151">
        <v>881764.76</v>
      </c>
      <c r="BK63" s="151">
        <v>105285.03</v>
      </c>
      <c r="BL63" s="151">
        <f t="shared" si="88"/>
        <v>987049.79</v>
      </c>
      <c r="BM63" s="151"/>
      <c r="BN63" s="151"/>
      <c r="BO63" s="153">
        <f t="shared" si="89"/>
        <v>987049.79</v>
      </c>
      <c r="BP63" s="340"/>
      <c r="BS63" s="150" t="s">
        <v>197</v>
      </c>
      <c r="BT63" s="334"/>
      <c r="BU63" s="151"/>
      <c r="BV63" s="151"/>
      <c r="BW63" s="151"/>
      <c r="BX63" s="151"/>
      <c r="BY63" s="151"/>
      <c r="BZ63" s="340"/>
      <c r="CA63" s="340"/>
      <c r="CD63" s="150" t="s">
        <v>197</v>
      </c>
      <c r="CE63" s="334"/>
      <c r="CF63" s="151"/>
      <c r="CG63" s="151"/>
      <c r="CH63" s="151"/>
      <c r="CI63" s="151"/>
      <c r="CJ63" s="151"/>
      <c r="CK63" s="340"/>
      <c r="CL63" s="341"/>
      <c r="CM63" s="340"/>
      <c r="CP63" s="150" t="s">
        <v>197</v>
      </c>
      <c r="CQ63" s="334"/>
      <c r="CR63" s="151">
        <v>784568.27</v>
      </c>
      <c r="CS63" s="151">
        <v>94154.1</v>
      </c>
      <c r="CT63" s="151">
        <f t="shared" si="94"/>
        <v>878722.37</v>
      </c>
      <c r="CU63" s="151"/>
      <c r="CV63" s="151"/>
      <c r="CW63" s="153">
        <f t="shared" si="95"/>
        <v>878722.37</v>
      </c>
      <c r="CX63" s="341"/>
      <c r="CY63" s="341"/>
      <c r="DB63" s="150" t="s">
        <v>197</v>
      </c>
      <c r="DC63" s="334"/>
      <c r="DD63" s="151"/>
      <c r="DE63" s="151"/>
      <c r="DF63" s="151"/>
      <c r="DG63" s="151"/>
      <c r="DH63" s="151"/>
      <c r="DI63" s="340"/>
      <c r="DJ63" s="341"/>
      <c r="DK63" s="341"/>
      <c r="DN63" s="150" t="s">
        <v>197</v>
      </c>
      <c r="DO63" s="334"/>
      <c r="DP63" s="151"/>
      <c r="DQ63" s="151"/>
      <c r="DR63" s="151"/>
      <c r="DS63" s="151"/>
      <c r="DT63" s="151"/>
      <c r="DU63" s="340"/>
      <c r="DV63" s="341"/>
      <c r="DW63" s="341"/>
      <c r="DZ63" s="150" t="s">
        <v>197</v>
      </c>
      <c r="EA63" s="334"/>
      <c r="EB63" s="151"/>
      <c r="EC63" s="151"/>
      <c r="ED63" s="151"/>
      <c r="EE63" s="151"/>
      <c r="EF63" s="151"/>
      <c r="EG63" s="340"/>
      <c r="EH63" s="341"/>
      <c r="EI63" s="341"/>
      <c r="EL63" s="150" t="s">
        <v>197</v>
      </c>
      <c r="EM63" s="334"/>
      <c r="EN63" s="151"/>
      <c r="EO63" s="151"/>
      <c r="EP63" s="151"/>
      <c r="EQ63" s="151"/>
      <c r="ER63" s="151"/>
      <c r="ES63" s="340"/>
      <c r="ET63" s="341"/>
    </row>
    <row r="64" spans="5:150" ht="14.25" customHeight="1">
      <c r="AA64" s="166"/>
      <c r="AB64" s="342" t="s">
        <v>198</v>
      </c>
      <c r="AC64" s="167">
        <f t="shared" ref="AC64:AH64" si="102">AC61+AC59+AC55</f>
        <v>146234955.24000001</v>
      </c>
      <c r="AD64" s="167">
        <f t="shared" si="102"/>
        <v>5187503.32</v>
      </c>
      <c r="AE64" s="167">
        <f t="shared" si="102"/>
        <v>151422458.56</v>
      </c>
      <c r="AF64" s="167">
        <f t="shared" si="102"/>
        <v>8562714.3900000006</v>
      </c>
      <c r="AG64" s="167">
        <f t="shared" si="102"/>
        <v>0</v>
      </c>
      <c r="AH64" s="343">
        <f t="shared" si="102"/>
        <v>142859744.16999999</v>
      </c>
      <c r="AL64" s="166"/>
      <c r="AM64" s="342" t="s">
        <v>198</v>
      </c>
      <c r="AN64" s="167">
        <f t="shared" ref="AN64:AS64" si="103">AN61+AN59+AN55+AN62</f>
        <v>163223331.81000003</v>
      </c>
      <c r="AO64" s="167">
        <f t="shared" si="103"/>
        <v>5691725.370000001</v>
      </c>
      <c r="AP64" s="167">
        <f t="shared" si="103"/>
        <v>168915057.18000001</v>
      </c>
      <c r="AQ64" s="167">
        <f t="shared" si="103"/>
        <v>0</v>
      </c>
      <c r="AR64" s="167">
        <f t="shared" si="103"/>
        <v>9610888.2100000009</v>
      </c>
      <c r="AS64" s="343">
        <f t="shared" si="103"/>
        <v>159304168.97000003</v>
      </c>
      <c r="AW64" s="166"/>
      <c r="AX64" s="342" t="s">
        <v>198</v>
      </c>
      <c r="AY64" s="167">
        <f t="shared" ref="AY64:BA64" si="104">AY61+AY59+AY55+AY62+AY63</f>
        <v>170823070.84000003</v>
      </c>
      <c r="AZ64" s="167">
        <f t="shared" si="104"/>
        <v>6756677.5000000009</v>
      </c>
      <c r="BA64" s="167">
        <f t="shared" si="104"/>
        <v>177579748.34</v>
      </c>
      <c r="BB64" s="167">
        <f t="shared" ref="BB64:BC64" si="105">BB61+BB59+BB55+BB62</f>
        <v>0</v>
      </c>
      <c r="BC64" s="167">
        <f t="shared" si="105"/>
        <v>9203039.9800000004</v>
      </c>
      <c r="BD64" s="343">
        <f>BD61+BD59+BD55+BD62+BD63</f>
        <v>168376708.35999998</v>
      </c>
      <c r="BH64" s="166"/>
      <c r="BI64" s="342" t="s">
        <v>198</v>
      </c>
      <c r="BJ64" s="167">
        <f t="shared" ref="BJ64:BL64" si="106">BJ61+BJ59+BJ55+BJ62+BJ63</f>
        <v>192637860.91</v>
      </c>
      <c r="BK64" s="167">
        <f t="shared" si="106"/>
        <v>8234516.4000000004</v>
      </c>
      <c r="BL64" s="167">
        <f t="shared" si="106"/>
        <v>200872377.31</v>
      </c>
      <c r="BM64" s="167">
        <f t="shared" ref="BM64:BN64" si="107">BM61+BM59+BM55+BM62</f>
        <v>8562714.3900000006</v>
      </c>
      <c r="BN64" s="167">
        <f t="shared" si="107"/>
        <v>9509807.9800000004</v>
      </c>
      <c r="BO64" s="343">
        <f>BO61+BO59+BO55+BO62+BO63</f>
        <v>191362569.32999998</v>
      </c>
      <c r="BP64" s="340"/>
      <c r="BS64" s="166"/>
      <c r="BT64" s="342" t="s">
        <v>198</v>
      </c>
      <c r="BU64" s="167">
        <f t="shared" ref="BU64:BZ64" si="108">BU61+BU59+BU55+BU62</f>
        <v>129168271.72</v>
      </c>
      <c r="BV64" s="167">
        <f t="shared" si="108"/>
        <v>3322911.13</v>
      </c>
      <c r="BW64" s="167">
        <f t="shared" si="108"/>
        <v>132491182.84999999</v>
      </c>
      <c r="BX64" s="167">
        <f t="shared" si="108"/>
        <v>0</v>
      </c>
      <c r="BY64" s="167">
        <f t="shared" si="108"/>
        <v>9203039.9800000004</v>
      </c>
      <c r="BZ64" s="343">
        <f t="shared" si="108"/>
        <v>123288142.86999999</v>
      </c>
      <c r="CA64" s="340"/>
      <c r="CD64" s="166"/>
      <c r="CE64" s="342" t="s">
        <v>198</v>
      </c>
      <c r="CF64" s="167" t="e">
        <f t="shared" ref="CF64:CK64" si="109">CF61+CF59+CF55+CF62</f>
        <v>#REF!</v>
      </c>
      <c r="CG64" s="167" t="e">
        <f t="shared" si="109"/>
        <v>#REF!</v>
      </c>
      <c r="CH64" s="167" t="e">
        <f t="shared" si="109"/>
        <v>#REF!</v>
      </c>
      <c r="CI64" s="167">
        <f t="shared" si="109"/>
        <v>0</v>
      </c>
      <c r="CJ64" s="167">
        <f t="shared" si="109"/>
        <v>9509807.9800000004</v>
      </c>
      <c r="CK64" s="343" t="e">
        <f t="shared" si="109"/>
        <v>#REF!</v>
      </c>
      <c r="CL64" s="341"/>
      <c r="CM64" s="340"/>
      <c r="CP64" s="166"/>
      <c r="CQ64" s="342" t="s">
        <v>198</v>
      </c>
      <c r="CR64" s="167">
        <f t="shared" ref="CR64:CT64" si="110">CR61+CR59+CR55+CR62+CR63</f>
        <v>162572576.36000001</v>
      </c>
      <c r="CS64" s="167">
        <f t="shared" si="110"/>
        <v>5272171.5799999991</v>
      </c>
      <c r="CT64" s="167">
        <f t="shared" si="110"/>
        <v>167844747.94000003</v>
      </c>
      <c r="CU64" s="167">
        <f t="shared" ref="CU64:CV64" si="111">CU61+CU59+CU55+CU62</f>
        <v>9509807.9800000004</v>
      </c>
      <c r="CV64" s="167">
        <f t="shared" si="111"/>
        <v>0</v>
      </c>
      <c r="CW64" s="153">
        <f t="shared" si="95"/>
        <v>167844747.94000003</v>
      </c>
      <c r="CX64" s="341"/>
      <c r="CY64" s="341"/>
      <c r="DB64" s="166"/>
      <c r="DC64" s="342" t="s">
        <v>198</v>
      </c>
      <c r="DD64" s="167">
        <f t="shared" ref="DD64:DI64" si="112">DD61+DD59+DD55+DD62</f>
        <v>150100269.52000001</v>
      </c>
      <c r="DE64" s="167">
        <f t="shared" si="112"/>
        <v>5401476.8300000001</v>
      </c>
      <c r="DF64" s="167">
        <f t="shared" si="112"/>
        <v>155501746.34999999</v>
      </c>
      <c r="DG64" s="167">
        <f t="shared" si="112"/>
        <v>0</v>
      </c>
      <c r="DH64" s="167">
        <f t="shared" si="112"/>
        <v>9203039.9800000004</v>
      </c>
      <c r="DI64" s="343">
        <f t="shared" si="112"/>
        <v>146298706.36999997</v>
      </c>
      <c r="DJ64" s="341"/>
      <c r="DK64" s="341"/>
      <c r="DN64" s="166"/>
      <c r="DO64" s="342" t="s">
        <v>198</v>
      </c>
      <c r="DP64" s="167">
        <f t="shared" ref="DP64:DU64" si="113">DP61+DP59+DP55+DP62</f>
        <v>167965938.84</v>
      </c>
      <c r="DQ64" s="167">
        <f t="shared" si="113"/>
        <v>5694431.5300000003</v>
      </c>
      <c r="DR64" s="167">
        <f t="shared" si="113"/>
        <v>173660370.37000003</v>
      </c>
      <c r="DS64" s="167">
        <f t="shared" si="113"/>
        <v>0</v>
      </c>
      <c r="DT64" s="167">
        <f t="shared" si="113"/>
        <v>9455056.1699999999</v>
      </c>
      <c r="DU64" s="343">
        <f t="shared" si="113"/>
        <v>164205314.20000002</v>
      </c>
      <c r="DV64" s="341"/>
      <c r="DW64" s="341"/>
      <c r="DZ64" s="166"/>
      <c r="EA64" s="342" t="s">
        <v>198</v>
      </c>
      <c r="EB64" s="167">
        <f t="shared" ref="EB64:EG64" si="114">EB61+EB59+EB55+EB62</f>
        <v>166346718.94</v>
      </c>
      <c r="EC64" s="167">
        <f t="shared" si="114"/>
        <v>5850724.7599999998</v>
      </c>
      <c r="ED64" s="167">
        <f t="shared" si="114"/>
        <v>172197443.69999999</v>
      </c>
      <c r="EE64" s="167">
        <f t="shared" si="114"/>
        <v>0</v>
      </c>
      <c r="EF64" s="167">
        <f t="shared" si="114"/>
        <v>9202422.1899999995</v>
      </c>
      <c r="EG64" s="343">
        <f t="shared" si="114"/>
        <v>162995021.50999999</v>
      </c>
      <c r="EH64" s="341"/>
      <c r="EI64" s="341"/>
      <c r="EL64" s="166"/>
      <c r="EM64" s="342" t="s">
        <v>198</v>
      </c>
      <c r="EN64" s="167">
        <f t="shared" ref="EN64:ES64" si="115">EN61+EN59+EN55+EN62</f>
        <v>0</v>
      </c>
      <c r="EO64" s="167">
        <f t="shared" si="115"/>
        <v>0</v>
      </c>
      <c r="EP64" s="167">
        <f t="shared" si="115"/>
        <v>0</v>
      </c>
      <c r="EQ64" s="167">
        <f t="shared" si="115"/>
        <v>0</v>
      </c>
      <c r="ER64" s="167">
        <f t="shared" si="115"/>
        <v>0</v>
      </c>
      <c r="ES64" s="343">
        <f t="shared" si="115"/>
        <v>0</v>
      </c>
      <c r="ET64" s="341"/>
    </row>
    <row r="65" spans="34:150" ht="14.25" customHeight="1">
      <c r="AH65" s="164">
        <f>AE64-(0.5*AF64)</f>
        <v>147141101.36500001</v>
      </c>
      <c r="AS65" s="164">
        <f>AP64-(0.5*AR64)</f>
        <v>164109613.07500002</v>
      </c>
      <c r="BD65" s="164">
        <f>BA64-(0.5*BC64)</f>
        <v>172978228.34999999</v>
      </c>
      <c r="BO65" s="164">
        <f>BL64-(0.5*BN64)</f>
        <v>196117473.31999999</v>
      </c>
      <c r="BZ65" s="164">
        <f>BW64-(0.5*BY64)</f>
        <v>127889662.86</v>
      </c>
      <c r="CK65" s="164" t="e">
        <f>CH64-(0.5*CJ64)</f>
        <v>#REF!</v>
      </c>
      <c r="CL65" s="138"/>
      <c r="CW65" s="164">
        <f>CT64-(0.5*CV64)</f>
        <v>167844747.94000003</v>
      </c>
      <c r="CX65" s="138"/>
      <c r="CY65" s="138"/>
      <c r="DI65" s="164">
        <f>DF64-(0.5*DH64)</f>
        <v>150900226.35999998</v>
      </c>
      <c r="DJ65" s="138"/>
      <c r="DK65" s="138"/>
      <c r="DT65" s="168" t="s">
        <v>199</v>
      </c>
      <c r="DU65" s="164">
        <f>DR64-(0.5*DT64)</f>
        <v>168932842.28500003</v>
      </c>
      <c r="DV65" s="138"/>
      <c r="DW65" s="138"/>
      <c r="EF65" s="168" t="s">
        <v>199</v>
      </c>
      <c r="EG65" s="164">
        <f>ED64-(0.5*EF64)</f>
        <v>167596232.60499999</v>
      </c>
      <c r="EH65" s="138"/>
      <c r="EI65" s="138"/>
      <c r="ES65" s="164">
        <f>EP64-(0.5*ER64)</f>
        <v>0</v>
      </c>
      <c r="ET65" s="138"/>
    </row>
    <row r="66" spans="34:150" ht="14.25" customHeight="1">
      <c r="AH66" s="344">
        <f>AH65/AB55</f>
        <v>5.911856041918659</v>
      </c>
      <c r="AS66" s="344">
        <f>AS65/AM55</f>
        <v>5.6722202806115618</v>
      </c>
      <c r="BD66" s="163">
        <f>BD65/AX55</f>
        <v>5.8423799173952373</v>
      </c>
      <c r="BO66" s="163">
        <f>BO65/BI55</f>
        <v>6.4178562336522456</v>
      </c>
      <c r="BZ66" s="163">
        <f>BZ65/BT55</f>
        <v>4.6039456180754783</v>
      </c>
      <c r="CK66" s="163" t="e">
        <f>CK65/CE55</f>
        <v>#REF!</v>
      </c>
      <c r="CL66" s="138"/>
      <c r="CW66" s="163">
        <f>CW65/CQ55</f>
        <v>5.9200385385582122</v>
      </c>
      <c r="CX66" s="138"/>
      <c r="CY66" s="138"/>
      <c r="DI66" s="242">
        <f>DI65/DC55</f>
        <v>5.5812757305117042</v>
      </c>
      <c r="DJ66" s="138"/>
      <c r="DK66" s="138"/>
      <c r="DT66" s="345" t="s">
        <v>200</v>
      </c>
      <c r="DU66" s="242">
        <f>DU65/DO55</f>
        <v>5.9665146973414238</v>
      </c>
      <c r="DV66" s="138"/>
      <c r="DW66" s="138"/>
      <c r="EF66" s="345" t="s">
        <v>200</v>
      </c>
      <c r="EG66" s="163">
        <f>EG65/EA55</f>
        <v>6.0616048164728316</v>
      </c>
      <c r="EH66" s="138"/>
      <c r="EI66" s="138"/>
      <c r="ES66" s="163" t="e">
        <f>ES65/EM55</f>
        <v>#DIV/0!</v>
      </c>
      <c r="ET66" s="138"/>
    </row>
    <row r="67" spans="34:150" ht="14.25" customHeight="1">
      <c r="CL67" s="138"/>
      <c r="CX67" s="138"/>
      <c r="CY67" s="138"/>
      <c r="DJ67" s="138"/>
      <c r="DK67" s="138"/>
      <c r="DT67" s="345" t="s">
        <v>201</v>
      </c>
      <c r="DU67" s="242">
        <f>DU66-DI66</f>
        <v>0.38523896682971959</v>
      </c>
      <c r="DV67" s="138"/>
      <c r="DW67" s="138"/>
      <c r="EF67" s="345" t="s">
        <v>201</v>
      </c>
      <c r="EG67" s="242">
        <f>EG66-DU66</f>
        <v>9.5090119131407747E-2</v>
      </c>
      <c r="EH67" s="138"/>
      <c r="EI67" s="138"/>
      <c r="ET67" s="138"/>
    </row>
    <row r="68" spans="34:150" ht="14.25" customHeight="1">
      <c r="AM68" s="130">
        <v>3743.63</v>
      </c>
      <c r="CE68" s="241">
        <f>CG38-CE60</f>
        <v>2023145.8000000007</v>
      </c>
      <c r="CL68" s="138"/>
      <c r="CX68" s="138"/>
      <c r="CY68" s="138"/>
      <c r="DJ68" s="138"/>
      <c r="DK68" s="138"/>
      <c r="DV68" s="138"/>
      <c r="DW68" s="138"/>
      <c r="EH68" s="138"/>
      <c r="EI68" s="138"/>
      <c r="ET68" s="138"/>
    </row>
    <row r="69" spans="34:150" ht="14.25" customHeight="1">
      <c r="AM69" s="163">
        <f>AM68*1000</f>
        <v>3743630</v>
      </c>
      <c r="BT69" s="214"/>
      <c r="CE69" s="214">
        <f>CE68/CG38</f>
        <v>1</v>
      </c>
      <c r="CL69" s="138"/>
      <c r="CX69" s="138"/>
      <c r="CY69" s="138"/>
      <c r="DJ69" s="138"/>
      <c r="DK69" s="138"/>
      <c r="DV69" s="138"/>
      <c r="DW69" s="138"/>
      <c r="EH69" s="138"/>
      <c r="EI69" s="138"/>
      <c r="ET69" s="138"/>
    </row>
    <row r="70" spans="34:150" ht="14.25" customHeight="1">
      <c r="AM70" s="164">
        <f>AM69+AM56</f>
        <v>4394519.8000000119</v>
      </c>
      <c r="CL70" s="138"/>
      <c r="CX70" s="138"/>
      <c r="CY70" s="138"/>
      <c r="DJ70" s="138"/>
      <c r="DK70" s="138"/>
      <c r="DV70" s="138"/>
      <c r="DW70" s="138"/>
      <c r="EH70" s="138"/>
      <c r="EI70" s="138"/>
      <c r="ET70" s="138"/>
    </row>
    <row r="71" spans="34:150" ht="14.25" customHeight="1">
      <c r="CL71" s="138"/>
      <c r="CX71" s="138"/>
      <c r="CY71" s="138"/>
      <c r="DJ71" s="138"/>
      <c r="DK71" s="138"/>
      <c r="DV71" s="138"/>
      <c r="DW71" s="138"/>
      <c r="EH71" s="138"/>
      <c r="EI71" s="138"/>
      <c r="ET71" s="138"/>
    </row>
    <row r="72" spans="34:150" ht="14.25" customHeight="1">
      <c r="CL72" s="138"/>
      <c r="CX72" s="138"/>
      <c r="CY72" s="138"/>
      <c r="DJ72" s="138"/>
      <c r="DK72" s="138"/>
      <c r="DV72" s="138"/>
      <c r="DW72" s="138"/>
      <c r="EH72" s="138"/>
      <c r="EI72" s="138"/>
      <c r="ET72" s="138"/>
    </row>
    <row r="73" spans="34:150" ht="14.25" customHeight="1">
      <c r="CL73" s="138"/>
      <c r="CX73" s="138"/>
      <c r="CY73" s="138"/>
      <c r="DJ73" s="138"/>
      <c r="DK73" s="138"/>
      <c r="DV73" s="138"/>
      <c r="DW73" s="138"/>
      <c r="EH73" s="138"/>
      <c r="EI73" s="138"/>
      <c r="ET73" s="138"/>
    </row>
    <row r="74" spans="34:150" ht="14.25" customHeight="1">
      <c r="CL74" s="138"/>
      <c r="CX74" s="138"/>
      <c r="CY74" s="138"/>
      <c r="DJ74" s="138"/>
      <c r="DK74" s="138"/>
      <c r="DV74" s="138"/>
      <c r="DW74" s="138"/>
      <c r="EH74" s="138"/>
      <c r="EI74" s="138"/>
      <c r="ET74" s="138"/>
    </row>
    <row r="75" spans="34:150" ht="14.25" customHeight="1">
      <c r="CL75" s="138"/>
      <c r="CX75" s="138"/>
      <c r="CY75" s="138"/>
      <c r="DJ75" s="138"/>
      <c r="DK75" s="138"/>
      <c r="DV75" s="138"/>
      <c r="DW75" s="138"/>
      <c r="EH75" s="138"/>
      <c r="EI75" s="138"/>
      <c r="ET75" s="138"/>
    </row>
    <row r="76" spans="34:150" ht="14.25" customHeight="1">
      <c r="CL76" s="138"/>
      <c r="CX76" s="138"/>
      <c r="CY76" s="138"/>
      <c r="DJ76" s="138"/>
      <c r="DK76" s="138"/>
      <c r="DV76" s="138"/>
      <c r="DW76" s="138"/>
      <c r="EH76" s="138"/>
      <c r="EI76" s="138"/>
      <c r="ET76" s="138"/>
    </row>
    <row r="77" spans="34:150" ht="14.25" customHeight="1">
      <c r="CL77" s="138"/>
      <c r="CX77" s="138"/>
      <c r="CY77" s="138"/>
      <c r="DJ77" s="138"/>
      <c r="DK77" s="138"/>
      <c r="DV77" s="138"/>
      <c r="DW77" s="138"/>
      <c r="EH77" s="138"/>
      <c r="EI77" s="138"/>
      <c r="ET77" s="138"/>
    </row>
    <row r="78" spans="34:150" ht="14.25" customHeight="1">
      <c r="CL78" s="138"/>
      <c r="CX78" s="138"/>
      <c r="CY78" s="138"/>
      <c r="DJ78" s="138"/>
      <c r="DK78" s="138"/>
      <c r="DV78" s="138"/>
      <c r="DW78" s="138"/>
      <c r="EH78" s="138"/>
      <c r="EI78" s="138"/>
      <c r="ET78" s="138"/>
    </row>
    <row r="79" spans="34:150" ht="14.25" customHeight="1">
      <c r="CL79" s="138"/>
      <c r="CX79" s="138"/>
      <c r="CY79" s="138"/>
      <c r="DJ79" s="138"/>
      <c r="DK79" s="138"/>
      <c r="DV79" s="138"/>
      <c r="DW79" s="138"/>
      <c r="EH79" s="138"/>
      <c r="EI79" s="138"/>
      <c r="ET79" s="138"/>
    </row>
    <row r="80" spans="34:150" ht="14.25" customHeight="1">
      <c r="CL80" s="138"/>
      <c r="CX80" s="138"/>
      <c r="CY80" s="138"/>
      <c r="DJ80" s="138"/>
      <c r="DK80" s="138"/>
      <c r="DV80" s="138"/>
      <c r="DW80" s="138"/>
      <c r="EH80" s="138"/>
      <c r="EI80" s="138"/>
      <c r="ET80" s="138"/>
    </row>
    <row r="81" spans="90:150" ht="14.25" customHeight="1">
      <c r="CL81" s="138"/>
      <c r="CX81" s="138"/>
      <c r="CY81" s="138"/>
      <c r="DJ81" s="138"/>
      <c r="DK81" s="138"/>
      <c r="DV81" s="138"/>
      <c r="DW81" s="138"/>
      <c r="EH81" s="138"/>
      <c r="EI81" s="138"/>
      <c r="ET81" s="138"/>
    </row>
    <row r="82" spans="90:150" ht="14.25" customHeight="1">
      <c r="CL82" s="138"/>
      <c r="CX82" s="138"/>
      <c r="CY82" s="138"/>
      <c r="DJ82" s="138"/>
      <c r="DK82" s="138"/>
      <c r="DV82" s="138"/>
      <c r="DW82" s="138"/>
      <c r="EH82" s="138"/>
      <c r="EI82" s="138"/>
      <c r="ET82" s="138"/>
    </row>
    <row r="83" spans="90:150" ht="14.25" customHeight="1">
      <c r="CL83" s="138"/>
      <c r="CX83" s="138"/>
      <c r="CY83" s="138"/>
      <c r="DJ83" s="138"/>
      <c r="DK83" s="138"/>
      <c r="DV83" s="138"/>
      <c r="DW83" s="138"/>
      <c r="EH83" s="138"/>
      <c r="EI83" s="138"/>
      <c r="ET83" s="138"/>
    </row>
    <row r="84" spans="90:150" ht="14.25" customHeight="1">
      <c r="CL84" s="138"/>
      <c r="CX84" s="138"/>
      <c r="CY84" s="138"/>
      <c r="DJ84" s="138"/>
      <c r="DK84" s="138"/>
      <c r="DV84" s="138"/>
      <c r="DW84" s="138"/>
      <c r="EH84" s="138"/>
      <c r="EI84" s="138"/>
      <c r="ET84" s="138"/>
    </row>
    <row r="85" spans="90:150" ht="14.25" customHeight="1">
      <c r="CL85" s="138"/>
      <c r="CX85" s="138"/>
      <c r="CY85" s="138"/>
      <c r="DJ85" s="138"/>
      <c r="DK85" s="138"/>
      <c r="DV85" s="138"/>
      <c r="DW85" s="138"/>
      <c r="EH85" s="138"/>
      <c r="EI85" s="138"/>
      <c r="ET85" s="138"/>
    </row>
    <row r="86" spans="90:150" ht="14.25" customHeight="1">
      <c r="CL86" s="138"/>
      <c r="CX86" s="138"/>
      <c r="CY86" s="138"/>
      <c r="DJ86" s="138"/>
      <c r="DK86" s="138"/>
      <c r="DV86" s="138"/>
      <c r="DW86" s="138"/>
      <c r="EH86" s="138"/>
      <c r="EI86" s="138"/>
      <c r="ET86" s="138"/>
    </row>
    <row r="87" spans="90:150" ht="14.25" customHeight="1">
      <c r="CL87" s="138"/>
      <c r="CX87" s="138"/>
      <c r="CY87" s="138"/>
      <c r="DJ87" s="138"/>
      <c r="DK87" s="138"/>
      <c r="DV87" s="138"/>
      <c r="DW87" s="138"/>
      <c r="EH87" s="138"/>
      <c r="EI87" s="138"/>
      <c r="ET87" s="138"/>
    </row>
    <row r="88" spans="90:150" ht="14.25" customHeight="1">
      <c r="CL88" s="138"/>
      <c r="CX88" s="138"/>
      <c r="CY88" s="138"/>
      <c r="DJ88" s="138"/>
      <c r="DK88" s="138"/>
      <c r="DV88" s="138"/>
      <c r="DW88" s="138"/>
      <c r="EH88" s="138"/>
      <c r="EI88" s="138"/>
      <c r="ET88" s="138"/>
    </row>
    <row r="89" spans="90:150" ht="14.25" customHeight="1">
      <c r="CL89" s="138"/>
      <c r="CX89" s="138"/>
      <c r="CY89" s="138"/>
      <c r="DJ89" s="138"/>
      <c r="DK89" s="138"/>
      <c r="DV89" s="138"/>
      <c r="DW89" s="138"/>
      <c r="EH89" s="138"/>
      <c r="EI89" s="138"/>
      <c r="ET89" s="138"/>
    </row>
    <row r="90" spans="90:150" ht="14.25" customHeight="1">
      <c r="CL90" s="138"/>
      <c r="CX90" s="138"/>
      <c r="CY90" s="138"/>
      <c r="DJ90" s="138"/>
      <c r="DK90" s="138"/>
      <c r="DV90" s="138"/>
      <c r="DW90" s="138"/>
      <c r="EH90" s="138"/>
      <c r="EI90" s="138"/>
      <c r="ET90" s="138"/>
    </row>
    <row r="91" spans="90:150" ht="14.25" customHeight="1">
      <c r="CL91" s="138"/>
      <c r="CX91" s="138"/>
      <c r="CY91" s="138"/>
      <c r="DJ91" s="138"/>
      <c r="DK91" s="138"/>
      <c r="DV91" s="138"/>
      <c r="DW91" s="138"/>
      <c r="EH91" s="138"/>
      <c r="EI91" s="138"/>
      <c r="ET91" s="138"/>
    </row>
    <row r="92" spans="90:150" ht="14.25" customHeight="1">
      <c r="CL92" s="138"/>
      <c r="CX92" s="138"/>
      <c r="CY92" s="138"/>
      <c r="DJ92" s="138"/>
      <c r="DK92" s="138"/>
      <c r="DV92" s="138"/>
      <c r="DW92" s="138"/>
      <c r="EH92" s="138"/>
      <c r="EI92" s="138"/>
      <c r="ET92" s="138"/>
    </row>
    <row r="93" spans="90:150" ht="14.25" customHeight="1">
      <c r="CL93" s="138"/>
      <c r="CX93" s="138"/>
      <c r="CY93" s="138"/>
      <c r="DJ93" s="138"/>
      <c r="DK93" s="138"/>
      <c r="DV93" s="138"/>
      <c r="DW93" s="138"/>
      <c r="EH93" s="138"/>
      <c r="EI93" s="138"/>
      <c r="ET93" s="138"/>
    </row>
    <row r="94" spans="90:150" ht="14.25" customHeight="1">
      <c r="CL94" s="138"/>
      <c r="CX94" s="138"/>
      <c r="CY94" s="138"/>
      <c r="DJ94" s="138"/>
      <c r="DK94" s="138"/>
      <c r="DV94" s="138"/>
      <c r="DW94" s="138"/>
      <c r="EH94" s="138"/>
      <c r="EI94" s="138"/>
      <c r="ET94" s="138"/>
    </row>
    <row r="95" spans="90:150" ht="14.25" customHeight="1">
      <c r="CL95" s="138"/>
      <c r="CX95" s="138"/>
      <c r="CY95" s="138"/>
      <c r="DJ95" s="138"/>
      <c r="DK95" s="138"/>
      <c r="DV95" s="138"/>
      <c r="DW95" s="138"/>
      <c r="EH95" s="138"/>
      <c r="EI95" s="138"/>
      <c r="ET95" s="138"/>
    </row>
    <row r="96" spans="90:150" ht="14.25" customHeight="1">
      <c r="CL96" s="138"/>
      <c r="CX96" s="138"/>
      <c r="CY96" s="138"/>
      <c r="DJ96" s="138"/>
      <c r="DK96" s="138"/>
      <c r="DV96" s="138"/>
      <c r="DW96" s="138"/>
      <c r="EH96" s="138"/>
      <c r="EI96" s="138"/>
      <c r="ET96" s="138"/>
    </row>
    <row r="97" spans="90:150" ht="14.25" customHeight="1">
      <c r="CL97" s="138"/>
      <c r="CX97" s="138"/>
      <c r="CY97" s="138"/>
      <c r="DJ97" s="138"/>
      <c r="DK97" s="138"/>
      <c r="DV97" s="138"/>
      <c r="DW97" s="138"/>
      <c r="EH97" s="138"/>
      <c r="EI97" s="138"/>
      <c r="ET97" s="138"/>
    </row>
    <row r="98" spans="90:150" ht="14.25" customHeight="1">
      <c r="CL98" s="138"/>
      <c r="CX98" s="138"/>
      <c r="CY98" s="138"/>
      <c r="DJ98" s="138"/>
      <c r="DK98" s="138"/>
      <c r="DV98" s="138"/>
      <c r="DW98" s="138"/>
      <c r="EH98" s="138"/>
      <c r="EI98" s="138"/>
      <c r="ET98" s="138"/>
    </row>
    <row r="99" spans="90:150" ht="14.25" customHeight="1">
      <c r="CL99" s="138"/>
      <c r="CX99" s="138"/>
      <c r="CY99" s="138"/>
      <c r="DJ99" s="138"/>
      <c r="DK99" s="138"/>
      <c r="DV99" s="138"/>
      <c r="DW99" s="138"/>
      <c r="EH99" s="138"/>
      <c r="EI99" s="138"/>
      <c r="ET99" s="138"/>
    </row>
    <row r="100" spans="90:150" ht="14.25" customHeight="1">
      <c r="CL100" s="138"/>
      <c r="CX100" s="138"/>
      <c r="CY100" s="138"/>
      <c r="DJ100" s="138"/>
      <c r="DK100" s="138"/>
      <c r="DV100" s="138"/>
      <c r="DW100" s="138"/>
      <c r="EH100" s="138"/>
      <c r="EI100" s="138"/>
      <c r="ET100" s="138"/>
    </row>
    <row r="101" spans="90:150" ht="14.25" customHeight="1">
      <c r="CL101" s="138"/>
      <c r="CX101" s="138"/>
      <c r="CY101" s="138"/>
      <c r="DJ101" s="138"/>
      <c r="DK101" s="138"/>
      <c r="DV101" s="138"/>
      <c r="DW101" s="138"/>
      <c r="EH101" s="138"/>
      <c r="EI101" s="138"/>
      <c r="ET101" s="138"/>
    </row>
    <row r="102" spans="90:150" ht="14.25" customHeight="1">
      <c r="CL102" s="138"/>
      <c r="CX102" s="138"/>
      <c r="CY102" s="138"/>
      <c r="DJ102" s="138"/>
      <c r="DK102" s="138"/>
      <c r="DV102" s="138"/>
      <c r="DW102" s="138"/>
      <c r="EH102" s="138"/>
      <c r="EI102" s="138"/>
      <c r="ET102" s="138"/>
    </row>
    <row r="103" spans="90:150" ht="14.25" customHeight="1">
      <c r="CL103" s="138"/>
      <c r="CX103" s="138"/>
      <c r="CY103" s="138"/>
      <c r="DJ103" s="138"/>
      <c r="DK103" s="138"/>
      <c r="DV103" s="138"/>
      <c r="DW103" s="138"/>
      <c r="EH103" s="138"/>
      <c r="EI103" s="138"/>
      <c r="ET103" s="138"/>
    </row>
    <row r="104" spans="90:150" ht="14.25" customHeight="1">
      <c r="CL104" s="138"/>
      <c r="CX104" s="138"/>
      <c r="CY104" s="138"/>
      <c r="DJ104" s="138"/>
      <c r="DK104" s="138"/>
      <c r="DV104" s="138"/>
      <c r="DW104" s="138"/>
      <c r="EH104" s="138"/>
      <c r="EI104" s="138"/>
      <c r="ET104" s="138"/>
    </row>
    <row r="105" spans="90:150" ht="14.25" customHeight="1">
      <c r="CL105" s="138"/>
      <c r="CX105" s="138"/>
      <c r="CY105" s="138"/>
      <c r="DJ105" s="138"/>
      <c r="DK105" s="138"/>
      <c r="DV105" s="138"/>
      <c r="DW105" s="138"/>
      <c r="EH105" s="138"/>
      <c r="EI105" s="138"/>
      <c r="ET105" s="138"/>
    </row>
    <row r="106" spans="90:150" ht="14.25" customHeight="1">
      <c r="CL106" s="138"/>
      <c r="CX106" s="138"/>
      <c r="CY106" s="138"/>
      <c r="DJ106" s="138"/>
      <c r="DK106" s="138"/>
      <c r="DV106" s="138"/>
      <c r="DW106" s="138"/>
      <c r="EH106" s="138"/>
      <c r="EI106" s="138"/>
      <c r="ET106" s="138"/>
    </row>
    <row r="107" spans="90:150" ht="14.25" customHeight="1">
      <c r="CL107" s="138"/>
      <c r="CX107" s="138"/>
      <c r="CY107" s="138"/>
      <c r="DJ107" s="138"/>
      <c r="DK107" s="138"/>
      <c r="DV107" s="138"/>
      <c r="DW107" s="138"/>
      <c r="EH107" s="138"/>
      <c r="EI107" s="138"/>
      <c r="ET107" s="138"/>
    </row>
    <row r="108" spans="90:150" ht="14.25" customHeight="1">
      <c r="CL108" s="138"/>
      <c r="CX108" s="138"/>
      <c r="CY108" s="138"/>
      <c r="DJ108" s="138"/>
      <c r="DK108" s="138"/>
      <c r="DV108" s="138"/>
      <c r="DW108" s="138"/>
      <c r="EH108" s="138"/>
      <c r="EI108" s="138"/>
      <c r="ET108" s="138"/>
    </row>
    <row r="109" spans="90:150" ht="14.25" customHeight="1">
      <c r="CL109" s="138"/>
      <c r="CX109" s="138"/>
      <c r="CY109" s="138"/>
      <c r="DJ109" s="138"/>
      <c r="DK109" s="138"/>
      <c r="DV109" s="138"/>
      <c r="DW109" s="138"/>
      <c r="EH109" s="138"/>
      <c r="EI109" s="138"/>
      <c r="ET109" s="138"/>
    </row>
    <row r="110" spans="90:150" ht="14.25" customHeight="1">
      <c r="CL110" s="138"/>
      <c r="CX110" s="138"/>
      <c r="CY110" s="138"/>
      <c r="DJ110" s="138"/>
      <c r="DK110" s="138"/>
      <c r="DV110" s="138"/>
      <c r="DW110" s="138"/>
      <c r="EH110" s="138"/>
      <c r="EI110" s="138"/>
      <c r="ET110" s="138"/>
    </row>
    <row r="111" spans="90:150" ht="14.25" customHeight="1">
      <c r="CL111" s="138"/>
      <c r="CX111" s="138"/>
      <c r="CY111" s="138"/>
      <c r="DJ111" s="138"/>
      <c r="DK111" s="138"/>
      <c r="DV111" s="138"/>
      <c r="DW111" s="138"/>
      <c r="EH111" s="138"/>
      <c r="EI111" s="138"/>
      <c r="ET111" s="138"/>
    </row>
    <row r="112" spans="90:150" ht="14.25" customHeight="1">
      <c r="CL112" s="138"/>
      <c r="CX112" s="138"/>
      <c r="CY112" s="138"/>
      <c r="DJ112" s="138"/>
      <c r="DK112" s="138"/>
      <c r="DV112" s="138"/>
      <c r="DW112" s="138"/>
      <c r="EH112" s="138"/>
      <c r="EI112" s="138"/>
      <c r="ET112" s="138"/>
    </row>
    <row r="113" spans="90:150" ht="14.25" customHeight="1">
      <c r="CL113" s="138"/>
      <c r="CX113" s="138"/>
      <c r="CY113" s="138"/>
      <c r="DJ113" s="138"/>
      <c r="DK113" s="138"/>
      <c r="DV113" s="138"/>
      <c r="DW113" s="138"/>
      <c r="EH113" s="138"/>
      <c r="EI113" s="138"/>
      <c r="ET113" s="138"/>
    </row>
    <row r="114" spans="90:150" ht="14.25" customHeight="1">
      <c r="CL114" s="138"/>
      <c r="CX114" s="138"/>
      <c r="CY114" s="138"/>
      <c r="DJ114" s="138"/>
      <c r="DK114" s="138"/>
      <c r="DV114" s="138"/>
      <c r="DW114" s="138"/>
      <c r="EH114" s="138"/>
      <c r="EI114" s="138"/>
      <c r="ET114" s="138"/>
    </row>
    <row r="115" spans="90:150" ht="14.25" customHeight="1">
      <c r="CL115" s="138"/>
      <c r="CX115" s="138"/>
      <c r="CY115" s="138"/>
      <c r="DJ115" s="138"/>
      <c r="DK115" s="138"/>
      <c r="DV115" s="138"/>
      <c r="DW115" s="138"/>
      <c r="EH115" s="138"/>
      <c r="EI115" s="138"/>
      <c r="ET115" s="138"/>
    </row>
    <row r="116" spans="90:150" ht="14.25" customHeight="1">
      <c r="CL116" s="138"/>
      <c r="CX116" s="138"/>
      <c r="CY116" s="138"/>
      <c r="DJ116" s="138"/>
      <c r="DK116" s="138"/>
      <c r="DV116" s="138"/>
      <c r="DW116" s="138"/>
      <c r="EH116" s="138"/>
      <c r="EI116" s="138"/>
      <c r="ET116" s="138"/>
    </row>
    <row r="117" spans="90:150" ht="14.25" customHeight="1">
      <c r="CL117" s="138"/>
      <c r="CX117" s="138"/>
      <c r="CY117" s="138"/>
      <c r="DJ117" s="138"/>
      <c r="DK117" s="138"/>
      <c r="DV117" s="138"/>
      <c r="DW117" s="138"/>
      <c r="EH117" s="138"/>
      <c r="EI117" s="138"/>
      <c r="ET117" s="138"/>
    </row>
    <row r="118" spans="90:150" ht="14.25" customHeight="1">
      <c r="CL118" s="138"/>
      <c r="CX118" s="138"/>
      <c r="CY118" s="138"/>
      <c r="DJ118" s="138"/>
      <c r="DK118" s="138"/>
      <c r="DV118" s="138"/>
      <c r="DW118" s="138"/>
      <c r="EH118" s="138"/>
      <c r="EI118" s="138"/>
      <c r="ET118" s="138"/>
    </row>
    <row r="119" spans="90:150" ht="14.25" customHeight="1">
      <c r="CL119" s="138"/>
      <c r="CX119" s="138"/>
      <c r="CY119" s="138"/>
      <c r="DJ119" s="138"/>
      <c r="DK119" s="138"/>
      <c r="DV119" s="138"/>
      <c r="DW119" s="138"/>
      <c r="EH119" s="138"/>
      <c r="EI119" s="138"/>
      <c r="ET119" s="138"/>
    </row>
    <row r="120" spans="90:150" ht="14.25" customHeight="1">
      <c r="CL120" s="138"/>
      <c r="CX120" s="138"/>
      <c r="CY120" s="138"/>
      <c r="DJ120" s="138"/>
      <c r="DK120" s="138"/>
      <c r="DV120" s="138"/>
      <c r="DW120" s="138"/>
      <c r="EH120" s="138"/>
      <c r="EI120" s="138"/>
      <c r="ET120" s="138"/>
    </row>
    <row r="121" spans="90:150" ht="14.25" customHeight="1">
      <c r="CL121" s="138"/>
      <c r="CX121" s="138"/>
      <c r="CY121" s="138"/>
      <c r="DJ121" s="138"/>
      <c r="DK121" s="138"/>
      <c r="DV121" s="138"/>
      <c r="DW121" s="138"/>
      <c r="EH121" s="138"/>
      <c r="EI121" s="138"/>
      <c r="ET121" s="138"/>
    </row>
    <row r="122" spans="90:150" ht="14.25" customHeight="1">
      <c r="CL122" s="138"/>
      <c r="CX122" s="138"/>
      <c r="CY122" s="138"/>
      <c r="DJ122" s="138"/>
      <c r="DK122" s="138"/>
      <c r="DV122" s="138"/>
      <c r="DW122" s="138"/>
      <c r="EH122" s="138"/>
      <c r="EI122" s="138"/>
      <c r="ET122" s="138"/>
    </row>
    <row r="123" spans="90:150" ht="14.25" customHeight="1">
      <c r="CL123" s="138"/>
      <c r="CX123" s="138"/>
      <c r="CY123" s="138"/>
      <c r="DJ123" s="138"/>
      <c r="DK123" s="138"/>
      <c r="DV123" s="138"/>
      <c r="DW123" s="138"/>
      <c r="EH123" s="138"/>
      <c r="EI123" s="138"/>
      <c r="ET123" s="138"/>
    </row>
    <row r="124" spans="90:150" ht="14.25" customHeight="1">
      <c r="CL124" s="138"/>
      <c r="CX124" s="138"/>
      <c r="CY124" s="138"/>
      <c r="DJ124" s="138"/>
      <c r="DK124" s="138"/>
      <c r="DV124" s="138"/>
      <c r="DW124" s="138"/>
      <c r="EH124" s="138"/>
      <c r="EI124" s="138"/>
      <c r="ET124" s="138"/>
    </row>
    <row r="125" spans="90:150" ht="14.25" customHeight="1">
      <c r="CL125" s="138"/>
      <c r="CX125" s="138"/>
      <c r="CY125" s="138"/>
      <c r="DJ125" s="138"/>
      <c r="DK125" s="138"/>
      <c r="DV125" s="138"/>
      <c r="DW125" s="138"/>
      <c r="EH125" s="138"/>
      <c r="EI125" s="138"/>
      <c r="ET125" s="138"/>
    </row>
    <row r="126" spans="90:150" ht="14.25" customHeight="1">
      <c r="CL126" s="138"/>
      <c r="CX126" s="138"/>
      <c r="CY126" s="138"/>
      <c r="DJ126" s="138"/>
      <c r="DK126" s="138"/>
      <c r="DV126" s="138"/>
      <c r="DW126" s="138"/>
      <c r="EH126" s="138"/>
      <c r="EI126" s="138"/>
      <c r="ET126" s="138"/>
    </row>
    <row r="127" spans="90:150" ht="14.25" customHeight="1">
      <c r="CL127" s="138"/>
      <c r="CX127" s="138"/>
      <c r="CY127" s="138"/>
      <c r="DJ127" s="138"/>
      <c r="DK127" s="138"/>
      <c r="DV127" s="138"/>
      <c r="DW127" s="138"/>
      <c r="EH127" s="138"/>
      <c r="EI127" s="138"/>
      <c r="ET127" s="138"/>
    </row>
    <row r="128" spans="90:150" ht="14.25" customHeight="1">
      <c r="CL128" s="138"/>
      <c r="CX128" s="138"/>
      <c r="CY128" s="138"/>
      <c r="DJ128" s="138"/>
      <c r="DK128" s="138"/>
      <c r="DV128" s="138"/>
      <c r="DW128" s="138"/>
      <c r="EH128" s="138"/>
      <c r="EI128" s="138"/>
      <c r="ET128" s="138"/>
    </row>
    <row r="129" spans="90:150" ht="14.25" customHeight="1">
      <c r="CL129" s="138"/>
      <c r="CX129" s="138"/>
      <c r="CY129" s="138"/>
      <c r="DJ129" s="138"/>
      <c r="DK129" s="138"/>
      <c r="DV129" s="138"/>
      <c r="DW129" s="138"/>
      <c r="EH129" s="138"/>
      <c r="EI129" s="138"/>
      <c r="ET129" s="138"/>
    </row>
    <row r="130" spans="90:150" ht="14.25" customHeight="1">
      <c r="CL130" s="138"/>
      <c r="CX130" s="138"/>
      <c r="CY130" s="138"/>
      <c r="DJ130" s="138"/>
      <c r="DK130" s="138"/>
      <c r="DV130" s="138"/>
      <c r="DW130" s="138"/>
      <c r="EH130" s="138"/>
      <c r="EI130" s="138"/>
      <c r="ET130" s="138"/>
    </row>
    <row r="131" spans="90:150" ht="14.25" customHeight="1">
      <c r="CL131" s="138"/>
      <c r="CX131" s="138"/>
      <c r="CY131" s="138"/>
      <c r="DJ131" s="138"/>
      <c r="DK131" s="138"/>
      <c r="DV131" s="138"/>
      <c r="DW131" s="138"/>
      <c r="EH131" s="138"/>
      <c r="EI131" s="138"/>
      <c r="ET131" s="138"/>
    </row>
    <row r="132" spans="90:150" ht="14.25" customHeight="1">
      <c r="CL132" s="138"/>
      <c r="CX132" s="138"/>
      <c r="CY132" s="138"/>
      <c r="DJ132" s="138"/>
      <c r="DK132" s="138"/>
      <c r="DV132" s="138"/>
      <c r="DW132" s="138"/>
      <c r="EH132" s="138"/>
      <c r="EI132" s="138"/>
      <c r="ET132" s="138"/>
    </row>
    <row r="133" spans="90:150" ht="14.25" customHeight="1">
      <c r="CL133" s="138"/>
      <c r="CX133" s="138"/>
      <c r="CY133" s="138"/>
      <c r="DJ133" s="138"/>
      <c r="DK133" s="138"/>
      <c r="DV133" s="138"/>
      <c r="DW133" s="138"/>
      <c r="EH133" s="138"/>
      <c r="EI133" s="138"/>
      <c r="ET133" s="138"/>
    </row>
    <row r="134" spans="90:150" ht="14.25" customHeight="1">
      <c r="CL134" s="138"/>
      <c r="CX134" s="138"/>
      <c r="CY134" s="138"/>
      <c r="DJ134" s="138"/>
      <c r="DK134" s="138"/>
      <c r="DV134" s="138"/>
      <c r="DW134" s="138"/>
      <c r="EH134" s="138"/>
      <c r="EI134" s="138"/>
      <c r="ET134" s="138"/>
    </row>
    <row r="135" spans="90:150" ht="14.25" customHeight="1">
      <c r="CL135" s="138"/>
      <c r="CX135" s="138"/>
      <c r="CY135" s="138"/>
      <c r="DJ135" s="138"/>
      <c r="DK135" s="138"/>
      <c r="DV135" s="138"/>
      <c r="DW135" s="138"/>
      <c r="EH135" s="138"/>
      <c r="EI135" s="138"/>
      <c r="ET135" s="138"/>
    </row>
    <row r="136" spans="90:150" ht="14.25" customHeight="1">
      <c r="CL136" s="138"/>
      <c r="CX136" s="138"/>
      <c r="CY136" s="138"/>
      <c r="DJ136" s="138"/>
      <c r="DK136" s="138"/>
      <c r="DV136" s="138"/>
      <c r="DW136" s="138"/>
      <c r="EH136" s="138"/>
      <c r="EI136" s="138"/>
      <c r="ET136" s="138"/>
    </row>
    <row r="137" spans="90:150" ht="14.25" customHeight="1">
      <c r="CL137" s="138"/>
      <c r="CX137" s="138"/>
      <c r="CY137" s="138"/>
      <c r="DJ137" s="138"/>
      <c r="DK137" s="138"/>
      <c r="DV137" s="138"/>
      <c r="DW137" s="138"/>
      <c r="EH137" s="138"/>
      <c r="EI137" s="138"/>
      <c r="ET137" s="138"/>
    </row>
    <row r="138" spans="90:150" ht="14.25" customHeight="1">
      <c r="CL138" s="138"/>
      <c r="CX138" s="138"/>
      <c r="CY138" s="138"/>
      <c r="DJ138" s="138"/>
      <c r="DK138" s="138"/>
      <c r="DV138" s="138"/>
      <c r="DW138" s="138"/>
      <c r="EH138" s="138"/>
      <c r="EI138" s="138"/>
      <c r="ET138" s="138"/>
    </row>
    <row r="139" spans="90:150" ht="14.25" customHeight="1">
      <c r="CL139" s="138"/>
      <c r="CX139" s="138"/>
      <c r="CY139" s="138"/>
      <c r="DJ139" s="138"/>
      <c r="DK139" s="138"/>
      <c r="DV139" s="138"/>
      <c r="DW139" s="138"/>
      <c r="EH139" s="138"/>
      <c r="EI139" s="138"/>
      <c r="ET139" s="138"/>
    </row>
    <row r="140" spans="90:150" ht="14.25" customHeight="1">
      <c r="CL140" s="138"/>
      <c r="CX140" s="138"/>
      <c r="CY140" s="138"/>
      <c r="DJ140" s="138"/>
      <c r="DK140" s="138"/>
      <c r="DV140" s="138"/>
      <c r="DW140" s="138"/>
      <c r="EH140" s="138"/>
      <c r="EI140" s="138"/>
      <c r="ET140" s="138"/>
    </row>
    <row r="141" spans="90:150" ht="14.25" customHeight="1">
      <c r="CL141" s="138"/>
      <c r="CX141" s="138"/>
      <c r="CY141" s="138"/>
      <c r="DJ141" s="138"/>
      <c r="DK141" s="138"/>
      <c r="DV141" s="138"/>
      <c r="DW141" s="138"/>
      <c r="EH141" s="138"/>
      <c r="EI141" s="138"/>
      <c r="ET141" s="138"/>
    </row>
    <row r="142" spans="90:150" ht="14.25" customHeight="1">
      <c r="CL142" s="138"/>
      <c r="CX142" s="138"/>
      <c r="CY142" s="138"/>
      <c r="DJ142" s="138"/>
      <c r="DK142" s="138"/>
      <c r="DV142" s="138"/>
      <c r="DW142" s="138"/>
      <c r="EH142" s="138"/>
      <c r="EI142" s="138"/>
      <c r="ET142" s="138"/>
    </row>
    <row r="143" spans="90:150" ht="14.25" customHeight="1">
      <c r="CL143" s="138"/>
      <c r="CX143" s="138"/>
      <c r="CY143" s="138"/>
      <c r="DJ143" s="138"/>
      <c r="DK143" s="138"/>
      <c r="DV143" s="138"/>
      <c r="DW143" s="138"/>
      <c r="EH143" s="138"/>
      <c r="EI143" s="138"/>
      <c r="ET143" s="138"/>
    </row>
    <row r="144" spans="90:150" ht="14.25" customHeight="1">
      <c r="CL144" s="138"/>
      <c r="CX144" s="138"/>
      <c r="CY144" s="138"/>
      <c r="DJ144" s="138"/>
      <c r="DK144" s="138"/>
      <c r="DV144" s="138"/>
      <c r="DW144" s="138"/>
      <c r="EH144" s="138"/>
      <c r="EI144" s="138"/>
      <c r="ET144" s="138"/>
    </row>
    <row r="145" spans="90:150" ht="14.25" customHeight="1">
      <c r="CL145" s="138"/>
      <c r="CX145" s="138"/>
      <c r="CY145" s="138"/>
      <c r="DJ145" s="138"/>
      <c r="DK145" s="138"/>
      <c r="DV145" s="138"/>
      <c r="DW145" s="138"/>
      <c r="EH145" s="138"/>
      <c r="EI145" s="138"/>
      <c r="ET145" s="138"/>
    </row>
    <row r="146" spans="90:150" ht="14.25" customHeight="1">
      <c r="CL146" s="138"/>
      <c r="CX146" s="138"/>
      <c r="CY146" s="138"/>
      <c r="DJ146" s="138"/>
      <c r="DK146" s="138"/>
      <c r="DV146" s="138"/>
      <c r="DW146" s="138"/>
      <c r="EH146" s="138"/>
      <c r="EI146" s="138"/>
      <c r="ET146" s="138"/>
    </row>
    <row r="147" spans="90:150" ht="14.25" customHeight="1">
      <c r="CL147" s="138"/>
      <c r="CX147" s="138"/>
      <c r="CY147" s="138"/>
      <c r="DJ147" s="138"/>
      <c r="DK147" s="138"/>
      <c r="DV147" s="138"/>
      <c r="DW147" s="138"/>
      <c r="EH147" s="138"/>
      <c r="EI147" s="138"/>
      <c r="ET147" s="138"/>
    </row>
    <row r="148" spans="90:150" ht="14.25" customHeight="1">
      <c r="CL148" s="138"/>
      <c r="CX148" s="138"/>
      <c r="CY148" s="138"/>
      <c r="DJ148" s="138"/>
      <c r="DK148" s="138"/>
      <c r="DV148" s="138"/>
      <c r="DW148" s="138"/>
      <c r="EH148" s="138"/>
      <c r="EI148" s="138"/>
      <c r="ET148" s="138"/>
    </row>
    <row r="149" spans="90:150" ht="14.25" customHeight="1">
      <c r="CL149" s="138"/>
      <c r="CX149" s="138"/>
      <c r="CY149" s="138"/>
      <c r="DJ149" s="138"/>
      <c r="DK149" s="138"/>
      <c r="DV149" s="138"/>
      <c r="DW149" s="138"/>
      <c r="EH149" s="138"/>
      <c r="EI149" s="138"/>
      <c r="ET149" s="138"/>
    </row>
    <row r="150" spans="90:150" ht="14.25" customHeight="1">
      <c r="CL150" s="138"/>
      <c r="CX150" s="138"/>
      <c r="CY150" s="138"/>
      <c r="DJ150" s="138"/>
      <c r="DK150" s="138"/>
      <c r="DV150" s="138"/>
      <c r="DW150" s="138"/>
      <c r="EH150" s="138"/>
      <c r="EI150" s="138"/>
      <c r="ET150" s="138"/>
    </row>
    <row r="151" spans="90:150" ht="14.25" customHeight="1">
      <c r="CL151" s="138"/>
      <c r="CX151" s="138"/>
      <c r="CY151" s="138"/>
      <c r="DJ151" s="138"/>
      <c r="DK151" s="138"/>
      <c r="DV151" s="138"/>
      <c r="DW151" s="138"/>
      <c r="EH151" s="138"/>
      <c r="EI151" s="138"/>
      <c r="ET151" s="138"/>
    </row>
    <row r="152" spans="90:150" ht="14.25" customHeight="1">
      <c r="CL152" s="138"/>
      <c r="CX152" s="138"/>
      <c r="CY152" s="138"/>
      <c r="DJ152" s="138"/>
      <c r="DK152" s="138"/>
      <c r="DV152" s="138"/>
      <c r="DW152" s="138"/>
      <c r="EH152" s="138"/>
      <c r="EI152" s="138"/>
      <c r="ET152" s="138"/>
    </row>
    <row r="153" spans="90:150" ht="14.25" customHeight="1">
      <c r="CL153" s="138"/>
      <c r="CX153" s="138"/>
      <c r="CY153" s="138"/>
      <c r="DJ153" s="138"/>
      <c r="DK153" s="138"/>
      <c r="DV153" s="138"/>
      <c r="DW153" s="138"/>
      <c r="EH153" s="138"/>
      <c r="EI153" s="138"/>
      <c r="ET153" s="138"/>
    </row>
    <row r="154" spans="90:150" ht="14.25" customHeight="1">
      <c r="CL154" s="138"/>
      <c r="CX154" s="138"/>
      <c r="CY154" s="138"/>
      <c r="DJ154" s="138"/>
      <c r="DK154" s="138"/>
      <c r="DV154" s="138"/>
      <c r="DW154" s="138"/>
      <c r="EH154" s="138"/>
      <c r="EI154" s="138"/>
      <c r="ET154" s="138"/>
    </row>
    <row r="155" spans="90:150" ht="14.25" customHeight="1">
      <c r="CL155" s="138"/>
      <c r="CX155" s="138"/>
      <c r="CY155" s="138"/>
      <c r="DJ155" s="138"/>
      <c r="DK155" s="138"/>
      <c r="DV155" s="138"/>
      <c r="DW155" s="138"/>
      <c r="EH155" s="138"/>
      <c r="EI155" s="138"/>
      <c r="ET155" s="138"/>
    </row>
    <row r="156" spans="90:150" ht="14.25" customHeight="1">
      <c r="CL156" s="138"/>
      <c r="CX156" s="138"/>
      <c r="CY156" s="138"/>
      <c r="DJ156" s="138"/>
      <c r="DK156" s="138"/>
      <c r="DV156" s="138"/>
      <c r="DW156" s="138"/>
      <c r="EH156" s="138"/>
      <c r="EI156" s="138"/>
      <c r="ET156" s="138"/>
    </row>
    <row r="157" spans="90:150" ht="14.25" customHeight="1">
      <c r="CL157" s="138"/>
      <c r="CX157" s="138"/>
      <c r="CY157" s="138"/>
      <c r="DJ157" s="138"/>
      <c r="DK157" s="138"/>
      <c r="DV157" s="138"/>
      <c r="DW157" s="138"/>
      <c r="EH157" s="138"/>
      <c r="EI157" s="138"/>
      <c r="ET157" s="138"/>
    </row>
    <row r="158" spans="90:150" ht="14.25" customHeight="1">
      <c r="CL158" s="138"/>
      <c r="CX158" s="138"/>
      <c r="CY158" s="138"/>
      <c r="DJ158" s="138"/>
      <c r="DK158" s="138"/>
      <c r="DV158" s="138"/>
      <c r="DW158" s="138"/>
      <c r="EH158" s="138"/>
      <c r="EI158" s="138"/>
      <c r="ET158" s="138"/>
    </row>
    <row r="159" spans="90:150" ht="14.25" customHeight="1">
      <c r="CL159" s="138"/>
      <c r="CX159" s="138"/>
      <c r="CY159" s="138"/>
      <c r="DJ159" s="138"/>
      <c r="DK159" s="138"/>
      <c r="DV159" s="138"/>
      <c r="DW159" s="138"/>
      <c r="EH159" s="138"/>
      <c r="EI159" s="138"/>
      <c r="ET159" s="138"/>
    </row>
    <row r="160" spans="90:150" ht="14.25" customHeight="1">
      <c r="CL160" s="138"/>
      <c r="CX160" s="138"/>
      <c r="CY160" s="138"/>
      <c r="DJ160" s="138"/>
      <c r="DK160" s="138"/>
      <c r="DV160" s="138"/>
      <c r="DW160" s="138"/>
      <c r="EH160" s="138"/>
      <c r="EI160" s="138"/>
      <c r="ET160" s="138"/>
    </row>
    <row r="161" spans="90:150" ht="14.25" customHeight="1">
      <c r="CL161" s="138"/>
      <c r="CX161" s="138"/>
      <c r="CY161" s="138"/>
      <c r="DJ161" s="138"/>
      <c r="DK161" s="138"/>
      <c r="DV161" s="138"/>
      <c r="DW161" s="138"/>
      <c r="EH161" s="138"/>
      <c r="EI161" s="138"/>
      <c r="ET161" s="138"/>
    </row>
    <row r="162" spans="90:150" ht="14.25" customHeight="1">
      <c r="CL162" s="138"/>
      <c r="CX162" s="138"/>
      <c r="CY162" s="138"/>
      <c r="DJ162" s="138"/>
      <c r="DK162" s="138"/>
      <c r="DV162" s="138"/>
      <c r="DW162" s="138"/>
      <c r="EH162" s="138"/>
      <c r="EI162" s="138"/>
      <c r="ET162" s="138"/>
    </row>
    <row r="163" spans="90:150" ht="14.25" customHeight="1">
      <c r="CL163" s="138"/>
      <c r="CX163" s="138"/>
      <c r="CY163" s="138"/>
      <c r="DJ163" s="138"/>
      <c r="DK163" s="138"/>
      <c r="DV163" s="138"/>
      <c r="DW163" s="138"/>
      <c r="EH163" s="138"/>
      <c r="EI163" s="138"/>
      <c r="ET163" s="138"/>
    </row>
    <row r="164" spans="90:150" ht="14.25" customHeight="1">
      <c r="CL164" s="138"/>
      <c r="CX164" s="138"/>
      <c r="CY164" s="138"/>
      <c r="DJ164" s="138"/>
      <c r="DK164" s="138"/>
      <c r="DV164" s="138"/>
      <c r="DW164" s="138"/>
      <c r="EH164" s="138"/>
      <c r="EI164" s="138"/>
      <c r="ET164" s="138"/>
    </row>
    <row r="165" spans="90:150" ht="14.25" customHeight="1">
      <c r="CL165" s="138"/>
      <c r="CX165" s="138"/>
      <c r="CY165" s="138"/>
      <c r="DJ165" s="138"/>
      <c r="DK165" s="138"/>
      <c r="DV165" s="138"/>
      <c r="DW165" s="138"/>
      <c r="EH165" s="138"/>
      <c r="EI165" s="138"/>
      <c r="ET165" s="138"/>
    </row>
    <row r="166" spans="90:150" ht="14.25" customHeight="1">
      <c r="CL166" s="138"/>
      <c r="CX166" s="138"/>
      <c r="CY166" s="138"/>
      <c r="DJ166" s="138"/>
      <c r="DK166" s="138"/>
      <c r="DV166" s="138"/>
      <c r="DW166" s="138"/>
      <c r="EH166" s="138"/>
      <c r="EI166" s="138"/>
      <c r="ET166" s="138"/>
    </row>
    <row r="167" spans="90:150" ht="14.25" customHeight="1">
      <c r="CL167" s="138"/>
      <c r="CX167" s="138"/>
      <c r="CY167" s="138"/>
      <c r="DJ167" s="138"/>
      <c r="DK167" s="138"/>
      <c r="DV167" s="138"/>
      <c r="DW167" s="138"/>
      <c r="EH167" s="138"/>
      <c r="EI167" s="138"/>
      <c r="ET167" s="138"/>
    </row>
    <row r="168" spans="90:150" ht="14.25" customHeight="1">
      <c r="CL168" s="138"/>
      <c r="CX168" s="138"/>
      <c r="CY168" s="138"/>
      <c r="DJ168" s="138"/>
      <c r="DK168" s="138"/>
      <c r="DV168" s="138"/>
      <c r="DW168" s="138"/>
      <c r="EH168" s="138"/>
      <c r="EI168" s="138"/>
      <c r="ET168" s="138"/>
    </row>
    <row r="169" spans="90:150" ht="14.25" customHeight="1">
      <c r="CL169" s="138"/>
      <c r="CX169" s="138"/>
      <c r="CY169" s="138"/>
      <c r="DJ169" s="138"/>
      <c r="DK169" s="138"/>
      <c r="DV169" s="138"/>
      <c r="DW169" s="138"/>
      <c r="EH169" s="138"/>
      <c r="EI169" s="138"/>
      <c r="ET169" s="138"/>
    </row>
    <row r="170" spans="90:150" ht="14.25" customHeight="1">
      <c r="CL170" s="138"/>
      <c r="CX170" s="138"/>
      <c r="CY170" s="138"/>
      <c r="DJ170" s="138"/>
      <c r="DK170" s="138"/>
      <c r="DV170" s="138"/>
      <c r="DW170" s="138"/>
      <c r="EH170" s="138"/>
      <c r="EI170" s="138"/>
      <c r="ET170" s="138"/>
    </row>
    <row r="171" spans="90:150" ht="14.25" customHeight="1">
      <c r="CL171" s="138"/>
      <c r="CX171" s="138"/>
      <c r="CY171" s="138"/>
      <c r="DJ171" s="138"/>
      <c r="DK171" s="138"/>
      <c r="DV171" s="138"/>
      <c r="DW171" s="138"/>
      <c r="EH171" s="138"/>
      <c r="EI171" s="138"/>
      <c r="ET171" s="138"/>
    </row>
    <row r="172" spans="90:150" ht="14.25" customHeight="1">
      <c r="CL172" s="138"/>
      <c r="CX172" s="138"/>
      <c r="CY172" s="138"/>
      <c r="DJ172" s="138"/>
      <c r="DK172" s="138"/>
      <c r="DV172" s="138"/>
      <c r="DW172" s="138"/>
      <c r="EH172" s="138"/>
      <c r="EI172" s="138"/>
      <c r="ET172" s="138"/>
    </row>
    <row r="173" spans="90:150" ht="14.25" customHeight="1">
      <c r="CL173" s="138"/>
      <c r="CX173" s="138"/>
      <c r="CY173" s="138"/>
      <c r="DJ173" s="138"/>
      <c r="DK173" s="138"/>
      <c r="DV173" s="138"/>
      <c r="DW173" s="138"/>
      <c r="EH173" s="138"/>
      <c r="EI173" s="138"/>
      <c r="ET173" s="138"/>
    </row>
    <row r="174" spans="90:150" ht="14.25" customHeight="1">
      <c r="CL174" s="138"/>
      <c r="CX174" s="138"/>
      <c r="CY174" s="138"/>
      <c r="DJ174" s="138"/>
      <c r="DK174" s="138"/>
      <c r="DV174" s="138"/>
      <c r="DW174" s="138"/>
      <c r="EH174" s="138"/>
      <c r="EI174" s="138"/>
      <c r="ET174" s="138"/>
    </row>
    <row r="175" spans="90:150" ht="14.25" customHeight="1">
      <c r="CL175" s="138"/>
      <c r="CX175" s="138"/>
      <c r="CY175" s="138"/>
      <c r="DJ175" s="138"/>
      <c r="DK175" s="138"/>
      <c r="DV175" s="138"/>
      <c r="DW175" s="138"/>
      <c r="EH175" s="138"/>
      <c r="EI175" s="138"/>
      <c r="ET175" s="138"/>
    </row>
    <row r="176" spans="90:150" ht="14.25" customHeight="1">
      <c r="CL176" s="138"/>
      <c r="CX176" s="138"/>
      <c r="CY176" s="138"/>
      <c r="DJ176" s="138"/>
      <c r="DK176" s="138"/>
      <c r="DV176" s="138"/>
      <c r="DW176" s="138"/>
      <c r="EH176" s="138"/>
      <c r="EI176" s="138"/>
      <c r="ET176" s="138"/>
    </row>
    <row r="177" spans="90:150" ht="14.25" customHeight="1">
      <c r="CL177" s="138"/>
      <c r="CX177" s="138"/>
      <c r="CY177" s="138"/>
      <c r="DJ177" s="138"/>
      <c r="DK177" s="138"/>
      <c r="DV177" s="138"/>
      <c r="DW177" s="138"/>
      <c r="EH177" s="138"/>
      <c r="EI177" s="138"/>
      <c r="ET177" s="138"/>
    </row>
    <row r="178" spans="90:150" ht="14.25" customHeight="1">
      <c r="CL178" s="138"/>
      <c r="CX178" s="138"/>
      <c r="CY178" s="138"/>
      <c r="DJ178" s="138"/>
      <c r="DK178" s="138"/>
      <c r="DV178" s="138"/>
      <c r="DW178" s="138"/>
      <c r="EH178" s="138"/>
      <c r="EI178" s="138"/>
      <c r="ET178" s="138"/>
    </row>
    <row r="179" spans="90:150" ht="14.25" customHeight="1">
      <c r="CL179" s="138"/>
      <c r="CX179" s="138"/>
      <c r="CY179" s="138"/>
      <c r="DJ179" s="138"/>
      <c r="DK179" s="138"/>
      <c r="DV179" s="138"/>
      <c r="DW179" s="138"/>
      <c r="EH179" s="138"/>
      <c r="EI179" s="138"/>
      <c r="ET179" s="138"/>
    </row>
    <row r="180" spans="90:150" ht="14.25" customHeight="1">
      <c r="CL180" s="138"/>
      <c r="CX180" s="138"/>
      <c r="CY180" s="138"/>
      <c r="DJ180" s="138"/>
      <c r="DK180" s="138"/>
      <c r="DV180" s="138"/>
      <c r="DW180" s="138"/>
      <c r="EH180" s="138"/>
      <c r="EI180" s="138"/>
      <c r="ET180" s="138"/>
    </row>
    <row r="181" spans="90:150" ht="14.25" customHeight="1">
      <c r="CL181" s="138"/>
      <c r="CX181" s="138"/>
      <c r="CY181" s="138"/>
      <c r="DJ181" s="138"/>
      <c r="DK181" s="138"/>
      <c r="DV181" s="138"/>
      <c r="DW181" s="138"/>
      <c r="EH181" s="138"/>
      <c r="EI181" s="138"/>
      <c r="ET181" s="138"/>
    </row>
    <row r="182" spans="90:150" ht="14.25" customHeight="1">
      <c r="CL182" s="138"/>
      <c r="CX182" s="138"/>
      <c r="CY182" s="138"/>
      <c r="DJ182" s="138"/>
      <c r="DK182" s="138"/>
      <c r="DV182" s="138"/>
      <c r="DW182" s="138"/>
      <c r="EH182" s="138"/>
      <c r="EI182" s="138"/>
      <c r="ET182" s="138"/>
    </row>
    <row r="183" spans="90:150" ht="14.25" customHeight="1">
      <c r="CL183" s="138"/>
      <c r="CX183" s="138"/>
      <c r="CY183" s="138"/>
      <c r="DJ183" s="138"/>
      <c r="DK183" s="138"/>
      <c r="DV183" s="138"/>
      <c r="DW183" s="138"/>
      <c r="EH183" s="138"/>
      <c r="EI183" s="138"/>
      <c r="ET183" s="138"/>
    </row>
    <row r="184" spans="90:150" ht="14.25" customHeight="1">
      <c r="CL184" s="138"/>
      <c r="CX184" s="138"/>
      <c r="CY184" s="138"/>
      <c r="DJ184" s="138"/>
      <c r="DK184" s="138"/>
      <c r="DV184" s="138"/>
      <c r="DW184" s="138"/>
      <c r="EH184" s="138"/>
      <c r="EI184" s="138"/>
      <c r="ET184" s="138"/>
    </row>
    <row r="185" spans="90:150" ht="14.25" customHeight="1">
      <c r="CL185" s="138"/>
      <c r="CX185" s="138"/>
      <c r="CY185" s="138"/>
      <c r="DJ185" s="138"/>
      <c r="DK185" s="138"/>
      <c r="DV185" s="138"/>
      <c r="DW185" s="138"/>
      <c r="EH185" s="138"/>
      <c r="EI185" s="138"/>
      <c r="ET185" s="138"/>
    </row>
    <row r="186" spans="90:150" ht="14.25" customHeight="1">
      <c r="CL186" s="138"/>
      <c r="CX186" s="138"/>
      <c r="CY186" s="138"/>
      <c r="DJ186" s="138"/>
      <c r="DK186" s="138"/>
      <c r="DV186" s="138"/>
      <c r="DW186" s="138"/>
      <c r="EH186" s="138"/>
      <c r="EI186" s="138"/>
      <c r="ET186" s="138"/>
    </row>
    <row r="187" spans="90:150" ht="14.25" customHeight="1">
      <c r="CL187" s="138"/>
      <c r="CX187" s="138"/>
      <c r="CY187" s="138"/>
      <c r="DJ187" s="138"/>
      <c r="DK187" s="138"/>
      <c r="DV187" s="138"/>
      <c r="DW187" s="138"/>
      <c r="EH187" s="138"/>
      <c r="EI187" s="138"/>
      <c r="ET187" s="138"/>
    </row>
    <row r="188" spans="90:150" ht="14.25" customHeight="1">
      <c r="CL188" s="138"/>
      <c r="CX188" s="138"/>
      <c r="CY188" s="138"/>
      <c r="DJ188" s="138"/>
      <c r="DK188" s="138"/>
      <c r="DV188" s="138"/>
      <c r="DW188" s="138"/>
      <c r="EH188" s="138"/>
      <c r="EI188" s="138"/>
      <c r="ET188" s="138"/>
    </row>
    <row r="189" spans="90:150" ht="14.25" customHeight="1">
      <c r="CL189" s="138"/>
      <c r="CX189" s="138"/>
      <c r="CY189" s="138"/>
      <c r="DJ189" s="138"/>
      <c r="DK189" s="138"/>
      <c r="DV189" s="138"/>
      <c r="DW189" s="138"/>
      <c r="EH189" s="138"/>
      <c r="EI189" s="138"/>
      <c r="ET189" s="138"/>
    </row>
    <row r="190" spans="90:150" ht="14.25" customHeight="1">
      <c r="CL190" s="138"/>
      <c r="CX190" s="138"/>
      <c r="CY190" s="138"/>
      <c r="DJ190" s="138"/>
      <c r="DK190" s="138"/>
      <c r="DV190" s="138"/>
      <c r="DW190" s="138"/>
      <c r="EH190" s="138"/>
      <c r="EI190" s="138"/>
      <c r="ET190" s="138"/>
    </row>
    <row r="191" spans="90:150" ht="14.25" customHeight="1">
      <c r="CL191" s="138"/>
      <c r="CX191" s="138"/>
      <c r="CY191" s="138"/>
      <c r="DJ191" s="138"/>
      <c r="DK191" s="138"/>
      <c r="DV191" s="138"/>
      <c r="DW191" s="138"/>
      <c r="EH191" s="138"/>
      <c r="EI191" s="138"/>
      <c r="ET191" s="138"/>
    </row>
    <row r="192" spans="90:150" ht="14.25" customHeight="1">
      <c r="CL192" s="138"/>
      <c r="CX192" s="138"/>
      <c r="CY192" s="138"/>
      <c r="DJ192" s="138"/>
      <c r="DK192" s="138"/>
      <c r="DV192" s="138"/>
      <c r="DW192" s="138"/>
      <c r="EH192" s="138"/>
      <c r="EI192" s="138"/>
      <c r="ET192" s="138"/>
    </row>
    <row r="193" spans="90:150" ht="14.25" customHeight="1">
      <c r="CL193" s="138"/>
      <c r="CX193" s="138"/>
      <c r="CY193" s="138"/>
      <c r="DJ193" s="138"/>
      <c r="DK193" s="138"/>
      <c r="DV193" s="138"/>
      <c r="DW193" s="138"/>
      <c r="EH193" s="138"/>
      <c r="EI193" s="138"/>
      <c r="ET193" s="138"/>
    </row>
    <row r="194" spans="90:150" ht="14.25" customHeight="1">
      <c r="CL194" s="138"/>
      <c r="CX194" s="138"/>
      <c r="CY194" s="138"/>
      <c r="DJ194" s="138"/>
      <c r="DK194" s="138"/>
      <c r="DV194" s="138"/>
      <c r="DW194" s="138"/>
      <c r="EH194" s="138"/>
      <c r="EI194" s="138"/>
      <c r="ET194" s="138"/>
    </row>
    <row r="195" spans="90:150" ht="14.25" customHeight="1">
      <c r="CL195" s="138"/>
      <c r="CX195" s="138"/>
      <c r="CY195" s="138"/>
      <c r="DJ195" s="138"/>
      <c r="DK195" s="138"/>
      <c r="DV195" s="138"/>
      <c r="DW195" s="138"/>
      <c r="EH195" s="138"/>
      <c r="EI195" s="138"/>
      <c r="ET195" s="138"/>
    </row>
    <row r="196" spans="90:150" ht="14.25" customHeight="1">
      <c r="CL196" s="138"/>
      <c r="CX196" s="138"/>
      <c r="CY196" s="138"/>
      <c r="DJ196" s="138"/>
      <c r="DK196" s="138"/>
      <c r="DV196" s="138"/>
      <c r="DW196" s="138"/>
      <c r="EH196" s="138"/>
      <c r="EI196" s="138"/>
      <c r="ET196" s="138"/>
    </row>
    <row r="197" spans="90:150" ht="14.25" customHeight="1">
      <c r="CL197" s="138"/>
      <c r="CX197" s="138"/>
      <c r="CY197" s="138"/>
      <c r="DJ197" s="138"/>
      <c r="DK197" s="138"/>
      <c r="DV197" s="138"/>
      <c r="DW197" s="138"/>
      <c r="EH197" s="138"/>
      <c r="EI197" s="138"/>
      <c r="ET197" s="138"/>
    </row>
    <row r="198" spans="90:150" ht="14.25" customHeight="1">
      <c r="CL198" s="138"/>
      <c r="CX198" s="138"/>
      <c r="CY198" s="138"/>
      <c r="DJ198" s="138"/>
      <c r="DK198" s="138"/>
      <c r="DV198" s="138"/>
      <c r="DW198" s="138"/>
      <c r="EH198" s="138"/>
      <c r="EI198" s="138"/>
      <c r="ET198" s="138"/>
    </row>
    <row r="199" spans="90:150" ht="14.25" customHeight="1">
      <c r="CL199" s="138"/>
      <c r="CX199" s="138"/>
      <c r="CY199" s="138"/>
      <c r="DJ199" s="138"/>
      <c r="DK199" s="138"/>
      <c r="DV199" s="138"/>
      <c r="DW199" s="138"/>
      <c r="EH199" s="138"/>
      <c r="EI199" s="138"/>
      <c r="ET199" s="138"/>
    </row>
    <row r="200" spans="90:150" ht="14.25" customHeight="1">
      <c r="CL200" s="138"/>
      <c r="CX200" s="138"/>
      <c r="CY200" s="138"/>
      <c r="DJ200" s="138"/>
      <c r="DK200" s="138"/>
      <c r="DV200" s="138"/>
      <c r="DW200" s="138"/>
      <c r="EH200" s="138"/>
      <c r="EI200" s="138"/>
      <c r="ET200" s="138"/>
    </row>
    <row r="201" spans="90:150" ht="14.25" customHeight="1">
      <c r="CL201" s="138"/>
      <c r="CX201" s="138"/>
      <c r="CY201" s="138"/>
      <c r="DJ201" s="138"/>
      <c r="DK201" s="138"/>
      <c r="DV201" s="138"/>
      <c r="DW201" s="138"/>
      <c r="EH201" s="138"/>
      <c r="EI201" s="138"/>
      <c r="ET201" s="138"/>
    </row>
    <row r="202" spans="90:150" ht="14.25" customHeight="1">
      <c r="CL202" s="138"/>
      <c r="CX202" s="138"/>
      <c r="CY202" s="138"/>
      <c r="DJ202" s="138"/>
      <c r="DK202" s="138"/>
      <c r="DV202" s="138"/>
      <c r="DW202" s="138"/>
      <c r="EH202" s="138"/>
      <c r="EI202" s="138"/>
      <c r="ET202" s="138"/>
    </row>
    <row r="203" spans="90:150" ht="14.25" customHeight="1">
      <c r="CL203" s="138"/>
      <c r="CX203" s="138"/>
      <c r="CY203" s="138"/>
      <c r="DJ203" s="138"/>
      <c r="DK203" s="138"/>
      <c r="DV203" s="138"/>
      <c r="DW203" s="138"/>
      <c r="EH203" s="138"/>
      <c r="EI203" s="138"/>
      <c r="ET203" s="138"/>
    </row>
    <row r="204" spans="90:150" ht="14.25" customHeight="1">
      <c r="CL204" s="138"/>
      <c r="CX204" s="138"/>
      <c r="CY204" s="138"/>
      <c r="DJ204" s="138"/>
      <c r="DK204" s="138"/>
      <c r="DV204" s="138"/>
      <c r="DW204" s="138"/>
      <c r="EH204" s="138"/>
      <c r="EI204" s="138"/>
      <c r="ET204" s="138"/>
    </row>
    <row r="205" spans="90:150" ht="14.25" customHeight="1">
      <c r="CL205" s="138"/>
      <c r="CX205" s="138"/>
      <c r="CY205" s="138"/>
      <c r="DJ205" s="138"/>
      <c r="DK205" s="138"/>
      <c r="DV205" s="138"/>
      <c r="DW205" s="138"/>
      <c r="EH205" s="138"/>
      <c r="EI205" s="138"/>
      <c r="ET205" s="138"/>
    </row>
    <row r="206" spans="90:150" ht="14.25" customHeight="1">
      <c r="CL206" s="138"/>
      <c r="CX206" s="138"/>
      <c r="CY206" s="138"/>
      <c r="DJ206" s="138"/>
      <c r="DK206" s="138"/>
      <c r="DV206" s="138"/>
      <c r="DW206" s="138"/>
      <c r="EH206" s="138"/>
      <c r="EI206" s="138"/>
      <c r="ET206" s="138"/>
    </row>
    <row r="207" spans="90:150" ht="14.25" customHeight="1">
      <c r="CL207" s="138"/>
      <c r="CX207" s="138"/>
      <c r="CY207" s="138"/>
      <c r="DJ207" s="138"/>
      <c r="DK207" s="138"/>
      <c r="DV207" s="138"/>
      <c r="DW207" s="138"/>
      <c r="EH207" s="138"/>
      <c r="EI207" s="138"/>
      <c r="ET207" s="138"/>
    </row>
    <row r="208" spans="90:150" ht="14.25" customHeight="1">
      <c r="CL208" s="138"/>
      <c r="CX208" s="138"/>
      <c r="CY208" s="138"/>
      <c r="DJ208" s="138"/>
      <c r="DK208" s="138"/>
      <c r="DV208" s="138"/>
      <c r="DW208" s="138"/>
      <c r="EH208" s="138"/>
      <c r="EI208" s="138"/>
      <c r="ET208" s="138"/>
    </row>
    <row r="209" spans="90:150" ht="14.25" customHeight="1">
      <c r="CL209" s="138"/>
      <c r="CX209" s="138"/>
      <c r="CY209" s="138"/>
      <c r="DJ209" s="138"/>
      <c r="DK209" s="138"/>
      <c r="DV209" s="138"/>
      <c r="DW209" s="138"/>
      <c r="EH209" s="138"/>
      <c r="EI209" s="138"/>
      <c r="ET209" s="138"/>
    </row>
    <row r="210" spans="90:150" ht="14.25" customHeight="1">
      <c r="CL210" s="138"/>
      <c r="CX210" s="138"/>
      <c r="CY210" s="138"/>
      <c r="DJ210" s="138"/>
      <c r="DK210" s="138"/>
      <c r="DV210" s="138"/>
      <c r="DW210" s="138"/>
      <c r="EH210" s="138"/>
      <c r="EI210" s="138"/>
      <c r="ET210" s="138"/>
    </row>
    <row r="211" spans="90:150" ht="14.25" customHeight="1">
      <c r="CL211" s="138"/>
      <c r="CX211" s="138"/>
      <c r="CY211" s="138"/>
      <c r="DJ211" s="138"/>
      <c r="DK211" s="138"/>
      <c r="DV211" s="138"/>
      <c r="DW211" s="138"/>
      <c r="EH211" s="138"/>
      <c r="EI211" s="138"/>
      <c r="ET211" s="138"/>
    </row>
    <row r="212" spans="90:150" ht="14.25" customHeight="1">
      <c r="CL212" s="138"/>
      <c r="CX212" s="138"/>
      <c r="CY212" s="138"/>
      <c r="DJ212" s="138"/>
      <c r="DK212" s="138"/>
      <c r="DV212" s="138"/>
      <c r="DW212" s="138"/>
      <c r="EH212" s="138"/>
      <c r="EI212" s="138"/>
      <c r="ET212" s="138"/>
    </row>
    <row r="213" spans="90:150" ht="14.25" customHeight="1">
      <c r="CL213" s="138"/>
      <c r="CX213" s="138"/>
      <c r="CY213" s="138"/>
      <c r="DJ213" s="138"/>
      <c r="DK213" s="138"/>
      <c r="DV213" s="138"/>
      <c r="DW213" s="138"/>
      <c r="EH213" s="138"/>
      <c r="EI213" s="138"/>
      <c r="ET213" s="138"/>
    </row>
    <row r="214" spans="90:150" ht="14.25" customHeight="1">
      <c r="CL214" s="138"/>
      <c r="CX214" s="138"/>
      <c r="CY214" s="138"/>
      <c r="DJ214" s="138"/>
      <c r="DK214" s="138"/>
      <c r="DV214" s="138"/>
      <c r="DW214" s="138"/>
      <c r="EH214" s="138"/>
      <c r="EI214" s="138"/>
      <c r="ET214" s="138"/>
    </row>
    <row r="215" spans="90:150" ht="14.25" customHeight="1">
      <c r="CL215" s="138"/>
      <c r="CX215" s="138"/>
      <c r="CY215" s="138"/>
      <c r="DJ215" s="138"/>
      <c r="DK215" s="138"/>
      <c r="DV215" s="138"/>
      <c r="DW215" s="138"/>
      <c r="EH215" s="138"/>
      <c r="EI215" s="138"/>
      <c r="ET215" s="138"/>
    </row>
    <row r="216" spans="90:150" ht="14.25" customHeight="1">
      <c r="CL216" s="138"/>
      <c r="CX216" s="138"/>
      <c r="CY216" s="138"/>
      <c r="DJ216" s="138"/>
      <c r="DK216" s="138"/>
      <c r="DV216" s="138"/>
      <c r="DW216" s="138"/>
      <c r="EH216" s="138"/>
      <c r="EI216" s="138"/>
      <c r="ET216" s="138"/>
    </row>
    <row r="217" spans="90:150" ht="14.25" customHeight="1">
      <c r="CL217" s="138"/>
      <c r="CX217" s="138"/>
      <c r="CY217" s="138"/>
      <c r="DJ217" s="138"/>
      <c r="DK217" s="138"/>
      <c r="DV217" s="138"/>
      <c r="DW217" s="138"/>
      <c r="EH217" s="138"/>
      <c r="EI217" s="138"/>
      <c r="ET217" s="138"/>
    </row>
    <row r="218" spans="90:150" ht="14.25" customHeight="1">
      <c r="CL218" s="138"/>
      <c r="CX218" s="138"/>
      <c r="CY218" s="138"/>
      <c r="DJ218" s="138"/>
      <c r="DK218" s="138"/>
      <c r="DV218" s="138"/>
      <c r="DW218" s="138"/>
      <c r="EH218" s="138"/>
      <c r="EI218" s="138"/>
      <c r="ET218" s="138"/>
    </row>
    <row r="219" spans="90:150" ht="14.25" customHeight="1">
      <c r="CL219" s="138"/>
      <c r="CX219" s="138"/>
      <c r="CY219" s="138"/>
      <c r="DJ219" s="138"/>
      <c r="DK219" s="138"/>
      <c r="DV219" s="138"/>
      <c r="DW219" s="138"/>
      <c r="EH219" s="138"/>
      <c r="EI219" s="138"/>
      <c r="ET219" s="138"/>
    </row>
    <row r="220" spans="90:150" ht="14.25" customHeight="1">
      <c r="CL220" s="138"/>
      <c r="CX220" s="138"/>
      <c r="CY220" s="138"/>
      <c r="DJ220" s="138"/>
      <c r="DK220" s="138"/>
      <c r="DV220" s="138"/>
      <c r="DW220" s="138"/>
      <c r="EH220" s="138"/>
      <c r="EI220" s="138"/>
      <c r="ET220" s="138"/>
    </row>
    <row r="221" spans="90:150" ht="14.25" customHeight="1">
      <c r="CL221" s="138"/>
      <c r="CX221" s="138"/>
      <c r="CY221" s="138"/>
      <c r="DJ221" s="138"/>
      <c r="DK221" s="138"/>
      <c r="DV221" s="138"/>
      <c r="DW221" s="138"/>
      <c r="EH221" s="138"/>
      <c r="EI221" s="138"/>
      <c r="ET221" s="138"/>
    </row>
    <row r="222" spans="90:150" ht="14.25" customHeight="1">
      <c r="CL222" s="138"/>
      <c r="CX222" s="138"/>
      <c r="CY222" s="138"/>
      <c r="DJ222" s="138"/>
      <c r="DK222" s="138"/>
      <c r="DV222" s="138"/>
      <c r="DW222" s="138"/>
      <c r="EH222" s="138"/>
      <c r="EI222" s="138"/>
      <c r="ET222" s="138"/>
    </row>
    <row r="223" spans="90:150" ht="14.25" customHeight="1">
      <c r="CL223" s="138"/>
      <c r="CX223" s="138"/>
      <c r="CY223" s="138"/>
      <c r="DJ223" s="138"/>
      <c r="DK223" s="138"/>
      <c r="DV223" s="138"/>
      <c r="DW223" s="138"/>
      <c r="EH223" s="138"/>
      <c r="EI223" s="138"/>
      <c r="ET223" s="138"/>
    </row>
    <row r="224" spans="90:150" ht="14.25" customHeight="1">
      <c r="CL224" s="138"/>
      <c r="CX224" s="138"/>
      <c r="CY224" s="138"/>
      <c r="DJ224" s="138"/>
      <c r="DK224" s="138"/>
      <c r="DV224" s="138"/>
      <c r="DW224" s="138"/>
      <c r="EH224" s="138"/>
      <c r="EI224" s="138"/>
      <c r="ET224" s="138"/>
    </row>
    <row r="225" spans="90:150" ht="14.25" customHeight="1">
      <c r="CL225" s="138"/>
      <c r="CX225" s="138"/>
      <c r="CY225" s="138"/>
      <c r="DJ225" s="138"/>
      <c r="DK225" s="138"/>
      <c r="DV225" s="138"/>
      <c r="DW225" s="138"/>
      <c r="EH225" s="138"/>
      <c r="EI225" s="138"/>
      <c r="ET225" s="138"/>
    </row>
    <row r="226" spans="90:150" ht="14.25" customHeight="1">
      <c r="CL226" s="138"/>
      <c r="CX226" s="138"/>
      <c r="CY226" s="138"/>
      <c r="DJ226" s="138"/>
      <c r="DK226" s="138"/>
      <c r="DV226" s="138"/>
      <c r="DW226" s="138"/>
      <c r="EH226" s="138"/>
      <c r="EI226" s="138"/>
      <c r="ET226" s="138"/>
    </row>
    <row r="227" spans="90:150" ht="14.25" customHeight="1">
      <c r="CL227" s="138"/>
      <c r="CX227" s="138"/>
      <c r="CY227" s="138"/>
      <c r="DJ227" s="138"/>
      <c r="DK227" s="138"/>
      <c r="DV227" s="138"/>
      <c r="DW227" s="138"/>
      <c r="EH227" s="138"/>
      <c r="EI227" s="138"/>
      <c r="ET227" s="138"/>
    </row>
    <row r="228" spans="90:150" ht="14.25" customHeight="1">
      <c r="CL228" s="138"/>
      <c r="CX228" s="138"/>
      <c r="CY228" s="138"/>
      <c r="DJ228" s="138"/>
      <c r="DK228" s="138"/>
      <c r="DV228" s="138"/>
      <c r="DW228" s="138"/>
      <c r="EH228" s="138"/>
      <c r="EI228" s="138"/>
      <c r="ET228" s="138"/>
    </row>
    <row r="229" spans="90:150" ht="14.25" customHeight="1">
      <c r="CL229" s="138"/>
      <c r="CX229" s="138"/>
      <c r="CY229" s="138"/>
      <c r="DJ229" s="138"/>
      <c r="DK229" s="138"/>
      <c r="DV229" s="138"/>
      <c r="DW229" s="138"/>
      <c r="EH229" s="138"/>
      <c r="EI229" s="138"/>
      <c r="ET229" s="138"/>
    </row>
    <row r="230" spans="90:150" ht="14.25" customHeight="1">
      <c r="CL230" s="138"/>
      <c r="CX230" s="138"/>
      <c r="CY230" s="138"/>
      <c r="DJ230" s="138"/>
      <c r="DK230" s="138"/>
      <c r="DV230" s="138"/>
      <c r="DW230" s="138"/>
      <c r="EH230" s="138"/>
      <c r="EI230" s="138"/>
      <c r="ET230" s="138"/>
    </row>
    <row r="231" spans="90:150" ht="14.25" customHeight="1">
      <c r="CL231" s="138"/>
      <c r="CX231" s="138"/>
      <c r="CY231" s="138"/>
      <c r="DJ231" s="138"/>
      <c r="DK231" s="138"/>
      <c r="DV231" s="138"/>
      <c r="DW231" s="138"/>
      <c r="EH231" s="138"/>
      <c r="EI231" s="138"/>
      <c r="ET231" s="138"/>
    </row>
    <row r="232" spans="90:150" ht="14.25" customHeight="1">
      <c r="CL232" s="138"/>
      <c r="CX232" s="138"/>
      <c r="CY232" s="138"/>
      <c r="DJ232" s="138"/>
      <c r="DK232" s="138"/>
      <c r="DV232" s="138"/>
      <c r="DW232" s="138"/>
      <c r="EH232" s="138"/>
      <c r="EI232" s="138"/>
      <c r="ET232" s="138"/>
    </row>
    <row r="233" spans="90:150" ht="14.25" customHeight="1">
      <c r="CL233" s="138"/>
      <c r="CX233" s="138"/>
      <c r="CY233" s="138"/>
      <c r="DJ233" s="138"/>
      <c r="DK233" s="138"/>
      <c r="DV233" s="138"/>
      <c r="DW233" s="138"/>
      <c r="EH233" s="138"/>
      <c r="EI233" s="138"/>
      <c r="ET233" s="138"/>
    </row>
    <row r="234" spans="90:150" ht="14.25" customHeight="1">
      <c r="CL234" s="138"/>
      <c r="CX234" s="138"/>
      <c r="CY234" s="138"/>
      <c r="DJ234" s="138"/>
      <c r="DK234" s="138"/>
      <c r="DV234" s="138"/>
      <c r="DW234" s="138"/>
      <c r="EH234" s="138"/>
      <c r="EI234" s="138"/>
      <c r="ET234" s="138"/>
    </row>
    <row r="235" spans="90:150" ht="14.25" customHeight="1">
      <c r="CL235" s="138"/>
      <c r="CX235" s="138"/>
      <c r="CY235" s="138"/>
      <c r="DJ235" s="138"/>
      <c r="DK235" s="138"/>
      <c r="DV235" s="138"/>
      <c r="DW235" s="138"/>
      <c r="EH235" s="138"/>
      <c r="EI235" s="138"/>
      <c r="ET235" s="138"/>
    </row>
    <row r="236" spans="90:150" ht="14.25" customHeight="1">
      <c r="CL236" s="138"/>
      <c r="CX236" s="138"/>
      <c r="CY236" s="138"/>
      <c r="DJ236" s="138"/>
      <c r="DK236" s="138"/>
      <c r="DV236" s="138"/>
      <c r="DW236" s="138"/>
      <c r="EH236" s="138"/>
      <c r="EI236" s="138"/>
      <c r="ET236" s="138"/>
    </row>
    <row r="237" spans="90:150" ht="14.25" customHeight="1">
      <c r="CL237" s="138"/>
      <c r="CX237" s="138"/>
      <c r="CY237" s="138"/>
      <c r="DJ237" s="138"/>
      <c r="DK237" s="138"/>
      <c r="DV237" s="138"/>
      <c r="DW237" s="138"/>
      <c r="EH237" s="138"/>
      <c r="EI237" s="138"/>
      <c r="ET237" s="138"/>
    </row>
    <row r="238" spans="90:150" ht="14.25" customHeight="1">
      <c r="CL238" s="138"/>
      <c r="CX238" s="138"/>
      <c r="CY238" s="138"/>
      <c r="DJ238" s="138"/>
      <c r="DK238" s="138"/>
      <c r="DV238" s="138"/>
      <c r="DW238" s="138"/>
      <c r="EH238" s="138"/>
      <c r="EI238" s="138"/>
      <c r="ET238" s="138"/>
    </row>
    <row r="239" spans="90:150" ht="14.25" customHeight="1">
      <c r="CL239" s="138"/>
      <c r="CX239" s="138"/>
      <c r="CY239" s="138"/>
      <c r="DJ239" s="138"/>
      <c r="DK239" s="138"/>
      <c r="DV239" s="138"/>
      <c r="DW239" s="138"/>
      <c r="EH239" s="138"/>
      <c r="EI239" s="138"/>
      <c r="ET239" s="138"/>
    </row>
    <row r="240" spans="90:150" ht="14.25" customHeight="1">
      <c r="CL240" s="138"/>
      <c r="CX240" s="138"/>
      <c r="CY240" s="138"/>
      <c r="DJ240" s="138"/>
      <c r="DK240" s="138"/>
      <c r="DV240" s="138"/>
      <c r="DW240" s="138"/>
      <c r="EH240" s="138"/>
      <c r="EI240" s="138"/>
      <c r="ET240" s="138"/>
    </row>
    <row r="241" spans="90:150" ht="14.25" customHeight="1">
      <c r="CL241" s="138"/>
      <c r="CX241" s="138"/>
      <c r="CY241" s="138"/>
      <c r="DJ241" s="138"/>
      <c r="DK241" s="138"/>
      <c r="DV241" s="138"/>
      <c r="DW241" s="138"/>
      <c r="EH241" s="138"/>
      <c r="EI241" s="138"/>
      <c r="ET241" s="138"/>
    </row>
    <row r="242" spans="90:150" ht="14.25" customHeight="1">
      <c r="CL242" s="138"/>
      <c r="CX242" s="138"/>
      <c r="CY242" s="138"/>
      <c r="DJ242" s="138"/>
      <c r="DK242" s="138"/>
      <c r="DV242" s="138"/>
      <c r="DW242" s="138"/>
      <c r="EH242" s="138"/>
      <c r="EI242" s="138"/>
      <c r="ET242" s="138"/>
    </row>
    <row r="243" spans="90:150" ht="14.25" customHeight="1">
      <c r="CL243" s="138"/>
      <c r="CX243" s="138"/>
      <c r="CY243" s="138"/>
      <c r="DJ243" s="138"/>
      <c r="DK243" s="138"/>
      <c r="DV243" s="138"/>
      <c r="DW243" s="138"/>
      <c r="EH243" s="138"/>
      <c r="EI243" s="138"/>
      <c r="ET243" s="138"/>
    </row>
    <row r="244" spans="90:150" ht="14.25" customHeight="1">
      <c r="CL244" s="138"/>
      <c r="CX244" s="138"/>
      <c r="CY244" s="138"/>
      <c r="DJ244" s="138"/>
      <c r="DK244" s="138"/>
      <c r="DV244" s="138"/>
      <c r="DW244" s="138"/>
      <c r="EH244" s="138"/>
      <c r="EI244" s="138"/>
      <c r="ET244" s="138"/>
    </row>
    <row r="245" spans="90:150" ht="14.25" customHeight="1">
      <c r="CL245" s="138"/>
      <c r="CX245" s="138"/>
      <c r="CY245" s="138"/>
      <c r="DJ245" s="138"/>
      <c r="DK245" s="138"/>
      <c r="DV245" s="138"/>
      <c r="DW245" s="138"/>
      <c r="EH245" s="138"/>
      <c r="EI245" s="138"/>
      <c r="ET245" s="138"/>
    </row>
    <row r="246" spans="90:150" ht="14.25" customHeight="1">
      <c r="CL246" s="138"/>
      <c r="CX246" s="138"/>
      <c r="CY246" s="138"/>
      <c r="DJ246" s="138"/>
      <c r="DK246" s="138"/>
      <c r="DV246" s="138"/>
      <c r="DW246" s="138"/>
      <c r="EH246" s="138"/>
      <c r="EI246" s="138"/>
      <c r="ET246" s="138"/>
    </row>
    <row r="247" spans="90:150" ht="14.25" customHeight="1">
      <c r="CL247" s="138"/>
      <c r="CX247" s="138"/>
      <c r="CY247" s="138"/>
      <c r="DJ247" s="138"/>
      <c r="DK247" s="138"/>
      <c r="DV247" s="138"/>
      <c r="DW247" s="138"/>
      <c r="EH247" s="138"/>
      <c r="EI247" s="138"/>
      <c r="ET247" s="138"/>
    </row>
    <row r="248" spans="90:150" ht="14.25" customHeight="1">
      <c r="CL248" s="138"/>
      <c r="CX248" s="138"/>
      <c r="CY248" s="138"/>
      <c r="DJ248" s="138"/>
      <c r="DK248" s="138"/>
      <c r="DV248" s="138"/>
      <c r="DW248" s="138"/>
      <c r="EH248" s="138"/>
      <c r="EI248" s="138"/>
      <c r="ET248" s="138"/>
    </row>
    <row r="249" spans="90:150" ht="14.25" customHeight="1">
      <c r="CL249" s="138"/>
      <c r="CX249" s="138"/>
      <c r="CY249" s="138"/>
      <c r="DJ249" s="138"/>
      <c r="DK249" s="138"/>
      <c r="DV249" s="138"/>
      <c r="DW249" s="138"/>
      <c r="EH249" s="138"/>
      <c r="EI249" s="138"/>
      <c r="ET249" s="138"/>
    </row>
    <row r="250" spans="90:150" ht="14.25" customHeight="1">
      <c r="CL250" s="138"/>
      <c r="CX250" s="138"/>
      <c r="CY250" s="138"/>
      <c r="DJ250" s="138"/>
      <c r="DK250" s="138"/>
      <c r="DV250" s="138"/>
      <c r="DW250" s="138"/>
      <c r="EH250" s="138"/>
      <c r="EI250" s="138"/>
      <c r="ET250" s="138"/>
    </row>
    <row r="251" spans="90:150" ht="14.25" customHeight="1">
      <c r="CL251" s="138"/>
      <c r="CX251" s="138"/>
      <c r="CY251" s="138"/>
      <c r="DJ251" s="138"/>
      <c r="DK251" s="138"/>
      <c r="DV251" s="138"/>
      <c r="DW251" s="138"/>
      <c r="EH251" s="138"/>
      <c r="EI251" s="138"/>
      <c r="ET251" s="138"/>
    </row>
    <row r="252" spans="90:150" ht="14.25" customHeight="1">
      <c r="CL252" s="138"/>
      <c r="CX252" s="138"/>
      <c r="CY252" s="138"/>
      <c r="DJ252" s="138"/>
      <c r="DK252" s="138"/>
      <c r="DV252" s="138"/>
      <c r="DW252" s="138"/>
      <c r="EH252" s="138"/>
      <c r="EI252" s="138"/>
      <c r="ET252" s="138"/>
    </row>
    <row r="253" spans="90:150" ht="14.25" customHeight="1">
      <c r="CL253" s="138"/>
      <c r="CX253" s="138"/>
      <c r="CY253" s="138"/>
      <c r="DJ253" s="138"/>
      <c r="DK253" s="138"/>
      <c r="DV253" s="138"/>
      <c r="DW253" s="138"/>
      <c r="EH253" s="138"/>
      <c r="EI253" s="138"/>
      <c r="ET253" s="138"/>
    </row>
    <row r="254" spans="90:150" ht="14.25" customHeight="1">
      <c r="CL254" s="138"/>
      <c r="CX254" s="138"/>
      <c r="CY254" s="138"/>
      <c r="DJ254" s="138"/>
      <c r="DK254" s="138"/>
      <c r="DV254" s="138"/>
      <c r="DW254" s="138"/>
      <c r="EH254" s="138"/>
      <c r="EI254" s="138"/>
      <c r="ET254" s="138"/>
    </row>
    <row r="255" spans="90:150" ht="14.25" customHeight="1">
      <c r="CL255" s="138"/>
      <c r="CX255" s="138"/>
      <c r="CY255" s="138"/>
      <c r="DJ255" s="138"/>
      <c r="DK255" s="138"/>
      <c r="DV255" s="138"/>
      <c r="DW255" s="138"/>
      <c r="EH255" s="138"/>
      <c r="EI255" s="138"/>
      <c r="ET255" s="138"/>
    </row>
    <row r="256" spans="90:150" ht="14.25" customHeight="1">
      <c r="CL256" s="138"/>
      <c r="CX256" s="138"/>
      <c r="CY256" s="138"/>
      <c r="DJ256" s="138"/>
      <c r="DK256" s="138"/>
      <c r="DV256" s="138"/>
      <c r="DW256" s="138"/>
      <c r="EH256" s="138"/>
      <c r="EI256" s="138"/>
      <c r="ET256" s="138"/>
    </row>
    <row r="257" spans="90:150" ht="14.25" customHeight="1">
      <c r="CL257" s="138"/>
      <c r="CX257" s="138"/>
      <c r="CY257" s="138"/>
      <c r="DJ257" s="138"/>
      <c r="DK257" s="138"/>
      <c r="DV257" s="138"/>
      <c r="DW257" s="138"/>
      <c r="EH257" s="138"/>
      <c r="EI257" s="138"/>
      <c r="ET257" s="138"/>
    </row>
    <row r="258" spans="90:150" ht="14.25" customHeight="1">
      <c r="CL258" s="138"/>
      <c r="CX258" s="138"/>
      <c r="CY258" s="138"/>
      <c r="DJ258" s="138"/>
      <c r="DK258" s="138"/>
      <c r="DV258" s="138"/>
      <c r="DW258" s="138"/>
      <c r="EH258" s="138"/>
      <c r="EI258" s="138"/>
      <c r="ET258" s="138"/>
    </row>
    <row r="259" spans="90:150" ht="14.25" customHeight="1">
      <c r="CL259" s="138"/>
      <c r="CX259" s="138"/>
      <c r="CY259" s="138"/>
      <c r="DJ259" s="138"/>
      <c r="DK259" s="138"/>
      <c r="DV259" s="138"/>
      <c r="DW259" s="138"/>
      <c r="EH259" s="138"/>
      <c r="EI259" s="138"/>
      <c r="ET259" s="138"/>
    </row>
    <row r="260" spans="90:150" ht="14.25" customHeight="1">
      <c r="CL260" s="138"/>
      <c r="CX260" s="138"/>
      <c r="CY260" s="138"/>
      <c r="DJ260" s="138"/>
      <c r="DK260" s="138"/>
      <c r="DV260" s="138"/>
      <c r="DW260" s="138"/>
      <c r="EH260" s="138"/>
      <c r="EI260" s="138"/>
      <c r="ET260" s="138"/>
    </row>
    <row r="261" spans="90:150" ht="14.25" customHeight="1">
      <c r="CL261" s="138"/>
      <c r="CX261" s="138"/>
      <c r="CY261" s="138"/>
      <c r="DJ261" s="138"/>
      <c r="DK261" s="138"/>
      <c r="DV261" s="138"/>
      <c r="DW261" s="138"/>
      <c r="EH261" s="138"/>
      <c r="EI261" s="138"/>
      <c r="ET261" s="138"/>
    </row>
    <row r="262" spans="90:150" ht="14.25" customHeight="1">
      <c r="CL262" s="138"/>
      <c r="CX262" s="138"/>
      <c r="CY262" s="138"/>
      <c r="DJ262" s="138"/>
      <c r="DK262" s="138"/>
      <c r="DV262" s="138"/>
      <c r="DW262" s="138"/>
      <c r="EH262" s="138"/>
      <c r="EI262" s="138"/>
      <c r="ET262" s="138"/>
    </row>
    <row r="263" spans="90:150" ht="14.25" customHeight="1">
      <c r="CL263" s="138"/>
      <c r="CX263" s="138"/>
      <c r="CY263" s="138"/>
      <c r="DJ263" s="138"/>
      <c r="DK263" s="138"/>
      <c r="DV263" s="138"/>
      <c r="DW263" s="138"/>
      <c r="EH263" s="138"/>
      <c r="EI263" s="138"/>
      <c r="ET263" s="138"/>
    </row>
    <row r="264" spans="90:150" ht="14.25" customHeight="1">
      <c r="CL264" s="138"/>
      <c r="CX264" s="138"/>
      <c r="CY264" s="138"/>
      <c r="DJ264" s="138"/>
      <c r="DK264" s="138"/>
      <c r="DV264" s="138"/>
      <c r="DW264" s="138"/>
      <c r="EH264" s="138"/>
      <c r="EI264" s="138"/>
      <c r="ET264" s="138"/>
    </row>
    <row r="265" spans="90:150" ht="14.25" customHeight="1">
      <c r="CL265" s="138"/>
      <c r="CX265" s="138"/>
      <c r="CY265" s="138"/>
      <c r="DJ265" s="138"/>
      <c r="DK265" s="138"/>
      <c r="DV265" s="138"/>
      <c r="DW265" s="138"/>
      <c r="EH265" s="138"/>
      <c r="EI265" s="138"/>
      <c r="ET265" s="138"/>
    </row>
    <row r="266" spans="90:150" ht="14.25" customHeight="1">
      <c r="CL266" s="138"/>
      <c r="CX266" s="138"/>
      <c r="CY266" s="138"/>
      <c r="DJ266" s="138"/>
      <c r="DK266" s="138"/>
      <c r="DV266" s="138"/>
      <c r="DW266" s="138"/>
      <c r="EH266" s="138"/>
      <c r="EI266" s="138"/>
      <c r="ET266" s="138"/>
    </row>
    <row r="267" spans="90:150" ht="14.25" customHeight="1">
      <c r="CL267" s="138"/>
      <c r="CX267" s="138"/>
      <c r="CY267" s="138"/>
      <c r="DJ267" s="138"/>
      <c r="DK267" s="138"/>
      <c r="DV267" s="138"/>
      <c r="DW267" s="138"/>
      <c r="EH267" s="138"/>
      <c r="EI267" s="138"/>
      <c r="ET267" s="138"/>
    </row>
    <row r="268" spans="90:150" ht="14.25" customHeight="1">
      <c r="CL268" s="138"/>
      <c r="CX268" s="138"/>
      <c r="CY268" s="138"/>
      <c r="DJ268" s="138"/>
      <c r="DK268" s="138"/>
      <c r="DV268" s="138"/>
      <c r="DW268" s="138"/>
      <c r="EH268" s="138"/>
      <c r="EI268" s="138"/>
      <c r="ET268" s="138"/>
    </row>
    <row r="269" spans="90:150" ht="14.25" customHeight="1">
      <c r="CL269" s="138"/>
      <c r="CX269" s="138"/>
      <c r="CY269" s="138"/>
      <c r="DJ269" s="138"/>
      <c r="DK269" s="138"/>
      <c r="DV269" s="138"/>
      <c r="DW269" s="138"/>
      <c r="EH269" s="138"/>
      <c r="EI269" s="138"/>
      <c r="ET269" s="138"/>
    </row>
    <row r="270" spans="90:150" ht="14.25" customHeight="1">
      <c r="CL270" s="138"/>
      <c r="CX270" s="138"/>
      <c r="CY270" s="138"/>
      <c r="DJ270" s="138"/>
      <c r="DK270" s="138"/>
      <c r="DV270" s="138"/>
      <c r="DW270" s="138"/>
      <c r="EH270" s="138"/>
      <c r="EI270" s="138"/>
      <c r="ET270" s="138"/>
    </row>
  </sheetData>
  <mergeCells count="107">
    <mergeCell ref="BQ4:BZ4"/>
    <mergeCell ref="CB4:CK4"/>
    <mergeCell ref="CN4:CW4"/>
    <mergeCell ref="CZ4:DI4"/>
    <mergeCell ref="DL4:DU4"/>
    <mergeCell ref="DX4:EG4"/>
    <mergeCell ref="EJ4:ES4"/>
    <mergeCell ref="A4:G4"/>
    <mergeCell ref="I4:O4"/>
    <mergeCell ref="Q4:W4"/>
    <mergeCell ref="Y4:AH4"/>
    <mergeCell ref="AJ4:AS4"/>
    <mergeCell ref="AU4:BD4"/>
    <mergeCell ref="BF4:BO4"/>
    <mergeCell ref="A5:C6"/>
    <mergeCell ref="E5:E6"/>
    <mergeCell ref="F5:G5"/>
    <mergeCell ref="I5:K6"/>
    <mergeCell ref="M5:M6"/>
    <mergeCell ref="N5:O5"/>
    <mergeCell ref="Q5:S6"/>
    <mergeCell ref="U5:U6"/>
    <mergeCell ref="V5:W5"/>
    <mergeCell ref="Y5:AA6"/>
    <mergeCell ref="AC5:AC6"/>
    <mergeCell ref="AD5:AH5"/>
    <mergeCell ref="AJ5:AL6"/>
    <mergeCell ref="AN5:AN6"/>
    <mergeCell ref="AO5:AS5"/>
    <mergeCell ref="AU5:AW6"/>
    <mergeCell ref="AY5:AY6"/>
    <mergeCell ref="AZ5:BD5"/>
    <mergeCell ref="EJ5:EL6"/>
    <mergeCell ref="EN5:EN6"/>
    <mergeCell ref="EO5:ES5"/>
    <mergeCell ref="ET5:ET6"/>
    <mergeCell ref="CN5:CP6"/>
    <mergeCell ref="CR5:CR6"/>
    <mergeCell ref="CS5:CW5"/>
    <mergeCell ref="CX5:CX6"/>
    <mergeCell ref="CZ5:DB6"/>
    <mergeCell ref="DD5:DD6"/>
    <mergeCell ref="DE5:DI5"/>
    <mergeCell ref="EC5:EG5"/>
    <mergeCell ref="EH5:EH6"/>
    <mergeCell ref="DJ5:DJ6"/>
    <mergeCell ref="DL5:DN6"/>
    <mergeCell ref="DP5:DP6"/>
    <mergeCell ref="DQ5:DU5"/>
    <mergeCell ref="DV5:DV6"/>
    <mergeCell ref="DX5:DZ6"/>
    <mergeCell ref="EB5:EB6"/>
    <mergeCell ref="BI61:BI62"/>
    <mergeCell ref="AM44:AM45"/>
    <mergeCell ref="AS44:AS46"/>
    <mergeCell ref="AX44:AX45"/>
    <mergeCell ref="BD44:BD46"/>
    <mergeCell ref="BO44:BO46"/>
    <mergeCell ref="BT44:BT45"/>
    <mergeCell ref="AX61:AX62"/>
    <mergeCell ref="CL5:CL6"/>
    <mergeCell ref="BF5:BH6"/>
    <mergeCell ref="BJ5:BJ6"/>
    <mergeCell ref="BK5:BO5"/>
    <mergeCell ref="BQ5:BS6"/>
    <mergeCell ref="BU5:BU6"/>
    <mergeCell ref="BV5:BZ5"/>
    <mergeCell ref="CB5:CD6"/>
    <mergeCell ref="CF5:CF6"/>
    <mergeCell ref="CG5:CK5"/>
    <mergeCell ref="BF38:BH38"/>
    <mergeCell ref="BQ38:BS38"/>
    <mergeCell ref="CB38:CD38"/>
    <mergeCell ref="CN38:CP38"/>
    <mergeCell ref="CZ38:DB38"/>
    <mergeCell ref="DL38:DN38"/>
    <mergeCell ref="DX38:DZ38"/>
    <mergeCell ref="EJ38:EL38"/>
    <mergeCell ref="AQ25:AQ29"/>
    <mergeCell ref="A38:C38"/>
    <mergeCell ref="I38:K38"/>
    <mergeCell ref="Q38:S38"/>
    <mergeCell ref="Y38:AA38"/>
    <mergeCell ref="AJ38:AL38"/>
    <mergeCell ref="AU38:AW38"/>
    <mergeCell ref="A42:D42"/>
    <mergeCell ref="I42:L42"/>
    <mergeCell ref="A43:D43"/>
    <mergeCell ref="I43:L43"/>
    <mergeCell ref="ES44:ES46"/>
    <mergeCell ref="BZ44:BZ46"/>
    <mergeCell ref="CE44:CE45"/>
    <mergeCell ref="CK44:CK46"/>
    <mergeCell ref="CQ44:CQ45"/>
    <mergeCell ref="CW44:CW46"/>
    <mergeCell ref="DC44:DC45"/>
    <mergeCell ref="DI44:DI46"/>
    <mergeCell ref="T44:T45"/>
    <mergeCell ref="AB44:AB45"/>
    <mergeCell ref="AH44:AH46"/>
    <mergeCell ref="W45:W46"/>
    <mergeCell ref="DO44:DO45"/>
    <mergeCell ref="DU44:DU46"/>
    <mergeCell ref="EA44:EA45"/>
    <mergeCell ref="EG44:EG46"/>
    <mergeCell ref="EM44:EM45"/>
    <mergeCell ref="BI44:BI45"/>
  </mergeCells>
  <conditionalFormatting sqref="A5:ET6 BE8 BE10 BE12 BE14 BE16 BE18 BE20 BE22 BE24 BE26 BE28 BE30 BE32 BE34 AI37:AI38 AT37:AT38 BE37:BE38 D38:AH38 AJ38:AS38 AU38:BD38 BF38:ET38">
    <cfRule type="cellIs" dxfId="2" priority="1" operator="greaterThan">
      <formula>30000</formula>
    </cfRule>
  </conditionalFormatting>
  <conditionalFormatting sqref="D5:D37">
    <cfRule type="cellIs" dxfId="1" priority="2" operator="greaterThan">
      <formula>30000</formula>
    </cfRule>
  </conditionalFormatting>
  <conditionalFormatting sqref="AG7:AG12 AH7:AH18 AO7:AP18 AR7:AS18 AZ7:BA18 BD7:BD18 BK7:BL18 BO7:BP18 BV7:BW18 BZ7:CA18 CG7:CH18 CK7:CM18 CS7:CT18 CW7:CY18 DE7:DF18 DI7:DK18 DQ7:DR18 DU7:DV18 EC7:ED18 EG7:EG18 BC7:BC19 A7:A20 D7:D20 G7:I20 L7:L20 O7:Q20 W7:W20 B7:C37 J7:K37 R7:S37 X7:AC38 AF7:AF38 AI7:AN38 AQ7:AQ38 AT7:AY38 BB7:BB38 BE7:BJ38 BM7:BN38 BQ7:BU38 BX7:BY38 CB7:CF38 CI7:CJ38 CN7:CR38 CU7:CV38 CZ7:DD38 DG7:DH38 DL7:DP38 DS7:DT38 DW7:EB38 EE7:EF38 EH7:ET38 AS20:AS25 BD20:BD25 BO20:BP25 BZ20:CA25 CK20:CM25 CW20:CY25 DI20:DK25 DU20:DV25 EG20:EG25 AH20:AH38 AO20:AP38 AR20:AR38 AZ20:BA38 BK20:BL38 BV20:BW38 CG20:CH38 CS20:CT38 DE20:DF38 DQ20:DR38 EC20:ED38 BC21:BC38 AS27:AS38 BD27:BD38 BO27:BP38 BZ27:CA38 CK27:CM38 CW27:CY38 DI27:DK38 DU27:DV38 EG27:EG38 AD35:AE38 AG36:AG38">
    <cfRule type="cellIs" dxfId="0" priority="3" operator="greaterThanOrEqual">
      <formula>840000</formula>
    </cfRule>
  </conditionalFormatting>
  <printOptions horizontalCentered="1" verticalCentered="1"/>
  <pageMargins left="0.28000000000000003" right="0.2" top="0.25" bottom="0.25" header="0" footer="0"/>
  <pageSetup paperSize="14" scale="65" orientation="landscape"/>
  <headerFooter>
    <oddHeader>&amp;CNUEVA ECIJA II ELECTRIC COOPERATIVE, INC TALAVERA, NUEVA ECIJA SUMMARY OF DAILY KWH PURCHASED MONTH OF MAY, JUNE JULY, 2021</oddHeader>
    <oddFooter>&amp;LPrepared by:  Leah F. Persona Load Analyst&amp;CCheck by:  Anthony R. Alfonso Energy Trading Officer&amp;RNoted  by: William D. Cudapas CITET Manager</oddFooter>
  </headerFooter>
  <legacy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Purchases</vt:lpstr>
      <vt:lpstr>Daily Purchases for 20212022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Engr. Charles William Santiago</dc:creator>
  <cp:lastModifiedBy>eugene van linsangan</cp:lastModifiedBy>
  <dcterms:created xsi:type="dcterms:W3CDTF">2025-01-27T08:56:04Z</dcterms:created>
  <dcterms:modified xsi:type="dcterms:W3CDTF">2025-01-28T02:05:19Z</dcterms:modified>
</cp:coreProperties>
</file>