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111" documentId="8_{3FD55AC5-E69D-496A-A805-8E8300BEE4C6}" xr6:coauthVersionLast="47" xr6:coauthVersionMax="47" xr10:uidLastSave="{F983D563-7096-494C-A90F-A53639BB62DF}"/>
  <bookViews>
    <workbookView xWindow="-108" yWindow="-108" windowWidth="23256" windowHeight="12456" tabRatio="536" firstSheet="6" activeTab="9" xr2:uid="{CEBF006A-A518-4AB7-9A76-15366DBD2099}"/>
  </bookViews>
  <sheets>
    <sheet name="Glossary" sheetId="14" r:id="rId1"/>
    <sheet name="Control" sheetId="18" r:id="rId2"/>
    <sheet name="Test Cases" sheetId="19" r:id="rId3"/>
    <sheet name="Calculation" sheetId="13" r:id="rId4"/>
    <sheet name="WdTables" sheetId="21" r:id="rId5"/>
    <sheet name="Example Doc" sheetId="17" r:id="rId6"/>
    <sheet name="How It Works" sheetId="15" r:id="rId7"/>
    <sheet name="Orders of Operation" sheetId="16" r:id="rId8"/>
    <sheet name="Qx" sheetId="22" r:id="rId9"/>
    <sheet name="TestCaseExplinations" sheetId="23" r:id="rId10"/>
    <sheet name="Documentation" sheetId="24" r:id="rId11"/>
  </sheets>
  <externalReferences>
    <externalReference r:id="rId12"/>
    <externalReference r:id="rId13"/>
    <externalReference r:id="rId14"/>
    <externalReference r:id="rId15"/>
  </externalReferences>
  <definedNames>
    <definedName name="_xlpm.Anniversery_Value" hidden="1">#NAME?</definedName>
    <definedName name="AccountValue">Control!$C$18</definedName>
    <definedName name="ACT">Control!$C$27</definedName>
    <definedName name="Activation_Time">'[1]Calculation D'!$C$2</definedName>
    <definedName name="ActivationDate" localSheetId="8">[2]Control!$C$12</definedName>
    <definedName name="ActivationDate" localSheetId="9">[2]Control!$C$12</definedName>
    <definedName name="ActivationDate">[3]Control!$C$12</definedName>
    <definedName name="ActivationPeriod" localSheetId="8">[2]Control!$C$27</definedName>
    <definedName name="ActivationPeriod" localSheetId="9">[2]Control!$C$27</definedName>
    <definedName name="ActivationPeriod">[3]Control!$C$27</definedName>
    <definedName name="Actual">[1]Controls!$S$37:$S$54</definedName>
    <definedName name="AdditionalPremium">[3]Control!$C$11</definedName>
    <definedName name="Age">Qx!$A$8:$A$128</definedName>
    <definedName name="AnnCount">Control!$C$20</definedName>
    <definedName name="Anniversery_Value">'[1]Calculation D'!$I$9:$I$30</definedName>
    <definedName name="AnnuitantCount" localSheetId="8">[2]Control!$C$20</definedName>
    <definedName name="AnnuitantCount" localSheetId="9">[2]Control!$C$20</definedName>
    <definedName name="AnnuitantCount">[3]Control!$C$20</definedName>
    <definedName name="AnnuityIncomeOption" localSheetId="8">[2]Control!$C$13</definedName>
    <definedName name="AnnuityIncomeOption" localSheetId="9">[2]Control!$C$13</definedName>
    <definedName name="AnnuityIncomeOption">[3]Control!$C$13</definedName>
    <definedName name="Assumed_Contract_Value">'[1]Calculation D'!$G$8:$G$29</definedName>
    <definedName name="Assumed_Contract_Value2">'[1]Calculation D'!$G$8:$G$180</definedName>
    <definedName name="Benefit_Effective_Date">[1]!TestCases[[Benefit Effective Date ]]</definedName>
    <definedName name="Birthdate1" localSheetId="8">[2]Control!$C$6</definedName>
    <definedName name="Birthdate1" localSheetId="9">[2]Control!$C$6</definedName>
    <definedName name="Birthdate1">[3]Control!$C$6</definedName>
    <definedName name="Birthdate2" localSheetId="8">[2]Control!$C$8</definedName>
    <definedName name="Birthdate2" localSheetId="9">[2]Control!$C$8</definedName>
    <definedName name="Birthdate2">[3]Control!$C$8</definedName>
    <definedName name="Bob">Control!$O$4</definedName>
    <definedName name="ContractFee" localSheetId="8">#REF!</definedName>
    <definedName name="ContractFee" localSheetId="9">#REF!</definedName>
    <definedName name="ContractFee">#REF!</definedName>
    <definedName name="ContractFeePercent" localSheetId="8">#REF!</definedName>
    <definedName name="ContractFeePercent" localSheetId="9">#REF!</definedName>
    <definedName name="ContractFeePercent">#REF!</definedName>
    <definedName name="Current_Contract">[1]Controls!$R$34</definedName>
    <definedName name="Current_IBC">[1]Controls!$P$34</definedName>
    <definedName name="Current_Income_Base">[1]Controls!$O$34</definedName>
    <definedName name="CurrentContractValue">[3]Control!$C$18</definedName>
    <definedName name="CurrentIncomeBase" localSheetId="8">[2]Control!$C$15</definedName>
    <definedName name="CurrentIncomeBase" localSheetId="9">[2]Control!$C$15</definedName>
    <definedName name="CurrentIncomeBase">[3]Control!$C$15</definedName>
    <definedName name="CurrentIncomeCreditBase" localSheetId="8">[2]Control!$C$16</definedName>
    <definedName name="CurrentIncomeCreditBase" localSheetId="9">[2]Control!$C$16</definedName>
    <definedName name="CurrentIncomeCreditBase">[3]Control!$C$16</definedName>
    <definedName name="CurrentPeriod" localSheetId="8">[2]Control!$C$19</definedName>
    <definedName name="CurrentPeriod" localSheetId="9">[2]Control!$C$19</definedName>
    <definedName name="CurrentPeriod">[3]Control!$C$19</definedName>
    <definedName name="CurrPer">Control!$C$19</definedName>
    <definedName name="DailyFlexChargeY1" localSheetId="8">#REF!</definedName>
    <definedName name="DailyFlexChargeY1" localSheetId="9">#REF!</definedName>
    <definedName name="DailyFlexChargeY1">#REF!</definedName>
    <definedName name="DailyFlexChargeY2plus" localSheetId="8">#REF!</definedName>
    <definedName name="DailyFlexChargeY2plus" localSheetId="9">#REF!</definedName>
    <definedName name="DailyFlexChargeY2plus">#REF!</definedName>
    <definedName name="Expected">[1]Controls!$U$37:$U$54</definedName>
    <definedName name="FIx" localSheetId="9">[1]Qx!$B$8:$B$128</definedName>
    <definedName name="FIx">Qx!$B$8:$B$128</definedName>
    <definedName name="FundExpense" localSheetId="8">#REF!</definedName>
    <definedName name="FundExpense" localSheetId="9">#REF!</definedName>
    <definedName name="FundExpense">#REF!</definedName>
    <definedName name="GivenPrimaryPx" localSheetId="8">[2]Calculation!#REF!</definedName>
    <definedName name="GivenPrimaryPx" localSheetId="9">[2]Calculation!#REF!</definedName>
    <definedName name="GivenPrimaryPx">[3]Calculation!#REF!</definedName>
    <definedName name="GivenSecondaryPx" localSheetId="8">[2]Calculation!#REF!</definedName>
    <definedName name="GivenSecondaryPx" localSheetId="9">[2]Calculation!#REF!</definedName>
    <definedName name="GivenSecondaryPx">[3]Calculation!#REF!</definedName>
    <definedName name="ICP" localSheetId="8">'[1]Calculation D'!$C$3</definedName>
    <definedName name="ICP" localSheetId="9">'[1]Calculation D'!$C$3</definedName>
    <definedName name="ICP">Control!$C$14</definedName>
    <definedName name="IncCredRate" localSheetId="8">[2]Control!$C$14</definedName>
    <definedName name="IncCredRate" localSheetId="9">[2]Control!$C$14</definedName>
    <definedName name="IncCredRate">[3]Control!$C$14</definedName>
    <definedName name="Income_Base">'[1]Calculation D'!#REF!</definedName>
    <definedName name="IncomeOption">Control!$C$13</definedName>
    <definedName name="Initial_Purchase_Payment">'[1]Calculation D'!$F$1</definedName>
    <definedName name="InitialPurchasePayment" localSheetId="8">[4]Homework!$B$2</definedName>
    <definedName name="InitialPurchasePayment" localSheetId="9">[4]Homework!$B$2</definedName>
    <definedName name="InitialPurchasePayment">Control!$C$11</definedName>
    <definedName name="InterestRate">[1]Controls!$F$2</definedName>
    <definedName name="invest1">[4]Homework!$B$21</definedName>
    <definedName name="invest2">[4]Homework!$B$22</definedName>
    <definedName name="Is_Anniversery">'[1]Calculation D'!$H$8:$H$180</definedName>
    <definedName name="Is_Issued">Control!$C$29</definedName>
    <definedName name="Is_Joint">Control!$C$21</definedName>
    <definedName name="IsIssued">[3]Control!$C$29</definedName>
    <definedName name="IsJoint" localSheetId="8">[2]Control!$C$21</definedName>
    <definedName name="IsJoint" localSheetId="9">[2]Control!$C$21</definedName>
    <definedName name="IsJoint">[3]Control!$C$21</definedName>
    <definedName name="Issue_Date">Control!$C$10</definedName>
    <definedName name="IssueAge" localSheetId="8">[2]Control!$C$22</definedName>
    <definedName name="IssueAge" localSheetId="9">[2]Control!$C$22</definedName>
    <definedName name="IssueAge">[3]Control!$C$22</definedName>
    <definedName name="IssueAge2" localSheetId="8">[2]Control!$C$23</definedName>
    <definedName name="IssueAge2" localSheetId="9">[2]Control!$C$23</definedName>
    <definedName name="IssueAge2">[3]Control!$C$23</definedName>
    <definedName name="IssueDate" localSheetId="8">[2]Control!$C$10</definedName>
    <definedName name="IssueDate" localSheetId="9">[2]Control!$C$10</definedName>
    <definedName name="IssueDate">[3]Control!$C$10</definedName>
    <definedName name="LB_Age1">[1]WdAges!$B$11:$B$14</definedName>
    <definedName name="LbWdAgesPrimaryPer">WdTables!$B$11:$B$14</definedName>
    <definedName name="MAW">[1]Controls!$A$85</definedName>
    <definedName name="MAWA">Control!$C$25</definedName>
    <definedName name="MawRate" localSheetId="8">[2]Control!$C$25</definedName>
    <definedName name="MawRate" localSheetId="9">[2]Control!$C$25</definedName>
    <definedName name="MawRate">[3]Control!$C$25</definedName>
    <definedName name="Max_Withdrawal">[1]!Table17[Maximum Annual Withdrawal Amount upon Activation]</definedName>
    <definedName name="MaxAge" localSheetId="8">Qx!$B$1</definedName>
    <definedName name="MaxAge" localSheetId="9">#REF!</definedName>
    <definedName name="MaxAge">#REF!</definedName>
    <definedName name="MaxAgeLb" localSheetId="8">#REF!</definedName>
    <definedName name="MaxAgeLb" localSheetId="9">#REF!</definedName>
    <definedName name="MaxAgeLb">#REF!</definedName>
    <definedName name="MaxAgeLbDb" localSheetId="8">#REF!</definedName>
    <definedName name="MaxAgeLbDb" localSheetId="9">#REF!</definedName>
    <definedName name="MaxAgeLbDb">#REF!</definedName>
    <definedName name="MaxAgeNoRider" localSheetId="8">#REF!</definedName>
    <definedName name="MaxAgeNoRider" localSheetId="9">#REF!</definedName>
    <definedName name="MaxAgeNoRider">#REF!</definedName>
    <definedName name="Maximum_Withdrawal_Amount">[1]!Table17[Maximum Annual Withdrawal Amount upon Activation]</definedName>
    <definedName name="MaxParRate" localSheetId="8">#REF!</definedName>
    <definedName name="MaxParRate" localSheetId="9">#REF!</definedName>
    <definedName name="MaxParRate">#REF!</definedName>
    <definedName name="MaxParTenor" localSheetId="8">#REF!</definedName>
    <definedName name="MaxParTenor" localSheetId="9">#REF!</definedName>
    <definedName name="MaxParTenor">#REF!</definedName>
    <definedName name="MidWdAge">Control!$C$24</definedName>
    <definedName name="Minimum_Withdrawal_Age">[1]Controls!$F$38:$F$54</definedName>
    <definedName name="MinWdAge" localSheetId="8">[2]Control!$C$24</definedName>
    <definedName name="MinWdAge" localSheetId="9">[2]Control!$C$24</definedName>
    <definedName name="MinWdAge">[3]Control!$C$24</definedName>
    <definedName name="MIx">Qx!$C$8:$C$128</definedName>
    <definedName name="Number_Of_Annuitants">[1]Controls!$B$38:$B$54</definedName>
    <definedName name="P_I_P">VaBenefits[Protected Income Payment]</definedName>
    <definedName name="ParRates" localSheetId="8">#REF!</definedName>
    <definedName name="ParRates" localSheetId="9">#REF!</definedName>
    <definedName name="ParRates">#REF!</definedName>
    <definedName name="ParTenors" localSheetId="8">#REF!</definedName>
    <definedName name="ParTenors" localSheetId="9">#REF!</definedName>
    <definedName name="ParTenors">#REF!</definedName>
    <definedName name="PIP" localSheetId="8">'[1]Calculation D'!$C$6</definedName>
    <definedName name="PIP" localSheetId="9">'[1]Calculation D'!$C$6</definedName>
    <definedName name="PIP">Control!$C$26</definedName>
    <definedName name="PIP_2">[1]Controls!$A$86</definedName>
    <definedName name="pipRate" localSheetId="8">[2]Control!$C$26</definedName>
    <definedName name="pipRate" localSheetId="9">[2]Control!$C$26</definedName>
    <definedName name="pipRate">[3]Control!$C$26</definedName>
    <definedName name="PrimaryBirthdate">Control!$C$6</definedName>
    <definedName name="PrimaryGender">Control!$C$7</definedName>
    <definedName name="PrimaryIssueAge">Control!$C$22</definedName>
    <definedName name="Protected_Income_Payment2">[1]!Table17[Protected Income Payment]</definedName>
    <definedName name="px" localSheetId="8">#REF!</definedName>
    <definedName name="px" localSheetId="9">#REF!</definedName>
    <definedName name="px">#REF!</definedName>
    <definedName name="Reserves">VaBenefits[Reserve]</definedName>
    <definedName name="ROI" localSheetId="8">#REF!</definedName>
    <definedName name="ROI" localSheetId="9">#REF!</definedName>
    <definedName name="ROI">#REF!</definedName>
    <definedName name="SaExp" localSheetId="8">#REF!</definedName>
    <definedName name="SaExp" localSheetId="9">#REF!</definedName>
    <definedName name="SaExp">#REF!</definedName>
    <definedName name="SecondaryBirthdate">Control!$C$8</definedName>
    <definedName name="SecondaryGender">Control!$C$9</definedName>
    <definedName name="SecondaryIssueAge">Control!$C$23</definedName>
    <definedName name="SniffTest" localSheetId="8">[2]Calculation!$U$6</definedName>
    <definedName name="SniffTest" localSheetId="9">[2]Calculation!$U$6</definedName>
    <definedName name="SniffTest">[3]Calculation!$T$6</definedName>
    <definedName name="SpotRates" localSheetId="8">#REF!</definedName>
    <definedName name="SpotRates" localSheetId="9">#REF!</definedName>
    <definedName name="SpotRates">#REF!</definedName>
    <definedName name="StartingIncomeBase">Control!$C$15</definedName>
    <definedName name="StartingIncomeCreditBase">Control!$C$16</definedName>
    <definedName name="SurrenderCharge" localSheetId="8">#REF!</definedName>
    <definedName name="SurrenderCharge" localSheetId="9">#REF!</definedName>
    <definedName name="SurrenderCharge">#REF!</definedName>
    <definedName name="TotalReserve" localSheetId="8">[2]Calculation!#REF!</definedName>
    <definedName name="TotalReserve" localSheetId="9">[2]Calculation!#REF!</definedName>
    <definedName name="TotalReserve">[3]Calculation!#REF!</definedName>
    <definedName name="UB_AGE1">[1]WdAges!$C$11:$C$14</definedName>
    <definedName name="UB_Ages2">[1]WdAges!$C$15:$C$18</definedName>
    <definedName name="Use_Base_Case">Control!$C$4</definedName>
    <definedName name="UseBaseCase">[3]Control!$C$4</definedName>
    <definedName name="Valuation_Date" localSheetId="8">[1]!TestCases[Valuation Date]</definedName>
    <definedName name="Valuation_Date" localSheetId="9">[1]!TestCases[Valuation Date]</definedName>
    <definedName name="Valuation_Date">Control!$C$5</definedName>
    <definedName name="ValuationDate" localSheetId="8">[2]Control!$C$5</definedName>
    <definedName name="ValuationDate" localSheetId="9">[2]Control!$C$5</definedName>
    <definedName name="ValuationDate">[3]Control!$C$5</definedName>
    <definedName name="WdBeforeActivation">[2]Calculation!$Z$15</definedName>
    <definedName name="WithAmt">Control!$C$17</definedName>
    <definedName name="Withdrawal_Activation_Date">[1]!TestCases[Withdrawal Activation Date]</definedName>
    <definedName name="WithdrawalAmount" localSheetId="8">[2]Control!$C$17</definedName>
    <definedName name="WithdrawalAmount" localSheetId="9">[2]Control!$C$17</definedName>
    <definedName name="WithdrawalAmount">[3]Control!$C$17</definedName>
    <definedName name="WithdrawalDate">Control!$C$12</definedName>
    <definedName name="WithdrawalPercentages" localSheetId="8">[2]WdTables!$B$11:$I$14</definedName>
    <definedName name="WithdrawalPercentages" localSheetId="9">[2]WdTables!$B$11:$I$14</definedName>
    <definedName name="WithdrawalPercentages">WdTables!$D$11:$E$14</definedName>
    <definedName name="YearsLeft">Control!$C$28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8" l="1"/>
  <c r="N6" i="18"/>
  <c r="N7" i="18"/>
  <c r="N8" i="18"/>
  <c r="N9" i="18"/>
  <c r="N10" i="18"/>
  <c r="N11" i="18"/>
  <c r="N12" i="18"/>
  <c r="N13" i="18"/>
  <c r="N14" i="18"/>
  <c r="N15" i="18"/>
  <c r="N16" i="18"/>
  <c r="N17" i="18"/>
  <c r="N18" i="18"/>
  <c r="N19" i="18"/>
  <c r="N20" i="18"/>
  <c r="N21" i="18"/>
  <c r="N5" i="18"/>
  <c r="J6" i="18"/>
  <c r="J7" i="18"/>
  <c r="J8" i="18"/>
  <c r="J9" i="18"/>
  <c r="J10" i="18"/>
  <c r="J11" i="18"/>
  <c r="J12" i="18"/>
  <c r="J13" i="18"/>
  <c r="J14" i="18"/>
  <c r="J15" i="18"/>
  <c r="J16" i="18"/>
  <c r="J17" i="18"/>
  <c r="J18" i="18"/>
  <c r="J19" i="18"/>
  <c r="J20" i="18"/>
  <c r="J21" i="18"/>
  <c r="J5" i="18"/>
  <c r="L7" i="18"/>
  <c r="L8" i="18"/>
  <c r="L9" i="18"/>
  <c r="L10" i="18"/>
  <c r="L11" i="18"/>
  <c r="L12" i="18"/>
  <c r="L13" i="18"/>
  <c r="L14" i="18"/>
  <c r="L15" i="18"/>
  <c r="L16" i="18"/>
  <c r="L17" i="18"/>
  <c r="L18" i="18"/>
  <c r="L19" i="18"/>
  <c r="L20" i="18"/>
  <c r="L21" i="18"/>
  <c r="L6" i="18"/>
  <c r="N4" i="18" l="1"/>
  <c r="A20" i="23" l="1"/>
  <c r="B20" i="23"/>
  <c r="A21" i="23"/>
  <c r="B21" i="23"/>
  <c r="A22" i="23"/>
  <c r="B22" i="23"/>
  <c r="A23" i="23"/>
  <c r="B23" i="23"/>
  <c r="A24" i="23"/>
  <c r="B24" i="23"/>
  <c r="A25" i="23"/>
  <c r="B25" i="23"/>
  <c r="A26" i="23"/>
  <c r="B26" i="23"/>
  <c r="A27" i="23"/>
  <c r="B27" i="23"/>
  <c r="A28" i="23"/>
  <c r="B28" i="23"/>
  <c r="A29" i="23"/>
  <c r="B29" i="23"/>
  <c r="A30" i="23"/>
  <c r="B30" i="23"/>
  <c r="A31" i="23"/>
  <c r="B31" i="23"/>
  <c r="A32" i="23"/>
  <c r="B32" i="23"/>
  <c r="A33" i="23"/>
  <c r="B33" i="23"/>
  <c r="A34" i="23"/>
  <c r="B34" i="23"/>
  <c r="A35" i="23"/>
  <c r="B35" i="23"/>
  <c r="A36" i="23"/>
  <c r="B36" i="23"/>
  <c r="A37" i="23"/>
  <c r="B37" i="23"/>
  <c r="A38" i="23"/>
  <c r="B38" i="23"/>
  <c r="A39" i="23"/>
  <c r="B39" i="23"/>
  <c r="A40" i="23"/>
  <c r="B40" i="23"/>
  <c r="A41" i="23"/>
  <c r="B41" i="23"/>
  <c r="A42" i="23"/>
  <c r="B42" i="23"/>
  <c r="A43" i="23"/>
  <c r="B43" i="23"/>
  <c r="A44" i="23"/>
  <c r="B44" i="23"/>
  <c r="A45" i="23"/>
  <c r="B45" i="23"/>
  <c r="A46" i="23"/>
  <c r="B46" i="23"/>
  <c r="A47" i="23"/>
  <c r="B47" i="23"/>
  <c r="A48" i="23"/>
  <c r="B48" i="23"/>
  <c r="A49" i="23"/>
  <c r="B49" i="23"/>
  <c r="A50" i="23"/>
  <c r="B50" i="23"/>
  <c r="A51" i="23"/>
  <c r="B51" i="23"/>
  <c r="A52" i="23"/>
  <c r="B52" i="23"/>
  <c r="A53" i="23"/>
  <c r="B53" i="23"/>
  <c r="A54" i="23"/>
  <c r="B54" i="23"/>
  <c r="A55" i="23"/>
  <c r="B55" i="23"/>
  <c r="A56" i="23"/>
  <c r="B56" i="23"/>
  <c r="A57" i="23"/>
  <c r="B57" i="23"/>
  <c r="A58" i="23"/>
  <c r="B58" i="23"/>
  <c r="A59" i="23"/>
  <c r="B59" i="23"/>
  <c r="A60" i="23"/>
  <c r="B60" i="23"/>
  <c r="A61" i="23"/>
  <c r="B61" i="23"/>
  <c r="A62" i="23"/>
  <c r="B62" i="23"/>
  <c r="A63" i="23"/>
  <c r="B63" i="23"/>
  <c r="A64" i="23"/>
  <c r="B64" i="23"/>
  <c r="A65" i="23"/>
  <c r="B65" i="23"/>
  <c r="A66" i="23"/>
  <c r="B66" i="23"/>
  <c r="A67" i="23"/>
  <c r="B67" i="23"/>
  <c r="A68" i="23"/>
  <c r="B68" i="23"/>
  <c r="A69" i="23"/>
  <c r="B69" i="23"/>
  <c r="A70" i="23"/>
  <c r="B70" i="23"/>
  <c r="A71" i="23"/>
  <c r="B71" i="23"/>
  <c r="A72" i="23"/>
  <c r="B72" i="23"/>
  <c r="A73" i="23"/>
  <c r="B73" i="23"/>
  <c r="A74" i="23"/>
  <c r="B74" i="23"/>
  <c r="A75" i="23"/>
  <c r="B75" i="23"/>
  <c r="A76" i="23"/>
  <c r="B76" i="23"/>
  <c r="A77" i="23"/>
  <c r="B77" i="23"/>
  <c r="A78" i="23"/>
  <c r="B78" i="23"/>
  <c r="A79" i="23"/>
  <c r="B79" i="23"/>
  <c r="A80" i="23"/>
  <c r="B80" i="23"/>
  <c r="A81" i="23"/>
  <c r="B81" i="23"/>
  <c r="A82" i="23"/>
  <c r="B82" i="23"/>
  <c r="A83" i="23"/>
  <c r="B83" i="23"/>
  <c r="A84" i="23"/>
  <c r="B84" i="23"/>
  <c r="A85" i="23"/>
  <c r="B85" i="23"/>
  <c r="A86" i="23"/>
  <c r="B86" i="23"/>
  <c r="A87" i="23"/>
  <c r="B87" i="23"/>
  <c r="A88" i="23"/>
  <c r="B88" i="23"/>
  <c r="A89" i="23"/>
  <c r="B89" i="23"/>
  <c r="A90" i="23"/>
  <c r="B90" i="23"/>
  <c r="A91" i="23"/>
  <c r="B91" i="23"/>
  <c r="A92" i="23"/>
  <c r="B92" i="23"/>
  <c r="A93" i="23"/>
  <c r="B93" i="23"/>
  <c r="A94" i="23"/>
  <c r="B94" i="23"/>
  <c r="A95" i="23"/>
  <c r="B95" i="23"/>
  <c r="A96" i="23"/>
  <c r="B96" i="23"/>
  <c r="A97" i="23"/>
  <c r="B97" i="23"/>
  <c r="A98" i="23"/>
  <c r="B98" i="23"/>
  <c r="A99" i="23"/>
  <c r="B99" i="23"/>
  <c r="A100" i="23"/>
  <c r="B100" i="23"/>
  <c r="A101" i="23"/>
  <c r="B101" i="2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X181" i="13"/>
  <c r="X182" i="13"/>
  <c r="X183" i="13"/>
  <c r="X184" i="13"/>
  <c r="X185" i="13"/>
  <c r="X186" i="13"/>
  <c r="X187" i="13"/>
  <c r="X188" i="13"/>
  <c r="X189" i="13"/>
  <c r="X190"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H149" i="13"/>
  <c r="H150" i="13"/>
  <c r="H151" i="13"/>
  <c r="H152" i="13"/>
  <c r="H153" i="13"/>
  <c r="H154" i="13"/>
  <c r="H155" i="13"/>
  <c r="H156" i="13"/>
  <c r="H157" i="13"/>
  <c r="H158" i="13"/>
  <c r="H159" i="13"/>
  <c r="H160" i="13"/>
  <c r="H161" i="13"/>
  <c r="H162" i="13"/>
  <c r="H163" i="13"/>
  <c r="H164" i="13"/>
  <c r="H165" i="13"/>
  <c r="H166" i="13"/>
  <c r="H167" i="13"/>
  <c r="H168" i="13"/>
  <c r="H169" i="13"/>
  <c r="H170" i="13"/>
  <c r="H171" i="13"/>
  <c r="H172" i="13"/>
  <c r="H173" i="13"/>
  <c r="H174" i="13"/>
  <c r="H175" i="13"/>
  <c r="H176" i="13"/>
  <c r="H177" i="13"/>
  <c r="H178" i="13"/>
  <c r="H179" i="13"/>
  <c r="H180" i="13"/>
  <c r="H181" i="13"/>
  <c r="H182" i="13"/>
  <c r="H183" i="13"/>
  <c r="H184" i="13"/>
  <c r="H185" i="13"/>
  <c r="H186" i="13"/>
  <c r="H187" i="13"/>
  <c r="H188" i="13"/>
  <c r="H189" i="13"/>
  <c r="H190" i="13"/>
  <c r="H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148" i="13"/>
  <c r="G149" i="13"/>
  <c r="G150" i="13"/>
  <c r="G151" i="13"/>
  <c r="G152" i="13"/>
  <c r="G153" i="13"/>
  <c r="G154" i="13"/>
  <c r="G155" i="13"/>
  <c r="G156" i="13"/>
  <c r="G157" i="13"/>
  <c r="G158" i="13"/>
  <c r="G159" i="13"/>
  <c r="G160" i="13"/>
  <c r="G161" i="13"/>
  <c r="G162" i="13"/>
  <c r="G163" i="13"/>
  <c r="G164" i="13"/>
  <c r="G165" i="13"/>
  <c r="G166" i="13"/>
  <c r="G167" i="13"/>
  <c r="G168" i="13"/>
  <c r="G169" i="13"/>
  <c r="G170" i="13"/>
  <c r="G171" i="13"/>
  <c r="G172" i="13"/>
  <c r="G173" i="13"/>
  <c r="G174" i="13"/>
  <c r="G175" i="13"/>
  <c r="G176" i="13"/>
  <c r="G177" i="13"/>
  <c r="G178" i="13"/>
  <c r="G179" i="13"/>
  <c r="G180" i="13"/>
  <c r="G181" i="13"/>
  <c r="G182" i="13"/>
  <c r="G183" i="13"/>
  <c r="G184" i="13"/>
  <c r="G185" i="13"/>
  <c r="G186" i="13"/>
  <c r="G187" i="13"/>
  <c r="G188" i="13"/>
  <c r="G189" i="13"/>
  <c r="G190" i="13"/>
  <c r="G9" i="13"/>
  <c r="AJ8" i="13" l="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B1" i="22" l="1"/>
  <c r="K8" i="22" s="1"/>
  <c r="M6" i="22"/>
  <c r="D8" i="22"/>
  <c r="F8" i="22" s="1"/>
  <c r="E8" i="22"/>
  <c r="G8" i="22" s="1"/>
  <c r="J8" i="22"/>
  <c r="P8" i="22" s="1"/>
  <c r="D9" i="22"/>
  <c r="F9" i="22" s="1"/>
  <c r="E9" i="22"/>
  <c r="G9" i="22" s="1"/>
  <c r="I9" i="22"/>
  <c r="D10" i="22"/>
  <c r="F10" i="22" s="1"/>
  <c r="E10" i="22"/>
  <c r="G10" i="22" s="1"/>
  <c r="D11" i="22"/>
  <c r="F11" i="22" s="1"/>
  <c r="E11" i="22"/>
  <c r="G11" i="22" s="1"/>
  <c r="D12" i="22"/>
  <c r="F12" i="22" s="1"/>
  <c r="E12" i="22"/>
  <c r="G12" i="22" s="1"/>
  <c r="D13" i="22"/>
  <c r="F13" i="22" s="1"/>
  <c r="E13" i="22"/>
  <c r="G13" i="22" s="1"/>
  <c r="D14" i="22"/>
  <c r="F14" i="22" s="1"/>
  <c r="E14" i="22"/>
  <c r="G14" i="22" s="1"/>
  <c r="D15" i="22"/>
  <c r="F15" i="22" s="1"/>
  <c r="E15" i="22"/>
  <c r="G15" i="22" s="1"/>
  <c r="D16" i="22"/>
  <c r="F16" i="22" s="1"/>
  <c r="E16" i="22"/>
  <c r="G16" i="22"/>
  <c r="D17" i="22"/>
  <c r="F17" i="22" s="1"/>
  <c r="E17" i="22"/>
  <c r="G17" i="22" s="1"/>
  <c r="D18" i="22"/>
  <c r="F18" i="22" s="1"/>
  <c r="E18" i="22"/>
  <c r="G18" i="22" s="1"/>
  <c r="D19" i="22"/>
  <c r="F19" i="22" s="1"/>
  <c r="E19" i="22"/>
  <c r="G19" i="22" s="1"/>
  <c r="D20" i="22"/>
  <c r="F20" i="22" s="1"/>
  <c r="E20" i="22"/>
  <c r="G20" i="22" s="1"/>
  <c r="D21" i="22"/>
  <c r="E21" i="22"/>
  <c r="G21" i="22" s="1"/>
  <c r="F21" i="22"/>
  <c r="D22" i="22"/>
  <c r="F22" i="22" s="1"/>
  <c r="E22" i="22"/>
  <c r="G22" i="22" s="1"/>
  <c r="D23" i="22"/>
  <c r="F23" i="22" s="1"/>
  <c r="E23" i="22"/>
  <c r="G23" i="22" s="1"/>
  <c r="D24" i="22"/>
  <c r="F24" i="22" s="1"/>
  <c r="E24" i="22"/>
  <c r="G24" i="22" s="1"/>
  <c r="D25" i="22"/>
  <c r="F25" i="22" s="1"/>
  <c r="E25" i="22"/>
  <c r="G25" i="22" s="1"/>
  <c r="D26" i="22"/>
  <c r="F26" i="22" s="1"/>
  <c r="E26" i="22"/>
  <c r="G26" i="22" s="1"/>
  <c r="D27" i="22"/>
  <c r="F27" i="22" s="1"/>
  <c r="E27" i="22"/>
  <c r="G27" i="22" s="1"/>
  <c r="D28" i="22"/>
  <c r="F28" i="22" s="1"/>
  <c r="E28" i="22"/>
  <c r="G28" i="22" s="1"/>
  <c r="D29" i="22"/>
  <c r="F29" i="22" s="1"/>
  <c r="E29" i="22"/>
  <c r="G29" i="22" s="1"/>
  <c r="D30" i="22"/>
  <c r="F30" i="22" s="1"/>
  <c r="E30" i="22"/>
  <c r="G30" i="22" s="1"/>
  <c r="D31" i="22"/>
  <c r="F31" i="22" s="1"/>
  <c r="E31" i="22"/>
  <c r="G31" i="22"/>
  <c r="D32" i="22"/>
  <c r="F32" i="22" s="1"/>
  <c r="E32" i="22"/>
  <c r="G32" i="22" s="1"/>
  <c r="D33" i="22"/>
  <c r="E33" i="22"/>
  <c r="G33" i="22" s="1"/>
  <c r="F33" i="22"/>
  <c r="D34" i="22"/>
  <c r="F34" i="22" s="1"/>
  <c r="E34" i="22"/>
  <c r="G34" i="22" s="1"/>
  <c r="D35" i="22"/>
  <c r="F35" i="22" s="1"/>
  <c r="E35" i="22"/>
  <c r="G35" i="22" s="1"/>
  <c r="D36" i="22"/>
  <c r="F36" i="22" s="1"/>
  <c r="E36" i="22"/>
  <c r="G36" i="22" s="1"/>
  <c r="D37" i="22"/>
  <c r="F37" i="22" s="1"/>
  <c r="E37" i="22"/>
  <c r="G37" i="22"/>
  <c r="D38" i="22"/>
  <c r="F38" i="22" s="1"/>
  <c r="E38" i="22"/>
  <c r="G38" i="22" s="1"/>
  <c r="D39" i="22"/>
  <c r="F39" i="22" s="1"/>
  <c r="E39" i="22"/>
  <c r="G39" i="22" s="1"/>
  <c r="D40" i="22"/>
  <c r="F40" i="22" s="1"/>
  <c r="E40" i="22"/>
  <c r="G40" i="22" s="1"/>
  <c r="D41" i="22"/>
  <c r="E41" i="22"/>
  <c r="G41" i="22" s="1"/>
  <c r="F41" i="22"/>
  <c r="D42" i="22"/>
  <c r="F42" i="22" s="1"/>
  <c r="E42" i="22"/>
  <c r="G42" i="22" s="1"/>
  <c r="D43" i="22"/>
  <c r="E43" i="22"/>
  <c r="F43" i="22"/>
  <c r="G43" i="22"/>
  <c r="D44" i="22"/>
  <c r="F44" i="22" s="1"/>
  <c r="E44" i="22"/>
  <c r="G44" i="22" s="1"/>
  <c r="D45" i="22"/>
  <c r="E45" i="22"/>
  <c r="F45" i="22"/>
  <c r="G45" i="22"/>
  <c r="D46" i="22"/>
  <c r="F46" i="22" s="1"/>
  <c r="E46" i="22"/>
  <c r="G46" i="22" s="1"/>
  <c r="D47" i="22"/>
  <c r="E47" i="22"/>
  <c r="G47" i="22" s="1"/>
  <c r="F47" i="22"/>
  <c r="D48" i="22"/>
  <c r="F48" i="22" s="1"/>
  <c r="E48" i="22"/>
  <c r="G48" i="22" s="1"/>
  <c r="D49" i="22"/>
  <c r="F49" i="22" s="1"/>
  <c r="E49" i="22"/>
  <c r="G49" i="22"/>
  <c r="D50" i="22"/>
  <c r="F50" i="22" s="1"/>
  <c r="E50" i="22"/>
  <c r="G50" i="22" s="1"/>
  <c r="D51" i="22"/>
  <c r="F51" i="22" s="1"/>
  <c r="E51" i="22"/>
  <c r="G51" i="22" s="1"/>
  <c r="D52" i="22"/>
  <c r="F52" i="22" s="1"/>
  <c r="E52" i="22"/>
  <c r="G52" i="22" s="1"/>
  <c r="D53" i="22"/>
  <c r="F53" i="22" s="1"/>
  <c r="E53" i="22"/>
  <c r="G53" i="22" s="1"/>
  <c r="D54" i="22"/>
  <c r="F54" i="22" s="1"/>
  <c r="E54" i="22"/>
  <c r="G54" i="22" s="1"/>
  <c r="D55" i="22"/>
  <c r="F55" i="22" s="1"/>
  <c r="E55" i="22"/>
  <c r="G55" i="22" s="1"/>
  <c r="D56" i="22"/>
  <c r="F56" i="22" s="1"/>
  <c r="E56" i="22"/>
  <c r="G56" i="22" s="1"/>
  <c r="D57" i="22"/>
  <c r="F57" i="22" s="1"/>
  <c r="E57" i="22"/>
  <c r="G57" i="22" s="1"/>
  <c r="D58" i="22"/>
  <c r="F58" i="22" s="1"/>
  <c r="E58" i="22"/>
  <c r="G58" i="22" s="1"/>
  <c r="D59" i="22"/>
  <c r="F59" i="22" s="1"/>
  <c r="E59" i="22"/>
  <c r="G59" i="22" s="1"/>
  <c r="D60" i="22"/>
  <c r="E60" i="22"/>
  <c r="G60" i="22" s="1"/>
  <c r="F60" i="22"/>
  <c r="D61" i="22"/>
  <c r="F61" i="22" s="1"/>
  <c r="E61" i="22"/>
  <c r="G61" i="22" s="1"/>
  <c r="D62" i="22"/>
  <c r="F62" i="22" s="1"/>
  <c r="E62" i="22"/>
  <c r="G62" i="22"/>
  <c r="D63" i="22"/>
  <c r="F63" i="22" s="1"/>
  <c r="X8" i="13" s="1"/>
  <c r="E63" i="22"/>
  <c r="G63" i="22" s="1"/>
  <c r="D64" i="22"/>
  <c r="F64" i="22" s="1"/>
  <c r="E64" i="22"/>
  <c r="G64" i="22" s="1"/>
  <c r="D65" i="22"/>
  <c r="F65" i="22" s="1"/>
  <c r="E65" i="22"/>
  <c r="G65" i="22" s="1"/>
  <c r="D66" i="22"/>
  <c r="F66" i="22" s="1"/>
  <c r="E66" i="22"/>
  <c r="G66" i="22" s="1"/>
  <c r="D67" i="22"/>
  <c r="F67" i="22" s="1"/>
  <c r="E67" i="22"/>
  <c r="G67" i="22" s="1"/>
  <c r="D68" i="22"/>
  <c r="F68" i="22" s="1"/>
  <c r="E68" i="22"/>
  <c r="G68" i="22" s="1"/>
  <c r="D69" i="22"/>
  <c r="F69" i="22" s="1"/>
  <c r="E69" i="22"/>
  <c r="G69" i="22" s="1"/>
  <c r="D70" i="22"/>
  <c r="F70" i="22" s="1"/>
  <c r="E70" i="22"/>
  <c r="G70" i="22" s="1"/>
  <c r="D71" i="22"/>
  <c r="F71" i="22" s="1"/>
  <c r="E71" i="22"/>
  <c r="G71" i="22" s="1"/>
  <c r="D72" i="22"/>
  <c r="F72" i="22" s="1"/>
  <c r="E72" i="22"/>
  <c r="G72" i="22"/>
  <c r="D73" i="22"/>
  <c r="F73" i="22" s="1"/>
  <c r="E73" i="22"/>
  <c r="G73" i="22" s="1"/>
  <c r="Y8" i="13" s="1"/>
  <c r="D74" i="22"/>
  <c r="F74" i="22" s="1"/>
  <c r="E74" i="22"/>
  <c r="G74" i="22" s="1"/>
  <c r="D75" i="22"/>
  <c r="F75" i="22" s="1"/>
  <c r="E75" i="22"/>
  <c r="G75" i="22" s="1"/>
  <c r="D76" i="22"/>
  <c r="F76" i="22" s="1"/>
  <c r="E76" i="22"/>
  <c r="G76" i="22" s="1"/>
  <c r="D77" i="22"/>
  <c r="F77" i="22" s="1"/>
  <c r="E77" i="22"/>
  <c r="G77" i="22" s="1"/>
  <c r="D78" i="22"/>
  <c r="F78" i="22" s="1"/>
  <c r="E78" i="22"/>
  <c r="G78" i="22" s="1"/>
  <c r="D79" i="22"/>
  <c r="F79" i="22" s="1"/>
  <c r="E79" i="22"/>
  <c r="G79" i="22"/>
  <c r="D80" i="22"/>
  <c r="F80" i="22" s="1"/>
  <c r="E80" i="22"/>
  <c r="G80" i="22" s="1"/>
  <c r="D81" i="22"/>
  <c r="F81" i="22" s="1"/>
  <c r="E81" i="22"/>
  <c r="G81" i="22"/>
  <c r="D82" i="22"/>
  <c r="F82" i="22" s="1"/>
  <c r="E82" i="22"/>
  <c r="G82" i="22" s="1"/>
  <c r="D83" i="22"/>
  <c r="E83" i="22"/>
  <c r="G83" i="22" s="1"/>
  <c r="F83" i="22"/>
  <c r="D84" i="22"/>
  <c r="F84" i="22" s="1"/>
  <c r="E84" i="22"/>
  <c r="G84" i="22" s="1"/>
  <c r="D85" i="22"/>
  <c r="E85" i="22"/>
  <c r="F85" i="22"/>
  <c r="G85" i="22"/>
  <c r="D86" i="22"/>
  <c r="F86" i="22" s="1"/>
  <c r="E86" i="22"/>
  <c r="G86" i="22" s="1"/>
  <c r="D87" i="22"/>
  <c r="F87" i="22" s="1"/>
  <c r="E87" i="22"/>
  <c r="G87" i="22"/>
  <c r="D88" i="22"/>
  <c r="F88" i="22" s="1"/>
  <c r="E88" i="22"/>
  <c r="G88" i="22"/>
  <c r="D89" i="22"/>
  <c r="E89" i="22"/>
  <c r="G89" i="22" s="1"/>
  <c r="F89" i="22"/>
  <c r="D90" i="22"/>
  <c r="F90" i="22" s="1"/>
  <c r="E90" i="22"/>
  <c r="G90" i="22"/>
  <c r="D91" i="22"/>
  <c r="E91" i="22"/>
  <c r="G91" i="22" s="1"/>
  <c r="F91" i="22"/>
  <c r="D92" i="22"/>
  <c r="E92" i="22"/>
  <c r="G92" i="22" s="1"/>
  <c r="F92" i="22"/>
  <c r="D93" i="22"/>
  <c r="F93" i="22" s="1"/>
  <c r="E93" i="22"/>
  <c r="G93" i="22" s="1"/>
  <c r="D94" i="22"/>
  <c r="F94" i="22" s="1"/>
  <c r="E94" i="22"/>
  <c r="G94" i="22"/>
  <c r="D95" i="22"/>
  <c r="F95" i="22" s="1"/>
  <c r="E95" i="22"/>
  <c r="G95" i="22" s="1"/>
  <c r="D96" i="22"/>
  <c r="F96" i="22" s="1"/>
  <c r="E96" i="22"/>
  <c r="G96" i="22" s="1"/>
  <c r="D97" i="22"/>
  <c r="F97" i="22" s="1"/>
  <c r="E97" i="22"/>
  <c r="G97" i="22"/>
  <c r="D98" i="22"/>
  <c r="F98" i="22" s="1"/>
  <c r="E98" i="22"/>
  <c r="G98" i="22" s="1"/>
  <c r="D99" i="22"/>
  <c r="F99" i="22" s="1"/>
  <c r="E99" i="22"/>
  <c r="G99" i="22"/>
  <c r="D100" i="22"/>
  <c r="F100" i="22" s="1"/>
  <c r="E100" i="22"/>
  <c r="G100" i="22" s="1"/>
  <c r="D101" i="22"/>
  <c r="F101" i="22" s="1"/>
  <c r="E101" i="22"/>
  <c r="G101" i="22" s="1"/>
  <c r="D102" i="22"/>
  <c r="F102" i="22" s="1"/>
  <c r="E102" i="22"/>
  <c r="G102" i="22" s="1"/>
  <c r="D103" i="22"/>
  <c r="F103" i="22" s="1"/>
  <c r="E103" i="22"/>
  <c r="G103" i="22" s="1"/>
  <c r="D104" i="22"/>
  <c r="F104" i="22" s="1"/>
  <c r="E104" i="22"/>
  <c r="G104" i="22" s="1"/>
  <c r="D105" i="22"/>
  <c r="F105" i="22" s="1"/>
  <c r="E105" i="22"/>
  <c r="G105" i="22" s="1"/>
  <c r="D106" i="22"/>
  <c r="F106" i="22" s="1"/>
  <c r="E106" i="22"/>
  <c r="G106" i="22"/>
  <c r="D107" i="22"/>
  <c r="F107" i="22" s="1"/>
  <c r="E107" i="22"/>
  <c r="G107" i="22" s="1"/>
  <c r="D108" i="22"/>
  <c r="F108" i="22" s="1"/>
  <c r="E108" i="22"/>
  <c r="G108" i="22"/>
  <c r="D109" i="22"/>
  <c r="F109" i="22" s="1"/>
  <c r="E109" i="22"/>
  <c r="G109" i="22" s="1"/>
  <c r="D110" i="22"/>
  <c r="E110" i="22"/>
  <c r="G110" i="22" s="1"/>
  <c r="F110" i="22"/>
  <c r="D111" i="22"/>
  <c r="F111" i="22" s="1"/>
  <c r="E111" i="22"/>
  <c r="G111" i="22" s="1"/>
  <c r="D112" i="22"/>
  <c r="F112" i="22" s="1"/>
  <c r="E112" i="22"/>
  <c r="G112" i="22"/>
  <c r="D113" i="22"/>
  <c r="F113" i="22" s="1"/>
  <c r="E113" i="22"/>
  <c r="G113" i="22" s="1"/>
  <c r="D114" i="22"/>
  <c r="F114" i="22" s="1"/>
  <c r="E114" i="22"/>
  <c r="G114" i="22"/>
  <c r="D115" i="22"/>
  <c r="F115" i="22" s="1"/>
  <c r="E115" i="22"/>
  <c r="G115" i="22" s="1"/>
  <c r="D116" i="22"/>
  <c r="F116" i="22" s="1"/>
  <c r="E116" i="22"/>
  <c r="G116" i="22" s="1"/>
  <c r="D117" i="22"/>
  <c r="F117" i="22" s="1"/>
  <c r="E117" i="22"/>
  <c r="G117" i="22" s="1"/>
  <c r="D118" i="22"/>
  <c r="E118" i="22"/>
  <c r="G118" i="22" s="1"/>
  <c r="F118" i="22"/>
  <c r="D119" i="22"/>
  <c r="E119" i="22"/>
  <c r="G119" i="22" s="1"/>
  <c r="F119" i="22"/>
  <c r="D120" i="22"/>
  <c r="F120" i="22" s="1"/>
  <c r="E120" i="22"/>
  <c r="G120" i="22" s="1"/>
  <c r="D121" i="22"/>
  <c r="F121" i="22" s="1"/>
  <c r="E121" i="22"/>
  <c r="G121" i="22"/>
  <c r="D122" i="22"/>
  <c r="F122" i="22" s="1"/>
  <c r="E122" i="22"/>
  <c r="G122" i="22" s="1"/>
  <c r="D123" i="22"/>
  <c r="F123" i="22" s="1"/>
  <c r="E123" i="22"/>
  <c r="G123" i="22"/>
  <c r="D124" i="22"/>
  <c r="F124" i="22" s="1"/>
  <c r="E124" i="22"/>
  <c r="G124" i="22" s="1"/>
  <c r="D125" i="22"/>
  <c r="E125" i="22"/>
  <c r="G125" i="22" s="1"/>
  <c r="F125" i="22"/>
  <c r="D126" i="22"/>
  <c r="F126" i="22" s="1"/>
  <c r="E126" i="22"/>
  <c r="G126" i="22" s="1"/>
  <c r="D127" i="22"/>
  <c r="E127" i="22"/>
  <c r="F127" i="22"/>
  <c r="G127" i="22"/>
  <c r="D128" i="22"/>
  <c r="F128" i="22" s="1"/>
  <c r="E128" i="22"/>
  <c r="G128" i="22" s="1"/>
  <c r="X130" i="13" l="1"/>
  <c r="AB130" i="13" s="1"/>
  <c r="X129" i="13"/>
  <c r="AB129" i="13" s="1"/>
  <c r="X96" i="13"/>
  <c r="X95" i="13"/>
  <c r="X78" i="13"/>
  <c r="X77" i="13"/>
  <c r="Y98" i="13"/>
  <c r="Y97" i="13"/>
  <c r="Y72" i="13"/>
  <c r="Y71" i="13"/>
  <c r="X18" i="13"/>
  <c r="AB18" i="13" s="1"/>
  <c r="X17" i="13"/>
  <c r="X126" i="13"/>
  <c r="AB126" i="13" s="1"/>
  <c r="X125" i="13"/>
  <c r="AB125" i="13" s="1"/>
  <c r="X33" i="13"/>
  <c r="X34" i="13"/>
  <c r="Y17" i="13"/>
  <c r="Y18" i="13"/>
  <c r="X100" i="13"/>
  <c r="X99" i="13"/>
  <c r="X84" i="13"/>
  <c r="X83" i="13"/>
  <c r="X42" i="13"/>
  <c r="X41" i="13"/>
  <c r="Y54" i="13"/>
  <c r="Y53" i="13"/>
  <c r="X114" i="13"/>
  <c r="X113" i="13"/>
  <c r="X87" i="13"/>
  <c r="X88" i="13"/>
  <c r="X45" i="13"/>
  <c r="X46" i="13"/>
  <c r="X70" i="13"/>
  <c r="X69" i="13"/>
  <c r="Y67" i="13"/>
  <c r="Y68" i="13"/>
  <c r="X13" i="13"/>
  <c r="X14" i="13"/>
  <c r="AB14" i="13" s="1"/>
  <c r="Y102" i="13"/>
  <c r="Y101" i="13"/>
  <c r="X81" i="13"/>
  <c r="X82" i="13"/>
  <c r="Y14" i="13"/>
  <c r="Y13" i="13"/>
  <c r="Y114" i="13"/>
  <c r="Y113" i="13"/>
  <c r="X117" i="13"/>
  <c r="X118" i="13"/>
  <c r="X132" i="13"/>
  <c r="AB132" i="13" s="1"/>
  <c r="X131" i="13"/>
  <c r="AB131" i="13" s="1"/>
  <c r="Y108" i="13"/>
  <c r="Y107" i="13"/>
  <c r="Y92" i="13"/>
  <c r="Y91" i="13"/>
  <c r="X101" i="13"/>
  <c r="X102" i="13"/>
  <c r="AB102" i="13" s="1"/>
  <c r="Y78" i="13"/>
  <c r="Y77" i="13"/>
  <c r="Y74" i="13"/>
  <c r="Y73" i="13"/>
  <c r="Y58" i="13"/>
  <c r="Y57" i="13"/>
  <c r="X58" i="13"/>
  <c r="AB58" i="13" s="1"/>
  <c r="X57" i="13"/>
  <c r="Y24" i="13"/>
  <c r="Y23" i="13"/>
  <c r="Y11" i="13"/>
  <c r="Y12" i="13"/>
  <c r="Y100" i="13"/>
  <c r="Y99" i="13"/>
  <c r="Y81" i="13"/>
  <c r="Y82" i="13"/>
  <c r="X64" i="13"/>
  <c r="X63" i="13"/>
  <c r="AB63" i="13" s="1"/>
  <c r="Y28" i="13"/>
  <c r="Y27" i="13"/>
  <c r="X36" i="13"/>
  <c r="X35" i="13"/>
  <c r="X128" i="13"/>
  <c r="AB128" i="13" s="1"/>
  <c r="X127" i="13"/>
  <c r="AB127" i="13" s="1"/>
  <c r="X115" i="13"/>
  <c r="X116" i="13"/>
  <c r="Y89" i="13"/>
  <c r="Y90" i="13"/>
  <c r="X106" i="13"/>
  <c r="X105" i="13"/>
  <c r="Y64" i="13"/>
  <c r="Y63" i="13"/>
  <c r="X72" i="13"/>
  <c r="AB72" i="13" s="1"/>
  <c r="X71" i="13"/>
  <c r="AB71" i="13" s="1"/>
  <c r="X67" i="13"/>
  <c r="AB67" i="13" s="1"/>
  <c r="X68" i="13"/>
  <c r="AB68" i="13" s="1"/>
  <c r="X56" i="13"/>
  <c r="X55" i="13"/>
  <c r="X29" i="13"/>
  <c r="X30" i="13"/>
  <c r="Y83" i="13"/>
  <c r="Y84" i="13"/>
  <c r="X79" i="13"/>
  <c r="X80" i="13"/>
  <c r="Y50" i="13"/>
  <c r="Y49" i="13"/>
  <c r="Y42" i="13"/>
  <c r="Y41" i="13"/>
  <c r="Y38" i="13"/>
  <c r="Y37" i="13"/>
  <c r="Y29" i="13"/>
  <c r="Y30" i="13"/>
  <c r="Y22" i="13"/>
  <c r="Y21" i="13"/>
  <c r="AA8" i="13"/>
  <c r="X24" i="13"/>
  <c r="AB24" i="13" s="1"/>
  <c r="X23" i="13"/>
  <c r="AB23" i="13" s="1"/>
  <c r="X10" i="13"/>
  <c r="X9" i="13"/>
  <c r="Y105" i="13"/>
  <c r="Y106" i="13"/>
  <c r="Y80" i="13"/>
  <c r="Y79" i="13"/>
  <c r="X75" i="13"/>
  <c r="X76" i="13"/>
  <c r="X65" i="13"/>
  <c r="X66" i="13"/>
  <c r="Y33" i="13"/>
  <c r="Y34" i="13"/>
  <c r="Y26" i="13"/>
  <c r="Y25" i="13"/>
  <c r="X137" i="13"/>
  <c r="AB137" i="13" s="1"/>
  <c r="X138" i="13"/>
  <c r="AB138" i="13" s="1"/>
  <c r="X133" i="13"/>
  <c r="AB133" i="13" s="1"/>
  <c r="X134" i="13"/>
  <c r="AB134" i="13" s="1"/>
  <c r="X121" i="13"/>
  <c r="AB121" i="13" s="1"/>
  <c r="X122" i="13"/>
  <c r="AB122" i="13" s="1"/>
  <c r="Y87" i="13"/>
  <c r="Y88" i="13"/>
  <c r="X104" i="13"/>
  <c r="X103" i="13"/>
  <c r="AB103" i="13" s="1"/>
  <c r="X92" i="13"/>
  <c r="AB92" i="13" s="1"/>
  <c r="X91" i="13"/>
  <c r="AB91" i="13" s="1"/>
  <c r="Y45" i="13"/>
  <c r="Y46" i="13"/>
  <c r="X54" i="13"/>
  <c r="AB54" i="13" s="1"/>
  <c r="X53" i="13"/>
  <c r="AB53" i="13" s="1"/>
  <c r="X49" i="13"/>
  <c r="AB49" i="13" s="1"/>
  <c r="X50" i="13"/>
  <c r="AB50" i="13" s="1"/>
  <c r="X37" i="13"/>
  <c r="AB37" i="13" s="1"/>
  <c r="X38" i="13"/>
  <c r="AB38" i="13" s="1"/>
  <c r="X27" i="13"/>
  <c r="AB27" i="13" s="1"/>
  <c r="X28" i="13"/>
  <c r="AB28" i="13" s="1"/>
  <c r="Y110" i="13"/>
  <c r="Y109" i="13"/>
  <c r="Y75" i="13"/>
  <c r="Y76" i="13"/>
  <c r="X120" i="13"/>
  <c r="AB120" i="13" s="1"/>
  <c r="X119" i="13"/>
  <c r="AB119" i="13" s="1"/>
  <c r="Y69" i="13"/>
  <c r="Y70" i="13"/>
  <c r="X62" i="13"/>
  <c r="X61" i="13"/>
  <c r="Y20" i="13"/>
  <c r="Y19" i="13"/>
  <c r="X21" i="13"/>
  <c r="AB21" i="13" s="1"/>
  <c r="X22" i="13"/>
  <c r="AB22" i="13" s="1"/>
  <c r="AB8" i="13"/>
  <c r="Z8" i="13"/>
  <c r="Z9" i="13"/>
  <c r="Z10" i="13"/>
  <c r="Y117" i="13"/>
  <c r="Y118" i="13"/>
  <c r="X109" i="13"/>
  <c r="AB109" i="13" s="1"/>
  <c r="X110" i="13"/>
  <c r="AB110" i="13" s="1"/>
  <c r="Y65" i="13"/>
  <c r="Y66" i="13"/>
  <c r="X48" i="13"/>
  <c r="X47" i="13"/>
  <c r="AB47" i="13" s="1"/>
  <c r="Y111" i="13"/>
  <c r="Y112" i="13"/>
  <c r="X112" i="13"/>
  <c r="X111" i="13"/>
  <c r="X90" i="13"/>
  <c r="AB90" i="13" s="1"/>
  <c r="X89" i="13"/>
  <c r="AB89" i="13" s="1"/>
  <c r="X52" i="13"/>
  <c r="X51" i="13"/>
  <c r="AB51" i="13" s="1"/>
  <c r="X32" i="13"/>
  <c r="X31" i="13"/>
  <c r="AB31" i="13" s="1"/>
  <c r="Y94" i="13"/>
  <c r="Y93" i="13"/>
  <c r="Y116" i="13"/>
  <c r="Y115" i="13"/>
  <c r="Y103" i="13"/>
  <c r="Y104" i="13"/>
  <c r="X108" i="13"/>
  <c r="AB108" i="13" s="1"/>
  <c r="X107" i="13"/>
  <c r="AB107" i="13" s="1"/>
  <c r="Y62" i="13"/>
  <c r="Y61" i="13"/>
  <c r="Y31" i="13"/>
  <c r="Y32" i="13"/>
  <c r="Y15" i="13"/>
  <c r="Y16" i="13"/>
  <c r="X135" i="13"/>
  <c r="AB135" i="13" s="1"/>
  <c r="X136" i="13"/>
  <c r="AB136" i="13" s="1"/>
  <c r="Y95" i="13"/>
  <c r="Y96" i="13"/>
  <c r="Y86" i="13"/>
  <c r="Y85" i="13"/>
  <c r="X85" i="13"/>
  <c r="AB85" i="13" s="1"/>
  <c r="X86" i="13"/>
  <c r="AB86" i="13" s="1"/>
  <c r="X74" i="13"/>
  <c r="AB74" i="13" s="1"/>
  <c r="X73" i="13"/>
  <c r="AB73" i="13" s="1"/>
  <c r="X60" i="13"/>
  <c r="X59" i="13"/>
  <c r="AB59" i="13" s="1"/>
  <c r="Y35" i="13"/>
  <c r="Y36" i="13"/>
  <c r="X123" i="13"/>
  <c r="AB123" i="13" s="1"/>
  <c r="X124" i="13"/>
  <c r="AB124" i="13" s="1"/>
  <c r="X97" i="13"/>
  <c r="AB97" i="13" s="1"/>
  <c r="X98" i="13"/>
  <c r="AB98" i="13" s="1"/>
  <c r="X93" i="13"/>
  <c r="AB93" i="13" s="1"/>
  <c r="X94" i="13"/>
  <c r="AB94" i="13" s="1"/>
  <c r="Y59" i="13"/>
  <c r="Y60" i="13"/>
  <c r="Y56" i="13"/>
  <c r="Y55" i="13"/>
  <c r="Y51" i="13"/>
  <c r="Y52" i="13"/>
  <c r="Y47" i="13"/>
  <c r="Y48" i="13"/>
  <c r="Y44" i="13"/>
  <c r="Y43" i="13"/>
  <c r="Y39" i="13"/>
  <c r="Y40" i="13"/>
  <c r="X43" i="13"/>
  <c r="X44" i="13"/>
  <c r="AB44" i="13" s="1"/>
  <c r="X40" i="13"/>
  <c r="X39" i="13"/>
  <c r="Y10" i="13"/>
  <c r="Y9" i="13"/>
  <c r="AA113" i="13" s="1"/>
  <c r="X26" i="13"/>
  <c r="AB26" i="13" s="1"/>
  <c r="X25" i="13"/>
  <c r="AB25" i="13" s="1"/>
  <c r="X20" i="13"/>
  <c r="AB20" i="13" s="1"/>
  <c r="X19" i="13"/>
  <c r="AB19" i="13" s="1"/>
  <c r="X15" i="13"/>
  <c r="AB15" i="13" s="1"/>
  <c r="X16" i="13"/>
  <c r="AB16" i="13" s="1"/>
  <c r="X12" i="13"/>
  <c r="AB12" i="13" s="1"/>
  <c r="X11" i="13"/>
  <c r="AB11" i="13" s="1"/>
  <c r="L8" i="22"/>
  <c r="N8" i="22"/>
  <c r="J9" i="22"/>
  <c r="P9" i="22"/>
  <c r="I10" i="22"/>
  <c r="K9" i="22"/>
  <c r="M8" i="22"/>
  <c r="AB40" i="13" l="1"/>
  <c r="AB60" i="13"/>
  <c r="AB48" i="13"/>
  <c r="Z49" i="13"/>
  <c r="Z125" i="13"/>
  <c r="Z46" i="13"/>
  <c r="Z92" i="13"/>
  <c r="Z120" i="13"/>
  <c r="Z47" i="13"/>
  <c r="Z117" i="13"/>
  <c r="Z20" i="13"/>
  <c r="Z78" i="13"/>
  <c r="Z50" i="13"/>
  <c r="Z75" i="13"/>
  <c r="Z31" i="13"/>
  <c r="Z107" i="13"/>
  <c r="Z28" i="13"/>
  <c r="Z133" i="13"/>
  <c r="Z30" i="13"/>
  <c r="Z94" i="13"/>
  <c r="Z27" i="13"/>
  <c r="Z91" i="13"/>
  <c r="Z24" i="13"/>
  <c r="Z88" i="13"/>
  <c r="Z21" i="13"/>
  <c r="AB62" i="13"/>
  <c r="AB65" i="13"/>
  <c r="AA72" i="13"/>
  <c r="AA32" i="13"/>
  <c r="AA89" i="13"/>
  <c r="AA31" i="13"/>
  <c r="AA116" i="13"/>
  <c r="AA76" i="13"/>
  <c r="AA47" i="13"/>
  <c r="AA46" i="13"/>
  <c r="AA23" i="13"/>
  <c r="AA30" i="13"/>
  <c r="AA115" i="13"/>
  <c r="AA69" i="13"/>
  <c r="AA29" i="13"/>
  <c r="AA134" i="13"/>
  <c r="AA94" i="13"/>
  <c r="AA37" i="13"/>
  <c r="AA101" i="13"/>
  <c r="AA78" i="13"/>
  <c r="AA48" i="13"/>
  <c r="AA133" i="13"/>
  <c r="AA87" i="13"/>
  <c r="AA71" i="13"/>
  <c r="AB30" i="13"/>
  <c r="AB35" i="13"/>
  <c r="AB118" i="13"/>
  <c r="AB82" i="13"/>
  <c r="AB88" i="13"/>
  <c r="AB41" i="13"/>
  <c r="AB17" i="13"/>
  <c r="AB77" i="13"/>
  <c r="AB111" i="13"/>
  <c r="Z13" i="13"/>
  <c r="Z38" i="13"/>
  <c r="Z11" i="13"/>
  <c r="Z109" i="13"/>
  <c r="Z42" i="13"/>
  <c r="Z106" i="13"/>
  <c r="Z39" i="13"/>
  <c r="Z71" i="13"/>
  <c r="AC8" i="13"/>
  <c r="AC28" i="13"/>
  <c r="AC31" i="13"/>
  <c r="AC16" i="13"/>
  <c r="AC37" i="13"/>
  <c r="Z61" i="13"/>
  <c r="Z137" i="13"/>
  <c r="Z58" i="13"/>
  <c r="Z97" i="13"/>
  <c r="Z55" i="13"/>
  <c r="Z131" i="13"/>
  <c r="Z52" i="13"/>
  <c r="AB76" i="13"/>
  <c r="AB9" i="13"/>
  <c r="AC20" i="13" s="1"/>
  <c r="AA49" i="13"/>
  <c r="AA104" i="13"/>
  <c r="AA107" i="13"/>
  <c r="AA67" i="13"/>
  <c r="AA21" i="13"/>
  <c r="AA112" i="13"/>
  <c r="AA73" i="13"/>
  <c r="AA82" i="13"/>
  <c r="AA132" i="13"/>
  <c r="AA66" i="13"/>
  <c r="AA20" i="13"/>
  <c r="AA105" i="13"/>
  <c r="AA17" i="13"/>
  <c r="AA39" i="13"/>
  <c r="AA130" i="13"/>
  <c r="AA36" i="13"/>
  <c r="AA96" i="13"/>
  <c r="AA19" i="13"/>
  <c r="AA84" i="13"/>
  <c r="AA38" i="13"/>
  <c r="AA123" i="13"/>
  <c r="AA59" i="13"/>
  <c r="AB29" i="13"/>
  <c r="AB36" i="13"/>
  <c r="AB117" i="13"/>
  <c r="AB81" i="13"/>
  <c r="AB87" i="13"/>
  <c r="AB42" i="13"/>
  <c r="AB78" i="13"/>
  <c r="Z104" i="13"/>
  <c r="Z89" i="13"/>
  <c r="Z84" i="13"/>
  <c r="Z81" i="13"/>
  <c r="Z14" i="13"/>
  <c r="AB43" i="13"/>
  <c r="AB32" i="13"/>
  <c r="AB112" i="13"/>
  <c r="Z122" i="13"/>
  <c r="Z126" i="13"/>
  <c r="Z53" i="13"/>
  <c r="Z123" i="13"/>
  <c r="Z115" i="13"/>
  <c r="Z48" i="13"/>
  <c r="Z112" i="13"/>
  <c r="Z45" i="13"/>
  <c r="Z73" i="13"/>
  <c r="Z74" i="13"/>
  <c r="Z70" i="13"/>
  <c r="Z134" i="13"/>
  <c r="Z108" i="13"/>
  <c r="Z35" i="13"/>
  <c r="Z105" i="13"/>
  <c r="Z25" i="13"/>
  <c r="Z101" i="13"/>
  <c r="Z22" i="13"/>
  <c r="Z110" i="13"/>
  <c r="Z19" i="13"/>
  <c r="Z95" i="13"/>
  <c r="Z16" i="13"/>
  <c r="AB75" i="13"/>
  <c r="AB10" i="13"/>
  <c r="AC57" i="13" s="1"/>
  <c r="AA26" i="13"/>
  <c r="AA81" i="13"/>
  <c r="AA18" i="13"/>
  <c r="AA103" i="13"/>
  <c r="AA57" i="13"/>
  <c r="AA12" i="13"/>
  <c r="AA86" i="13"/>
  <c r="AA118" i="13"/>
  <c r="AA109" i="13"/>
  <c r="AA102" i="13"/>
  <c r="AA56" i="13"/>
  <c r="AA10" i="13"/>
  <c r="AA65" i="13"/>
  <c r="AA75" i="13"/>
  <c r="AA119" i="13"/>
  <c r="AA13" i="13"/>
  <c r="AA14" i="13"/>
  <c r="AA127" i="13"/>
  <c r="AA120" i="13"/>
  <c r="AA74" i="13"/>
  <c r="AA34" i="13"/>
  <c r="AA77" i="13"/>
  <c r="AB80" i="13"/>
  <c r="AB55" i="13"/>
  <c r="AB116" i="13"/>
  <c r="AB57" i="13"/>
  <c r="AB69" i="13"/>
  <c r="AB113" i="13"/>
  <c r="AB83" i="13"/>
  <c r="AB34" i="13"/>
  <c r="AB95" i="13"/>
  <c r="Z62" i="13"/>
  <c r="Z90" i="13"/>
  <c r="Z17" i="13"/>
  <c r="Z87" i="13"/>
  <c r="Z79" i="13"/>
  <c r="Z12" i="13"/>
  <c r="Z76" i="13"/>
  <c r="Z37" i="13"/>
  <c r="Z113" i="13"/>
  <c r="Z34" i="13"/>
  <c r="Z72" i="13"/>
  <c r="Z136" i="13"/>
  <c r="Z69" i="13"/>
  <c r="Z138" i="13"/>
  <c r="Z65" i="13"/>
  <c r="Z135" i="13"/>
  <c r="Z86" i="13"/>
  <c r="Z132" i="13"/>
  <c r="Z59" i="13"/>
  <c r="Z129" i="13"/>
  <c r="AA42" i="13"/>
  <c r="AA117" i="13"/>
  <c r="AA54" i="13"/>
  <c r="AA93" i="13"/>
  <c r="AA83" i="13"/>
  <c r="AA27" i="13"/>
  <c r="AA53" i="13"/>
  <c r="AA50" i="13"/>
  <c r="AA138" i="13"/>
  <c r="AA92" i="13"/>
  <c r="AA52" i="13"/>
  <c r="AA22" i="13"/>
  <c r="AA111" i="13"/>
  <c r="AA137" i="13"/>
  <c r="AA55" i="13"/>
  <c r="AA108" i="13"/>
  <c r="AA68" i="13"/>
  <c r="AA25" i="13"/>
  <c r="AA110" i="13"/>
  <c r="AA70" i="13"/>
  <c r="AA11" i="13"/>
  <c r="AB79" i="13"/>
  <c r="AB56" i="13"/>
  <c r="AB115" i="13"/>
  <c r="AB70" i="13"/>
  <c r="AB114" i="13"/>
  <c r="AB84" i="13"/>
  <c r="AB33" i="13"/>
  <c r="AB96" i="13"/>
  <c r="Z121" i="13"/>
  <c r="Z54" i="13"/>
  <c r="Z118" i="13"/>
  <c r="Z51" i="13"/>
  <c r="Z43" i="13"/>
  <c r="Z119" i="13"/>
  <c r="Z40" i="13"/>
  <c r="Z116" i="13"/>
  <c r="Z44" i="13"/>
  <c r="Z77" i="13"/>
  <c r="Z26" i="13"/>
  <c r="Z103" i="13"/>
  <c r="Z36" i="13"/>
  <c r="Z100" i="13"/>
  <c r="Z33" i="13"/>
  <c r="Z102" i="13"/>
  <c r="Z29" i="13"/>
  <c r="Z99" i="13"/>
  <c r="Z80" i="13"/>
  <c r="Z96" i="13"/>
  <c r="Z23" i="13"/>
  <c r="Z93" i="13"/>
  <c r="AB104" i="13"/>
  <c r="AA114" i="13"/>
  <c r="AA64" i="13"/>
  <c r="AA90" i="13"/>
  <c r="AA44" i="13"/>
  <c r="AA129" i="13"/>
  <c r="AA41" i="13"/>
  <c r="AA63" i="13"/>
  <c r="AA35" i="13"/>
  <c r="AA122" i="13"/>
  <c r="AA43" i="13"/>
  <c r="AA128" i="13"/>
  <c r="AA88" i="13"/>
  <c r="AA85" i="13"/>
  <c r="AA16" i="13"/>
  <c r="AA125" i="13"/>
  <c r="AA9" i="13"/>
  <c r="AA121" i="13"/>
  <c r="AA45" i="13"/>
  <c r="AA61" i="13"/>
  <c r="AA15" i="13"/>
  <c r="AA106" i="13"/>
  <c r="AB105" i="13"/>
  <c r="AB46" i="13"/>
  <c r="AB99" i="13"/>
  <c r="AB52" i="13"/>
  <c r="AB39" i="13"/>
  <c r="AC129" i="13" s="1"/>
  <c r="Z85" i="13"/>
  <c r="Z18" i="13"/>
  <c r="Z82" i="13"/>
  <c r="Z15" i="13"/>
  <c r="Z68" i="13"/>
  <c r="Z83" i="13"/>
  <c r="Z56" i="13"/>
  <c r="Z128" i="13"/>
  <c r="Z114" i="13"/>
  <c r="Z41" i="13"/>
  <c r="Z111" i="13"/>
  <c r="Z67" i="13"/>
  <c r="Z32" i="13"/>
  <c r="Z64" i="13"/>
  <c r="Z98" i="13"/>
  <c r="Z66" i="13"/>
  <c r="Z130" i="13"/>
  <c r="Z63" i="13"/>
  <c r="Z127" i="13"/>
  <c r="Z60" i="13"/>
  <c r="Z124" i="13"/>
  <c r="Z57" i="13"/>
  <c r="AB61" i="13"/>
  <c r="AB66" i="13"/>
  <c r="AA60" i="13"/>
  <c r="AA91" i="13"/>
  <c r="AA136" i="13"/>
  <c r="AA126" i="13"/>
  <c r="AA80" i="13"/>
  <c r="AA40" i="13"/>
  <c r="AA131" i="13"/>
  <c r="AA99" i="13"/>
  <c r="AA95" i="13"/>
  <c r="AA135" i="13"/>
  <c r="AA79" i="13"/>
  <c r="AA33" i="13"/>
  <c r="AA124" i="13"/>
  <c r="AA98" i="13"/>
  <c r="AA58" i="13"/>
  <c r="AA24" i="13"/>
  <c r="AA100" i="13"/>
  <c r="AA62" i="13"/>
  <c r="AA28" i="13"/>
  <c r="AA97" i="13"/>
  <c r="AA51" i="13"/>
  <c r="AB106" i="13"/>
  <c r="AB64" i="13"/>
  <c r="AB101" i="13"/>
  <c r="AB13" i="13"/>
  <c r="AB45" i="13"/>
  <c r="AB100" i="13"/>
  <c r="N9" i="22"/>
  <c r="L9" i="22"/>
  <c r="M9" i="22"/>
  <c r="J10" i="22"/>
  <c r="P10" i="22"/>
  <c r="I11" i="22"/>
  <c r="K10" i="22"/>
  <c r="O8" i="22"/>
  <c r="AC71" i="13" l="1"/>
  <c r="AC68" i="13"/>
  <c r="AC44" i="13"/>
  <c r="AC81" i="13"/>
  <c r="AC80" i="13"/>
  <c r="AC102" i="13"/>
  <c r="AC24" i="13"/>
  <c r="AC54" i="13"/>
  <c r="AC118" i="13"/>
  <c r="AC85" i="13"/>
  <c r="AC113" i="13"/>
  <c r="AC13" i="13"/>
  <c r="AC127" i="13"/>
  <c r="AC62" i="13"/>
  <c r="AC107" i="13"/>
  <c r="AC112" i="13"/>
  <c r="AC86" i="13"/>
  <c r="AC108" i="13"/>
  <c r="AC34" i="13"/>
  <c r="AC14" i="13"/>
  <c r="AC96" i="13"/>
  <c r="AC117" i="13"/>
  <c r="AC93" i="13"/>
  <c r="AC90" i="13"/>
  <c r="AC29" i="13"/>
  <c r="AC26" i="13"/>
  <c r="AC89" i="13"/>
  <c r="AC134" i="13"/>
  <c r="AC133" i="13"/>
  <c r="AC104" i="13"/>
  <c r="AC98" i="13"/>
  <c r="AC36" i="13"/>
  <c r="AC121" i="13"/>
  <c r="AC9" i="13"/>
  <c r="AC123" i="13"/>
  <c r="AC138" i="13"/>
  <c r="AC65" i="13"/>
  <c r="AC115" i="13"/>
  <c r="AC91" i="13"/>
  <c r="AC84" i="13"/>
  <c r="AC99" i="13"/>
  <c r="AC124" i="13"/>
  <c r="AC101" i="13"/>
  <c r="AC126" i="13"/>
  <c r="AC10" i="13"/>
  <c r="AC111" i="13"/>
  <c r="AC47" i="13"/>
  <c r="AC55" i="13"/>
  <c r="AC136" i="13"/>
  <c r="AC82" i="13"/>
  <c r="AC100" i="13"/>
  <c r="AC83" i="13"/>
  <c r="AC23" i="13"/>
  <c r="AC42" i="13"/>
  <c r="AC61" i="13"/>
  <c r="AC39" i="13"/>
  <c r="AC109" i="13"/>
  <c r="AC105" i="13"/>
  <c r="AC130" i="13"/>
  <c r="AC50" i="13"/>
  <c r="AC64" i="13"/>
  <c r="AC21" i="13"/>
  <c r="AC92" i="13"/>
  <c r="AC132" i="13"/>
  <c r="AC63" i="13"/>
  <c r="AC128" i="13"/>
  <c r="AC74" i="13"/>
  <c r="AC41" i="13"/>
  <c r="AC125" i="13"/>
  <c r="AC119" i="13"/>
  <c r="AC95" i="13"/>
  <c r="AC75" i="13"/>
  <c r="AC38" i="13"/>
  <c r="AC73" i="13"/>
  <c r="AC48" i="13"/>
  <c r="AC66" i="13"/>
  <c r="AC87" i="13"/>
  <c r="AC69" i="13"/>
  <c r="AC43" i="13"/>
  <c r="AC15" i="13"/>
  <c r="AC110" i="13"/>
  <c r="AC52" i="13"/>
  <c r="AC122" i="13"/>
  <c r="AC97" i="13"/>
  <c r="AC45" i="13"/>
  <c r="AC53" i="13"/>
  <c r="AC11" i="13"/>
  <c r="AC27" i="13"/>
  <c r="AC137" i="13"/>
  <c r="AC60" i="13"/>
  <c r="AC22" i="13"/>
  <c r="AC103" i="13"/>
  <c r="AC59" i="13"/>
  <c r="AC70" i="13"/>
  <c r="AC46" i="13"/>
  <c r="AC32" i="13"/>
  <c r="AC72" i="13"/>
  <c r="AC51" i="13"/>
  <c r="AC58" i="13"/>
  <c r="AC56" i="13"/>
  <c r="AC12" i="13"/>
  <c r="AC94" i="13"/>
  <c r="AC135" i="13"/>
  <c r="AC116" i="13"/>
  <c r="AC88" i="13"/>
  <c r="AC79" i="13"/>
  <c r="AC49" i="13"/>
  <c r="AC120" i="13"/>
  <c r="AC33" i="13"/>
  <c r="AC67" i="13"/>
  <c r="AC40" i="13"/>
  <c r="AC78" i="13"/>
  <c r="AC131" i="13"/>
  <c r="AC76" i="13"/>
  <c r="AC30" i="13"/>
  <c r="AC77" i="13"/>
  <c r="AC114" i="13"/>
  <c r="AC19" i="13"/>
  <c r="AC106" i="13"/>
  <c r="AC35" i="13"/>
  <c r="AC17" i="13"/>
  <c r="AC18" i="13"/>
  <c r="AC25" i="13"/>
  <c r="L10" i="22"/>
  <c r="N10" i="22"/>
  <c r="Q8" i="22"/>
  <c r="M10" i="22"/>
  <c r="K11" i="22"/>
  <c r="P11" i="22"/>
  <c r="I12" i="22"/>
  <c r="J11" i="22"/>
  <c r="O9" i="22"/>
  <c r="N11" i="22" l="1"/>
  <c r="L11" i="22"/>
  <c r="Q9" i="22"/>
  <c r="J12" i="22"/>
  <c r="P12" i="22"/>
  <c r="I13" i="22"/>
  <c r="K12" i="22"/>
  <c r="M11" i="22"/>
  <c r="O10" i="22"/>
  <c r="Q10" i="22" s="1"/>
  <c r="M12" i="22" l="1"/>
  <c r="J13" i="22"/>
  <c r="P13" i="22"/>
  <c r="I14" i="22"/>
  <c r="K13" i="22"/>
  <c r="O11" i="22"/>
  <c r="N12" i="22"/>
  <c r="L12" i="22"/>
  <c r="O12" i="22" s="1"/>
  <c r="L13" i="22" l="1"/>
  <c r="N13" i="22"/>
  <c r="Q12" i="22"/>
  <c r="Q11" i="22"/>
  <c r="K14" i="22"/>
  <c r="P14" i="22"/>
  <c r="J14" i="22"/>
  <c r="I15" i="22"/>
  <c r="M13" i="22"/>
  <c r="J15" i="22" l="1"/>
  <c r="P15" i="22"/>
  <c r="I16" i="22"/>
  <c r="K15" i="22"/>
  <c r="O13" i="22"/>
  <c r="L14" i="22"/>
  <c r="N14" i="22"/>
  <c r="M14" i="22"/>
  <c r="M15" i="22" l="1"/>
  <c r="J16" i="22"/>
  <c r="P16" i="22"/>
  <c r="I17" i="22"/>
  <c r="K16" i="22"/>
  <c r="Q13" i="22"/>
  <c r="N15" i="22"/>
  <c r="L15" i="22"/>
  <c r="O15" i="22" s="1"/>
  <c r="O14" i="22"/>
  <c r="Q15" i="22" l="1"/>
  <c r="K17" i="22"/>
  <c r="P17" i="22"/>
  <c r="I18" i="22"/>
  <c r="J17" i="22"/>
  <c r="M16" i="22"/>
  <c r="Q14" i="22"/>
  <c r="L16" i="22"/>
  <c r="N16" i="22"/>
  <c r="M17" i="22" l="1"/>
  <c r="O16" i="22"/>
  <c r="N17" i="22"/>
  <c r="L17" i="22"/>
  <c r="O17" i="22" s="1"/>
  <c r="Q17" i="22" s="1"/>
  <c r="J18" i="22"/>
  <c r="P18" i="22"/>
  <c r="I19" i="22"/>
  <c r="K18" i="22"/>
  <c r="N18" i="22" l="1"/>
  <c r="L18" i="22"/>
  <c r="O18" i="22" s="1"/>
  <c r="Q18" i="22" s="1"/>
  <c r="Q16" i="22"/>
  <c r="M18" i="22"/>
  <c r="J19" i="22"/>
  <c r="P19" i="22"/>
  <c r="I20" i="22"/>
  <c r="K19" i="22"/>
  <c r="K20" i="22" l="1"/>
  <c r="P20" i="22"/>
  <c r="J20" i="22"/>
  <c r="I21" i="22"/>
  <c r="M19" i="22"/>
  <c r="L19" i="22"/>
  <c r="O19" i="22" s="1"/>
  <c r="Q19" i="22" s="1"/>
  <c r="N19" i="22"/>
  <c r="J21" i="22" l="1"/>
  <c r="P21" i="22"/>
  <c r="I22" i="22"/>
  <c r="K21" i="22"/>
  <c r="L20" i="22"/>
  <c r="N20" i="22"/>
  <c r="M20" i="22"/>
  <c r="M21" i="22" l="1"/>
  <c r="J22" i="22"/>
  <c r="P22" i="22"/>
  <c r="I23" i="22"/>
  <c r="K22" i="22"/>
  <c r="O20" i="22"/>
  <c r="Q20" i="22" s="1"/>
  <c r="N21" i="22"/>
  <c r="L21" i="22"/>
  <c r="O21" i="22" s="1"/>
  <c r="Q21" i="22" s="1"/>
  <c r="N22" i="22" l="1"/>
  <c r="L22" i="22"/>
  <c r="M22" i="22"/>
  <c r="K23" i="22"/>
  <c r="I24" i="22"/>
  <c r="P23" i="22"/>
  <c r="J23" i="22"/>
  <c r="N23" i="22" l="1"/>
  <c r="L23" i="22"/>
  <c r="O22" i="22"/>
  <c r="Q22" i="22" s="1"/>
  <c r="K24" i="22"/>
  <c r="J24" i="22"/>
  <c r="I25" i="22"/>
  <c r="P24" i="22"/>
  <c r="M23" i="22"/>
  <c r="N24" i="22" l="1"/>
  <c r="L24" i="22"/>
  <c r="O23" i="22"/>
  <c r="Q23" i="22" s="1"/>
  <c r="M24" i="22"/>
  <c r="J25" i="22"/>
  <c r="P25" i="22"/>
  <c r="I26" i="22"/>
  <c r="K25" i="22"/>
  <c r="O24" i="22" l="1"/>
  <c r="L25" i="22"/>
  <c r="N25" i="22"/>
  <c r="Q24" i="22"/>
  <c r="M25" i="22"/>
  <c r="K26" i="22"/>
  <c r="I27" i="22"/>
  <c r="P26" i="22"/>
  <c r="J26" i="22"/>
  <c r="L26" i="22" l="1"/>
  <c r="N26" i="22"/>
  <c r="J27" i="22"/>
  <c r="P27" i="22"/>
  <c r="I28" i="22"/>
  <c r="K27" i="22"/>
  <c r="M26" i="22"/>
  <c r="O25" i="22"/>
  <c r="Q25" i="22" s="1"/>
  <c r="L27" i="22" l="1"/>
  <c r="N27" i="22"/>
  <c r="J28" i="22"/>
  <c r="P28" i="22"/>
  <c r="I29" i="22"/>
  <c r="K28" i="22"/>
  <c r="M27" i="22"/>
  <c r="O26" i="22"/>
  <c r="Q26" i="22" s="1"/>
  <c r="M28" i="22" l="1"/>
  <c r="K29" i="22"/>
  <c r="I30" i="22"/>
  <c r="P29" i="22"/>
  <c r="J29" i="22"/>
  <c r="N28" i="22"/>
  <c r="L28" i="22"/>
  <c r="O28" i="22" s="1"/>
  <c r="O27" i="22"/>
  <c r="Q27" i="22" s="1"/>
  <c r="P30" i="22" l="1"/>
  <c r="J30" i="22"/>
  <c r="K30" i="22"/>
  <c r="I31" i="22"/>
  <c r="M29" i="22"/>
  <c r="N29" i="22"/>
  <c r="L29" i="22"/>
  <c r="Q28" i="22"/>
  <c r="O29" i="22" l="1"/>
  <c r="Q29" i="22" s="1"/>
  <c r="J31" i="22"/>
  <c r="K31" i="22"/>
  <c r="P31" i="22"/>
  <c r="I32" i="22"/>
  <c r="M30" i="22"/>
  <c r="N30" i="22"/>
  <c r="L30" i="22"/>
  <c r="M31" i="22" l="1"/>
  <c r="K32" i="22"/>
  <c r="I33" i="22"/>
  <c r="P32" i="22"/>
  <c r="J32" i="22"/>
  <c r="L31" i="22"/>
  <c r="O31" i="22" s="1"/>
  <c r="N31" i="22"/>
  <c r="O30" i="22"/>
  <c r="Q30" i="22" s="1"/>
  <c r="J33" i="22" l="1"/>
  <c r="P33" i="22"/>
  <c r="I34" i="22"/>
  <c r="K33" i="22"/>
  <c r="M32" i="22"/>
  <c r="L32" i="22"/>
  <c r="N32" i="22"/>
  <c r="Q31" i="22"/>
  <c r="O32" i="22" l="1"/>
  <c r="Q32" i="22" s="1"/>
  <c r="P34" i="22"/>
  <c r="J34" i="22"/>
  <c r="K34" i="22"/>
  <c r="I35" i="22"/>
  <c r="M33" i="22"/>
  <c r="N33" i="22"/>
  <c r="L33" i="22"/>
  <c r="O33" i="22" l="1"/>
  <c r="Q33" i="22" s="1"/>
  <c r="M34" i="22"/>
  <c r="J35" i="22"/>
  <c r="K35" i="22"/>
  <c r="I36" i="22"/>
  <c r="P35" i="22"/>
  <c r="L34" i="22"/>
  <c r="N34" i="22"/>
  <c r="M35" i="22" l="1"/>
  <c r="N35" i="22"/>
  <c r="L35" i="22"/>
  <c r="O35" i="22" s="1"/>
  <c r="Q35" i="22" s="1"/>
  <c r="O34" i="22"/>
  <c r="Q34" i="22" s="1"/>
  <c r="K36" i="22"/>
  <c r="P36" i="22"/>
  <c r="I37" i="22"/>
  <c r="J36" i="22"/>
  <c r="L36" i="22" l="1"/>
  <c r="N36" i="22"/>
  <c r="K37" i="22"/>
  <c r="P37" i="22"/>
  <c r="I38" i="22"/>
  <c r="J37" i="22"/>
  <c r="M36" i="22"/>
  <c r="O36" i="22" l="1"/>
  <c r="Q36" i="22" s="1"/>
  <c r="L37" i="22"/>
  <c r="N37" i="22"/>
  <c r="K38" i="22"/>
  <c r="I39" i="22"/>
  <c r="P38" i="22"/>
  <c r="J38" i="22"/>
  <c r="M37" i="22"/>
  <c r="O37" i="22" l="1"/>
  <c r="Q37" i="22" s="1"/>
  <c r="J39" i="22"/>
  <c r="P39" i="22"/>
  <c r="I40" i="22"/>
  <c r="K39" i="22"/>
  <c r="L38" i="22"/>
  <c r="N38" i="22"/>
  <c r="M38" i="22"/>
  <c r="I41" i="22" l="1"/>
  <c r="P40" i="22"/>
  <c r="K40" i="22"/>
  <c r="J40" i="22"/>
  <c r="N39" i="22"/>
  <c r="L39" i="22"/>
  <c r="O39" i="22" s="1"/>
  <c r="Q39" i="22" s="1"/>
  <c r="M39" i="22"/>
  <c r="O38" i="22"/>
  <c r="Q38" i="22" s="1"/>
  <c r="N40" i="22" l="1"/>
  <c r="L40" i="22"/>
  <c r="M40" i="22"/>
  <c r="P41" i="22"/>
  <c r="J41" i="22"/>
  <c r="I42" i="22"/>
  <c r="K41" i="22"/>
  <c r="J42" i="22" l="1"/>
  <c r="K42" i="22"/>
  <c r="I43" i="22"/>
  <c r="P42" i="22"/>
  <c r="N41" i="22"/>
  <c r="L41" i="22"/>
  <c r="O41" i="22" s="1"/>
  <c r="Q41" i="22" s="1"/>
  <c r="M41" i="22"/>
  <c r="O40" i="22"/>
  <c r="Q40" i="22" s="1"/>
  <c r="J43" i="22" l="1"/>
  <c r="K43" i="22"/>
  <c r="P43" i="22"/>
  <c r="I44" i="22"/>
  <c r="M42" i="22"/>
  <c r="L42" i="22"/>
  <c r="N42" i="22"/>
  <c r="K44" i="22" l="1"/>
  <c r="J44" i="22"/>
  <c r="I45" i="22"/>
  <c r="P44" i="22"/>
  <c r="M43" i="22"/>
  <c r="O42" i="22"/>
  <c r="Q42" i="22" s="1"/>
  <c r="L43" i="22"/>
  <c r="N43" i="22"/>
  <c r="O43" i="22" l="1"/>
  <c r="Q43" i="22" s="1"/>
  <c r="J45" i="22"/>
  <c r="P45" i="22"/>
  <c r="I46" i="22"/>
  <c r="K45" i="22"/>
  <c r="L44" i="22"/>
  <c r="N44" i="22"/>
  <c r="M44" i="22"/>
  <c r="M45" i="22" l="1"/>
  <c r="I47" i="22"/>
  <c r="K46" i="22"/>
  <c r="J46" i="22"/>
  <c r="P46" i="22"/>
  <c r="O44" i="22"/>
  <c r="Q44" i="22" s="1"/>
  <c r="L45" i="22"/>
  <c r="O45" i="22" s="1"/>
  <c r="Q45" i="22" s="1"/>
  <c r="N45" i="22"/>
  <c r="N46" i="22" l="1"/>
  <c r="L46" i="22"/>
  <c r="M46" i="22"/>
  <c r="I48" i="22"/>
  <c r="P47" i="22"/>
  <c r="J47" i="22"/>
  <c r="K47" i="22"/>
  <c r="M47" i="22" l="1"/>
  <c r="N47" i="22"/>
  <c r="L47" i="22"/>
  <c r="O46" i="22"/>
  <c r="Q46" i="22" s="1"/>
  <c r="P48" i="22"/>
  <c r="I49" i="22"/>
  <c r="J48" i="22"/>
  <c r="K48" i="22"/>
  <c r="O47" i="22" l="1"/>
  <c r="Q47" i="22" s="1"/>
  <c r="P49" i="22"/>
  <c r="I50" i="22"/>
  <c r="J49" i="22"/>
  <c r="K49" i="22"/>
  <c r="M48" i="22"/>
  <c r="N48" i="22"/>
  <c r="L48" i="22"/>
  <c r="M49" i="22" l="1"/>
  <c r="L49" i="22"/>
  <c r="O49" i="22" s="1"/>
  <c r="N49" i="22"/>
  <c r="O48" i="22"/>
  <c r="Q48" i="22" s="1"/>
  <c r="K50" i="22"/>
  <c r="P50" i="22"/>
  <c r="J50" i="22"/>
  <c r="I51" i="22"/>
  <c r="Q49" i="22" l="1"/>
  <c r="N50" i="22"/>
  <c r="L50" i="22"/>
  <c r="J51" i="22"/>
  <c r="P51" i="22"/>
  <c r="I52" i="22"/>
  <c r="K51" i="22"/>
  <c r="M50" i="22"/>
  <c r="O50" i="22" l="1"/>
  <c r="Q50" i="22" s="1"/>
  <c r="M51" i="22"/>
  <c r="J52" i="22"/>
  <c r="P52" i="22"/>
  <c r="I53" i="22"/>
  <c r="K52" i="22"/>
  <c r="L51" i="22"/>
  <c r="O51" i="22" s="1"/>
  <c r="Q51" i="22" s="1"/>
  <c r="N51" i="22"/>
  <c r="L52" i="22" l="1"/>
  <c r="N52" i="22"/>
  <c r="M52" i="22"/>
  <c r="K53" i="22"/>
  <c r="I54" i="22"/>
  <c r="P53" i="22"/>
  <c r="J53" i="22"/>
  <c r="N53" i="22" l="1"/>
  <c r="L53" i="22"/>
  <c r="K54" i="22"/>
  <c r="J54" i="22"/>
  <c r="I55" i="22"/>
  <c r="P54" i="22"/>
  <c r="M53" i="22"/>
  <c r="O52" i="22"/>
  <c r="Q52" i="22" s="1"/>
  <c r="N54" i="22" l="1"/>
  <c r="L54" i="22"/>
  <c r="M54" i="22"/>
  <c r="O53" i="22"/>
  <c r="Q53" i="22" s="1"/>
  <c r="J55" i="22"/>
  <c r="P55" i="22"/>
  <c r="I56" i="22"/>
  <c r="K55" i="22"/>
  <c r="L55" i="22" l="1"/>
  <c r="N55" i="22"/>
  <c r="O54" i="22"/>
  <c r="Q54" i="22" s="1"/>
  <c r="M55" i="22"/>
  <c r="K56" i="22"/>
  <c r="I57" i="22"/>
  <c r="P56" i="22"/>
  <c r="J56" i="22"/>
  <c r="J57" i="22" l="1"/>
  <c r="K57" i="22"/>
  <c r="I58" i="22"/>
  <c r="P57" i="22"/>
  <c r="L56" i="22"/>
  <c r="N56" i="22"/>
  <c r="M56" i="22"/>
  <c r="O55" i="22"/>
  <c r="Q55" i="22" s="1"/>
  <c r="O56" i="22" l="1"/>
  <c r="Q56" i="22"/>
  <c r="J58" i="22"/>
  <c r="P58" i="22"/>
  <c r="I59" i="22"/>
  <c r="K58" i="22"/>
  <c r="M57" i="22"/>
  <c r="N57" i="22"/>
  <c r="L57" i="22"/>
  <c r="M58" i="22" l="1"/>
  <c r="J59" i="22"/>
  <c r="K59" i="22"/>
  <c r="I60" i="22"/>
  <c r="P59" i="22"/>
  <c r="O57" i="22"/>
  <c r="Q57" i="22" s="1"/>
  <c r="L58" i="22"/>
  <c r="O58" i="22" s="1"/>
  <c r="Q58" i="22" s="1"/>
  <c r="N58" i="22"/>
  <c r="K60" i="22" l="1"/>
  <c r="I61" i="22"/>
  <c r="P60" i="22"/>
  <c r="J60" i="22"/>
  <c r="M59" i="22"/>
  <c r="L59" i="22"/>
  <c r="O59" i="22" s="1"/>
  <c r="Q59" i="22" s="1"/>
  <c r="N59" i="22"/>
  <c r="J61" i="22" l="1"/>
  <c r="P61" i="22"/>
  <c r="I62" i="22"/>
  <c r="K61" i="22"/>
  <c r="M60" i="22"/>
  <c r="N60" i="22"/>
  <c r="L60" i="22"/>
  <c r="O60" i="22" s="1"/>
  <c r="Q60" i="22" s="1"/>
  <c r="I63" i="22" l="1"/>
  <c r="P62" i="22"/>
  <c r="J62" i="22"/>
  <c r="K62" i="22"/>
  <c r="L61" i="22"/>
  <c r="N61" i="22"/>
  <c r="M61" i="22"/>
  <c r="O61" i="22" l="1"/>
  <c r="Q61" i="22" s="1"/>
  <c r="L62" i="22"/>
  <c r="N62" i="22"/>
  <c r="K63" i="22"/>
  <c r="P63" i="22"/>
  <c r="J63" i="22"/>
  <c r="I64" i="22"/>
  <c r="M62" i="22"/>
  <c r="J64" i="22" l="1"/>
  <c r="P64" i="22"/>
  <c r="I65" i="22"/>
  <c r="K64" i="22"/>
  <c r="M63" i="22"/>
  <c r="N63" i="22"/>
  <c r="L63" i="22"/>
  <c r="O62" i="22"/>
  <c r="Q62" i="22" s="1"/>
  <c r="O63" i="22" l="1"/>
  <c r="M64" i="22"/>
  <c r="P65" i="22"/>
  <c r="I66" i="22"/>
  <c r="J65" i="22"/>
  <c r="K65" i="22"/>
  <c r="Q63" i="22"/>
  <c r="L64" i="22"/>
  <c r="O64" i="22" s="1"/>
  <c r="Q64" i="22" s="1"/>
  <c r="N64" i="22"/>
  <c r="K66" i="22" l="1"/>
  <c r="I67" i="22"/>
  <c r="P66" i="22"/>
  <c r="J66" i="22"/>
  <c r="M65" i="22"/>
  <c r="L65" i="22"/>
  <c r="N65" i="22"/>
  <c r="O65" i="22" l="1"/>
  <c r="Q65" i="22" s="1"/>
  <c r="J67" i="22"/>
  <c r="P67" i="22"/>
  <c r="I68" i="22"/>
  <c r="K67" i="22"/>
  <c r="M66" i="22"/>
  <c r="N66" i="22"/>
  <c r="L66" i="22"/>
  <c r="O66" i="22" s="1"/>
  <c r="Q66" i="22" s="1"/>
  <c r="P68" i="22" l="1"/>
  <c r="J68" i="22"/>
  <c r="K68" i="22"/>
  <c r="I69" i="22"/>
  <c r="N67" i="22"/>
  <c r="L67" i="22"/>
  <c r="M67" i="22"/>
  <c r="L68" i="22" l="1"/>
  <c r="N68" i="22"/>
  <c r="J69" i="22"/>
  <c r="K69" i="22"/>
  <c r="I70" i="22"/>
  <c r="P69" i="22"/>
  <c r="O67" i="22"/>
  <c r="Q67" i="22" s="1"/>
  <c r="M68" i="22"/>
  <c r="K70" i="22" l="1"/>
  <c r="J70" i="22"/>
  <c r="P70" i="22"/>
  <c r="I71" i="22"/>
  <c r="N69" i="22"/>
  <c r="L69" i="22"/>
  <c r="O69" i="22" s="1"/>
  <c r="Q69" i="22" s="1"/>
  <c r="M69" i="22"/>
  <c r="O68" i="22"/>
  <c r="Q68" i="22" s="1"/>
  <c r="J71" i="22" l="1"/>
  <c r="P71" i="22"/>
  <c r="I72" i="22"/>
  <c r="K71" i="22"/>
  <c r="L70" i="22"/>
  <c r="O70" i="22" s="1"/>
  <c r="Q70" i="22" s="1"/>
  <c r="N70" i="22"/>
  <c r="M70" i="22"/>
  <c r="M71" i="22" l="1"/>
  <c r="J72" i="22"/>
  <c r="P72" i="22"/>
  <c r="I73" i="22"/>
  <c r="K72" i="22"/>
  <c r="L71" i="22"/>
  <c r="O71" i="22" s="1"/>
  <c r="Q71" i="22" s="1"/>
  <c r="N71" i="22"/>
  <c r="M72" i="22" l="1"/>
  <c r="J73" i="22"/>
  <c r="P73" i="22"/>
  <c r="I74" i="22"/>
  <c r="K73" i="22"/>
  <c r="L72" i="22"/>
  <c r="O72" i="22" s="1"/>
  <c r="Q72" i="22" s="1"/>
  <c r="N72" i="22"/>
  <c r="N73" i="22" l="1"/>
  <c r="L73" i="22"/>
  <c r="M73" i="22"/>
  <c r="J74" i="22"/>
  <c r="P74" i="22"/>
  <c r="I75" i="22"/>
  <c r="K74" i="22"/>
  <c r="M74" i="22" l="1"/>
  <c r="O73" i="22"/>
  <c r="Q73" i="22" s="1"/>
  <c r="N74" i="22"/>
  <c r="L74" i="22"/>
  <c r="O74" i="22" s="1"/>
  <c r="J75" i="22"/>
  <c r="P75" i="22"/>
  <c r="I76" i="22"/>
  <c r="K75" i="22"/>
  <c r="K76" i="22" l="1"/>
  <c r="I77" i="22"/>
  <c r="J76" i="22"/>
  <c r="P76" i="22"/>
  <c r="M75" i="22"/>
  <c r="L75" i="22"/>
  <c r="N75" i="22"/>
  <c r="Q74" i="22"/>
  <c r="L76" i="22" l="1"/>
  <c r="N76" i="22"/>
  <c r="J77" i="22"/>
  <c r="P77" i="22"/>
  <c r="I78" i="22"/>
  <c r="K77" i="22"/>
  <c r="O75" i="22"/>
  <c r="Q75" i="22" s="1"/>
  <c r="M76" i="22"/>
  <c r="L77" i="22" l="1"/>
  <c r="N77" i="22"/>
  <c r="M77" i="22"/>
  <c r="J78" i="22"/>
  <c r="P78" i="22"/>
  <c r="K78" i="22"/>
  <c r="O76" i="22"/>
  <c r="Q76" i="22" s="1"/>
  <c r="M78" i="22" l="1"/>
  <c r="L78" i="22"/>
  <c r="O78" i="22" s="1"/>
  <c r="Q78" i="22" s="1"/>
  <c r="N78" i="22"/>
  <c r="O77" i="22"/>
  <c r="Q77" i="22" s="1"/>
  <c r="M5" i="18" l="1"/>
  <c r="O5" i="18" s="1"/>
  <c r="M6" i="18"/>
  <c r="O6" i="18" s="1"/>
  <c r="M7" i="18"/>
  <c r="O7" i="18" s="1"/>
  <c r="M8" i="18"/>
  <c r="O8" i="18" s="1"/>
  <c r="M9" i="18"/>
  <c r="O9" i="18" s="1"/>
  <c r="M10" i="18"/>
  <c r="O10" i="18" s="1"/>
  <c r="M11" i="18"/>
  <c r="O11" i="18" s="1"/>
  <c r="M12" i="18"/>
  <c r="O12" i="18" s="1"/>
  <c r="M13" i="18"/>
  <c r="O13" i="18" s="1"/>
  <c r="M14" i="18"/>
  <c r="O14" i="18" s="1"/>
  <c r="M15" i="18"/>
  <c r="O15" i="18" s="1"/>
  <c r="M16" i="18"/>
  <c r="O16" i="18" s="1"/>
  <c r="M17" i="18"/>
  <c r="O17" i="18" s="1"/>
  <c r="M18" i="18"/>
  <c r="O18" i="18" s="1"/>
  <c r="M19" i="18"/>
  <c r="O19" i="18" s="1"/>
  <c r="M20" i="18"/>
  <c r="O20" i="18" s="1"/>
  <c r="M21" i="18"/>
  <c r="O21" i="18" s="1"/>
  <c r="F9" i="13"/>
  <c r="Q9" i="13" s="1"/>
  <c r="F10" i="13"/>
  <c r="Q10" i="13" s="1"/>
  <c r="F11" i="13"/>
  <c r="Q11" i="13" s="1"/>
  <c r="F12" i="13"/>
  <c r="Q12" i="13" s="1"/>
  <c r="F13" i="13"/>
  <c r="Q13" i="13" s="1"/>
  <c r="F14" i="13"/>
  <c r="Q14" i="13" s="1"/>
  <c r="F15" i="13"/>
  <c r="Q15" i="13" s="1"/>
  <c r="F16" i="13"/>
  <c r="Q16" i="13" s="1"/>
  <c r="F17" i="13"/>
  <c r="Q17" i="13" s="1"/>
  <c r="F18" i="13"/>
  <c r="Q18" i="13" s="1"/>
  <c r="F19" i="13"/>
  <c r="Q19" i="13" s="1"/>
  <c r="F20" i="13"/>
  <c r="Q20" i="13" s="1"/>
  <c r="F21" i="13"/>
  <c r="Q21" i="13" s="1"/>
  <c r="F22" i="13"/>
  <c r="Q22" i="13" s="1"/>
  <c r="F23" i="13"/>
  <c r="Q23" i="13" s="1"/>
  <c r="F24" i="13"/>
  <c r="Q24" i="13" s="1"/>
  <c r="F25" i="13"/>
  <c r="Q25" i="13" s="1"/>
  <c r="F26" i="13"/>
  <c r="Q26" i="13" s="1"/>
  <c r="F27" i="13"/>
  <c r="Q27" i="13" s="1"/>
  <c r="F28" i="13"/>
  <c r="Q28" i="13" s="1"/>
  <c r="F29" i="13"/>
  <c r="Q29" i="13" s="1"/>
  <c r="F30" i="13"/>
  <c r="Q30" i="13" s="1"/>
  <c r="F31" i="13"/>
  <c r="Q31" i="13" s="1"/>
  <c r="F32" i="13"/>
  <c r="Q32" i="13" s="1"/>
  <c r="F33" i="13"/>
  <c r="Q33" i="13" s="1"/>
  <c r="F34" i="13"/>
  <c r="Q34" i="13" s="1"/>
  <c r="F35" i="13"/>
  <c r="Q35" i="13" s="1"/>
  <c r="F36" i="13"/>
  <c r="Q36" i="13" s="1"/>
  <c r="F37" i="13"/>
  <c r="Q37" i="13" s="1"/>
  <c r="F38" i="13"/>
  <c r="Q38" i="13" s="1"/>
  <c r="F39" i="13"/>
  <c r="Q39" i="13" s="1"/>
  <c r="F40" i="13"/>
  <c r="Q40" i="13" s="1"/>
  <c r="F41" i="13"/>
  <c r="Q41" i="13" s="1"/>
  <c r="F42" i="13"/>
  <c r="Q42" i="13" s="1"/>
  <c r="F43" i="13"/>
  <c r="Q43" i="13" s="1"/>
  <c r="F44" i="13"/>
  <c r="Q44" i="13" s="1"/>
  <c r="F45" i="13"/>
  <c r="Q45" i="13" s="1"/>
  <c r="F46" i="13"/>
  <c r="Q46" i="13" s="1"/>
  <c r="F47" i="13"/>
  <c r="Q47" i="13" s="1"/>
  <c r="F48" i="13"/>
  <c r="Q48" i="13" s="1"/>
  <c r="F49" i="13"/>
  <c r="Q49" i="13" s="1"/>
  <c r="F50" i="13"/>
  <c r="Q50" i="13" s="1"/>
  <c r="F51" i="13"/>
  <c r="Q51" i="13" s="1"/>
  <c r="F52" i="13"/>
  <c r="Q52" i="13" s="1"/>
  <c r="F53" i="13"/>
  <c r="Q53" i="13" s="1"/>
  <c r="F54" i="13"/>
  <c r="Q54" i="13" s="1"/>
  <c r="F55" i="13"/>
  <c r="Q55" i="13" s="1"/>
  <c r="F56" i="13"/>
  <c r="Q56" i="13" s="1"/>
  <c r="F57" i="13"/>
  <c r="Q57" i="13" s="1"/>
  <c r="F58" i="13"/>
  <c r="Q58" i="13" s="1"/>
  <c r="F59" i="13"/>
  <c r="Q59" i="13" s="1"/>
  <c r="F60" i="13"/>
  <c r="Q60" i="13" s="1"/>
  <c r="F61" i="13"/>
  <c r="Q61" i="13" s="1"/>
  <c r="F62" i="13"/>
  <c r="Q62" i="13" s="1"/>
  <c r="F63" i="13"/>
  <c r="Q63" i="13" s="1"/>
  <c r="F64" i="13"/>
  <c r="Q64" i="13" s="1"/>
  <c r="F65" i="13"/>
  <c r="Q65" i="13" s="1"/>
  <c r="F66" i="13"/>
  <c r="Q66" i="13" s="1"/>
  <c r="F67" i="13"/>
  <c r="Q67" i="13" s="1"/>
  <c r="F68" i="13"/>
  <c r="Q68" i="13" s="1"/>
  <c r="F69" i="13"/>
  <c r="Q69" i="13" s="1"/>
  <c r="F70" i="13"/>
  <c r="Q70" i="13" s="1"/>
  <c r="F71" i="13"/>
  <c r="Q71" i="13" s="1"/>
  <c r="F72" i="13"/>
  <c r="Q72" i="13" s="1"/>
  <c r="F73" i="13"/>
  <c r="Q73" i="13" s="1"/>
  <c r="F74" i="13"/>
  <c r="Q74" i="13" s="1"/>
  <c r="F75" i="13"/>
  <c r="Q75" i="13" s="1"/>
  <c r="F76" i="13"/>
  <c r="Q76" i="13" s="1"/>
  <c r="F77" i="13"/>
  <c r="Q77" i="13" s="1"/>
  <c r="F78" i="13"/>
  <c r="Q78" i="13" s="1"/>
  <c r="F79" i="13"/>
  <c r="Q79" i="13" s="1"/>
  <c r="F80" i="13"/>
  <c r="Q80" i="13" s="1"/>
  <c r="F81" i="13"/>
  <c r="Q81" i="13" s="1"/>
  <c r="F82" i="13"/>
  <c r="Q82" i="13" s="1"/>
  <c r="F83" i="13"/>
  <c r="Q83" i="13" s="1"/>
  <c r="F84" i="13"/>
  <c r="Q84" i="13" s="1"/>
  <c r="F85" i="13"/>
  <c r="Q85" i="13" s="1"/>
  <c r="F86" i="13"/>
  <c r="Q86" i="13" s="1"/>
  <c r="F87" i="13"/>
  <c r="Q87" i="13" s="1"/>
  <c r="F88" i="13"/>
  <c r="Q88" i="13" s="1"/>
  <c r="F89" i="13"/>
  <c r="Q89" i="13" s="1"/>
  <c r="F90" i="13"/>
  <c r="Q90" i="13" s="1"/>
  <c r="F91" i="13"/>
  <c r="Q91" i="13" s="1"/>
  <c r="F92" i="13"/>
  <c r="Q92" i="13" s="1"/>
  <c r="F93" i="13"/>
  <c r="Q93" i="13" s="1"/>
  <c r="F94" i="13"/>
  <c r="Q94" i="13" s="1"/>
  <c r="F95" i="13"/>
  <c r="Q95" i="13" s="1"/>
  <c r="F96" i="13"/>
  <c r="Q96" i="13" s="1"/>
  <c r="F97" i="13"/>
  <c r="Q97" i="13" s="1"/>
  <c r="F98" i="13"/>
  <c r="Q98" i="13" s="1"/>
  <c r="F99" i="13"/>
  <c r="Q99" i="13" s="1"/>
  <c r="F100" i="13"/>
  <c r="Q100" i="13" s="1"/>
  <c r="F101" i="13"/>
  <c r="Q101" i="13" s="1"/>
  <c r="F102" i="13"/>
  <c r="Q102" i="13" s="1"/>
  <c r="F103" i="13"/>
  <c r="Q103" i="13" s="1"/>
  <c r="F104" i="13"/>
  <c r="Q104" i="13" s="1"/>
  <c r="F105" i="13"/>
  <c r="Q105" i="13" s="1"/>
  <c r="F106" i="13"/>
  <c r="Q106" i="13" s="1"/>
  <c r="F107" i="13"/>
  <c r="Q107" i="13" s="1"/>
  <c r="F108" i="13"/>
  <c r="Q108" i="13" s="1"/>
  <c r="F109" i="13"/>
  <c r="Q109" i="13" s="1"/>
  <c r="F110" i="13"/>
  <c r="Q110" i="13" s="1"/>
  <c r="F111" i="13"/>
  <c r="Q111" i="13" s="1"/>
  <c r="F112" i="13"/>
  <c r="Q112" i="13" s="1"/>
  <c r="F113" i="13"/>
  <c r="Q113" i="13" s="1"/>
  <c r="F114" i="13"/>
  <c r="Q114" i="13" s="1"/>
  <c r="F115" i="13"/>
  <c r="Q115" i="13" s="1"/>
  <c r="F116" i="13"/>
  <c r="Q116" i="13" s="1"/>
  <c r="F117" i="13"/>
  <c r="Q117" i="13" s="1"/>
  <c r="F118" i="13"/>
  <c r="Q118" i="13" s="1"/>
  <c r="F119" i="13"/>
  <c r="Q119" i="13" s="1"/>
  <c r="F120" i="13"/>
  <c r="Q120" i="13" s="1"/>
  <c r="F121" i="13"/>
  <c r="Q121" i="13" s="1"/>
  <c r="F122" i="13"/>
  <c r="Q122" i="13" s="1"/>
  <c r="F123" i="13"/>
  <c r="Q123" i="13" s="1"/>
  <c r="F124" i="13"/>
  <c r="Q124" i="13" s="1"/>
  <c r="F125" i="13"/>
  <c r="Q125" i="13" s="1"/>
  <c r="F126" i="13"/>
  <c r="Q126" i="13" s="1"/>
  <c r="F127" i="13"/>
  <c r="Q127" i="13" s="1"/>
  <c r="F128" i="13"/>
  <c r="Q128" i="13" s="1"/>
  <c r="F129" i="13"/>
  <c r="Q129" i="13" s="1"/>
  <c r="F130" i="13"/>
  <c r="Q130" i="13" s="1"/>
  <c r="F131" i="13"/>
  <c r="Q131" i="13" s="1"/>
  <c r="F132" i="13"/>
  <c r="Q132" i="13" s="1"/>
  <c r="F133" i="13"/>
  <c r="Q133" i="13" s="1"/>
  <c r="F134" i="13"/>
  <c r="Q134" i="13" s="1"/>
  <c r="F135" i="13"/>
  <c r="Q135" i="13" s="1"/>
  <c r="F136" i="13"/>
  <c r="Q136" i="13" s="1"/>
  <c r="F137" i="13"/>
  <c r="Q137" i="13" s="1"/>
  <c r="F138" i="13"/>
  <c r="Q138" i="13" s="1"/>
  <c r="F139" i="13"/>
  <c r="Q139" i="13" s="1"/>
  <c r="F140" i="13"/>
  <c r="Q140" i="13" s="1"/>
  <c r="F141" i="13"/>
  <c r="Q141" i="13" s="1"/>
  <c r="F142" i="13"/>
  <c r="Q142" i="13" s="1"/>
  <c r="F143" i="13"/>
  <c r="Q143" i="13" s="1"/>
  <c r="F144" i="13"/>
  <c r="Q144" i="13" s="1"/>
  <c r="F145" i="13"/>
  <c r="Q145" i="13" s="1"/>
  <c r="F146" i="13"/>
  <c r="Q146" i="13" s="1"/>
  <c r="F147" i="13"/>
  <c r="Q147" i="13" s="1"/>
  <c r="F148" i="13"/>
  <c r="Q148" i="13" s="1"/>
  <c r="F149" i="13"/>
  <c r="Q149" i="13" s="1"/>
  <c r="F150" i="13"/>
  <c r="Q150" i="13" s="1"/>
  <c r="F151" i="13"/>
  <c r="Q151" i="13" s="1"/>
  <c r="F152" i="13"/>
  <c r="Q152" i="13" s="1"/>
  <c r="F153" i="13"/>
  <c r="Q153" i="13" s="1"/>
  <c r="F154" i="13"/>
  <c r="Q154" i="13" s="1"/>
  <c r="F155" i="13"/>
  <c r="Q155" i="13" s="1"/>
  <c r="F156" i="13"/>
  <c r="Q156" i="13" s="1"/>
  <c r="F157" i="13"/>
  <c r="Q157" i="13" s="1"/>
  <c r="F158" i="13"/>
  <c r="Q158" i="13" s="1"/>
  <c r="F159" i="13"/>
  <c r="Q159" i="13" s="1"/>
  <c r="F160" i="13"/>
  <c r="Q160" i="13" s="1"/>
  <c r="F161" i="13"/>
  <c r="Q161" i="13" s="1"/>
  <c r="F162" i="13"/>
  <c r="Q162" i="13" s="1"/>
  <c r="F163" i="13"/>
  <c r="Q163" i="13" s="1"/>
  <c r="F164" i="13"/>
  <c r="Q164" i="13" s="1"/>
  <c r="F165" i="13"/>
  <c r="Q165" i="13" s="1"/>
  <c r="F166" i="13"/>
  <c r="Q166" i="13" s="1"/>
  <c r="F167" i="13"/>
  <c r="Q167" i="13" s="1"/>
  <c r="F168" i="13"/>
  <c r="Q168" i="13" s="1"/>
  <c r="F169" i="13"/>
  <c r="Q169" i="13" s="1"/>
  <c r="F170" i="13"/>
  <c r="Q170" i="13" s="1"/>
  <c r="F171" i="13"/>
  <c r="Q171" i="13" s="1"/>
  <c r="F172" i="13"/>
  <c r="Q172" i="13" s="1"/>
  <c r="F173" i="13"/>
  <c r="Q173" i="13" s="1"/>
  <c r="F174" i="13"/>
  <c r="Q174" i="13" s="1"/>
  <c r="F175" i="13"/>
  <c r="Q175" i="13" s="1"/>
  <c r="F176" i="13"/>
  <c r="Q176" i="13" s="1"/>
  <c r="F177" i="13"/>
  <c r="Q177" i="13" s="1"/>
  <c r="F178" i="13"/>
  <c r="Q178" i="13" s="1"/>
  <c r="F179" i="13"/>
  <c r="Q179" i="13" s="1"/>
  <c r="F180" i="13"/>
  <c r="Q180" i="13" s="1"/>
  <c r="F181" i="13"/>
  <c r="Q181" i="13" s="1"/>
  <c r="F182" i="13"/>
  <c r="Q182" i="13" s="1"/>
  <c r="F183" i="13"/>
  <c r="Q183" i="13" s="1"/>
  <c r="F184" i="13"/>
  <c r="Q184" i="13" s="1"/>
  <c r="F185" i="13"/>
  <c r="Q185" i="13" s="1"/>
  <c r="F186" i="13"/>
  <c r="Q186" i="13" s="1"/>
  <c r="F187" i="13"/>
  <c r="Q187" i="13" s="1"/>
  <c r="F188" i="13"/>
  <c r="Q188" i="13" s="1"/>
  <c r="F189" i="13"/>
  <c r="Q189" i="13" s="1"/>
  <c r="F190" i="13"/>
  <c r="Q190" i="13" s="1"/>
  <c r="M4" i="18" l="1"/>
  <c r="K11" i="21"/>
  <c r="J15" i="21"/>
  <c r="J11" i="21"/>
  <c r="A4" i="18" l="1"/>
  <c r="A5" i="18" s="1"/>
  <c r="A6" i="18" s="1"/>
  <c r="A7" i="18" s="1"/>
  <c r="A8" i="18" s="1"/>
  <c r="A9" i="18" s="1"/>
  <c r="A10" i="18" s="1"/>
  <c r="A11" i="18" s="1"/>
  <c r="A12" i="18" s="1"/>
  <c r="A13" i="18" s="1"/>
  <c r="A14" i="18" s="1"/>
  <c r="A15" i="18" s="1"/>
  <c r="A16" i="18" s="1"/>
  <c r="A17" i="18" s="1"/>
  <c r="A18" i="18" s="1"/>
  <c r="A1" i="18"/>
  <c r="Q18" i="19"/>
  <c r="E18" i="19"/>
  <c r="G18" i="19" s="1"/>
  <c r="Q17" i="19"/>
  <c r="G17" i="19"/>
  <c r="Q16" i="19"/>
  <c r="E16" i="19"/>
  <c r="G16" i="19" s="1"/>
  <c r="Q15" i="19"/>
  <c r="Q14" i="19"/>
  <c r="K14" i="19"/>
  <c r="K15" i="19" s="1"/>
  <c r="Q13" i="19"/>
  <c r="Q12" i="19"/>
  <c r="Q11" i="19"/>
  <c r="Q10" i="19"/>
  <c r="Q9" i="19"/>
  <c r="Q8" i="19"/>
  <c r="Q7" i="19"/>
  <c r="Q6" i="19"/>
  <c r="Q5" i="19"/>
  <c r="Q4" i="19"/>
  <c r="D3" i="19"/>
  <c r="A3" i="19"/>
  <c r="A4" i="19" s="1"/>
  <c r="A5" i="19" s="1"/>
  <c r="A6" i="19" s="1"/>
  <c r="A7" i="19" s="1"/>
  <c r="A8" i="19" s="1"/>
  <c r="A9" i="19" s="1"/>
  <c r="A10" i="19" s="1"/>
  <c r="A11" i="19" s="1"/>
  <c r="A12" i="19" s="1"/>
  <c r="A13" i="19" s="1"/>
  <c r="A14" i="19" s="1"/>
  <c r="A15" i="19" s="1"/>
  <c r="A16" i="19" s="1"/>
  <c r="A17" i="19" s="1"/>
  <c r="A18" i="19" s="1"/>
  <c r="C6" i="18" l="1" a="1"/>
  <c r="C6" i="18" s="1"/>
  <c r="C15" i="18" a="1"/>
  <c r="C15" i="18" s="1"/>
  <c r="P8" i="13" s="1"/>
  <c r="AH8" i="13" s="1"/>
  <c r="C8" i="18" a="1"/>
  <c r="C8" i="18" s="1"/>
  <c r="C20" i="18" s="1"/>
  <c r="C9" i="18" a="1"/>
  <c r="C9" i="18" s="1"/>
  <c r="C12" i="18" a="1"/>
  <c r="C12" i="18" s="1"/>
  <c r="C10" i="18" a="1"/>
  <c r="C10" i="18" s="1"/>
  <c r="C13" i="18" a="1"/>
  <c r="C13" i="18" s="1"/>
  <c r="C4" i="18" a="1"/>
  <c r="C4" i="18" s="1"/>
  <c r="C14" i="18" a="1"/>
  <c r="C14" i="18" s="1"/>
  <c r="C18" i="18" a="1"/>
  <c r="C18" i="18" s="1"/>
  <c r="F8" i="13" s="1"/>
  <c r="C7" i="18" a="1"/>
  <c r="C7" i="18" s="1"/>
  <c r="C17" i="18" a="1"/>
  <c r="C17" i="18" s="1"/>
  <c r="C16" i="18" a="1"/>
  <c r="C16" i="18" s="1"/>
  <c r="R8" i="13" s="1"/>
  <c r="AI8" i="13" s="1"/>
  <c r="C5" i="18" a="1"/>
  <c r="C5" i="18" s="1"/>
  <c r="C11" i="18" a="1"/>
  <c r="C11" i="18" s="1"/>
  <c r="C22" i="18" l="1"/>
  <c r="C19" i="18"/>
  <c r="E19" i="13"/>
  <c r="I19" i="13" s="1"/>
  <c r="E163" i="13"/>
  <c r="I163" i="13" s="1"/>
  <c r="E189" i="13"/>
  <c r="I189" i="13" s="1"/>
  <c r="E9" i="13"/>
  <c r="I9" i="13" s="1"/>
  <c r="E21" i="13"/>
  <c r="I21" i="13" s="1"/>
  <c r="E33" i="13"/>
  <c r="I33" i="13" s="1"/>
  <c r="E45" i="13"/>
  <c r="I45" i="13" s="1"/>
  <c r="E57" i="13"/>
  <c r="I57" i="13" s="1"/>
  <c r="E69" i="13"/>
  <c r="I69" i="13" s="1"/>
  <c r="E81" i="13"/>
  <c r="I81" i="13" s="1"/>
  <c r="E93" i="13"/>
  <c r="I93" i="13" s="1"/>
  <c r="E105" i="13"/>
  <c r="I105" i="13" s="1"/>
  <c r="E117" i="13"/>
  <c r="I117" i="13" s="1"/>
  <c r="E129" i="13"/>
  <c r="I129" i="13" s="1"/>
  <c r="E141" i="13"/>
  <c r="I141" i="13" s="1"/>
  <c r="E153" i="13"/>
  <c r="I153" i="13" s="1"/>
  <c r="E165" i="13"/>
  <c r="I165" i="13" s="1"/>
  <c r="E177" i="13"/>
  <c r="I177" i="13" s="1"/>
  <c r="E10" i="13"/>
  <c r="I10" i="13" s="1"/>
  <c r="E22" i="13"/>
  <c r="I22" i="13" s="1"/>
  <c r="E34" i="13"/>
  <c r="I34" i="13" s="1"/>
  <c r="E46" i="13"/>
  <c r="I46" i="13" s="1"/>
  <c r="E58" i="13"/>
  <c r="I58" i="13" s="1"/>
  <c r="E70" i="13"/>
  <c r="I70" i="13" s="1"/>
  <c r="E82" i="13"/>
  <c r="I82" i="13" s="1"/>
  <c r="E94" i="13"/>
  <c r="I94" i="13" s="1"/>
  <c r="E106" i="13"/>
  <c r="I106" i="13" s="1"/>
  <c r="E118" i="13"/>
  <c r="I118" i="13" s="1"/>
  <c r="E130" i="13"/>
  <c r="I130" i="13" s="1"/>
  <c r="E142" i="13"/>
  <c r="I142" i="13" s="1"/>
  <c r="E154" i="13"/>
  <c r="I154" i="13" s="1"/>
  <c r="E166" i="13"/>
  <c r="I166" i="13" s="1"/>
  <c r="E178" i="13"/>
  <c r="I178" i="13" s="1"/>
  <c r="E190" i="13"/>
  <c r="I190" i="13" s="1"/>
  <c r="E50" i="13"/>
  <c r="I50" i="13" s="1"/>
  <c r="E98" i="13"/>
  <c r="I98" i="13" s="1"/>
  <c r="E158" i="13"/>
  <c r="I158" i="13" s="1"/>
  <c r="E103" i="13"/>
  <c r="I103" i="13" s="1"/>
  <c r="E32" i="13"/>
  <c r="I32" i="13" s="1"/>
  <c r="E116" i="13"/>
  <c r="I116" i="13" s="1"/>
  <c r="E188" i="13"/>
  <c r="I188" i="13" s="1"/>
  <c r="E11" i="13"/>
  <c r="I11" i="13" s="1"/>
  <c r="E23" i="13"/>
  <c r="I23" i="13" s="1"/>
  <c r="E35" i="13"/>
  <c r="I35" i="13" s="1"/>
  <c r="E47" i="13"/>
  <c r="I47" i="13" s="1"/>
  <c r="E59" i="13"/>
  <c r="I59" i="13" s="1"/>
  <c r="E71" i="13"/>
  <c r="I71" i="13" s="1"/>
  <c r="E83" i="13"/>
  <c r="I83" i="13" s="1"/>
  <c r="E95" i="13"/>
  <c r="I95" i="13" s="1"/>
  <c r="E107" i="13"/>
  <c r="I107" i="13" s="1"/>
  <c r="E119" i="13"/>
  <c r="I119" i="13" s="1"/>
  <c r="E131" i="13"/>
  <c r="I131" i="13" s="1"/>
  <c r="E143" i="13"/>
  <c r="I143" i="13" s="1"/>
  <c r="E155" i="13"/>
  <c r="I155" i="13" s="1"/>
  <c r="E167" i="13"/>
  <c r="I167" i="13" s="1"/>
  <c r="E179" i="13"/>
  <c r="I179" i="13" s="1"/>
  <c r="E38" i="13"/>
  <c r="I38" i="13" s="1"/>
  <c r="E122" i="13"/>
  <c r="I122" i="13" s="1"/>
  <c r="E170" i="13"/>
  <c r="I170" i="13" s="1"/>
  <c r="E31" i="13"/>
  <c r="I31" i="13" s="1"/>
  <c r="E67" i="13"/>
  <c r="I67" i="13" s="1"/>
  <c r="E151" i="13"/>
  <c r="I151" i="13" s="1"/>
  <c r="E20" i="13"/>
  <c r="I20" i="13" s="1"/>
  <c r="E140" i="13"/>
  <c r="I140" i="13" s="1"/>
  <c r="E12" i="13"/>
  <c r="I12" i="13" s="1"/>
  <c r="E24" i="13"/>
  <c r="I24" i="13" s="1"/>
  <c r="E36" i="13"/>
  <c r="I36" i="13" s="1"/>
  <c r="E48" i="13"/>
  <c r="I48" i="13" s="1"/>
  <c r="E60" i="13"/>
  <c r="I60" i="13" s="1"/>
  <c r="E72" i="13"/>
  <c r="I72" i="13" s="1"/>
  <c r="E84" i="13"/>
  <c r="I84" i="13" s="1"/>
  <c r="E96" i="13"/>
  <c r="I96" i="13" s="1"/>
  <c r="E108" i="13"/>
  <c r="I108" i="13" s="1"/>
  <c r="E120" i="13"/>
  <c r="I120" i="13" s="1"/>
  <c r="E132" i="13"/>
  <c r="I132" i="13" s="1"/>
  <c r="E144" i="13"/>
  <c r="I144" i="13" s="1"/>
  <c r="E156" i="13"/>
  <c r="I156" i="13" s="1"/>
  <c r="E168" i="13"/>
  <c r="I168" i="13" s="1"/>
  <c r="E180" i="13"/>
  <c r="I180" i="13" s="1"/>
  <c r="E26" i="13"/>
  <c r="I26" i="13" s="1"/>
  <c r="E134" i="13"/>
  <c r="I134" i="13" s="1"/>
  <c r="E43" i="13"/>
  <c r="I43" i="13" s="1"/>
  <c r="E127" i="13"/>
  <c r="I127" i="13" s="1"/>
  <c r="E175" i="13"/>
  <c r="I175" i="13" s="1"/>
  <c r="E80" i="13"/>
  <c r="I80" i="13" s="1"/>
  <c r="E13" i="13"/>
  <c r="I13" i="13" s="1"/>
  <c r="E25" i="13"/>
  <c r="I25" i="13" s="1"/>
  <c r="E37" i="13"/>
  <c r="I37" i="13" s="1"/>
  <c r="E49" i="13"/>
  <c r="I49" i="13" s="1"/>
  <c r="E61" i="13"/>
  <c r="I61" i="13" s="1"/>
  <c r="E73" i="13"/>
  <c r="I73" i="13" s="1"/>
  <c r="E85" i="13"/>
  <c r="I85" i="13" s="1"/>
  <c r="E97" i="13"/>
  <c r="I97" i="13" s="1"/>
  <c r="E109" i="13"/>
  <c r="I109" i="13" s="1"/>
  <c r="E121" i="13"/>
  <c r="I121" i="13" s="1"/>
  <c r="E133" i="13"/>
  <c r="I133" i="13" s="1"/>
  <c r="E145" i="13"/>
  <c r="I145" i="13" s="1"/>
  <c r="E157" i="13"/>
  <c r="I157" i="13" s="1"/>
  <c r="E169" i="13"/>
  <c r="I169" i="13" s="1"/>
  <c r="E181" i="13"/>
  <c r="I181" i="13" s="1"/>
  <c r="E14" i="13"/>
  <c r="I14" i="13" s="1"/>
  <c r="E62" i="13"/>
  <c r="I62" i="13" s="1"/>
  <c r="E74" i="13"/>
  <c r="I74" i="13" s="1"/>
  <c r="E86" i="13"/>
  <c r="I86" i="13" s="1"/>
  <c r="E110" i="13"/>
  <c r="I110" i="13" s="1"/>
  <c r="E146" i="13"/>
  <c r="I146" i="13" s="1"/>
  <c r="E182" i="13"/>
  <c r="I182" i="13" s="1"/>
  <c r="E79" i="13"/>
  <c r="I79" i="13" s="1"/>
  <c r="E44" i="13"/>
  <c r="I44" i="13" s="1"/>
  <c r="E104" i="13"/>
  <c r="I104" i="13" s="1"/>
  <c r="E176" i="13"/>
  <c r="I176" i="13" s="1"/>
  <c r="E15" i="13"/>
  <c r="I15" i="13" s="1"/>
  <c r="E27" i="13"/>
  <c r="I27" i="13" s="1"/>
  <c r="E39" i="13"/>
  <c r="I39" i="13" s="1"/>
  <c r="E51" i="13"/>
  <c r="I51" i="13" s="1"/>
  <c r="E63" i="13"/>
  <c r="I63" i="13" s="1"/>
  <c r="E75" i="13"/>
  <c r="I75" i="13" s="1"/>
  <c r="E87" i="13"/>
  <c r="I87" i="13" s="1"/>
  <c r="E99" i="13"/>
  <c r="I99" i="13" s="1"/>
  <c r="E111" i="13"/>
  <c r="I111" i="13" s="1"/>
  <c r="E123" i="13"/>
  <c r="I123" i="13" s="1"/>
  <c r="E135" i="13"/>
  <c r="I135" i="13" s="1"/>
  <c r="E147" i="13"/>
  <c r="I147" i="13" s="1"/>
  <c r="E159" i="13"/>
  <c r="I159" i="13" s="1"/>
  <c r="E171" i="13"/>
  <c r="I171" i="13" s="1"/>
  <c r="E183" i="13"/>
  <c r="I183" i="13" s="1"/>
  <c r="E17" i="13"/>
  <c r="I17" i="13" s="1"/>
  <c r="E41" i="13"/>
  <c r="I41" i="13" s="1"/>
  <c r="E53" i="13"/>
  <c r="I53" i="13" s="1"/>
  <c r="E65" i="13"/>
  <c r="I65" i="13" s="1"/>
  <c r="E89" i="13"/>
  <c r="I89" i="13" s="1"/>
  <c r="E113" i="13"/>
  <c r="I113" i="13" s="1"/>
  <c r="E137" i="13"/>
  <c r="I137" i="13" s="1"/>
  <c r="E149" i="13"/>
  <c r="I149" i="13" s="1"/>
  <c r="E185" i="13"/>
  <c r="I185" i="13" s="1"/>
  <c r="E115" i="13"/>
  <c r="I115" i="13" s="1"/>
  <c r="E68" i="13"/>
  <c r="I68" i="13" s="1"/>
  <c r="E92" i="13"/>
  <c r="I92" i="13" s="1"/>
  <c r="E164" i="13"/>
  <c r="I164" i="13" s="1"/>
  <c r="E16" i="13"/>
  <c r="I16" i="13" s="1"/>
  <c r="E28" i="13"/>
  <c r="I28" i="13" s="1"/>
  <c r="E40" i="13"/>
  <c r="I40" i="13" s="1"/>
  <c r="E52" i="13"/>
  <c r="I52" i="13" s="1"/>
  <c r="E64" i="13"/>
  <c r="I64" i="13" s="1"/>
  <c r="E76" i="13"/>
  <c r="I76" i="13" s="1"/>
  <c r="E88" i="13"/>
  <c r="I88" i="13" s="1"/>
  <c r="E100" i="13"/>
  <c r="I100" i="13" s="1"/>
  <c r="E112" i="13"/>
  <c r="I112" i="13" s="1"/>
  <c r="E124" i="13"/>
  <c r="I124" i="13" s="1"/>
  <c r="E136" i="13"/>
  <c r="I136" i="13" s="1"/>
  <c r="E148" i="13"/>
  <c r="I148" i="13" s="1"/>
  <c r="E160" i="13"/>
  <c r="I160" i="13" s="1"/>
  <c r="E172" i="13"/>
  <c r="I172" i="13" s="1"/>
  <c r="E184" i="13"/>
  <c r="I184" i="13" s="1"/>
  <c r="E29" i="13"/>
  <c r="I29" i="13" s="1"/>
  <c r="E77" i="13"/>
  <c r="I77" i="13" s="1"/>
  <c r="E101" i="13"/>
  <c r="I101" i="13" s="1"/>
  <c r="E125" i="13"/>
  <c r="I125" i="13" s="1"/>
  <c r="E161" i="13"/>
  <c r="I161" i="13" s="1"/>
  <c r="E173" i="13"/>
  <c r="I173" i="13" s="1"/>
  <c r="E91" i="13"/>
  <c r="I91" i="13" s="1"/>
  <c r="E56" i="13"/>
  <c r="I56" i="13" s="1"/>
  <c r="E128" i="13"/>
  <c r="I128" i="13" s="1"/>
  <c r="E18" i="13"/>
  <c r="I18" i="13" s="1"/>
  <c r="E30" i="13"/>
  <c r="I30" i="13" s="1"/>
  <c r="E42" i="13"/>
  <c r="I42" i="13" s="1"/>
  <c r="E54" i="13"/>
  <c r="I54" i="13" s="1"/>
  <c r="E66" i="13"/>
  <c r="I66" i="13" s="1"/>
  <c r="E78" i="13"/>
  <c r="I78" i="13" s="1"/>
  <c r="E90" i="13"/>
  <c r="I90" i="13" s="1"/>
  <c r="E102" i="13"/>
  <c r="I102" i="13" s="1"/>
  <c r="E114" i="13"/>
  <c r="I114" i="13" s="1"/>
  <c r="E126" i="13"/>
  <c r="I126" i="13" s="1"/>
  <c r="E138" i="13"/>
  <c r="I138" i="13" s="1"/>
  <c r="E150" i="13"/>
  <c r="I150" i="13" s="1"/>
  <c r="E162" i="13"/>
  <c r="I162" i="13" s="1"/>
  <c r="E174" i="13"/>
  <c r="I174" i="13" s="1"/>
  <c r="E186" i="13"/>
  <c r="I186" i="13" s="1"/>
  <c r="E55" i="13"/>
  <c r="I55" i="13" s="1"/>
  <c r="E139" i="13"/>
  <c r="I139" i="13" s="1"/>
  <c r="E187" i="13"/>
  <c r="I187" i="13" s="1"/>
  <c r="E8" i="13"/>
  <c r="I8" i="13" s="1"/>
  <c r="E152" i="13"/>
  <c r="I152" i="13" s="1"/>
  <c r="C29" i="18"/>
  <c r="C27" i="18"/>
  <c r="C21" i="18"/>
  <c r="D11" i="13" l="1"/>
  <c r="D23" i="13"/>
  <c r="D35" i="13"/>
  <c r="D47" i="13"/>
  <c r="D59" i="13"/>
  <c r="D71" i="13"/>
  <c r="D83" i="13"/>
  <c r="D95" i="13"/>
  <c r="D107" i="13"/>
  <c r="D119" i="13"/>
  <c r="D131" i="13"/>
  <c r="D143" i="13"/>
  <c r="D155" i="13"/>
  <c r="D167" i="13"/>
  <c r="D179" i="13"/>
  <c r="D12" i="13"/>
  <c r="D24" i="13"/>
  <c r="D36" i="13"/>
  <c r="D48" i="13"/>
  <c r="D60" i="13"/>
  <c r="D72" i="13"/>
  <c r="D84" i="13"/>
  <c r="D96" i="13"/>
  <c r="D108" i="13"/>
  <c r="D120" i="13"/>
  <c r="D132" i="13"/>
  <c r="D144" i="13"/>
  <c r="D156" i="13"/>
  <c r="D168" i="13"/>
  <c r="D180" i="13"/>
  <c r="D187" i="13"/>
  <c r="D32" i="13"/>
  <c r="D92" i="13"/>
  <c r="D152" i="13"/>
  <c r="D9" i="13"/>
  <c r="D69" i="13"/>
  <c r="D129" i="13"/>
  <c r="D189" i="13"/>
  <c r="D34" i="13"/>
  <c r="D94" i="13"/>
  <c r="D154" i="13"/>
  <c r="D13" i="13"/>
  <c r="D25" i="13"/>
  <c r="D37" i="13"/>
  <c r="D49" i="13"/>
  <c r="D61" i="13"/>
  <c r="D73" i="13"/>
  <c r="D85" i="13"/>
  <c r="D97" i="13"/>
  <c r="D109" i="13"/>
  <c r="D121" i="13"/>
  <c r="D133" i="13"/>
  <c r="D145" i="13"/>
  <c r="D157" i="13"/>
  <c r="D169" i="13"/>
  <c r="D181" i="13"/>
  <c r="D27" i="13"/>
  <c r="D87" i="13"/>
  <c r="D111" i="13"/>
  <c r="D135" i="13"/>
  <c r="D159" i="13"/>
  <c r="D183" i="13"/>
  <c r="D43" i="13"/>
  <c r="D91" i="13"/>
  <c r="D127" i="13"/>
  <c r="D175" i="13"/>
  <c r="D44" i="13"/>
  <c r="D104" i="13"/>
  <c r="D164" i="13"/>
  <c r="D57" i="13"/>
  <c r="D117" i="13"/>
  <c r="D165" i="13"/>
  <c r="D58" i="13"/>
  <c r="D118" i="13"/>
  <c r="D178" i="13"/>
  <c r="D14" i="13"/>
  <c r="D26" i="13"/>
  <c r="D38" i="13"/>
  <c r="D50" i="13"/>
  <c r="D62" i="13"/>
  <c r="D74" i="13"/>
  <c r="D86" i="13"/>
  <c r="D98" i="13"/>
  <c r="D110" i="13"/>
  <c r="D122" i="13"/>
  <c r="D134" i="13"/>
  <c r="D146" i="13"/>
  <c r="D158" i="13"/>
  <c r="D170" i="13"/>
  <c r="D182" i="13"/>
  <c r="D15" i="13"/>
  <c r="D39" i="13"/>
  <c r="D51" i="13"/>
  <c r="D63" i="13"/>
  <c r="D75" i="13"/>
  <c r="D99" i="13"/>
  <c r="D123" i="13"/>
  <c r="D147" i="13"/>
  <c r="D171" i="13"/>
  <c r="D31" i="13"/>
  <c r="D55" i="13"/>
  <c r="D79" i="13"/>
  <c r="D115" i="13"/>
  <c r="D139" i="13"/>
  <c r="D163" i="13"/>
  <c r="D20" i="13"/>
  <c r="D56" i="13"/>
  <c r="D80" i="13"/>
  <c r="D128" i="13"/>
  <c r="D176" i="13"/>
  <c r="D45" i="13"/>
  <c r="D105" i="13"/>
  <c r="D153" i="13"/>
  <c r="D10" i="13"/>
  <c r="D106" i="13"/>
  <c r="D166" i="13"/>
  <c r="D16" i="13"/>
  <c r="D28" i="13"/>
  <c r="D40" i="13"/>
  <c r="D52" i="13"/>
  <c r="D64" i="13"/>
  <c r="D76" i="13"/>
  <c r="D88" i="13"/>
  <c r="D100" i="13"/>
  <c r="D112" i="13"/>
  <c r="D124" i="13"/>
  <c r="D136" i="13"/>
  <c r="D148" i="13"/>
  <c r="D160" i="13"/>
  <c r="D172" i="13"/>
  <c r="D184" i="13"/>
  <c r="D30" i="13"/>
  <c r="D66" i="13"/>
  <c r="D90" i="13"/>
  <c r="D126" i="13"/>
  <c r="D150" i="13"/>
  <c r="D174" i="13"/>
  <c r="D21" i="13"/>
  <c r="D81" i="13"/>
  <c r="D141" i="13"/>
  <c r="D46" i="13"/>
  <c r="D82" i="13"/>
  <c r="D142" i="13"/>
  <c r="D190" i="13"/>
  <c r="D17" i="13"/>
  <c r="D29" i="13"/>
  <c r="D41" i="13"/>
  <c r="D53" i="13"/>
  <c r="D65" i="13"/>
  <c r="D77" i="13"/>
  <c r="D89" i="13"/>
  <c r="D101" i="13"/>
  <c r="D113" i="13"/>
  <c r="D125" i="13"/>
  <c r="D137" i="13"/>
  <c r="D149" i="13"/>
  <c r="D161" i="13"/>
  <c r="D173" i="13"/>
  <c r="D185" i="13"/>
  <c r="D18" i="13"/>
  <c r="D42" i="13"/>
  <c r="D54" i="13"/>
  <c r="D78" i="13"/>
  <c r="D102" i="13"/>
  <c r="D114" i="13"/>
  <c r="D138" i="13"/>
  <c r="D162" i="13"/>
  <c r="D186" i="13"/>
  <c r="D19" i="13"/>
  <c r="D67" i="13"/>
  <c r="D103" i="13"/>
  <c r="D151" i="13"/>
  <c r="D8" i="13"/>
  <c r="D68" i="13"/>
  <c r="D116" i="13"/>
  <c r="D140" i="13"/>
  <c r="D188" i="13"/>
  <c r="D33" i="13"/>
  <c r="D93" i="13"/>
  <c r="D177" i="13"/>
  <c r="D22" i="13"/>
  <c r="D70" i="13"/>
  <c r="D130" i="13"/>
  <c r="C23" i="18"/>
  <c r="C24" i="18" s="1"/>
  <c r="C26" i="18" s="1" a="1"/>
  <c r="C26" i="18" s="1"/>
  <c r="C25" i="18" l="1" a="1"/>
  <c r="C25" i="18" s="1"/>
  <c r="C28" i="18"/>
  <c r="A9" i="13"/>
  <c r="A10" i="13" l="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M8" i="13"/>
  <c r="B8" i="13"/>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V8" i="13" l="1"/>
  <c r="W8" i="13"/>
  <c r="N8" i="13"/>
  <c r="C8" i="13"/>
  <c r="T8" i="13"/>
  <c r="AK8" i="13" s="1"/>
  <c r="B9" i="13"/>
  <c r="BI28" i="13"/>
  <c r="BH28" i="13"/>
  <c r="BG28" i="13"/>
  <c r="BF28" i="13"/>
  <c r="BE28" i="13"/>
  <c r="BI26" i="13"/>
  <c r="BH26" i="13"/>
  <c r="BG26" i="13"/>
  <c r="BF26" i="13"/>
  <c r="BE26" i="13"/>
  <c r="BI24" i="13"/>
  <c r="BH24" i="13"/>
  <c r="BG24" i="13"/>
  <c r="BF24" i="13"/>
  <c r="BE24" i="13"/>
  <c r="BI13" i="13"/>
  <c r="BH13" i="13"/>
  <c r="BG13" i="13"/>
  <c r="BF13" i="13"/>
  <c r="BE13" i="13"/>
  <c r="U8" i="13" l="1"/>
  <c r="AD8" i="13" s="1"/>
  <c r="C9" i="13"/>
  <c r="J9" i="13" s="1"/>
  <c r="W9" i="13"/>
  <c r="V9" i="13"/>
  <c r="O8" i="13"/>
  <c r="AG8" i="13" s="1"/>
  <c r="N9" i="13"/>
  <c r="U9" i="13" s="1"/>
  <c r="AD9" i="13" s="1"/>
  <c r="L8" i="13"/>
  <c r="B10" i="13"/>
  <c r="AL8" i="13" l="1"/>
  <c r="C10" i="13"/>
  <c r="J10" i="13" s="1"/>
  <c r="W10" i="13"/>
  <c r="V10" i="13"/>
  <c r="N10" i="13"/>
  <c r="U10" i="13" s="1"/>
  <c r="AD10" i="13" s="1"/>
  <c r="S9" i="13"/>
  <c r="AJ9" i="13" s="1"/>
  <c r="K9" i="13"/>
  <c r="M9" i="13" s="1"/>
  <c r="L9" i="13"/>
  <c r="O9" i="13"/>
  <c r="AG9" i="13" s="1"/>
  <c r="B11" i="13"/>
  <c r="C11" i="13" l="1"/>
  <c r="J11" i="13" s="1"/>
  <c r="W11" i="13"/>
  <c r="V11" i="13"/>
  <c r="P9" i="13"/>
  <c r="N11" i="13"/>
  <c r="U11" i="13" s="1"/>
  <c r="AD11" i="13" s="1"/>
  <c r="L10" i="13"/>
  <c r="O10" i="13"/>
  <c r="AG10" i="13" s="1"/>
  <c r="B12" i="13"/>
  <c r="AH9" i="13" l="1"/>
  <c r="C12" i="13"/>
  <c r="J12" i="13" s="1"/>
  <c r="W12" i="13"/>
  <c r="V12" i="13"/>
  <c r="T9" i="13"/>
  <c r="AK9" i="13" s="1"/>
  <c r="S11" i="13"/>
  <c r="AJ11" i="13" s="1"/>
  <c r="N12" i="13"/>
  <c r="U12" i="13" s="1"/>
  <c r="AD12" i="13" s="1"/>
  <c r="L11" i="13"/>
  <c r="O11" i="13"/>
  <c r="AG11" i="13" s="1"/>
  <c r="B13" i="13"/>
  <c r="AL9" i="13" l="1"/>
  <c r="C13" i="13"/>
  <c r="J13" i="13" s="1"/>
  <c r="V13" i="13"/>
  <c r="W13" i="13"/>
  <c r="R9" i="13"/>
  <c r="K10" i="13"/>
  <c r="M10" i="13" s="1"/>
  <c r="N13" i="13"/>
  <c r="U13" i="13" s="1"/>
  <c r="AD13" i="13" s="1"/>
  <c r="L12" i="13"/>
  <c r="O12" i="13"/>
  <c r="AG12" i="13" s="1"/>
  <c r="B14" i="13"/>
  <c r="C14" i="13" l="1"/>
  <c r="J14" i="13" s="1"/>
  <c r="V14" i="13"/>
  <c r="W14" i="13"/>
  <c r="S10" i="13"/>
  <c r="AJ10" i="13" s="1"/>
  <c r="AI9" i="13"/>
  <c r="S13" i="13"/>
  <c r="AJ13" i="13" s="1"/>
  <c r="N14" i="13"/>
  <c r="U14" i="13" s="1"/>
  <c r="AD14" i="13" s="1"/>
  <c r="L13" i="13"/>
  <c r="O13" i="13"/>
  <c r="AG13" i="13" s="1"/>
  <c r="B15" i="13"/>
  <c r="C15" i="13" l="1"/>
  <c r="J15" i="13" s="1"/>
  <c r="V15" i="13"/>
  <c r="W15" i="13"/>
  <c r="P10" i="13"/>
  <c r="N15" i="13"/>
  <c r="U15" i="13" s="1"/>
  <c r="AD15" i="13" s="1"/>
  <c r="L14" i="13"/>
  <c r="O14" i="13"/>
  <c r="AG14" i="13" s="1"/>
  <c r="B16" i="13"/>
  <c r="AH10" i="13" l="1"/>
  <c r="C16" i="13"/>
  <c r="J16" i="13" s="1"/>
  <c r="W16" i="13"/>
  <c r="V16" i="13"/>
  <c r="R10" i="13"/>
  <c r="AI10" i="13" s="1"/>
  <c r="S15" i="13"/>
  <c r="AJ15" i="13" s="1"/>
  <c r="N16" i="13"/>
  <c r="U16" i="13" s="1"/>
  <c r="AD16" i="13" s="1"/>
  <c r="L15" i="13"/>
  <c r="O15" i="13"/>
  <c r="AG15" i="13" s="1"/>
  <c r="B17" i="13"/>
  <c r="AL10" i="13" l="1"/>
  <c r="C17" i="13"/>
  <c r="J17" i="13" s="1"/>
  <c r="W17" i="13"/>
  <c r="V17" i="13"/>
  <c r="N17" i="13"/>
  <c r="U17" i="13" s="1"/>
  <c r="AD17" i="13" s="1"/>
  <c r="L16" i="13"/>
  <c r="O16" i="13"/>
  <c r="AG16" i="13" s="1"/>
  <c r="B18" i="13"/>
  <c r="L17" i="13" l="1"/>
  <c r="C18" i="13"/>
  <c r="J18" i="13" s="1"/>
  <c r="W18" i="13"/>
  <c r="V18" i="13"/>
  <c r="S17" i="13"/>
  <c r="AJ17" i="13" s="1"/>
  <c r="N18" i="13"/>
  <c r="U18" i="13" s="1"/>
  <c r="AD18" i="13" s="1"/>
  <c r="O17" i="13"/>
  <c r="AG17" i="13" s="1"/>
  <c r="B19" i="13"/>
  <c r="L18" i="13" l="1"/>
  <c r="C19" i="13"/>
  <c r="J19" i="13" s="1"/>
  <c r="W19" i="13"/>
  <c r="V19" i="13"/>
  <c r="N19" i="13"/>
  <c r="U19" i="13" s="1"/>
  <c r="AD19" i="13" s="1"/>
  <c r="O18" i="13"/>
  <c r="AG18" i="13" s="1"/>
  <c r="B20" i="13"/>
  <c r="C20" i="13" l="1"/>
  <c r="J20" i="13" s="1"/>
  <c r="V20" i="13"/>
  <c r="W20" i="13"/>
  <c r="S19" i="13"/>
  <c r="AJ19" i="13" s="1"/>
  <c r="L19" i="13"/>
  <c r="N20" i="13"/>
  <c r="U20" i="13" s="1"/>
  <c r="AD20" i="13" s="1"/>
  <c r="O19" i="13"/>
  <c r="AG19" i="13" s="1"/>
  <c r="B21" i="13"/>
  <c r="L20" i="13" l="1"/>
  <c r="C21" i="13"/>
  <c r="J21" i="13" s="1"/>
  <c r="V21" i="13"/>
  <c r="W21" i="13"/>
  <c r="N21" i="13"/>
  <c r="U21" i="13" s="1"/>
  <c r="AD21" i="13" s="1"/>
  <c r="O20" i="13"/>
  <c r="AG20" i="13" s="1"/>
  <c r="B22" i="13"/>
  <c r="C22" i="13" l="1"/>
  <c r="J22" i="13" s="1"/>
  <c r="V22" i="13"/>
  <c r="W22" i="13"/>
  <c r="S21" i="13"/>
  <c r="AJ21" i="13" s="1"/>
  <c r="L21" i="13"/>
  <c r="N22" i="13"/>
  <c r="U22" i="13" s="1"/>
  <c r="AD22" i="13" s="1"/>
  <c r="O21" i="13"/>
  <c r="AG21" i="13" s="1"/>
  <c r="B23" i="13"/>
  <c r="C23" i="13" l="1"/>
  <c r="J23" i="13" s="1"/>
  <c r="W23" i="13"/>
  <c r="V23" i="13"/>
  <c r="L22" i="13"/>
  <c r="N23" i="13"/>
  <c r="U23" i="13" s="1"/>
  <c r="AD23" i="13" s="1"/>
  <c r="O22" i="13"/>
  <c r="AG22" i="13" s="1"/>
  <c r="B24" i="13"/>
  <c r="L23" i="13" l="1"/>
  <c r="C24" i="13"/>
  <c r="J24" i="13" s="1"/>
  <c r="W24" i="13"/>
  <c r="V24" i="13"/>
  <c r="S23" i="13"/>
  <c r="AJ23" i="13" s="1"/>
  <c r="N24" i="13"/>
  <c r="U24" i="13" s="1"/>
  <c r="AD24" i="13" s="1"/>
  <c r="O23" i="13"/>
  <c r="AG23" i="13" s="1"/>
  <c r="B25" i="13"/>
  <c r="C25" i="13" l="1"/>
  <c r="J25" i="13" s="1"/>
  <c r="W25" i="13"/>
  <c r="V25" i="13"/>
  <c r="S24" i="13"/>
  <c r="AJ24" i="13" s="1"/>
  <c r="L24" i="13"/>
  <c r="N25" i="13"/>
  <c r="U25" i="13" s="1"/>
  <c r="AD25" i="13" s="1"/>
  <c r="O24" i="13"/>
  <c r="AG24" i="13" s="1"/>
  <c r="B26" i="13"/>
  <c r="C26" i="13" l="1"/>
  <c r="J26" i="13" s="1"/>
  <c r="V26" i="13"/>
  <c r="W26" i="13"/>
  <c r="S25" i="13"/>
  <c r="AJ25" i="13" s="1"/>
  <c r="L25" i="13"/>
  <c r="N26" i="13"/>
  <c r="U26" i="13" s="1"/>
  <c r="AD26" i="13" s="1"/>
  <c r="O25" i="13"/>
  <c r="AG25" i="13" s="1"/>
  <c r="B27" i="13"/>
  <c r="L26" i="13" l="1"/>
  <c r="C27" i="13"/>
  <c r="J27" i="13" s="1"/>
  <c r="W27" i="13"/>
  <c r="V27" i="13"/>
  <c r="S26" i="13"/>
  <c r="AJ26" i="13" s="1"/>
  <c r="N27" i="13"/>
  <c r="U27" i="13" s="1"/>
  <c r="AD27" i="13" s="1"/>
  <c r="O26" i="13"/>
  <c r="AG26" i="13" s="1"/>
  <c r="B28" i="13"/>
  <c r="L27" i="13" l="1"/>
  <c r="C28" i="13"/>
  <c r="J28" i="13" s="1"/>
  <c r="V28" i="13"/>
  <c r="W28" i="13"/>
  <c r="S27" i="13"/>
  <c r="AJ27" i="13" s="1"/>
  <c r="N28" i="13"/>
  <c r="U28" i="13" s="1"/>
  <c r="AD28" i="13" s="1"/>
  <c r="O27" i="13"/>
  <c r="AG27" i="13" s="1"/>
  <c r="B29" i="13"/>
  <c r="C29" i="13" l="1"/>
  <c r="J29" i="13" s="1"/>
  <c r="W29" i="13"/>
  <c r="V29" i="13"/>
  <c r="S28" i="13"/>
  <c r="AJ28" i="13" s="1"/>
  <c r="L28" i="13"/>
  <c r="N29" i="13"/>
  <c r="U29" i="13" s="1"/>
  <c r="AD29" i="13" s="1"/>
  <c r="O28" i="13"/>
  <c r="AG28" i="13" s="1"/>
  <c r="B30" i="13"/>
  <c r="L29" i="13" l="1"/>
  <c r="W30" i="13"/>
  <c r="V30" i="13"/>
  <c r="S29" i="13"/>
  <c r="AJ29" i="13" s="1"/>
  <c r="B31" i="13"/>
  <c r="C30" i="13"/>
  <c r="J30" i="13" s="1"/>
  <c r="N30" i="13"/>
  <c r="O29" i="13"/>
  <c r="AG29" i="13" s="1"/>
  <c r="C31" i="13" l="1"/>
  <c r="J31" i="13" s="1"/>
  <c r="W31" i="13"/>
  <c r="V31" i="13"/>
  <c r="B32" i="13"/>
  <c r="N31" i="13"/>
  <c r="U31" i="13" s="1"/>
  <c r="AD31" i="13" s="1"/>
  <c r="AD33" i="13" s="1"/>
  <c r="AD35" i="13" s="1"/>
  <c r="AD37" i="13" s="1"/>
  <c r="AD39" i="13" s="1"/>
  <c r="AD41" i="13" s="1"/>
  <c r="AD43" i="13" s="1"/>
  <c r="AD45" i="13" s="1"/>
  <c r="AD47" i="13" s="1"/>
  <c r="AD49" i="13" s="1"/>
  <c r="AD51" i="13" s="1"/>
  <c r="AD53" i="13" s="1"/>
  <c r="AD55" i="13" s="1"/>
  <c r="AD57" i="13" s="1"/>
  <c r="AD59" i="13" s="1"/>
  <c r="AD61" i="13" s="1"/>
  <c r="AD63" i="13" s="1"/>
  <c r="AD65" i="13" s="1"/>
  <c r="AD67" i="13" s="1"/>
  <c r="AD69" i="13" s="1"/>
  <c r="AD71" i="13" s="1"/>
  <c r="AD73" i="13" s="1"/>
  <c r="AD75" i="13" s="1"/>
  <c r="AD77" i="13" s="1"/>
  <c r="AD79" i="13" s="1"/>
  <c r="AD81" i="13" s="1"/>
  <c r="AD83" i="13" s="1"/>
  <c r="AD85" i="13" s="1"/>
  <c r="AD87" i="13" s="1"/>
  <c r="AD89" i="13" s="1"/>
  <c r="AD91" i="13" s="1"/>
  <c r="AD93" i="13" s="1"/>
  <c r="AD95" i="13" s="1"/>
  <c r="AD97" i="13" s="1"/>
  <c r="AD99" i="13" s="1"/>
  <c r="AD101" i="13" s="1"/>
  <c r="AD103" i="13" s="1"/>
  <c r="AD105" i="13" s="1"/>
  <c r="AD107" i="13" s="1"/>
  <c r="AD109" i="13" s="1"/>
  <c r="AD111" i="13" s="1"/>
  <c r="AD113" i="13" s="1"/>
  <c r="AD115" i="13" s="1"/>
  <c r="AD117" i="13" s="1"/>
  <c r="O30" i="13"/>
  <c r="AG30" i="13" s="1"/>
  <c r="L31" i="13" l="1"/>
  <c r="C32" i="13"/>
  <c r="J32" i="13" s="1"/>
  <c r="V32" i="13"/>
  <c r="W32" i="13"/>
  <c r="B33" i="13"/>
  <c r="N32" i="13"/>
  <c r="S31" i="13"/>
  <c r="O31" i="13"/>
  <c r="L32" i="13" l="1"/>
  <c r="C33" i="13"/>
  <c r="J33" i="13" s="1"/>
  <c r="W33" i="13"/>
  <c r="V33" i="13"/>
  <c r="B34" i="13"/>
  <c r="N34" i="13" s="1"/>
  <c r="N33" i="13"/>
  <c r="U33" i="13" s="1"/>
  <c r="O32" i="13"/>
  <c r="T10" i="13"/>
  <c r="AK10" i="13" s="1"/>
  <c r="L33" i="13" l="1"/>
  <c r="C34" i="13"/>
  <c r="J34" i="13" s="1"/>
  <c r="V34" i="13"/>
  <c r="W34" i="13"/>
  <c r="B35" i="13"/>
  <c r="B36" i="13" s="1"/>
  <c r="O33" i="13"/>
  <c r="S33" i="13"/>
  <c r="O34" i="13"/>
  <c r="K11" i="13"/>
  <c r="M11" i="13" s="1"/>
  <c r="P11" i="13" s="1"/>
  <c r="AH11" i="13" l="1"/>
  <c r="L34" i="13"/>
  <c r="C36" i="13"/>
  <c r="J36" i="13" s="1"/>
  <c r="V36" i="13"/>
  <c r="W36" i="13"/>
  <c r="C35" i="13"/>
  <c r="J35" i="13" s="1"/>
  <c r="W35" i="13"/>
  <c r="V35" i="13"/>
  <c r="N35" i="13"/>
  <c r="U35" i="13" s="1"/>
  <c r="N36" i="13"/>
  <c r="B37" i="13"/>
  <c r="T11" i="13"/>
  <c r="AK11" i="13" s="1"/>
  <c r="O35" i="13" l="1"/>
  <c r="AL11" i="13"/>
  <c r="L35" i="13"/>
  <c r="C37" i="13"/>
  <c r="J37" i="13" s="1"/>
  <c r="W37" i="13"/>
  <c r="V37" i="13"/>
  <c r="S35" i="13"/>
  <c r="R11" i="13"/>
  <c r="N37" i="13"/>
  <c r="U37" i="13" s="1"/>
  <c r="B38" i="13"/>
  <c r="L36" i="13"/>
  <c r="O36" i="13"/>
  <c r="K12" i="13"/>
  <c r="M12" i="13" s="1"/>
  <c r="C38" i="13" l="1"/>
  <c r="J38" i="13" s="1"/>
  <c r="V38" i="13"/>
  <c r="W38" i="13"/>
  <c r="S12" i="13"/>
  <c r="AJ12" i="13" s="1"/>
  <c r="AI11" i="13"/>
  <c r="N38" i="13"/>
  <c r="B39" i="13"/>
  <c r="S37" i="13"/>
  <c r="L37" i="13"/>
  <c r="O37" i="13"/>
  <c r="C39" i="13" l="1"/>
  <c r="J39" i="13" s="1"/>
  <c r="W39" i="13"/>
  <c r="V39" i="13"/>
  <c r="P12" i="13"/>
  <c r="B40" i="13"/>
  <c r="N39" i="13"/>
  <c r="U39" i="13" s="1"/>
  <c r="O38" i="13"/>
  <c r="L38" i="13"/>
  <c r="AH12" i="13" l="1"/>
  <c r="C40" i="13"/>
  <c r="J40" i="13" s="1"/>
  <c r="W40" i="13"/>
  <c r="V40" i="13"/>
  <c r="R12" i="13"/>
  <c r="AI12" i="13" s="1"/>
  <c r="T12" i="13"/>
  <c r="AK12" i="13" s="1"/>
  <c r="O39" i="13"/>
  <c r="S39" i="13"/>
  <c r="L39" i="13"/>
  <c r="B41" i="13"/>
  <c r="N40" i="13"/>
  <c r="AL12" i="13" l="1"/>
  <c r="C41" i="13"/>
  <c r="J41" i="13" s="1"/>
  <c r="W41" i="13"/>
  <c r="V41" i="13"/>
  <c r="K13" i="13"/>
  <c r="M13" i="13" s="1"/>
  <c r="P13" i="13" s="1"/>
  <c r="N41" i="13"/>
  <c r="U41" i="13" s="1"/>
  <c r="B42" i="13"/>
  <c r="O40" i="13"/>
  <c r="L40" i="13"/>
  <c r="AH13" i="13" l="1"/>
  <c r="C42" i="13"/>
  <c r="J42" i="13" s="1"/>
  <c r="V42" i="13"/>
  <c r="W42" i="13"/>
  <c r="R13" i="13"/>
  <c r="AI13" i="13" s="1"/>
  <c r="T13" i="13"/>
  <c r="N42" i="13"/>
  <c r="B43" i="13"/>
  <c r="S41" i="13"/>
  <c r="L41" i="13"/>
  <c r="O41" i="13"/>
  <c r="AL13" i="13" l="1"/>
  <c r="C43" i="13"/>
  <c r="J43" i="13" s="1"/>
  <c r="V43" i="13"/>
  <c r="W43" i="13"/>
  <c r="S14" i="13"/>
  <c r="AJ14" i="13" s="1"/>
  <c r="AK13" i="13"/>
  <c r="K14" i="13"/>
  <c r="M14" i="13" s="1"/>
  <c r="N43" i="13"/>
  <c r="U43" i="13" s="1"/>
  <c r="B44" i="13"/>
  <c r="O42" i="13"/>
  <c r="L42" i="13"/>
  <c r="C44" i="13" l="1"/>
  <c r="J44" i="13" s="1"/>
  <c r="V44" i="13"/>
  <c r="W44" i="13"/>
  <c r="P14" i="13"/>
  <c r="B45" i="13"/>
  <c r="N44" i="13"/>
  <c r="S43" i="13"/>
  <c r="L43" i="13"/>
  <c r="O43" i="13"/>
  <c r="AH14" i="13" l="1"/>
  <c r="C45" i="13"/>
  <c r="J45" i="13" s="1"/>
  <c r="W45" i="13"/>
  <c r="V45" i="13"/>
  <c r="T14" i="13"/>
  <c r="AK14" i="13" s="1"/>
  <c r="R14" i="13"/>
  <c r="AI14" i="13" s="1"/>
  <c r="O44" i="13"/>
  <c r="B46" i="13"/>
  <c r="N45" i="13"/>
  <c r="U45" i="13" s="1"/>
  <c r="L44" i="13"/>
  <c r="AL14" i="13" l="1"/>
  <c r="C46" i="13"/>
  <c r="J46" i="13" s="1"/>
  <c r="W46" i="13"/>
  <c r="V46" i="13"/>
  <c r="K15" i="13"/>
  <c r="M15" i="13" s="1"/>
  <c r="P15" i="13" s="1"/>
  <c r="O45" i="13"/>
  <c r="S45" i="13"/>
  <c r="L45" i="13"/>
  <c r="B47" i="13"/>
  <c r="N46" i="13"/>
  <c r="AH15" i="13" l="1"/>
  <c r="C47" i="13"/>
  <c r="J47" i="13" s="1"/>
  <c r="W47" i="13"/>
  <c r="V47" i="13"/>
  <c r="R15" i="13"/>
  <c r="S16" i="13" s="1"/>
  <c r="AJ16" i="13" s="1"/>
  <c r="T15" i="13"/>
  <c r="K16" i="13" s="1"/>
  <c r="M16" i="13" s="1"/>
  <c r="O46" i="13"/>
  <c r="L46" i="13"/>
  <c r="B48" i="13"/>
  <c r="N47" i="13"/>
  <c r="U47" i="13" s="1"/>
  <c r="AL15" i="13" l="1"/>
  <c r="C48" i="13"/>
  <c r="J48" i="13" s="1"/>
  <c r="W48" i="13"/>
  <c r="V48" i="13"/>
  <c r="P16" i="13"/>
  <c r="AK15" i="13"/>
  <c r="AI15" i="13"/>
  <c r="S47" i="13"/>
  <c r="L47" i="13"/>
  <c r="N48" i="13"/>
  <c r="B49" i="13"/>
  <c r="O47" i="13"/>
  <c r="AH16" i="13" l="1"/>
  <c r="C49" i="13"/>
  <c r="J49" i="13" s="1"/>
  <c r="V49" i="13"/>
  <c r="W49" i="13"/>
  <c r="R16" i="13"/>
  <c r="AI16" i="13" s="1"/>
  <c r="T16" i="13"/>
  <c r="AK16" i="13" s="1"/>
  <c r="N49" i="13"/>
  <c r="U49" i="13" s="1"/>
  <c r="B50" i="13"/>
  <c r="L48" i="13"/>
  <c r="O48" i="13"/>
  <c r="AL16" i="13" l="1"/>
  <c r="C50" i="13"/>
  <c r="J50" i="13" s="1"/>
  <c r="V50" i="13"/>
  <c r="W50" i="13"/>
  <c r="K17" i="13"/>
  <c r="M17" i="13" s="1"/>
  <c r="P17" i="13" s="1"/>
  <c r="S18" i="13"/>
  <c r="AJ18" i="13" s="1"/>
  <c r="S49" i="13"/>
  <c r="L49" i="13"/>
  <c r="B51" i="13"/>
  <c r="N50" i="13"/>
  <c r="O49" i="13"/>
  <c r="AH17" i="13" l="1"/>
  <c r="C51" i="13"/>
  <c r="J51" i="13" s="1"/>
  <c r="V51" i="13"/>
  <c r="W51" i="13"/>
  <c r="R17" i="13"/>
  <c r="AI17" i="13" s="1"/>
  <c r="T17" i="13"/>
  <c r="AK17" i="13" s="1"/>
  <c r="N51" i="13"/>
  <c r="U51" i="13" s="1"/>
  <c r="B52" i="13"/>
  <c r="L50" i="13"/>
  <c r="O50" i="13"/>
  <c r="AL17" i="13" l="1"/>
  <c r="C52" i="13"/>
  <c r="J52" i="13" s="1"/>
  <c r="W52" i="13"/>
  <c r="V52" i="13"/>
  <c r="K18" i="13"/>
  <c r="M18" i="13" s="1"/>
  <c r="P18" i="13" s="1"/>
  <c r="B53" i="13"/>
  <c r="N52" i="13"/>
  <c r="O51" i="13"/>
  <c r="S51" i="13"/>
  <c r="L51" i="13"/>
  <c r="AH18" i="13" l="1"/>
  <c r="C53" i="13"/>
  <c r="J53" i="13" s="1"/>
  <c r="W53" i="13"/>
  <c r="V53" i="13"/>
  <c r="T18" i="13"/>
  <c r="AK18" i="13" s="1"/>
  <c r="R18" i="13"/>
  <c r="AI18" i="13" s="1"/>
  <c r="O52" i="13"/>
  <c r="L52" i="13"/>
  <c r="N53" i="13"/>
  <c r="U53" i="13" s="1"/>
  <c r="B54" i="13"/>
  <c r="AL18" i="13" l="1"/>
  <c r="C54" i="13"/>
  <c r="J54" i="13" s="1"/>
  <c r="W54" i="13"/>
  <c r="V54" i="13"/>
  <c r="K19" i="13"/>
  <c r="M19" i="13" s="1"/>
  <c r="P19" i="13" s="1"/>
  <c r="S20" i="13"/>
  <c r="AJ20" i="13" s="1"/>
  <c r="O53" i="13"/>
  <c r="N54" i="13"/>
  <c r="B55" i="13"/>
  <c r="S53" i="13"/>
  <c r="L53" i="13"/>
  <c r="AH19" i="13" l="1"/>
  <c r="C55" i="13"/>
  <c r="J55" i="13" s="1"/>
  <c r="W55" i="13"/>
  <c r="V55" i="13"/>
  <c r="R19" i="13"/>
  <c r="AI19" i="13" s="1"/>
  <c r="T19" i="13"/>
  <c r="AK19" i="13" s="1"/>
  <c r="N55" i="13"/>
  <c r="U55" i="13" s="1"/>
  <c r="B56" i="13"/>
  <c r="L54" i="13"/>
  <c r="O54" i="13"/>
  <c r="AL19" i="13" l="1"/>
  <c r="C56" i="13"/>
  <c r="J56" i="13" s="1"/>
  <c r="V56" i="13"/>
  <c r="W56" i="13"/>
  <c r="K20" i="13"/>
  <c r="M20" i="13" s="1"/>
  <c r="P20" i="13" s="1"/>
  <c r="B57" i="13"/>
  <c r="N56" i="13"/>
  <c r="S55" i="13"/>
  <c r="L55" i="13"/>
  <c r="O55" i="13"/>
  <c r="AH20" i="13" l="1"/>
  <c r="C57" i="13"/>
  <c r="J57" i="13" s="1"/>
  <c r="V57" i="13"/>
  <c r="W57" i="13"/>
  <c r="T20" i="13"/>
  <c r="AK20" i="13" s="1"/>
  <c r="R20" i="13"/>
  <c r="AI20" i="13" s="1"/>
  <c r="O56" i="13"/>
  <c r="B58" i="13"/>
  <c r="N57" i="13"/>
  <c r="U57" i="13" s="1"/>
  <c r="L56" i="13"/>
  <c r="AL20" i="13" l="1"/>
  <c r="C58" i="13"/>
  <c r="J58" i="13" s="1"/>
  <c r="V58" i="13"/>
  <c r="W58" i="13"/>
  <c r="K21" i="13"/>
  <c r="M21" i="13" s="1"/>
  <c r="P21" i="13" s="1"/>
  <c r="S22" i="13"/>
  <c r="AJ22" i="13" s="1"/>
  <c r="O57" i="13"/>
  <c r="S57" i="13"/>
  <c r="L57" i="13"/>
  <c r="B59" i="13"/>
  <c r="N58" i="13"/>
  <c r="AH21" i="13" l="1"/>
  <c r="C59" i="13"/>
  <c r="J59" i="13" s="1"/>
  <c r="W59" i="13"/>
  <c r="V59" i="13"/>
  <c r="R21" i="13"/>
  <c r="AI21" i="13" s="1"/>
  <c r="T21" i="13"/>
  <c r="AK21" i="13" s="1"/>
  <c r="L58" i="13"/>
  <c r="O58" i="13"/>
  <c r="B60" i="13"/>
  <c r="N59" i="13"/>
  <c r="U59" i="13" s="1"/>
  <c r="AL21" i="13" l="1"/>
  <c r="C60" i="13"/>
  <c r="J60" i="13" s="1"/>
  <c r="W60" i="13"/>
  <c r="V60" i="13"/>
  <c r="K22" i="13"/>
  <c r="M22" i="13" s="1"/>
  <c r="P22" i="13" s="1"/>
  <c r="O59" i="13"/>
  <c r="N60" i="13"/>
  <c r="B61" i="13"/>
  <c r="S59" i="13"/>
  <c r="L59" i="13"/>
  <c r="AH22" i="13" l="1"/>
  <c r="C61" i="13"/>
  <c r="J61" i="13" s="1"/>
  <c r="W61" i="13"/>
  <c r="V61" i="13"/>
  <c r="T22" i="13"/>
  <c r="AK22" i="13" s="1"/>
  <c r="R22" i="13"/>
  <c r="AI22" i="13" s="1"/>
  <c r="L60" i="13"/>
  <c r="N61" i="13"/>
  <c r="U61" i="13" s="1"/>
  <c r="B62" i="13"/>
  <c r="O60" i="13"/>
  <c r="AL22" i="13" l="1"/>
  <c r="C62" i="13"/>
  <c r="J62" i="13" s="1"/>
  <c r="V62" i="13"/>
  <c r="W62" i="13"/>
  <c r="K23" i="13"/>
  <c r="M23" i="13" s="1"/>
  <c r="P23" i="13" s="1"/>
  <c r="S61" i="13"/>
  <c r="L61" i="13"/>
  <c r="B63" i="13"/>
  <c r="N62" i="13"/>
  <c r="O61" i="13"/>
  <c r="AH23" i="13" l="1"/>
  <c r="C63" i="13"/>
  <c r="J63" i="13" s="1"/>
  <c r="V63" i="13"/>
  <c r="W63" i="13"/>
  <c r="T23" i="13"/>
  <c r="AK23" i="13" s="1"/>
  <c r="R23" i="13"/>
  <c r="AI23" i="13" s="1"/>
  <c r="L62" i="13"/>
  <c r="N63" i="13"/>
  <c r="U63" i="13" s="1"/>
  <c r="B64" i="13"/>
  <c r="O62" i="13"/>
  <c r="AL23" i="13" l="1"/>
  <c r="C64" i="13"/>
  <c r="J64" i="13" s="1"/>
  <c r="V64" i="13"/>
  <c r="W64" i="13"/>
  <c r="K24" i="13"/>
  <c r="M24" i="13" s="1"/>
  <c r="P24" i="13" s="1"/>
  <c r="S63" i="13"/>
  <c r="L63" i="13"/>
  <c r="O63" i="13"/>
  <c r="B65" i="13"/>
  <c r="N64" i="13"/>
  <c r="AH24" i="13" l="1"/>
  <c r="C65" i="13"/>
  <c r="J65" i="13" s="1"/>
  <c r="W65" i="13"/>
  <c r="V65" i="13"/>
  <c r="R24" i="13"/>
  <c r="AI24" i="13" s="1"/>
  <c r="T24" i="13"/>
  <c r="AK24" i="13" s="1"/>
  <c r="L64" i="13"/>
  <c r="N65" i="13"/>
  <c r="U65" i="13" s="1"/>
  <c r="B66" i="13"/>
  <c r="O64" i="13"/>
  <c r="AL24" i="13" l="1"/>
  <c r="C66" i="13"/>
  <c r="J66" i="13" s="1"/>
  <c r="V66" i="13"/>
  <c r="W66" i="13"/>
  <c r="K25" i="13"/>
  <c r="M25" i="13" s="1"/>
  <c r="P25" i="13" s="1"/>
  <c r="O65" i="13"/>
  <c r="S65" i="13"/>
  <c r="L65" i="13"/>
  <c r="N66" i="13"/>
  <c r="B67" i="13"/>
  <c r="AH25" i="13" l="1"/>
  <c r="C67" i="13"/>
  <c r="J67" i="13" s="1"/>
  <c r="W67" i="13"/>
  <c r="V67" i="13"/>
  <c r="R25" i="13"/>
  <c r="AI25" i="13" s="1"/>
  <c r="T25" i="13"/>
  <c r="AK25" i="13" s="1"/>
  <c r="L66" i="13"/>
  <c r="N67" i="13"/>
  <c r="U67" i="13" s="1"/>
  <c r="B68" i="13"/>
  <c r="O66" i="13"/>
  <c r="AL25" i="13" l="1"/>
  <c r="C68" i="13"/>
  <c r="J68" i="13" s="1"/>
  <c r="V68" i="13"/>
  <c r="W68" i="13"/>
  <c r="K26" i="13"/>
  <c r="M26" i="13" s="1"/>
  <c r="P26" i="13" s="1"/>
  <c r="S67" i="13"/>
  <c r="L67" i="13"/>
  <c r="O67" i="13"/>
  <c r="B69" i="13"/>
  <c r="N68" i="13"/>
  <c r="AH26" i="13" l="1"/>
  <c r="C69" i="13"/>
  <c r="J69" i="13" s="1"/>
  <c r="W69" i="13"/>
  <c r="V69" i="13"/>
  <c r="R26" i="13"/>
  <c r="AI26" i="13" s="1"/>
  <c r="T26" i="13"/>
  <c r="AK26" i="13" s="1"/>
  <c r="B70" i="13"/>
  <c r="N69" i="13"/>
  <c r="U69" i="13" s="1"/>
  <c r="O68" i="13"/>
  <c r="L68" i="13"/>
  <c r="AL26" i="13" l="1"/>
  <c r="C70" i="13"/>
  <c r="J70" i="13" s="1"/>
  <c r="V70" i="13"/>
  <c r="W70" i="13"/>
  <c r="K27" i="13"/>
  <c r="M27" i="13" s="1"/>
  <c r="P27" i="13" s="1"/>
  <c r="O69" i="13"/>
  <c r="S69" i="13"/>
  <c r="L69" i="13"/>
  <c r="B71" i="13"/>
  <c r="N70" i="13"/>
  <c r="AH27" i="13" l="1"/>
  <c r="C71" i="13"/>
  <c r="J71" i="13" s="1"/>
  <c r="W71" i="13"/>
  <c r="V71" i="13"/>
  <c r="R27" i="13"/>
  <c r="AI27" i="13" s="1"/>
  <c r="T27" i="13"/>
  <c r="AK27" i="13" s="1"/>
  <c r="O70" i="13"/>
  <c r="B72" i="13"/>
  <c r="N71" i="13"/>
  <c r="U71" i="13" s="1"/>
  <c r="L70" i="13"/>
  <c r="AL27" i="13" l="1"/>
  <c r="C72" i="13"/>
  <c r="J72" i="13" s="1"/>
  <c r="V72" i="13"/>
  <c r="W72" i="13"/>
  <c r="K28" i="13"/>
  <c r="M28" i="13" s="1"/>
  <c r="R28" i="13" s="1"/>
  <c r="AI28" i="13" s="1"/>
  <c r="O71" i="13"/>
  <c r="S71" i="13"/>
  <c r="L71" i="13"/>
  <c r="N72" i="13"/>
  <c r="B73" i="13"/>
  <c r="C73" i="13" l="1"/>
  <c r="J73" i="13" s="1"/>
  <c r="V73" i="13"/>
  <c r="W73" i="13"/>
  <c r="P28" i="13"/>
  <c r="O72" i="13"/>
  <c r="L72" i="13"/>
  <c r="N73" i="13"/>
  <c r="U73" i="13" s="1"/>
  <c r="B74" i="13"/>
  <c r="AH28" i="13" l="1"/>
  <c r="C74" i="13"/>
  <c r="J74" i="13" s="1"/>
  <c r="V74" i="13"/>
  <c r="W74" i="13"/>
  <c r="T28" i="13"/>
  <c r="AK28" i="13" s="1"/>
  <c r="S73" i="13"/>
  <c r="L73" i="13"/>
  <c r="B75" i="13"/>
  <c r="N74" i="13"/>
  <c r="O73" i="13"/>
  <c r="AL28" i="13" l="1"/>
  <c r="K29" i="13"/>
  <c r="M29" i="13" s="1"/>
  <c r="P29" i="13" s="1"/>
  <c r="C75" i="13"/>
  <c r="J75" i="13" s="1"/>
  <c r="W75" i="13"/>
  <c r="V75" i="13"/>
  <c r="T30" i="13"/>
  <c r="AK30" i="13" s="1"/>
  <c r="O74" i="13"/>
  <c r="L74" i="13"/>
  <c r="N75" i="13"/>
  <c r="U75" i="13" s="1"/>
  <c r="B76" i="13"/>
  <c r="AH29" i="13" l="1"/>
  <c r="T29" i="13"/>
  <c r="AK29" i="13" s="1"/>
  <c r="R29" i="13"/>
  <c r="AI29" i="13" s="1"/>
  <c r="C76" i="13"/>
  <c r="J76" i="13" s="1"/>
  <c r="W76" i="13"/>
  <c r="V76" i="13"/>
  <c r="K31" i="13"/>
  <c r="M31" i="13" s="1"/>
  <c r="O75" i="13"/>
  <c r="S75" i="13"/>
  <c r="L75" i="13"/>
  <c r="B77" i="13"/>
  <c r="N76" i="13"/>
  <c r="K30" i="13" l="1"/>
  <c r="M30" i="13" s="1"/>
  <c r="R30" i="13" s="1"/>
  <c r="AI30" i="13" s="1"/>
  <c r="AL29" i="13"/>
  <c r="S30" i="13"/>
  <c r="AJ30" i="13" s="1"/>
  <c r="C77" i="13"/>
  <c r="J77" i="13" s="1"/>
  <c r="W77" i="13"/>
  <c r="V77" i="13"/>
  <c r="R31" i="13"/>
  <c r="S32" i="13" s="1"/>
  <c r="O76" i="13"/>
  <c r="N77" i="13"/>
  <c r="U77" i="13" s="1"/>
  <c r="B78" i="13"/>
  <c r="L76" i="13"/>
  <c r="P30" i="13" l="1"/>
  <c r="U30" i="13" s="1"/>
  <c r="AD30" i="13" s="1"/>
  <c r="AD32" i="13" s="1"/>
  <c r="AD34" i="13" s="1"/>
  <c r="AD36" i="13" s="1"/>
  <c r="AD38" i="13" s="1"/>
  <c r="AD40" i="13" s="1"/>
  <c r="AD42" i="13" s="1"/>
  <c r="AD44" i="13" s="1"/>
  <c r="AD46" i="13" s="1"/>
  <c r="AD48" i="13" s="1"/>
  <c r="AD50" i="13" s="1"/>
  <c r="AD52" i="13" s="1"/>
  <c r="AD54" i="13" s="1"/>
  <c r="AD56" i="13" s="1"/>
  <c r="AD58" i="13" s="1"/>
  <c r="AD60" i="13" s="1"/>
  <c r="AD62" i="13" s="1"/>
  <c r="AD64" i="13" s="1"/>
  <c r="AD66" i="13" s="1"/>
  <c r="AD68" i="13" s="1"/>
  <c r="AD70" i="13" s="1"/>
  <c r="AD72" i="13" s="1"/>
  <c r="AD74" i="13" s="1"/>
  <c r="AD76" i="13" s="1"/>
  <c r="AD78" i="13" s="1"/>
  <c r="AD80" i="13" s="1"/>
  <c r="AD82" i="13" s="1"/>
  <c r="AD84" i="13" s="1"/>
  <c r="AD86" i="13" s="1"/>
  <c r="AD88" i="13" s="1"/>
  <c r="AD90" i="13" s="1"/>
  <c r="AD92" i="13" s="1"/>
  <c r="AD94" i="13" s="1"/>
  <c r="AD96" i="13" s="1"/>
  <c r="AD98" i="13" s="1"/>
  <c r="AD100" i="13" s="1"/>
  <c r="AD102" i="13" s="1"/>
  <c r="AD104" i="13" s="1"/>
  <c r="AD106" i="13" s="1"/>
  <c r="AD108" i="13" s="1"/>
  <c r="AD110" i="13" s="1"/>
  <c r="AD112" i="13" s="1"/>
  <c r="AD114" i="13" s="1"/>
  <c r="AD116" i="13" s="1"/>
  <c r="AD118" i="13" s="1"/>
  <c r="C78" i="13"/>
  <c r="J78" i="13" s="1"/>
  <c r="V78" i="13"/>
  <c r="W78" i="13"/>
  <c r="T31" i="13"/>
  <c r="K32" i="13" s="1"/>
  <c r="M32" i="13" s="1"/>
  <c r="R32" i="13" s="1"/>
  <c r="S77" i="13"/>
  <c r="L77" i="13"/>
  <c r="B79" i="13"/>
  <c r="N78" i="13"/>
  <c r="O77" i="13"/>
  <c r="P31" i="13" l="1"/>
  <c r="P32" i="13" s="1"/>
  <c r="U32" i="13" s="1"/>
  <c r="AH30" i="13"/>
  <c r="C79" i="13"/>
  <c r="J79" i="13" s="1"/>
  <c r="V79" i="13"/>
  <c r="W79" i="13"/>
  <c r="O78" i="13"/>
  <c r="L78" i="13"/>
  <c r="N79" i="13"/>
  <c r="U79" i="13" s="1"/>
  <c r="B80" i="13"/>
  <c r="AL30" i="13" l="1"/>
  <c r="C80" i="13"/>
  <c r="J80" i="13" s="1"/>
  <c r="V80" i="13"/>
  <c r="W80" i="13"/>
  <c r="T32" i="13"/>
  <c r="K33" i="13" s="1"/>
  <c r="M33" i="13" s="1"/>
  <c r="R33" i="13" s="1"/>
  <c r="S34" i="13" s="1"/>
  <c r="S79" i="13"/>
  <c r="L79" i="13"/>
  <c r="N80" i="13"/>
  <c r="B81" i="13"/>
  <c r="O79" i="13"/>
  <c r="C81" i="13" l="1"/>
  <c r="J81" i="13" s="1"/>
  <c r="W81" i="13"/>
  <c r="V81" i="13"/>
  <c r="P33" i="13"/>
  <c r="L80" i="13"/>
  <c r="B82" i="13"/>
  <c r="N81" i="13"/>
  <c r="U81" i="13" s="1"/>
  <c r="O80" i="13"/>
  <c r="C82" i="13" l="1"/>
  <c r="J82" i="13" s="1"/>
  <c r="W82" i="13"/>
  <c r="V82" i="13"/>
  <c r="T33" i="13"/>
  <c r="K34" i="13" s="1"/>
  <c r="M34" i="13" s="1"/>
  <c r="R34" i="13" s="1"/>
  <c r="O81" i="13"/>
  <c r="S81" i="13"/>
  <c r="L81" i="13"/>
  <c r="N82" i="13"/>
  <c r="B83" i="13"/>
  <c r="C83" i="13" l="1"/>
  <c r="J83" i="13" s="1"/>
  <c r="W83" i="13"/>
  <c r="V83" i="13"/>
  <c r="P34" i="13"/>
  <c r="U34" i="13" s="1"/>
  <c r="O82" i="13"/>
  <c r="L82" i="13"/>
  <c r="B84" i="13"/>
  <c r="N83" i="13"/>
  <c r="U83" i="13" s="1"/>
  <c r="C84" i="13" l="1"/>
  <c r="J84" i="13" s="1"/>
  <c r="V84" i="13"/>
  <c r="W84" i="13"/>
  <c r="T34" i="13"/>
  <c r="K35" i="13" s="1"/>
  <c r="M35" i="13" s="1"/>
  <c r="R35" i="13" s="1"/>
  <c r="S36" i="13" s="1"/>
  <c r="S83" i="13"/>
  <c r="L83" i="13"/>
  <c r="O83" i="13"/>
  <c r="B85" i="13"/>
  <c r="N84" i="13"/>
  <c r="C85" i="13" l="1"/>
  <c r="J85" i="13" s="1"/>
  <c r="V85" i="13"/>
  <c r="W85" i="13"/>
  <c r="P35" i="13"/>
  <c r="O84" i="13"/>
  <c r="L84" i="13"/>
  <c r="B86" i="13"/>
  <c r="N85" i="13"/>
  <c r="U85" i="13" s="1"/>
  <c r="C86" i="13" l="1"/>
  <c r="J86" i="13" s="1"/>
  <c r="V86" i="13"/>
  <c r="W86" i="13"/>
  <c r="T35" i="13"/>
  <c r="K36" i="13" s="1"/>
  <c r="M36" i="13" s="1"/>
  <c r="R36" i="13" s="1"/>
  <c r="N86" i="13"/>
  <c r="B87" i="13"/>
  <c r="O85" i="13"/>
  <c r="S85" i="13"/>
  <c r="L85" i="13"/>
  <c r="C87" i="13" l="1"/>
  <c r="J87" i="13" s="1"/>
  <c r="V87" i="13"/>
  <c r="W87" i="13"/>
  <c r="P36" i="13"/>
  <c r="U36" i="13" s="1"/>
  <c r="B88" i="13"/>
  <c r="N87" i="13"/>
  <c r="U87" i="13" s="1"/>
  <c r="L86" i="13"/>
  <c r="O86" i="13"/>
  <c r="C88" i="13" l="1"/>
  <c r="J88" i="13" s="1"/>
  <c r="W88" i="13"/>
  <c r="V88" i="13"/>
  <c r="T36" i="13"/>
  <c r="K37" i="13" s="1"/>
  <c r="M37" i="13" s="1"/>
  <c r="R37" i="13" s="1"/>
  <c r="S38" i="13" s="1"/>
  <c r="O87" i="13"/>
  <c r="N88" i="13"/>
  <c r="B89" i="13"/>
  <c r="S87" i="13"/>
  <c r="L87" i="13"/>
  <c r="C89" i="13" l="1"/>
  <c r="J89" i="13" s="1"/>
  <c r="W89" i="13"/>
  <c r="V89" i="13"/>
  <c r="P37" i="13"/>
  <c r="L88" i="13"/>
  <c r="B90" i="13"/>
  <c r="N89" i="13"/>
  <c r="U89" i="13" s="1"/>
  <c r="O88" i="13"/>
  <c r="C90" i="13" l="1"/>
  <c r="J90" i="13" s="1"/>
  <c r="W90" i="13"/>
  <c r="V90" i="13"/>
  <c r="T37" i="13"/>
  <c r="K38" i="13" s="1"/>
  <c r="M38" i="13" s="1"/>
  <c r="R38" i="13" s="1"/>
  <c r="S89" i="13"/>
  <c r="L89" i="13"/>
  <c r="B91" i="13"/>
  <c r="N90" i="13"/>
  <c r="O89" i="13"/>
  <c r="C91" i="13" l="1"/>
  <c r="J91" i="13" s="1"/>
  <c r="V91" i="13"/>
  <c r="W91" i="13"/>
  <c r="P38" i="13"/>
  <c r="U38" i="13" s="1"/>
  <c r="O90" i="13"/>
  <c r="N91" i="13"/>
  <c r="U91" i="13" s="1"/>
  <c r="B92" i="13"/>
  <c r="L90" i="13"/>
  <c r="C92" i="13" l="1"/>
  <c r="J92" i="13" s="1"/>
  <c r="V92" i="13"/>
  <c r="W92" i="13"/>
  <c r="T38" i="13"/>
  <c r="K39" i="13" s="1"/>
  <c r="M39" i="13" s="1"/>
  <c r="R39" i="13" s="1"/>
  <c r="S40" i="13" s="1"/>
  <c r="S91" i="13"/>
  <c r="L91" i="13"/>
  <c r="B93" i="13"/>
  <c r="N92" i="13"/>
  <c r="O91" i="13"/>
  <c r="C93" i="13" l="1"/>
  <c r="J93" i="13" s="1"/>
  <c r="V93" i="13"/>
  <c r="W93" i="13"/>
  <c r="P39" i="13"/>
  <c r="L92" i="13"/>
  <c r="O92" i="13"/>
  <c r="N93" i="13"/>
  <c r="U93" i="13" s="1"/>
  <c r="B94" i="13"/>
  <c r="C94" i="13" l="1"/>
  <c r="J94" i="13" s="1"/>
  <c r="V94" i="13"/>
  <c r="W94" i="13"/>
  <c r="T39" i="13"/>
  <c r="K40" i="13" s="1"/>
  <c r="M40" i="13" s="1"/>
  <c r="R40" i="13" s="1"/>
  <c r="S93" i="13"/>
  <c r="L93" i="13"/>
  <c r="O93" i="13"/>
  <c r="N94" i="13"/>
  <c r="B95" i="13"/>
  <c r="C95" i="13" l="1"/>
  <c r="J95" i="13" s="1"/>
  <c r="W95" i="13"/>
  <c r="V95" i="13"/>
  <c r="P40" i="13"/>
  <c r="U40" i="13" s="1"/>
  <c r="L94" i="13"/>
  <c r="N95" i="13"/>
  <c r="U95" i="13" s="1"/>
  <c r="B96" i="13"/>
  <c r="O94" i="13"/>
  <c r="C96" i="13" l="1"/>
  <c r="J96" i="13" s="1"/>
  <c r="W96" i="13"/>
  <c r="V96" i="13"/>
  <c r="T40" i="13"/>
  <c r="K41" i="13" s="1"/>
  <c r="M41" i="13" s="1"/>
  <c r="R41" i="13" s="1"/>
  <c r="S42" i="13" s="1"/>
  <c r="O95" i="13"/>
  <c r="S95" i="13"/>
  <c r="L95" i="13"/>
  <c r="N96" i="13"/>
  <c r="B97" i="13"/>
  <c r="C97" i="13" l="1"/>
  <c r="J97" i="13" s="1"/>
  <c r="W97" i="13"/>
  <c r="V97" i="13"/>
  <c r="P41" i="13"/>
  <c r="O96" i="13"/>
  <c r="L96" i="13"/>
  <c r="B98" i="13"/>
  <c r="N97" i="13"/>
  <c r="U97" i="13" s="1"/>
  <c r="C98" i="13" l="1"/>
  <c r="J98" i="13" s="1"/>
  <c r="V98" i="13"/>
  <c r="W98" i="13"/>
  <c r="T41" i="13"/>
  <c r="K42" i="13" s="1"/>
  <c r="M42" i="13" s="1"/>
  <c r="R42" i="13" s="1"/>
  <c r="S97" i="13"/>
  <c r="L97" i="13"/>
  <c r="O97" i="13"/>
  <c r="N98" i="13"/>
  <c r="B99" i="13"/>
  <c r="C99" i="13" l="1"/>
  <c r="J99" i="13" s="1"/>
  <c r="W99" i="13"/>
  <c r="V99" i="13"/>
  <c r="P42" i="13"/>
  <c r="U42" i="13" s="1"/>
  <c r="L98" i="13"/>
  <c r="B100" i="13"/>
  <c r="N99" i="13"/>
  <c r="U99" i="13" s="1"/>
  <c r="O98" i="13"/>
  <c r="C100" i="13" l="1"/>
  <c r="J100" i="13" s="1"/>
  <c r="V100" i="13"/>
  <c r="W100" i="13"/>
  <c r="T42" i="13"/>
  <c r="K43" i="13" s="1"/>
  <c r="M43" i="13" s="1"/>
  <c r="R43" i="13" s="1"/>
  <c r="S44" i="13" s="1"/>
  <c r="O99" i="13"/>
  <c r="N100" i="13"/>
  <c r="B101" i="13"/>
  <c r="S99" i="13"/>
  <c r="L99" i="13"/>
  <c r="C101" i="13" l="1"/>
  <c r="J101" i="13" s="1"/>
  <c r="W101" i="13"/>
  <c r="V101" i="13"/>
  <c r="P43" i="13"/>
  <c r="L100" i="13"/>
  <c r="N101" i="13"/>
  <c r="U101" i="13" s="1"/>
  <c r="B102" i="13"/>
  <c r="O100" i="13"/>
  <c r="C102" i="13" l="1"/>
  <c r="J102" i="13" s="1"/>
  <c r="V102" i="13"/>
  <c r="W102" i="13"/>
  <c r="T43" i="13"/>
  <c r="K44" i="13" s="1"/>
  <c r="M44" i="13" s="1"/>
  <c r="R44" i="13" s="1"/>
  <c r="O101" i="13"/>
  <c r="B103" i="13"/>
  <c r="N102" i="13"/>
  <c r="S101" i="13"/>
  <c r="L101" i="13"/>
  <c r="C103" i="13" l="1"/>
  <c r="J103" i="13" s="1"/>
  <c r="W103" i="13"/>
  <c r="V103" i="13"/>
  <c r="P44" i="13"/>
  <c r="U44" i="13" s="1"/>
  <c r="O102" i="13"/>
  <c r="N103" i="13"/>
  <c r="U103" i="13" s="1"/>
  <c r="B104" i="13"/>
  <c r="L102" i="13"/>
  <c r="C104" i="13" l="1"/>
  <c r="J104" i="13" s="1"/>
  <c r="V104" i="13"/>
  <c r="W104" i="13"/>
  <c r="T44" i="13"/>
  <c r="K45" i="13" s="1"/>
  <c r="M45" i="13" s="1"/>
  <c r="R45" i="13" s="1"/>
  <c r="S46" i="13" s="1"/>
  <c r="S103" i="13"/>
  <c r="L103" i="13"/>
  <c r="B105" i="13"/>
  <c r="N104" i="13"/>
  <c r="O103" i="13"/>
  <c r="C105" i="13" l="1"/>
  <c r="J105" i="13" s="1"/>
  <c r="W105" i="13"/>
  <c r="V105" i="13"/>
  <c r="P45" i="13"/>
  <c r="N105" i="13"/>
  <c r="U105" i="13" s="1"/>
  <c r="B106" i="13"/>
  <c r="L104" i="13"/>
  <c r="O104" i="13"/>
  <c r="C106" i="13" l="1"/>
  <c r="J106" i="13" s="1"/>
  <c r="W106" i="13"/>
  <c r="V106" i="13"/>
  <c r="T45" i="13"/>
  <c r="K46" i="13" s="1"/>
  <c r="M46" i="13" s="1"/>
  <c r="R46" i="13" s="1"/>
  <c r="S105" i="13"/>
  <c r="L105" i="13"/>
  <c r="N106" i="13"/>
  <c r="B107" i="13"/>
  <c r="O105" i="13"/>
  <c r="C107" i="13" l="1"/>
  <c r="J107" i="13" s="1"/>
  <c r="W107" i="13"/>
  <c r="V107" i="13"/>
  <c r="P46" i="13"/>
  <c r="U46" i="13" s="1"/>
  <c r="L106" i="13"/>
  <c r="N107" i="13"/>
  <c r="U107" i="13" s="1"/>
  <c r="B108" i="13"/>
  <c r="O106" i="13"/>
  <c r="C108" i="13" l="1"/>
  <c r="J108" i="13" s="1"/>
  <c r="V108" i="13"/>
  <c r="W108" i="13"/>
  <c r="T46" i="13"/>
  <c r="K47" i="13" s="1"/>
  <c r="M47" i="13" s="1"/>
  <c r="R47" i="13" s="1"/>
  <c r="S48" i="13" s="1"/>
  <c r="S107" i="13"/>
  <c r="L107" i="13"/>
  <c r="N108" i="13"/>
  <c r="B109" i="13"/>
  <c r="O107" i="13"/>
  <c r="C109" i="13" l="1"/>
  <c r="J109" i="13" s="1"/>
  <c r="V109" i="13"/>
  <c r="W109" i="13"/>
  <c r="P47" i="13"/>
  <c r="B110" i="13"/>
  <c r="N109" i="13"/>
  <c r="U109" i="13" s="1"/>
  <c r="L108" i="13"/>
  <c r="O108" i="13"/>
  <c r="C110" i="13" l="1"/>
  <c r="J110" i="13" s="1"/>
  <c r="V110" i="13"/>
  <c r="W110" i="13"/>
  <c r="T47" i="13"/>
  <c r="K48" i="13" s="1"/>
  <c r="M48" i="13" s="1"/>
  <c r="R48" i="13" s="1"/>
  <c r="O109" i="13"/>
  <c r="S109" i="13"/>
  <c r="L109" i="13"/>
  <c r="N110" i="13"/>
  <c r="B111" i="13"/>
  <c r="C111" i="13" l="1"/>
  <c r="J111" i="13" s="1"/>
  <c r="W111" i="13"/>
  <c r="V111" i="13"/>
  <c r="P48" i="13"/>
  <c r="U48" i="13" s="1"/>
  <c r="L110" i="13"/>
  <c r="B112" i="13"/>
  <c r="N111" i="13"/>
  <c r="U111" i="13" s="1"/>
  <c r="O110" i="13"/>
  <c r="C112" i="13" l="1"/>
  <c r="J112" i="13" s="1"/>
  <c r="W112" i="13"/>
  <c r="V112" i="13"/>
  <c r="T48" i="13"/>
  <c r="K49" i="13" s="1"/>
  <c r="M49" i="13" s="1"/>
  <c r="R49" i="13" s="1"/>
  <c r="S50" i="13" s="1"/>
  <c r="S111" i="13"/>
  <c r="L111" i="13"/>
  <c r="N112" i="13"/>
  <c r="B113" i="13"/>
  <c r="O111" i="13"/>
  <c r="C113" i="13" l="1"/>
  <c r="J113" i="13" s="1"/>
  <c r="W113" i="13"/>
  <c r="V113" i="13"/>
  <c r="P49" i="13"/>
  <c r="N113" i="13"/>
  <c r="U113" i="13" s="1"/>
  <c r="B114" i="13"/>
  <c r="L112" i="13"/>
  <c r="O112" i="13"/>
  <c r="C114" i="13" l="1"/>
  <c r="J114" i="13" s="1"/>
  <c r="V114" i="13"/>
  <c r="W114" i="13"/>
  <c r="T49" i="13"/>
  <c r="K50" i="13" s="1"/>
  <c r="M50" i="13" s="1"/>
  <c r="R50" i="13" s="1"/>
  <c r="B115" i="13"/>
  <c r="N114" i="13"/>
  <c r="O113" i="13"/>
  <c r="S113" i="13"/>
  <c r="L113" i="13"/>
  <c r="C115" i="13" l="1"/>
  <c r="J115" i="13" s="1"/>
  <c r="V115" i="13"/>
  <c r="W115" i="13"/>
  <c r="P50" i="13"/>
  <c r="U50" i="13" s="1"/>
  <c r="L114" i="13"/>
  <c r="O114" i="13"/>
  <c r="N115" i="13"/>
  <c r="U115" i="13" s="1"/>
  <c r="B116" i="13"/>
  <c r="C116" i="13" l="1"/>
  <c r="J116" i="13" s="1"/>
  <c r="V116" i="13"/>
  <c r="W116" i="13"/>
  <c r="T50" i="13"/>
  <c r="K51" i="13" s="1"/>
  <c r="M51" i="13" s="1"/>
  <c r="R51" i="13" s="1"/>
  <c r="S52" i="13" s="1"/>
  <c r="B117" i="13"/>
  <c r="N116" i="13"/>
  <c r="S115" i="13"/>
  <c r="L115" i="13"/>
  <c r="O115" i="13"/>
  <c r="C117" i="13" l="1"/>
  <c r="J117" i="13" s="1"/>
  <c r="W117" i="13"/>
  <c r="V117" i="13"/>
  <c r="P51" i="13"/>
  <c r="L116" i="13"/>
  <c r="O116" i="13"/>
  <c r="N117" i="13"/>
  <c r="U117" i="13" s="1"/>
  <c r="B118" i="13"/>
  <c r="C118" i="13" l="1"/>
  <c r="J118" i="13" s="1"/>
  <c r="W118" i="13"/>
  <c r="V118" i="13"/>
  <c r="T51" i="13"/>
  <c r="K52" i="13" s="1"/>
  <c r="M52" i="13" s="1"/>
  <c r="R52" i="13" s="1"/>
  <c r="S117" i="13"/>
  <c r="L117" i="13"/>
  <c r="B119" i="13"/>
  <c r="N118" i="13"/>
  <c r="O117" i="13"/>
  <c r="C119" i="13" l="1"/>
  <c r="J119" i="13" s="1"/>
  <c r="W119" i="13"/>
  <c r="V119" i="13"/>
  <c r="P52" i="13"/>
  <c r="U52" i="13" s="1"/>
  <c r="O118" i="13"/>
  <c r="L118" i="13"/>
  <c r="N119" i="13"/>
  <c r="B120" i="13"/>
  <c r="C120" i="13" l="1"/>
  <c r="J120" i="13" s="1"/>
  <c r="W120" i="13"/>
  <c r="V120" i="13"/>
  <c r="T52" i="13"/>
  <c r="K53" i="13" s="1"/>
  <c r="M53" i="13" s="1"/>
  <c r="R53" i="13" s="1"/>
  <c r="S54" i="13" s="1"/>
  <c r="N120" i="13"/>
  <c r="B121" i="13"/>
  <c r="S119" i="13"/>
  <c r="L119" i="13"/>
  <c r="O119" i="13"/>
  <c r="C121" i="13" l="1"/>
  <c r="J121" i="13" s="1"/>
  <c r="V121" i="13"/>
  <c r="W121" i="13"/>
  <c r="P53" i="13"/>
  <c r="L120" i="13"/>
  <c r="B122" i="13"/>
  <c r="N121" i="13"/>
  <c r="O120" i="13"/>
  <c r="C122" i="13" l="1"/>
  <c r="J122" i="13" s="1"/>
  <c r="V122" i="13"/>
  <c r="W122" i="13"/>
  <c r="T53" i="13"/>
  <c r="K54" i="13" s="1"/>
  <c r="M54" i="13" s="1"/>
  <c r="R54" i="13" s="1"/>
  <c r="O121" i="13"/>
  <c r="S121" i="13"/>
  <c r="L121" i="13"/>
  <c r="B123" i="13"/>
  <c r="N122" i="13"/>
  <c r="C123" i="13" l="1"/>
  <c r="J123" i="13" s="1"/>
  <c r="V123" i="13"/>
  <c r="W123" i="13"/>
  <c r="P54" i="13"/>
  <c r="U54" i="13" s="1"/>
  <c r="B124" i="13"/>
  <c r="N123" i="13"/>
  <c r="L122" i="13"/>
  <c r="O122" i="13"/>
  <c r="C124" i="13" l="1"/>
  <c r="J124" i="13" s="1"/>
  <c r="W124" i="13"/>
  <c r="V124" i="13"/>
  <c r="T54" i="13"/>
  <c r="K55" i="13" s="1"/>
  <c r="M55" i="13" s="1"/>
  <c r="R55" i="13" s="1"/>
  <c r="S56" i="13" s="1"/>
  <c r="S123" i="13"/>
  <c r="L123" i="13"/>
  <c r="O123" i="13"/>
  <c r="N124" i="13"/>
  <c r="B125" i="13"/>
  <c r="C125" i="13" l="1"/>
  <c r="J125" i="13" s="1"/>
  <c r="W125" i="13"/>
  <c r="V125" i="13"/>
  <c r="P55" i="13"/>
  <c r="L124" i="13"/>
  <c r="B126" i="13"/>
  <c r="N125" i="13"/>
  <c r="O124" i="13"/>
  <c r="C126" i="13" l="1"/>
  <c r="J126" i="13" s="1"/>
  <c r="W126" i="13"/>
  <c r="V126" i="13"/>
  <c r="T55" i="13"/>
  <c r="K56" i="13" s="1"/>
  <c r="M56" i="13" s="1"/>
  <c r="R56" i="13" s="1"/>
  <c r="S125" i="13"/>
  <c r="L125" i="13"/>
  <c r="O125" i="13"/>
  <c r="N126" i="13"/>
  <c r="B127" i="13"/>
  <c r="C127" i="13" l="1"/>
  <c r="J127" i="13" s="1"/>
  <c r="W127" i="13"/>
  <c r="V127" i="13"/>
  <c r="P56" i="13"/>
  <c r="U56" i="13" s="1"/>
  <c r="O126" i="13"/>
  <c r="L126" i="13"/>
  <c r="B128" i="13"/>
  <c r="N127" i="13"/>
  <c r="C128" i="13" l="1"/>
  <c r="J128" i="13" s="1"/>
  <c r="V128" i="13"/>
  <c r="W128" i="13"/>
  <c r="T56" i="13"/>
  <c r="K57" i="13" s="1"/>
  <c r="M57" i="13" s="1"/>
  <c r="R57" i="13" s="1"/>
  <c r="S58" i="13" s="1"/>
  <c r="S127" i="13"/>
  <c r="L127" i="13"/>
  <c r="O127" i="13"/>
  <c r="N128" i="13"/>
  <c r="B129" i="13"/>
  <c r="C129" i="13" l="1"/>
  <c r="J129" i="13" s="1"/>
  <c r="V129" i="13"/>
  <c r="W129" i="13"/>
  <c r="P57" i="13"/>
  <c r="B130" i="13"/>
  <c r="N129" i="13"/>
  <c r="O128" i="13"/>
  <c r="L128" i="13"/>
  <c r="C130" i="13" l="1"/>
  <c r="J130" i="13" s="1"/>
  <c r="V130" i="13"/>
  <c r="W130" i="13"/>
  <c r="T57" i="13"/>
  <c r="K58" i="13" s="1"/>
  <c r="M58" i="13" s="1"/>
  <c r="R58" i="13" s="1"/>
  <c r="B131" i="13"/>
  <c r="N130" i="13"/>
  <c r="O129" i="13"/>
  <c r="S129" i="13"/>
  <c r="L129" i="13"/>
  <c r="C131" i="13" l="1"/>
  <c r="J131" i="13" s="1"/>
  <c r="W131" i="13"/>
  <c r="V131" i="13"/>
  <c r="P58" i="13"/>
  <c r="U58" i="13" s="1"/>
  <c r="O130" i="13"/>
  <c r="L130" i="13"/>
  <c r="N131" i="13"/>
  <c r="B132" i="13"/>
  <c r="C132" i="13" l="1"/>
  <c r="J132" i="13" s="1"/>
  <c r="W132" i="13"/>
  <c r="V132" i="13"/>
  <c r="T58" i="13"/>
  <c r="K59" i="13" s="1"/>
  <c r="M59" i="13" s="1"/>
  <c r="R59" i="13" s="1"/>
  <c r="S60" i="13" s="1"/>
  <c r="S131" i="13"/>
  <c r="L131" i="13"/>
  <c r="B133" i="13"/>
  <c r="N132" i="13"/>
  <c r="O131" i="13"/>
  <c r="C133" i="13" l="1"/>
  <c r="J133" i="13" s="1"/>
  <c r="W133" i="13"/>
  <c r="V133" i="13"/>
  <c r="P59" i="13"/>
  <c r="N133" i="13"/>
  <c r="B134" i="13"/>
  <c r="O132" i="13"/>
  <c r="L132" i="13"/>
  <c r="C134" i="13" l="1"/>
  <c r="J134" i="13" s="1"/>
  <c r="V134" i="13"/>
  <c r="W134" i="13"/>
  <c r="T59" i="13"/>
  <c r="K60" i="13" s="1"/>
  <c r="M60" i="13" s="1"/>
  <c r="R60" i="13" s="1"/>
  <c r="B135" i="13"/>
  <c r="N134" i="13"/>
  <c r="S133" i="13"/>
  <c r="L133" i="13"/>
  <c r="O133" i="13"/>
  <c r="C135" i="13" l="1"/>
  <c r="J135" i="13" s="1"/>
  <c r="W135" i="13"/>
  <c r="V135" i="13"/>
  <c r="P60" i="13"/>
  <c r="U60" i="13" s="1"/>
  <c r="O134" i="13"/>
  <c r="B136" i="13"/>
  <c r="N135" i="13"/>
  <c r="L134" i="13"/>
  <c r="C136" i="13" l="1"/>
  <c r="J136" i="13" s="1"/>
  <c r="V136" i="13"/>
  <c r="W136" i="13"/>
  <c r="T60" i="13"/>
  <c r="K61" i="13" s="1"/>
  <c r="M61" i="13" s="1"/>
  <c r="R61" i="13" s="1"/>
  <c r="S62" i="13" s="1"/>
  <c r="S135" i="13"/>
  <c r="L135" i="13"/>
  <c r="B137" i="13"/>
  <c r="N136" i="13"/>
  <c r="O135" i="13"/>
  <c r="C137" i="13" l="1"/>
  <c r="J137" i="13" s="1"/>
  <c r="W137" i="13"/>
  <c r="V137" i="13"/>
  <c r="P61" i="13"/>
  <c r="L136" i="13"/>
  <c r="O136" i="13"/>
  <c r="B138" i="13"/>
  <c r="N137" i="13"/>
  <c r="C138" i="13" l="1"/>
  <c r="J138" i="13" s="1"/>
  <c r="V138" i="13"/>
  <c r="W138" i="13"/>
  <c r="T61" i="13"/>
  <c r="K62" i="13" s="1"/>
  <c r="M62" i="13" s="1"/>
  <c r="R62" i="13" s="1"/>
  <c r="O137" i="13"/>
  <c r="N138" i="13"/>
  <c r="B139" i="13"/>
  <c r="S137" i="13"/>
  <c r="L137" i="13"/>
  <c r="C139" i="13" l="1"/>
  <c r="J139" i="13" s="1"/>
  <c r="W139" i="13"/>
  <c r="V139" i="13"/>
  <c r="P62" i="13"/>
  <c r="U62" i="13" s="1"/>
  <c r="N139" i="13"/>
  <c r="B140" i="13"/>
  <c r="L138" i="13"/>
  <c r="O138" i="13"/>
  <c r="C140" i="13" l="1"/>
  <c r="J140" i="13" s="1"/>
  <c r="V140" i="13"/>
  <c r="W140" i="13"/>
  <c r="T62" i="13"/>
  <c r="K63" i="13" s="1"/>
  <c r="M63" i="13" s="1"/>
  <c r="R63" i="13" s="1"/>
  <c r="S64" i="13" s="1"/>
  <c r="N140" i="13"/>
  <c r="B141" i="13"/>
  <c r="O139" i="13"/>
  <c r="S139" i="13"/>
  <c r="L139" i="13"/>
  <c r="C141" i="13" l="1"/>
  <c r="J141" i="13" s="1"/>
  <c r="W141" i="13"/>
  <c r="V141" i="13"/>
  <c r="P63" i="13"/>
  <c r="L140" i="13"/>
  <c r="B142" i="13"/>
  <c r="N141" i="13"/>
  <c r="O140" i="13"/>
  <c r="C142" i="13" l="1"/>
  <c r="J142" i="13" s="1"/>
  <c r="W142" i="13"/>
  <c r="V142" i="13"/>
  <c r="T63" i="13"/>
  <c r="K64" i="13" s="1"/>
  <c r="M64" i="13" s="1"/>
  <c r="R64" i="13" s="1"/>
  <c r="O141" i="13"/>
  <c r="B143" i="13"/>
  <c r="N142" i="13"/>
  <c r="S141" i="13"/>
  <c r="L141" i="13"/>
  <c r="C143" i="13" l="1"/>
  <c r="J143" i="13" s="1"/>
  <c r="W143" i="13"/>
  <c r="V143" i="13"/>
  <c r="P64" i="13"/>
  <c r="U64" i="13" s="1"/>
  <c r="O142" i="13"/>
  <c r="L142" i="13"/>
  <c r="N143" i="13"/>
  <c r="B144" i="13"/>
  <c r="C144" i="13" l="1"/>
  <c r="J144" i="13" s="1"/>
  <c r="V144" i="13"/>
  <c r="W144" i="13"/>
  <c r="T64" i="13"/>
  <c r="K65" i="13" s="1"/>
  <c r="M65" i="13" s="1"/>
  <c r="R65" i="13" s="1"/>
  <c r="S66" i="13" s="1"/>
  <c r="B145" i="13"/>
  <c r="N144" i="13"/>
  <c r="O143" i="13"/>
  <c r="S143" i="13"/>
  <c r="L143" i="13"/>
  <c r="C145" i="13" l="1"/>
  <c r="J145" i="13" s="1"/>
  <c r="V145" i="13"/>
  <c r="W145" i="13"/>
  <c r="P65" i="13"/>
  <c r="L144" i="13"/>
  <c r="O144" i="13"/>
  <c r="N145" i="13"/>
  <c r="B146" i="13"/>
  <c r="C146" i="13" l="1"/>
  <c r="J146" i="13" s="1"/>
  <c r="V146" i="13"/>
  <c r="W146" i="13"/>
  <c r="T65" i="13"/>
  <c r="K66" i="13" s="1"/>
  <c r="M66" i="13" s="1"/>
  <c r="R66" i="13" s="1"/>
  <c r="O145" i="13"/>
  <c r="B147" i="13"/>
  <c r="N146" i="13"/>
  <c r="S145" i="13"/>
  <c r="L145" i="13"/>
  <c r="C147" i="13" l="1"/>
  <c r="J147" i="13" s="1"/>
  <c r="W147" i="13"/>
  <c r="V147" i="13"/>
  <c r="P66" i="13"/>
  <c r="U66" i="13" s="1"/>
  <c r="B148" i="13"/>
  <c r="N147" i="13"/>
  <c r="L146" i="13"/>
  <c r="O146" i="13"/>
  <c r="C148" i="13" l="1"/>
  <c r="J148" i="13" s="1"/>
  <c r="V148" i="13"/>
  <c r="W148" i="13"/>
  <c r="T66" i="13"/>
  <c r="K67" i="13" s="1"/>
  <c r="M67" i="13" s="1"/>
  <c r="R67" i="13" s="1"/>
  <c r="S68" i="13" s="1"/>
  <c r="S147" i="13"/>
  <c r="L147" i="13"/>
  <c r="O147" i="13"/>
  <c r="N148" i="13"/>
  <c r="B149" i="13"/>
  <c r="C149" i="13" l="1"/>
  <c r="J149" i="13" s="1"/>
  <c r="W149" i="13"/>
  <c r="V149" i="13"/>
  <c r="P67" i="13"/>
  <c r="B150" i="13"/>
  <c r="N149" i="13"/>
  <c r="O148" i="13"/>
  <c r="L148" i="13"/>
  <c r="C150" i="13" l="1"/>
  <c r="J150" i="13" s="1"/>
  <c r="V150" i="13"/>
  <c r="W150" i="13"/>
  <c r="T67" i="13"/>
  <c r="K68" i="13" s="1"/>
  <c r="M68" i="13" s="1"/>
  <c r="R68" i="13" s="1"/>
  <c r="S149" i="13"/>
  <c r="L149" i="13"/>
  <c r="O149" i="13"/>
  <c r="N150" i="13"/>
  <c r="B151" i="13"/>
  <c r="C151" i="13" l="1"/>
  <c r="J151" i="13" s="1"/>
  <c r="V151" i="13"/>
  <c r="W151" i="13"/>
  <c r="P68" i="13"/>
  <c r="U68" i="13" s="1"/>
  <c r="L150" i="13"/>
  <c r="N151" i="13"/>
  <c r="B152" i="13"/>
  <c r="O150" i="13"/>
  <c r="C152" i="13" l="1"/>
  <c r="J152" i="13" s="1"/>
  <c r="V152" i="13"/>
  <c r="W152" i="13"/>
  <c r="T68" i="13"/>
  <c r="K69" i="13" s="1"/>
  <c r="M69" i="13" s="1"/>
  <c r="R69" i="13" s="1"/>
  <c r="S70" i="13" s="1"/>
  <c r="O151" i="13"/>
  <c r="S151" i="13"/>
  <c r="L151" i="13"/>
  <c r="N152" i="13"/>
  <c r="B153" i="13"/>
  <c r="C153" i="13" l="1"/>
  <c r="J153" i="13" s="1"/>
  <c r="W153" i="13"/>
  <c r="V153" i="13"/>
  <c r="P69" i="13"/>
  <c r="L152" i="13"/>
  <c r="O152" i="13"/>
  <c r="B154" i="13"/>
  <c r="N153" i="13"/>
  <c r="C154" i="13" l="1"/>
  <c r="J154" i="13" s="1"/>
  <c r="W154" i="13"/>
  <c r="V154" i="13"/>
  <c r="T69" i="13"/>
  <c r="K70" i="13" s="1"/>
  <c r="M70" i="13" s="1"/>
  <c r="R70" i="13" s="1"/>
  <c r="O153" i="13"/>
  <c r="S153" i="13"/>
  <c r="L153" i="13"/>
  <c r="B155" i="13"/>
  <c r="N154" i="13"/>
  <c r="C155" i="13" l="1"/>
  <c r="J155" i="13" s="1"/>
  <c r="W155" i="13"/>
  <c r="V155" i="13"/>
  <c r="P70" i="13"/>
  <c r="U70" i="13" s="1"/>
  <c r="N155" i="13"/>
  <c r="B156" i="13"/>
  <c r="O154" i="13"/>
  <c r="L154" i="13"/>
  <c r="C156" i="13" l="1"/>
  <c r="J156" i="13" s="1"/>
  <c r="V156" i="13"/>
  <c r="W156" i="13"/>
  <c r="T70" i="13"/>
  <c r="K71" i="13" s="1"/>
  <c r="M71" i="13" s="1"/>
  <c r="R71" i="13" s="1"/>
  <c r="S72" i="13" s="1"/>
  <c r="O155" i="13"/>
  <c r="S155" i="13"/>
  <c r="L155" i="13"/>
  <c r="B157" i="13"/>
  <c r="N156" i="13"/>
  <c r="C157" i="13" l="1"/>
  <c r="J157" i="13" s="1"/>
  <c r="V157" i="13"/>
  <c r="W157" i="13"/>
  <c r="P71" i="13"/>
  <c r="L156" i="13"/>
  <c r="O156" i="13"/>
  <c r="N157" i="13"/>
  <c r="B158" i="13"/>
  <c r="C158" i="13" l="1"/>
  <c r="J158" i="13" s="1"/>
  <c r="W158" i="13"/>
  <c r="V158" i="13"/>
  <c r="T71" i="13"/>
  <c r="K72" i="13" s="1"/>
  <c r="M72" i="13" s="1"/>
  <c r="R72" i="13" s="1"/>
  <c r="B159" i="13"/>
  <c r="N158" i="13"/>
  <c r="O157" i="13"/>
  <c r="S157" i="13"/>
  <c r="L157" i="13"/>
  <c r="C159" i="13" l="1"/>
  <c r="J159" i="13" s="1"/>
  <c r="W159" i="13"/>
  <c r="V159" i="13"/>
  <c r="P72" i="13"/>
  <c r="U72" i="13" s="1"/>
  <c r="O158" i="13"/>
  <c r="B160" i="13"/>
  <c r="N159" i="13"/>
  <c r="L158" i="13"/>
  <c r="C160" i="13" l="1"/>
  <c r="J160" i="13" s="1"/>
  <c r="W160" i="13"/>
  <c r="V160" i="13"/>
  <c r="T72" i="13"/>
  <c r="K73" i="13" s="1"/>
  <c r="M73" i="13" s="1"/>
  <c r="R73" i="13" s="1"/>
  <c r="S74" i="13" s="1"/>
  <c r="N160" i="13"/>
  <c r="B161" i="13"/>
  <c r="S159" i="13"/>
  <c r="L159" i="13"/>
  <c r="O159" i="13"/>
  <c r="C161" i="13" l="1"/>
  <c r="J161" i="13" s="1"/>
  <c r="W161" i="13"/>
  <c r="V161" i="13"/>
  <c r="P73" i="13"/>
  <c r="B162" i="13"/>
  <c r="N161" i="13"/>
  <c r="O160" i="13"/>
  <c r="L160" i="13"/>
  <c r="C162" i="13" l="1"/>
  <c r="J162" i="13" s="1"/>
  <c r="V162" i="13"/>
  <c r="W162" i="13"/>
  <c r="T73" i="13"/>
  <c r="K74" i="13" s="1"/>
  <c r="M74" i="13" s="1"/>
  <c r="R74" i="13" s="1"/>
  <c r="S161" i="13"/>
  <c r="L161" i="13"/>
  <c r="O161" i="13"/>
  <c r="N162" i="13"/>
  <c r="B163" i="13"/>
  <c r="C163" i="13" l="1"/>
  <c r="J163" i="13" s="1"/>
  <c r="V163" i="13"/>
  <c r="W163" i="13"/>
  <c r="P74" i="13"/>
  <c r="U74" i="13" s="1"/>
  <c r="O162" i="13"/>
  <c r="L162" i="13"/>
  <c r="N163" i="13"/>
  <c r="B164" i="13"/>
  <c r="C164" i="13" l="1"/>
  <c r="J164" i="13" s="1"/>
  <c r="V164" i="13"/>
  <c r="W164" i="13"/>
  <c r="T74" i="13"/>
  <c r="K75" i="13" s="1"/>
  <c r="M75" i="13" s="1"/>
  <c r="R75" i="13" s="1"/>
  <c r="S76" i="13" s="1"/>
  <c r="S163" i="13"/>
  <c r="L163" i="13"/>
  <c r="N164" i="13"/>
  <c r="B165" i="13"/>
  <c r="O163" i="13"/>
  <c r="C165" i="13" l="1"/>
  <c r="J165" i="13" s="1"/>
  <c r="W165" i="13"/>
  <c r="V165" i="13"/>
  <c r="P75" i="13"/>
  <c r="B166" i="13"/>
  <c r="N165" i="13"/>
  <c r="L164" i="13"/>
  <c r="O164" i="13"/>
  <c r="C166" i="13" l="1"/>
  <c r="J166" i="13" s="1"/>
  <c r="W166" i="13"/>
  <c r="V166" i="13"/>
  <c r="T75" i="13"/>
  <c r="K76" i="13" s="1"/>
  <c r="M76" i="13" s="1"/>
  <c r="R76" i="13" s="1"/>
  <c r="O165" i="13"/>
  <c r="B167" i="13"/>
  <c r="N166" i="13"/>
  <c r="S165" i="13"/>
  <c r="L165" i="13"/>
  <c r="C167" i="13" l="1"/>
  <c r="J167" i="13" s="1"/>
  <c r="W167" i="13"/>
  <c r="V167" i="13"/>
  <c r="P76" i="13"/>
  <c r="U76" i="13" s="1"/>
  <c r="L166" i="13"/>
  <c r="N167" i="13"/>
  <c r="B168" i="13"/>
  <c r="O166" i="13"/>
  <c r="C168" i="13" l="1"/>
  <c r="J168" i="13" s="1"/>
  <c r="W168" i="13"/>
  <c r="V168" i="13"/>
  <c r="T76" i="13"/>
  <c r="K77" i="13" s="1"/>
  <c r="M77" i="13" s="1"/>
  <c r="R77" i="13" s="1"/>
  <c r="S78" i="13" s="1"/>
  <c r="S167" i="13"/>
  <c r="L167" i="13"/>
  <c r="O167" i="13"/>
  <c r="B169" i="13"/>
  <c r="N168" i="13"/>
  <c r="C169" i="13" l="1"/>
  <c r="J169" i="13" s="1"/>
  <c r="W169" i="13"/>
  <c r="V169" i="13"/>
  <c r="P77" i="13"/>
  <c r="N169" i="13"/>
  <c r="B170" i="13"/>
  <c r="L168" i="13"/>
  <c r="O168" i="13"/>
  <c r="C170" i="13" l="1"/>
  <c r="J170" i="13" s="1"/>
  <c r="V170" i="13"/>
  <c r="W170" i="13"/>
  <c r="T77" i="13"/>
  <c r="K78" i="13" s="1"/>
  <c r="M78" i="13" s="1"/>
  <c r="R78" i="13" s="1"/>
  <c r="S169" i="13"/>
  <c r="L169" i="13"/>
  <c r="B171" i="13"/>
  <c r="N170" i="13"/>
  <c r="O169" i="13"/>
  <c r="C171" i="13" l="1"/>
  <c r="J171" i="13" s="1"/>
  <c r="V171" i="13"/>
  <c r="W171" i="13"/>
  <c r="P78" i="13"/>
  <c r="U78" i="13" s="1"/>
  <c r="B172" i="13"/>
  <c r="N171" i="13"/>
  <c r="L170" i="13"/>
  <c r="O170" i="13"/>
  <c r="C172" i="13" l="1"/>
  <c r="J172" i="13" s="1"/>
  <c r="W172" i="13"/>
  <c r="V172" i="13"/>
  <c r="T78" i="13"/>
  <c r="K79" i="13" s="1"/>
  <c r="M79" i="13" s="1"/>
  <c r="R79" i="13" s="1"/>
  <c r="S80" i="13" s="1"/>
  <c r="S171" i="13"/>
  <c r="L171" i="13"/>
  <c r="O171" i="13"/>
  <c r="N172" i="13"/>
  <c r="B173" i="13"/>
  <c r="C173" i="13" l="1"/>
  <c r="J173" i="13" s="1"/>
  <c r="W173" i="13"/>
  <c r="V173" i="13"/>
  <c r="P79" i="13"/>
  <c r="O172" i="13"/>
  <c r="B174" i="13"/>
  <c r="N173" i="13"/>
  <c r="L172" i="13"/>
  <c r="C174" i="13" l="1"/>
  <c r="J174" i="13" s="1"/>
  <c r="V174" i="13"/>
  <c r="W174" i="13"/>
  <c r="T79" i="13"/>
  <c r="K80" i="13" s="1"/>
  <c r="M80" i="13" s="1"/>
  <c r="R80" i="13" s="1"/>
  <c r="S173" i="13"/>
  <c r="L173" i="13"/>
  <c r="N174" i="13"/>
  <c r="B175" i="13"/>
  <c r="O173" i="13"/>
  <c r="C175" i="13" l="1"/>
  <c r="J175" i="13" s="1"/>
  <c r="W175" i="13"/>
  <c r="V175" i="13"/>
  <c r="P80" i="13"/>
  <c r="U80" i="13" s="1"/>
  <c r="O174" i="13"/>
  <c r="L174" i="13"/>
  <c r="N175" i="13"/>
  <c r="B176" i="13"/>
  <c r="C176" i="13" l="1"/>
  <c r="J176" i="13" s="1"/>
  <c r="W176" i="13"/>
  <c r="V176" i="13"/>
  <c r="T80" i="13"/>
  <c r="K81" i="13" s="1"/>
  <c r="M81" i="13" s="1"/>
  <c r="R81" i="13" s="1"/>
  <c r="S82" i="13" s="1"/>
  <c r="N176" i="13"/>
  <c r="B177" i="13"/>
  <c r="S175" i="13"/>
  <c r="L175" i="13"/>
  <c r="O175" i="13"/>
  <c r="C177" i="13" l="1"/>
  <c r="J177" i="13" s="1"/>
  <c r="W177" i="13"/>
  <c r="V177" i="13"/>
  <c r="P81" i="13"/>
  <c r="B178" i="13"/>
  <c r="N177" i="13"/>
  <c r="O176" i="13"/>
  <c r="L176" i="13"/>
  <c r="C178" i="13" l="1"/>
  <c r="J178" i="13" s="1"/>
  <c r="V178" i="13"/>
  <c r="W178" i="13"/>
  <c r="T81" i="13"/>
  <c r="K82" i="13" s="1"/>
  <c r="M82" i="13" s="1"/>
  <c r="R82" i="13" s="1"/>
  <c r="O177" i="13"/>
  <c r="B179" i="13"/>
  <c r="N178" i="13"/>
  <c r="S177" i="13"/>
  <c r="L177" i="13"/>
  <c r="C179" i="13" l="1"/>
  <c r="J179" i="13" s="1"/>
  <c r="W179" i="13"/>
  <c r="V179" i="13"/>
  <c r="P82" i="13"/>
  <c r="U82" i="13" s="1"/>
  <c r="O178" i="13"/>
  <c r="L178" i="13"/>
  <c r="N179" i="13"/>
  <c r="B180" i="13"/>
  <c r="V180" i="13" l="1"/>
  <c r="W180" i="13"/>
  <c r="B181" i="13"/>
  <c r="C180" i="13"/>
  <c r="J180" i="13" s="1"/>
  <c r="T82" i="13"/>
  <c r="K83" i="13" s="1"/>
  <c r="M83" i="13" s="1"/>
  <c r="R83" i="13" s="1"/>
  <c r="S84" i="13" s="1"/>
  <c r="S179" i="13"/>
  <c r="L179" i="13"/>
  <c r="N180" i="13"/>
  <c r="O179" i="13"/>
  <c r="C181" i="13" l="1"/>
  <c r="J181" i="13" s="1"/>
  <c r="V181" i="13"/>
  <c r="W181" i="13"/>
  <c r="B182" i="13"/>
  <c r="B183" i="13" s="1"/>
  <c r="N181" i="13"/>
  <c r="P83" i="13"/>
  <c r="O180" i="13"/>
  <c r="L181" i="13" l="1"/>
  <c r="C183" i="13"/>
  <c r="J183" i="13" s="1"/>
  <c r="W183" i="13"/>
  <c r="V183" i="13"/>
  <c r="S181" i="13"/>
  <c r="O181" i="13"/>
  <c r="C182" i="13"/>
  <c r="J182" i="13" s="1"/>
  <c r="W182" i="13"/>
  <c r="V182" i="13"/>
  <c r="N182" i="13"/>
  <c r="T83" i="13"/>
  <c r="K84" i="13" s="1"/>
  <c r="M84" i="13" s="1"/>
  <c r="R84" i="13" s="1"/>
  <c r="B184" i="13"/>
  <c r="N183" i="13"/>
  <c r="C184" i="13" l="1"/>
  <c r="J184" i="13" s="1"/>
  <c r="W184" i="13"/>
  <c r="V184" i="13"/>
  <c r="L182" i="13"/>
  <c r="O182" i="13"/>
  <c r="P84" i="13"/>
  <c r="U84" i="13" s="1"/>
  <c r="S183" i="13"/>
  <c r="L183" i="13"/>
  <c r="O183" i="13"/>
  <c r="N184" i="13"/>
  <c r="B185" i="13"/>
  <c r="C185" i="13" l="1"/>
  <c r="J185" i="13" s="1"/>
  <c r="W185" i="13"/>
  <c r="V185" i="13"/>
  <c r="T84" i="13"/>
  <c r="K85" i="13" s="1"/>
  <c r="M85" i="13" s="1"/>
  <c r="R85" i="13" s="1"/>
  <c r="S86" i="13" s="1"/>
  <c r="N185" i="13"/>
  <c r="B186" i="13"/>
  <c r="L184" i="13"/>
  <c r="O184" i="13"/>
  <c r="C186" i="13" l="1"/>
  <c r="J186" i="13" s="1"/>
  <c r="V186" i="13"/>
  <c r="W186" i="13"/>
  <c r="P85" i="13"/>
  <c r="N186" i="13"/>
  <c r="B187" i="13"/>
  <c r="S185" i="13"/>
  <c r="L185" i="13"/>
  <c r="O185" i="13"/>
  <c r="C187" i="13" l="1"/>
  <c r="J187" i="13" s="1"/>
  <c r="V187" i="13"/>
  <c r="W187" i="13"/>
  <c r="T85" i="13"/>
  <c r="K86" i="13" s="1"/>
  <c r="M86" i="13" s="1"/>
  <c r="R86" i="13" s="1"/>
  <c r="L186" i="13"/>
  <c r="N187" i="13"/>
  <c r="B188" i="13"/>
  <c r="O186" i="13"/>
  <c r="C188" i="13" l="1"/>
  <c r="J188" i="13" s="1"/>
  <c r="V188" i="13"/>
  <c r="W188" i="13"/>
  <c r="P86" i="13"/>
  <c r="U86" i="13" s="1"/>
  <c r="B189" i="13"/>
  <c r="N188" i="13"/>
  <c r="S187" i="13"/>
  <c r="L187" i="13"/>
  <c r="O187" i="13"/>
  <c r="C189" i="13" l="1"/>
  <c r="J189" i="13" s="1"/>
  <c r="W189" i="13"/>
  <c r="V189" i="13"/>
  <c r="T86" i="13"/>
  <c r="K87" i="13" s="1"/>
  <c r="M87" i="13" s="1"/>
  <c r="R87" i="13" s="1"/>
  <c r="S88" i="13" s="1"/>
  <c r="O188" i="13"/>
  <c r="L188" i="13"/>
  <c r="N189" i="13"/>
  <c r="B190" i="13"/>
  <c r="C190" i="13" l="1"/>
  <c r="J190" i="13" s="1"/>
  <c r="W190" i="13"/>
  <c r="V190" i="13"/>
  <c r="P87" i="13"/>
  <c r="S189" i="13"/>
  <c r="L189" i="13"/>
  <c r="N190" i="13"/>
  <c r="O189" i="13"/>
  <c r="T87" i="13" l="1"/>
  <c r="K88" i="13" s="1"/>
  <c r="M88" i="13" s="1"/>
  <c r="R88" i="13" s="1"/>
  <c r="O190" i="13"/>
  <c r="L30" i="13"/>
  <c r="L180" i="13"/>
  <c r="L190" i="13"/>
  <c r="P88" i="13" l="1"/>
  <c r="U88" i="13" s="1"/>
  <c r="T88" i="13" l="1"/>
  <c r="K89" i="13" s="1"/>
  <c r="M89" i="13" s="1"/>
  <c r="R89" i="13" s="1"/>
  <c r="S90" i="13" s="1"/>
  <c r="P89" i="13" l="1"/>
  <c r="T89" i="13" l="1"/>
  <c r="K90" i="13" s="1"/>
  <c r="M90" i="13" s="1"/>
  <c r="R90" i="13" s="1"/>
  <c r="P90" i="13" l="1"/>
  <c r="U90" i="13" s="1"/>
  <c r="T90" i="13" l="1"/>
  <c r="K91" i="13" s="1"/>
  <c r="M91" i="13" s="1"/>
  <c r="R91" i="13" s="1"/>
  <c r="S92" i="13" s="1"/>
  <c r="P91" i="13" l="1"/>
  <c r="T91" i="13" l="1"/>
  <c r="K92" i="13" s="1"/>
  <c r="M92" i="13" s="1"/>
  <c r="R92" i="13" s="1"/>
  <c r="P92" i="13" l="1"/>
  <c r="U92" i="13" s="1"/>
  <c r="T92" i="13" l="1"/>
  <c r="K93" i="13" s="1"/>
  <c r="M93" i="13" s="1"/>
  <c r="R93" i="13" s="1"/>
  <c r="S94" i="13" s="1"/>
  <c r="P93" i="13" l="1"/>
  <c r="T93" i="13" l="1"/>
  <c r="K94" i="13" s="1"/>
  <c r="M94" i="13" s="1"/>
  <c r="R94" i="13" s="1"/>
  <c r="P94" i="13" l="1"/>
  <c r="U94" i="13" s="1"/>
  <c r="T94" i="13" l="1"/>
  <c r="K95" i="13" s="1"/>
  <c r="M95" i="13" s="1"/>
  <c r="R95" i="13" s="1"/>
  <c r="S96" i="13" s="1"/>
  <c r="P95" i="13" l="1"/>
  <c r="T95" i="13" l="1"/>
  <c r="K96" i="13" s="1"/>
  <c r="M96" i="13" s="1"/>
  <c r="R96" i="13" s="1"/>
  <c r="P96" i="13" l="1"/>
  <c r="U96" i="13" s="1"/>
  <c r="T96" i="13" l="1"/>
  <c r="K97" i="13" s="1"/>
  <c r="M97" i="13" s="1"/>
  <c r="R97" i="13" s="1"/>
  <c r="S98" i="13" s="1"/>
  <c r="P97" i="13" l="1"/>
  <c r="T97" i="13" l="1"/>
  <c r="K98" i="13" s="1"/>
  <c r="M98" i="13" s="1"/>
  <c r="R98" i="13" s="1"/>
  <c r="P98" i="13" l="1"/>
  <c r="U98" i="13" s="1"/>
  <c r="T98" i="13" l="1"/>
  <c r="K99" i="13" s="1"/>
  <c r="M99" i="13" s="1"/>
  <c r="R99" i="13" s="1"/>
  <c r="S100" i="13" s="1"/>
  <c r="P99" i="13" l="1"/>
  <c r="T99" i="13" l="1"/>
  <c r="K100" i="13" s="1"/>
  <c r="M100" i="13" s="1"/>
  <c r="R100" i="13" s="1"/>
  <c r="P100" i="13" l="1"/>
  <c r="U100" i="13" s="1"/>
  <c r="T100" i="13" l="1"/>
  <c r="K101" i="13" s="1"/>
  <c r="M101" i="13" s="1"/>
  <c r="R101" i="13" s="1"/>
  <c r="S102" i="13" s="1"/>
  <c r="P101" i="13" l="1"/>
  <c r="T101" i="13" l="1"/>
  <c r="K102" i="13" s="1"/>
  <c r="M102" i="13" s="1"/>
  <c r="R102" i="13" s="1"/>
  <c r="P102" i="13" l="1"/>
  <c r="U102" i="13" s="1"/>
  <c r="T102" i="13" l="1"/>
  <c r="K103" i="13" s="1"/>
  <c r="M103" i="13" s="1"/>
  <c r="R103" i="13" s="1"/>
  <c r="S104" i="13" s="1"/>
  <c r="P103" i="13" l="1"/>
  <c r="T103" i="13" l="1"/>
  <c r="K104" i="13" s="1"/>
  <c r="M104" i="13" s="1"/>
  <c r="R104" i="13" s="1"/>
  <c r="P104" i="13" l="1"/>
  <c r="U104" i="13" s="1"/>
  <c r="T104" i="13" l="1"/>
  <c r="K105" i="13" s="1"/>
  <c r="M105" i="13" s="1"/>
  <c r="R105" i="13" s="1"/>
  <c r="S106" i="13" s="1"/>
  <c r="P105" i="13" l="1"/>
  <c r="T105" i="13" l="1"/>
  <c r="K106" i="13" s="1"/>
  <c r="M106" i="13" s="1"/>
  <c r="R106" i="13" s="1"/>
  <c r="P106" i="13" l="1"/>
  <c r="U106" i="13" s="1"/>
  <c r="T106" i="13" l="1"/>
  <c r="K107" i="13" s="1"/>
  <c r="M107" i="13" s="1"/>
  <c r="R107" i="13" s="1"/>
  <c r="S108" i="13" s="1"/>
  <c r="P107" i="13" l="1"/>
  <c r="T107" i="13" l="1"/>
  <c r="K108" i="13" s="1"/>
  <c r="M108" i="13" s="1"/>
  <c r="R108" i="13" s="1"/>
  <c r="P108" i="13" l="1"/>
  <c r="U108" i="13" s="1"/>
  <c r="T108" i="13" l="1"/>
  <c r="K109" i="13" s="1"/>
  <c r="M109" i="13" s="1"/>
  <c r="R109" i="13" s="1"/>
  <c r="S110" i="13" s="1"/>
  <c r="P109" i="13" l="1"/>
  <c r="T109" i="13" l="1"/>
  <c r="K110" i="13" s="1"/>
  <c r="M110" i="13" s="1"/>
  <c r="R110" i="13" s="1"/>
  <c r="P110" i="13" l="1"/>
  <c r="U110" i="13" s="1"/>
  <c r="T110" i="13" l="1"/>
  <c r="K111" i="13" l="1"/>
  <c r="M111" i="13" s="1"/>
  <c r="R111" i="13" l="1"/>
  <c r="S112" i="13" s="1"/>
  <c r="P111" i="13"/>
  <c r="T111" i="13" l="1"/>
  <c r="K112" i="13" l="1"/>
  <c r="M112" i="13" s="1"/>
  <c r="R112" i="13" l="1"/>
  <c r="P112" i="13"/>
  <c r="U112" i="13" s="1"/>
  <c r="T112" i="13" l="1"/>
  <c r="K113" i="13" l="1"/>
  <c r="M113" i="13" s="1"/>
  <c r="R113" i="13" l="1"/>
  <c r="S114" i="13" s="1"/>
  <c r="P113" i="13"/>
  <c r="T113" i="13" l="1"/>
  <c r="K114" i="13" l="1"/>
  <c r="M114" i="13" s="1"/>
  <c r="R114" i="13" l="1"/>
  <c r="P114" i="13"/>
  <c r="U114" i="13" s="1"/>
  <c r="T114" i="13" l="1"/>
  <c r="K115" i="13" l="1"/>
  <c r="M115" i="13" s="1"/>
  <c r="R115" i="13" l="1"/>
  <c r="S116" i="13" s="1"/>
  <c r="P115" i="13"/>
  <c r="T115" i="13" l="1"/>
  <c r="K116" i="13" s="1"/>
  <c r="M116" i="13" s="1"/>
  <c r="R116" i="13" s="1"/>
  <c r="P116" i="13" l="1"/>
  <c r="U116" i="13" s="1"/>
  <c r="T116" i="13" l="1"/>
  <c r="K117" i="13" s="1"/>
  <c r="M117" i="13" s="1"/>
  <c r="R117" i="13" s="1"/>
  <c r="S118" i="13" s="1"/>
  <c r="P117" i="13" l="1"/>
  <c r="T117" i="13"/>
  <c r="K118" i="13" s="1"/>
  <c r="M118" i="13" s="1"/>
  <c r="R118" i="13" s="1"/>
  <c r="P118" i="13" l="1"/>
  <c r="U118" i="13" s="1"/>
  <c r="T118" i="13" l="1"/>
  <c r="K119" i="13" s="1"/>
  <c r="M119" i="13" s="1"/>
  <c r="R119" i="13" s="1"/>
  <c r="S120" i="13" s="1"/>
  <c r="P119" i="13" l="1"/>
  <c r="T119" i="13" l="1"/>
  <c r="K120" i="13" s="1"/>
  <c r="M120" i="13" s="1"/>
  <c r="R120" i="13" s="1"/>
  <c r="P120" i="13" l="1"/>
  <c r="T120" i="13" l="1"/>
  <c r="K121" i="13" s="1"/>
  <c r="M121" i="13" s="1"/>
  <c r="R121" i="13" s="1"/>
  <c r="S122" i="13" s="1"/>
  <c r="P121" i="13" l="1"/>
  <c r="T121" i="13" l="1"/>
  <c r="K122" i="13" s="1"/>
  <c r="M122" i="13" s="1"/>
  <c r="R122" i="13" s="1"/>
  <c r="P122" i="13" l="1"/>
  <c r="T122" i="13" l="1"/>
  <c r="K123" i="13" s="1"/>
  <c r="M123" i="13" s="1"/>
  <c r="R123" i="13" s="1"/>
  <c r="S124" i="13" s="1"/>
  <c r="P123" i="13" l="1"/>
  <c r="T123" i="13" l="1"/>
  <c r="K124" i="13" s="1"/>
  <c r="M124" i="13" s="1"/>
  <c r="R124" i="13" s="1"/>
  <c r="P124" i="13" l="1"/>
  <c r="T124" i="13" l="1"/>
  <c r="K125" i="13" s="1"/>
  <c r="M125" i="13" s="1"/>
  <c r="R125" i="13" s="1"/>
  <c r="S126" i="13" s="1"/>
  <c r="P125" i="13" l="1"/>
  <c r="T125" i="13" l="1"/>
  <c r="K126" i="13" s="1"/>
  <c r="M126" i="13" s="1"/>
  <c r="R126" i="13" s="1"/>
  <c r="P126" i="13" l="1"/>
  <c r="T126" i="13"/>
  <c r="K127" i="13" s="1"/>
  <c r="M127" i="13" s="1"/>
  <c r="R127" i="13" s="1"/>
  <c r="S128" i="13" s="1"/>
  <c r="P127" i="13" l="1"/>
  <c r="T127" i="13" l="1"/>
  <c r="K128" i="13" s="1"/>
  <c r="M128" i="13" s="1"/>
  <c r="R128" i="13" s="1"/>
  <c r="P128" i="13" l="1"/>
  <c r="T128" i="13" l="1"/>
  <c r="K129" i="13" s="1"/>
  <c r="M129" i="13" s="1"/>
  <c r="R129" i="13" s="1"/>
  <c r="S130" i="13" s="1"/>
  <c r="P129" i="13" l="1"/>
  <c r="T129" i="13" l="1"/>
  <c r="K130" i="13" s="1"/>
  <c r="M130" i="13" s="1"/>
  <c r="R130" i="13" s="1"/>
  <c r="P130" i="13" l="1"/>
  <c r="T130" i="13"/>
  <c r="K131" i="13" s="1"/>
  <c r="M131" i="13" s="1"/>
  <c r="R131" i="13" s="1"/>
  <c r="S132" i="13" s="1"/>
  <c r="P131" i="13" l="1"/>
  <c r="T131" i="13" l="1"/>
  <c r="K132" i="13" s="1"/>
  <c r="M132" i="13" s="1"/>
  <c r="R132" i="13" s="1"/>
  <c r="P132" i="13" l="1"/>
  <c r="T132" i="13" l="1"/>
  <c r="K133" i="13" s="1"/>
  <c r="M133" i="13" s="1"/>
  <c r="R133" i="13" s="1"/>
  <c r="S134" i="13" s="1"/>
  <c r="P133" i="13" l="1"/>
  <c r="T133" i="13" l="1"/>
  <c r="K134" i="13" s="1"/>
  <c r="M134" i="13" s="1"/>
  <c r="R134" i="13" s="1"/>
  <c r="P134" i="13" l="1"/>
  <c r="T134" i="13" l="1"/>
  <c r="K135" i="13" s="1"/>
  <c r="M135" i="13" s="1"/>
  <c r="R135" i="13" s="1"/>
  <c r="S136" i="13" s="1"/>
  <c r="P135" i="13" l="1"/>
  <c r="T135" i="13" l="1"/>
  <c r="K136" i="13" s="1"/>
  <c r="M136" i="13" s="1"/>
  <c r="R136" i="13" s="1"/>
  <c r="P136" i="13" l="1"/>
  <c r="T136" i="13" l="1"/>
  <c r="K137" i="13" s="1"/>
  <c r="M137" i="13" s="1"/>
  <c r="R137" i="13" s="1"/>
  <c r="S138" i="13" s="1"/>
  <c r="P137" i="13" l="1"/>
  <c r="T137" i="13" l="1"/>
  <c r="K138" i="13" s="1"/>
  <c r="M138" i="13" s="1"/>
  <c r="R138" i="13" s="1"/>
  <c r="P138" i="13" l="1"/>
  <c r="T138" i="13" l="1"/>
  <c r="K139" i="13" s="1"/>
  <c r="M139" i="13" s="1"/>
  <c r="R139" i="13" s="1"/>
  <c r="S140" i="13" s="1"/>
  <c r="P139" i="13" l="1"/>
  <c r="T139" i="13" l="1"/>
  <c r="K140" i="13" s="1"/>
  <c r="M140" i="13" s="1"/>
  <c r="R140" i="13" s="1"/>
  <c r="P140" i="13" l="1"/>
  <c r="T140" i="13" l="1"/>
  <c r="K141" i="13" s="1"/>
  <c r="M141" i="13" s="1"/>
  <c r="R141" i="13" s="1"/>
  <c r="S142" i="13" s="1"/>
  <c r="P141" i="13" l="1"/>
  <c r="T141" i="13" l="1"/>
  <c r="K142" i="13" s="1"/>
  <c r="M142" i="13" s="1"/>
  <c r="R142" i="13" s="1"/>
  <c r="P142" i="13" l="1"/>
  <c r="T142" i="13" l="1"/>
  <c r="K143" i="13" s="1"/>
  <c r="M143" i="13" s="1"/>
  <c r="R143" i="13" s="1"/>
  <c r="S144" i="13" s="1"/>
  <c r="P143" i="13" l="1"/>
  <c r="T143" i="13" l="1"/>
  <c r="K144" i="13" s="1"/>
  <c r="M144" i="13" s="1"/>
  <c r="R144" i="13" s="1"/>
  <c r="P144" i="13" l="1"/>
  <c r="T144" i="13" l="1"/>
  <c r="K145" i="13" s="1"/>
  <c r="M145" i="13" s="1"/>
  <c r="R145" i="13" s="1"/>
  <c r="S146" i="13" s="1"/>
  <c r="P145" i="13" l="1"/>
  <c r="T145" i="13" l="1"/>
  <c r="K146" i="13" s="1"/>
  <c r="M146" i="13" s="1"/>
  <c r="R146" i="13" s="1"/>
  <c r="P146" i="13" l="1"/>
  <c r="T146" i="13" l="1"/>
  <c r="K147" i="13" s="1"/>
  <c r="M147" i="13" s="1"/>
  <c r="R147" i="13" s="1"/>
  <c r="S148" i="13" s="1"/>
  <c r="P147" i="13" l="1"/>
  <c r="T147" i="13" l="1"/>
  <c r="K148" i="13" s="1"/>
  <c r="M148" i="13" s="1"/>
  <c r="R148" i="13" s="1"/>
  <c r="P148" i="13" l="1"/>
  <c r="T148" i="13" l="1"/>
  <c r="K149" i="13" s="1"/>
  <c r="M149" i="13" s="1"/>
  <c r="R149" i="13" s="1"/>
  <c r="S150" i="13" s="1"/>
  <c r="P149" i="13" l="1"/>
  <c r="T149" i="13" l="1"/>
  <c r="K150" i="13" s="1"/>
  <c r="M150" i="13" s="1"/>
  <c r="R150" i="13" s="1"/>
  <c r="P150" i="13" l="1"/>
  <c r="T150" i="13" l="1"/>
  <c r="K151" i="13" s="1"/>
  <c r="M151" i="13" s="1"/>
  <c r="R151" i="13" s="1"/>
  <c r="S152" i="13" s="1"/>
  <c r="P151" i="13" l="1"/>
  <c r="T151" i="13" l="1"/>
  <c r="K152" i="13" s="1"/>
  <c r="M152" i="13" s="1"/>
  <c r="R152" i="13" s="1"/>
  <c r="P152" i="13" l="1"/>
  <c r="T152" i="13" l="1"/>
  <c r="K153" i="13" s="1"/>
  <c r="M153" i="13" s="1"/>
  <c r="R153" i="13" s="1"/>
  <c r="S154" i="13" s="1"/>
  <c r="P153" i="13" l="1"/>
  <c r="T153" i="13" l="1"/>
  <c r="K154" i="13" s="1"/>
  <c r="M154" i="13" s="1"/>
  <c r="R154" i="13" s="1"/>
  <c r="P154" i="13" l="1"/>
  <c r="T154" i="13" l="1"/>
  <c r="K155" i="13" s="1"/>
  <c r="M155" i="13" s="1"/>
  <c r="R155" i="13" s="1"/>
  <c r="S156" i="13" s="1"/>
  <c r="P155" i="13" l="1"/>
  <c r="T155" i="13" l="1"/>
  <c r="K156" i="13" s="1"/>
  <c r="M156" i="13" s="1"/>
  <c r="R156" i="13" s="1"/>
  <c r="P156" i="13" l="1"/>
  <c r="T156" i="13" l="1"/>
  <c r="K157" i="13" s="1"/>
  <c r="M157" i="13" s="1"/>
  <c r="R157" i="13" s="1"/>
  <c r="S158" i="13" s="1"/>
  <c r="P157" i="13" l="1"/>
  <c r="T157" i="13" l="1"/>
  <c r="K158" i="13" s="1"/>
  <c r="M158" i="13" s="1"/>
  <c r="R158" i="13" s="1"/>
  <c r="P158" i="13" l="1"/>
  <c r="T158" i="13" l="1"/>
  <c r="K159" i="13" s="1"/>
  <c r="M159" i="13" s="1"/>
  <c r="R159" i="13" s="1"/>
  <c r="S160" i="13" s="1"/>
  <c r="P159" i="13" l="1"/>
  <c r="T159" i="13" l="1"/>
  <c r="K160" i="13" s="1"/>
  <c r="M160" i="13" s="1"/>
  <c r="R160" i="13" s="1"/>
  <c r="P160" i="13" l="1"/>
  <c r="T160" i="13" l="1"/>
  <c r="K161" i="13" s="1"/>
  <c r="M161" i="13" s="1"/>
  <c r="R161" i="13" s="1"/>
  <c r="S162" i="13" s="1"/>
  <c r="P161" i="13" l="1"/>
  <c r="T161" i="13" l="1"/>
  <c r="K162" i="13" s="1"/>
  <c r="M162" i="13" s="1"/>
  <c r="R162" i="13" s="1"/>
  <c r="P162" i="13" l="1"/>
  <c r="T162" i="13" l="1"/>
  <c r="K163" i="13" s="1"/>
  <c r="M163" i="13" s="1"/>
  <c r="R163" i="13" s="1"/>
  <c r="S164" i="13" s="1"/>
  <c r="P163" i="13" l="1"/>
  <c r="T163" i="13" l="1"/>
  <c r="K164" i="13" s="1"/>
  <c r="M164" i="13" s="1"/>
  <c r="R164" i="13" s="1"/>
  <c r="P164" i="13" l="1"/>
  <c r="T164" i="13" l="1"/>
  <c r="K165" i="13" s="1"/>
  <c r="M165" i="13" s="1"/>
  <c r="R165" i="13" s="1"/>
  <c r="S166" i="13" s="1"/>
  <c r="P165" i="13" l="1"/>
  <c r="T165" i="13" l="1"/>
  <c r="K166" i="13" s="1"/>
  <c r="M166" i="13" s="1"/>
  <c r="R166" i="13" s="1"/>
  <c r="P166" i="13" l="1"/>
  <c r="T166" i="13" l="1"/>
  <c r="K167" i="13" s="1"/>
  <c r="M167" i="13" s="1"/>
  <c r="R167" i="13" s="1"/>
  <c r="S168" i="13" s="1"/>
  <c r="P167" i="13" l="1"/>
  <c r="T167" i="13" l="1"/>
  <c r="K168" i="13" s="1"/>
  <c r="M168" i="13" s="1"/>
  <c r="R168" i="13" s="1"/>
  <c r="P168" i="13" l="1"/>
  <c r="T168" i="13" l="1"/>
  <c r="K169" i="13" s="1"/>
  <c r="M169" i="13" s="1"/>
  <c r="R169" i="13" s="1"/>
  <c r="S170" i="13" s="1"/>
  <c r="P169" i="13" l="1"/>
  <c r="T169" i="13" l="1"/>
  <c r="K170" i="13" s="1"/>
  <c r="M170" i="13" s="1"/>
  <c r="R170" i="13" s="1"/>
  <c r="P170" i="13" l="1"/>
  <c r="T170" i="13" l="1"/>
  <c r="K171" i="13" s="1"/>
  <c r="M171" i="13" s="1"/>
  <c r="R171" i="13" s="1"/>
  <c r="S172" i="13" s="1"/>
  <c r="P171" i="13" l="1"/>
  <c r="T171" i="13" l="1"/>
  <c r="K172" i="13" s="1"/>
  <c r="M172" i="13" s="1"/>
  <c r="R172" i="13" s="1"/>
  <c r="P172" i="13" l="1"/>
  <c r="T172" i="13" l="1"/>
  <c r="K173" i="13" s="1"/>
  <c r="M173" i="13" s="1"/>
  <c r="R173" i="13" s="1"/>
  <c r="S174" i="13" s="1"/>
  <c r="P173" i="13" l="1"/>
  <c r="T173" i="13" l="1"/>
  <c r="K174" i="13" s="1"/>
  <c r="M174" i="13" s="1"/>
  <c r="R174" i="13" s="1"/>
  <c r="P174" i="13" l="1"/>
  <c r="T174" i="13" l="1"/>
  <c r="K175" i="13" s="1"/>
  <c r="M175" i="13" s="1"/>
  <c r="R175" i="13" s="1"/>
  <c r="S176" i="13" s="1"/>
  <c r="P175" i="13" l="1"/>
  <c r="T175" i="13" l="1"/>
  <c r="K176" i="13" s="1"/>
  <c r="M176" i="13" s="1"/>
  <c r="R176" i="13" s="1"/>
  <c r="P176" i="13" l="1"/>
  <c r="T176" i="13" l="1"/>
  <c r="K177" i="13" s="1"/>
  <c r="M177" i="13" s="1"/>
  <c r="R177" i="13" s="1"/>
  <c r="S178" i="13" s="1"/>
  <c r="P177" i="13" l="1"/>
  <c r="T177" i="13" l="1"/>
  <c r="K178" i="13" s="1"/>
  <c r="M178" i="13" s="1"/>
  <c r="R178" i="13" s="1"/>
  <c r="P178" i="13" l="1"/>
  <c r="T178" i="13" l="1"/>
  <c r="K179" i="13" s="1"/>
  <c r="M179" i="13" s="1"/>
  <c r="R179" i="13" s="1"/>
  <c r="S180" i="13" s="1"/>
  <c r="P179" i="13" l="1"/>
  <c r="T179" i="13" l="1"/>
  <c r="K180" i="13" s="1"/>
  <c r="M180" i="13" s="1"/>
  <c r="R180" i="13" s="1"/>
  <c r="P180" i="13" l="1"/>
  <c r="T180" i="13" l="1"/>
  <c r="K181" i="13" s="1"/>
  <c r="M181" i="13" s="1"/>
  <c r="R181" i="13" s="1"/>
  <c r="S182" i="13" s="1"/>
  <c r="P181" i="13" l="1"/>
  <c r="T181" i="13" l="1"/>
  <c r="K182" i="13" s="1"/>
  <c r="M182" i="13" s="1"/>
  <c r="R182" i="13" s="1"/>
  <c r="P182" i="13" l="1"/>
  <c r="T182" i="13" l="1"/>
  <c r="K183" i="13" s="1"/>
  <c r="M183" i="13" s="1"/>
  <c r="R183" i="13" s="1"/>
  <c r="S184" i="13" s="1"/>
  <c r="P183" i="13" l="1"/>
  <c r="T183" i="13" l="1"/>
  <c r="K184" i="13" s="1"/>
  <c r="M184" i="13" s="1"/>
  <c r="R184" i="13" s="1"/>
  <c r="P184" i="13" l="1"/>
  <c r="T184" i="13" l="1"/>
  <c r="K185" i="13" s="1"/>
  <c r="M185" i="13" s="1"/>
  <c r="R185" i="13" s="1"/>
  <c r="S186" i="13" s="1"/>
  <c r="P185" i="13" l="1"/>
  <c r="T185" i="13" l="1"/>
  <c r="K186" i="13" s="1"/>
  <c r="M186" i="13" s="1"/>
  <c r="R186" i="13" s="1"/>
  <c r="P186" i="13" l="1"/>
  <c r="T186" i="13" l="1"/>
  <c r="K187" i="13" s="1"/>
  <c r="M187" i="13" s="1"/>
  <c r="R187" i="13" s="1"/>
  <c r="S188" i="13" s="1"/>
  <c r="P187" i="13" l="1"/>
  <c r="T187" i="13" l="1"/>
  <c r="K188" i="13" s="1"/>
  <c r="M188" i="13" s="1"/>
  <c r="R188" i="13" s="1"/>
  <c r="P188" i="13" l="1"/>
  <c r="T188" i="13" l="1"/>
  <c r="K189" i="13" s="1"/>
  <c r="M189" i="13" s="1"/>
  <c r="R189" i="13" s="1"/>
  <c r="S190" i="13" s="1"/>
  <c r="P189" i="13" l="1"/>
  <c r="T189" i="13" l="1"/>
  <c r="K190" i="13" s="1"/>
  <c r="M190" i="13" s="1"/>
  <c r="R190" i="13" s="1"/>
  <c r="P190" i="13" l="1"/>
  <c r="B3" i="13" l="1"/>
  <c r="T190" i="13"/>
  <c r="A3" i="13" s="1"/>
  <c r="H4" i="18" s="1" a="1"/>
  <c r="H4"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tc={243C3B78-B61E-4FDE-8254-435F7127E356}</author>
    <author>tc={4FB20E1B-3986-4B66-A6E7-59F13518CB97}</author>
    <author>tc={427C74BB-2F09-4647-B0CF-33940D067A57}</author>
    <author>tc={4228E5C2-CEF7-497A-B53C-583BA34D5F99}</author>
    <author>tc={02AC9AF5-01A1-4297-AA44-AF669B413D74}</author>
    <author>tc={652FE184-77CF-462B-842F-5E87985AF24D}</author>
    <author>tc={3B7697EE-63E7-463C-A496-3827DAC128B1}</author>
    <author>tc={FE3967C7-0C30-4A9C-B315-1952F8C51EE1}</author>
  </authors>
  <commentList>
    <comment ref="E11" authorId="0" shapeId="0" xr:uid="{243C3B78-B61E-4FDE-8254-435F7127E356}">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4FB20E1B-3986-4B66-A6E7-59F13518CB97}">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427C74BB-2F09-4647-B0CF-33940D067A57}">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4228E5C2-CEF7-497A-B53C-583BA34D5F99}">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02AC9AF5-01A1-4297-AA44-AF669B413D7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652FE184-77CF-462B-842F-5E87985AF24D}">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3B7697EE-63E7-463C-A496-3827DAC128B1}">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FE3967C7-0C30-4A9C-B315-1952F8C51EE1}">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tc={E371F54D-A859-4D7B-A252-EFC5F404847A}</author>
  </authors>
  <commentList>
    <comment ref="B2" authorId="0" shapeId="0" xr:uid="{E371F54D-A859-4D7B-A252-EFC5F404847A}">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<sst xmlns="http://schemas.openxmlformats.org/spreadsheetml/2006/main" count="398" uniqueCount="234">
  <si>
    <t>Income Base</t>
  </si>
  <si>
    <t>Income Credit</t>
  </si>
  <si>
    <t>—</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</si>
  <si>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</si>
  <si>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</si>
  <si>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</si>
  <si>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</si>
  <si>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</si>
  <si>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</si>
  <si>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</si>
  <si>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</si>
  <si>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</si>
  <si>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</si>
  <si>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</si>
  <si>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APPENDIX D TABLE</t>
  </si>
  <si>
    <t xml:space="preserve">Benefit Effective Date </t>
  </si>
  <si>
    <t>Index</t>
  </si>
  <si>
    <t>Time From Valuation</t>
  </si>
  <si>
    <t>Is Anniversary?</t>
  </si>
  <si>
    <t>Is Activation</t>
  </si>
  <si>
    <t>Is Withdrawal</t>
  </si>
  <si>
    <t>Withdrawal Penalty</t>
  </si>
  <si>
    <t>Withdrawal Haircut Before Activation</t>
  </si>
  <si>
    <t>Withdrawal Haircut After Activation</t>
  </si>
  <si>
    <t>Has a Withdrawal Occurred After Activation</t>
  </si>
  <si>
    <t>Has Income Credit</t>
  </si>
  <si>
    <t>Test</t>
  </si>
  <si>
    <t>Test Name</t>
  </si>
  <si>
    <t>Use Base Case</t>
  </si>
  <si>
    <t>Valuation Date</t>
  </si>
  <si>
    <t>Primary Birthdate</t>
  </si>
  <si>
    <t>Primary Gender</t>
  </si>
  <si>
    <t>Secondary Birthdate</t>
  </si>
  <si>
    <t>Secondary Gender</t>
  </si>
  <si>
    <t xml:space="preserve">Initial Purchase Payment </t>
  </si>
  <si>
    <t>Withdrawal Activation Date</t>
  </si>
  <si>
    <t>Annuity Income Option</t>
  </si>
  <si>
    <t xml:space="preserve">Income Credit Percentage </t>
  </si>
  <si>
    <t>Current Income Base</t>
  </si>
  <si>
    <t>Current Income Base Credit</t>
  </si>
  <si>
    <t>Withdrawal Amount</t>
  </si>
  <si>
    <t>Current Contract Value</t>
  </si>
  <si>
    <t>Base</t>
  </si>
  <si>
    <t>M</t>
  </si>
  <si>
    <t>Stub</t>
  </si>
  <si>
    <t>Age 45</t>
  </si>
  <si>
    <t>Age 55</t>
  </si>
  <si>
    <t>Age 75</t>
  </si>
  <si>
    <t>Age 85</t>
  </si>
  <si>
    <t>Option 2</t>
  </si>
  <si>
    <t>Option 3</t>
  </si>
  <si>
    <t>Wda 1.5</t>
  </si>
  <si>
    <t>Wda 2.5</t>
  </si>
  <si>
    <t>Wda 3.5</t>
  </si>
  <si>
    <t>Wda 5.5</t>
  </si>
  <si>
    <t>Wda 6.5</t>
  </si>
  <si>
    <t>Wda 7.5</t>
  </si>
  <si>
    <t>Joint Diff Age</t>
  </si>
  <si>
    <t>F</t>
  </si>
  <si>
    <t>Joint Same Sex</t>
  </si>
  <si>
    <t>Joint Same Sex Female</t>
  </si>
  <si>
    <t>Inputs</t>
  </si>
  <si>
    <t>Test Cases</t>
  </si>
  <si>
    <t>Current Period</t>
  </si>
  <si>
    <t>Number of Annuitants</t>
  </si>
  <si>
    <t>Is Joint</t>
  </si>
  <si>
    <t xml:space="preserve">Primary Issue Age </t>
  </si>
  <si>
    <t>Secondary Issue Age</t>
  </si>
  <si>
    <t>Minimum Withdrawal Age</t>
  </si>
  <si>
    <t xml:space="preserve">Maximum Annual Withdrawal Percentage </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</si>
  <si>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</si>
  <si>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</si>
  <si>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</si>
  <si>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</si>
  <si>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</si>
  <si>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</si>
  <si>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</si>
  <si>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</si>
  <si>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</si>
  <si>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</si>
  <si>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</si>
  <si>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</si>
  <si>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</si>
  <si>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</si>
  <si>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</si>
  <si>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</si>
  <si>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</si>
  <si>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</si>
  <si>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</si>
  <si>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</si>
  <si>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</si>
  <si>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</si>
  <si>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</si>
  <si>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</si>
  <si>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</si>
  <si>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</si>
  <si>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</si>
  <si>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</si>
  <si>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0"/>
        <color rgb="FF000000"/>
        <rFont val="Times New Roman"/>
        <family val="1"/>
      </rPr>
      <t xml:space="preserve"> </t>
    </r>
  </si>
  <si>
    <r>
      <t xml:space="preserve">The Income Credit Percentage is </t>
    </r>
    <r>
      <rPr>
        <b/>
        <sz val="10"/>
        <color rgb="FF000000"/>
        <rFont val="Times New Roman"/>
        <family val="1"/>
      </rPr>
      <t>5.25%</t>
    </r>
    <r>
      <rPr>
        <sz val="10"/>
        <color rgb="FF000000"/>
        <rFont val="Times New Roman"/>
        <family val="1"/>
      </rPr>
      <t xml:space="preserve"> (as a percentage of the Income Credit Base). </t>
    </r>
  </si>
  <si>
    <r>
      <t>Income Credit Percentage</t>
    </r>
    <r>
      <rPr>
        <b/>
        <sz val="10"/>
        <color rgb="FF000000"/>
        <rFont val="Times New Roman"/>
        <family val="1"/>
      </rPr>
      <t xml:space="preserve"> </t>
    </r>
  </si>
  <si>
    <t xml:space="preserve">POLARIS INCOME MAX </t>
  </si>
  <si>
    <t>Summary</t>
  </si>
  <si>
    <t>Sum Payments</t>
  </si>
  <si>
    <t>Sum of MAWA and PIP</t>
  </si>
  <si>
    <t>Test Case Names</t>
  </si>
  <si>
    <t>Actual</t>
  </si>
  <si>
    <t>Expected</t>
  </si>
  <si>
    <t>Diff</t>
  </si>
  <si>
    <t>tPxy</t>
  </si>
  <si>
    <t>Symbol2</t>
  </si>
  <si>
    <t>Pxy</t>
  </si>
  <si>
    <t>Symbol</t>
  </si>
  <si>
    <t>Py</t>
  </si>
  <si>
    <t>Px</t>
  </si>
  <si>
    <t>To Age2</t>
  </si>
  <si>
    <t>To Age</t>
  </si>
  <si>
    <t>Survivng t Years</t>
  </si>
  <si>
    <t>Mpx</t>
  </si>
  <si>
    <t>Fpx</t>
  </si>
  <si>
    <t>Mqx</t>
  </si>
  <si>
    <t>Fqx</t>
  </si>
  <si>
    <t>Mix</t>
  </si>
  <si>
    <t>Fix</t>
  </si>
  <si>
    <t>Age</t>
  </si>
  <si>
    <t>px</t>
  </si>
  <si>
    <t>qx</t>
  </si>
  <si>
    <t>lx</t>
  </si>
  <si>
    <t>Male Life Age</t>
  </si>
  <si>
    <t>Female Life Age</t>
  </si>
  <si>
    <t>Male</t>
  </si>
  <si>
    <t>Female</t>
  </si>
  <si>
    <t>Birthday</t>
  </si>
  <si>
    <t>Nearest</t>
  </si>
  <si>
    <t>Joint Life Survivorship</t>
  </si>
  <si>
    <t>Table</t>
  </si>
  <si>
    <t>Period</t>
  </si>
  <si>
    <t>IAM</t>
  </si>
  <si>
    <t>Max Age</t>
  </si>
  <si>
    <t>Partial Year</t>
  </si>
  <si>
    <t>Primary Annuitant Px</t>
  </si>
  <si>
    <t>Secondary Annuitant Py</t>
  </si>
  <si>
    <t>tPx</t>
  </si>
  <si>
    <t>tPy</t>
  </si>
  <si>
    <t>Joint Mortality tPxy for the partial year</t>
  </si>
  <si>
    <t>Last-to-Die Survivorship tPxy</t>
  </si>
  <si>
    <t>Discount Factor</t>
  </si>
  <si>
    <t>Model Inputs</t>
  </si>
  <si>
    <t>Values</t>
  </si>
  <si>
    <t>Effective Annual Interest</t>
  </si>
  <si>
    <t>timeFromValuation</t>
  </si>
  <si>
    <t>Reserve</t>
  </si>
  <si>
    <t>Primary Age</t>
  </si>
  <si>
    <t>Secondary Age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</si>
  <si>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</si>
  <si>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</si>
  <si>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</si>
  <si>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</si>
  <si>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</si>
  <si>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</si>
  <si>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</si>
  <si>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</si>
  <si>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</si>
  <si>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</si>
  <si>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</si>
  <si>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</si>
  <si>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</si>
  <si>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</si>
  <si>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</si>
  <si>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</si>
  <si>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</si>
  <si>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</si>
  <si>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</si>
  <si>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</si>
  <si>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</si>
  <si>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</si>
  <si>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</si>
  <si>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</si>
  <si>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</si>
  <si>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</si>
  <si>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</si>
  <si>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</si>
  <si>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</si>
  <si>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</si>
  <si>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</si>
  <si>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</si>
  <si>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</si>
  <si>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</si>
  <si>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</si>
  <si>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</si>
  <si>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</si>
  <si>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</si>
  <si>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</si>
  <si>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</si>
  <si>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</si>
  <si>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</si>
  <si>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</si>
  <si>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</si>
  <si>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</si>
  <si>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</si>
  <si>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</si>
  <si>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</si>
  <si>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</si>
  <si>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</si>
  <si>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</si>
  <si>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</si>
  <si>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</si>
  <si>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</si>
  <si>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</si>
  <si>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</si>
  <si>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</si>
  <si>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Test Case</t>
  </si>
  <si>
    <t>Sum of Diff</t>
  </si>
  <si>
    <t>New Columns added to Calculation Table</t>
  </si>
  <si>
    <t>Primary Annuitant t Px</t>
  </si>
  <si>
    <t>Secondary Annuitant t Py</t>
  </si>
  <si>
    <t>Qx table information</t>
  </si>
  <si>
    <t>The Qx table provides information on expected survival times for individuals or couples. It can help an annuitant decide when to withdrawal and when to hold off. You can adjust the age in the table to give yourself an idea on the probabilities a couple will live to a certain age. You can figure out what best works for you and your specific situation.</t>
  </si>
  <si>
    <t>Reserve Actual</t>
  </si>
  <si>
    <t>Reserve Expected</t>
  </si>
  <si>
    <t>Reserve Difference</t>
  </si>
  <si>
    <t>Post Condition\ Reason for Difference (Reserve)</t>
  </si>
  <si>
    <t>When beginning at age 45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</si>
  <si>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When beginning at age 55 a person has plenty of time to live before they die. One might expect them to get eager and withdraw earlier in their life than those who being a plan later on. An affect of running the contract out is begenning PIP early on which can add up the longer that annuitant stays alive. It is 4% for someone who is alone on plan I.</t>
  </si>
  <si>
    <t>Someone who begins the plan at age 75 is probably pushing the limit on time for the plan but also by doing so they can create a large PIP. This money will add up with the possibility of the annuitant living for a long time.</t>
  </si>
  <si>
    <t>Someone who begins the plan at age 85 is probably pushing the limit on time for the plan but also by doing so they can create a large PIP. This money will add up with the possibility of the annuitant living for a long time.</t>
  </si>
  <si>
    <t>When withdrawals beging only 1.5 years after the initial date the contract value can run out faster than if the annuitant waited to do so. One result is faster PIP. This allows the sum of the PIP to accumulate and grow into a large number.</t>
  </si>
  <si>
    <t>When withdrawals beging only 2.5 years after the initial date the contract value can run out faster than if the annuitant waited to do so. One result is faster PIP. This allows the sum of the PIP to accumulate and grow into a large number.</t>
  </si>
  <si>
    <t>When withdrawals beging only 3.5 years after the initial date the contract value can run out faster than if the annuitant waited to do so. One result is faster PIP. This allows the sum of the PIP to accumulate and grow into a large number.</t>
  </si>
  <si>
    <t>Withdrawing after 5.5 years gives the annuitant time to build up an income base to increase their PIP. A risk is waiting to long to build it up being balanced with taking out too much money too early.</t>
  </si>
  <si>
    <t>An annuitant who waits 6.5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</si>
  <si>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An annuitant who waits 7.5 years is beggning to push the time they should wait to begin taking out withdrawals. They are losing the balance of time vs the value of waiting to build up more money for an income base. They have less time to collect PIP resulting in a lower number than if they had begun to withdraw sooner.</t>
  </si>
  <si>
    <t>When two annuitants of different ages decide to begin their withdrawals the age difference can come into play. How much they will get usually plays off the age of the younger annuitant. They likely had more money to begin with and waited together so they both could benefit from payments. This can result in a late PIP which won't have too pay out as long in other scenarios.</t>
  </si>
  <si>
    <t>A benefit of having two different annuitants is they have more resources to add to the pot at the start. This can lead to more money coming in down the road. They can build a base quickly and drive up the value of their PIP. By doing so they can end up reaping more from the results later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</si>
</sst>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1" formatCode="_(* #,##0_);_(* \(#,##0\);_(* &quot;-&quot;_);_(@_)"/>
    <numFmt numFmtId="43" formatCode="_(* #,##0.00_);_(* \(#,##0.00\);_(* &quot;-&quot;??_);_(@_)"/>
    <numFmt numFmtId="164" formatCode="_(* #,##0_);_(* \(#,##0\);_(* &quot;-&quot;??_);_(@_)"/>
    <numFmt numFmtId="165" formatCode="0.0000"/>
    <numFmt numFmtId="166" formatCode="_(* #,##0.000_);_(* \(#,##0.000\);_(* &quot;-&quot;??_);_(@_)"/>
    <numFmt numFmtId="167" formatCode="_(* #,##0.0000_);_(* \(#,##0.0000\);_(* &quot;-&quot;??_);_(@_)"/>
    <numFmt numFmtId="168" formatCode="0.000"/>
    <numFmt numFmtId="169" formatCode="_(* #,##0.0_);_(* \(#,##0.0\);_(* &quot;-&quot;??_);_(@_)"/>
    <numFmt numFmtId="170" formatCode="_(* #,##0.00_);_(* \(#,##0.00\);_(*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sz val="11"/>
      <color rgb="FF181717"/>
      <name val="Calibri"/>
      <family val="2"/>
      <scheme val="minor"/>
    </font>
    <font>
      <sz val="24"/>
      <color theme="1"/>
      <name val="Calibri"/>
      <family val="2"/>
      <scheme val="minor"/>
    </font>
    <font>
      <b/>
      <sz val="14"/>
      <color theme="1"/>
      <name val="Calibri"/>
      <family val="2"/>
      <scheme val="minor"/>
    </font>
    <font>
      <sz val="11"/>
      <color theme="2"/>
      <name val="Calibri"/>
      <family val="2"/>
      <scheme val="minor"/>
    </font>
    <font>
      <sz val="10"/>
      <color rgb="FF000000"/>
      <name val="Times New Roman"/>
      <family val="1"/>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0"/>
      <color rgb="FF000000"/>
      <name val="Times New Roman"/>
      <family val="1"/>
    </font>
    <font>
      <sz val="18"/>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indexed="64"/>
      </right>
      <top/>
      <bottom style="medium">
        <color indexed="64"/>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41">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9" fontId="0" fillId="0" borderId="0" xfId="2" applyFont="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0" fillId="0" borderId="1" xfId="0" applyBorder="1"/>
    <xf numFmtId="0" fontId="2" fillId="2" borderId="2" xfId="0" applyFont="1" applyFill="1" applyBorder="1" applyAlignment="1">
      <alignment wrapText="1"/>
    </xf>
    <xf numFmtId="0" fontId="0" fillId="0" borderId="13" xfId="0" applyBorder="1"/>
    <xf numFmtId="0" fontId="2" fillId="2" borderId="15" xfId="0" applyFont="1" applyFill="1" applyBorder="1"/>
    <xf numFmtId="0" fontId="2" fillId="2" borderId="16" xfId="0" applyFont="1" applyFill="1" applyBorder="1" applyAlignment="1">
      <alignment wrapText="1"/>
    </xf>
    <xf numFmtId="0" fontId="0" fillId="0" borderId="18" xfId="0" applyBorder="1"/>
    <xf numFmtId="164" fontId="0" fillId="3" borderId="19" xfId="0" applyNumberFormat="1" applyFill="1" applyBorder="1"/>
    <xf numFmtId="164" fontId="0" fillId="0" borderId="19" xfId="0" applyNumberFormat="1" applyBorder="1"/>
    <xf numFmtId="0" fontId="2" fillId="2" borderId="15" xfId="0" applyFont="1" applyFill="1" applyBorder="1" applyAlignment="1">
      <alignment horizontal="center"/>
    </xf>
    <xf numFmtId="43" fontId="3" fillId="0" borderId="1" xfId="1" applyFont="1" applyFill="1" applyBorder="1" applyAlignment="1">
      <alignment horizontal="center" vertical="center" wrapText="1"/>
    </xf>
    <xf numFmtId="164" fontId="0" fillId="0" borderId="16" xfId="0" applyNumberFormat="1" applyBorder="1"/>
    <xf numFmtId="0" fontId="2" fillId="0" borderId="0" xfId="0" applyFont="1" applyAlignment="1">
      <alignment wrapText="1"/>
    </xf>
    <xf numFmtId="0" fontId="5" fillId="0" borderId="0" xfId="0" applyFont="1" applyAlignment="1">
      <alignment wrapText="1"/>
    </xf>
    <xf numFmtId="43" fontId="2" fillId="2" borderId="1" xfId="1" applyFont="1" applyFill="1" applyBorder="1" applyAlignment="1">
      <alignment wrapText="1"/>
    </xf>
    <xf numFmtId="43" fontId="1" fillId="3" borderId="1" xfId="1" applyFont="1" applyFill="1" applyBorder="1" applyAlignment="1">
      <alignment horizontal="left" wrapText="1"/>
    </xf>
    <xf numFmtId="43" fontId="6" fillId="3" borderId="1" xfId="1" applyFont="1" applyFill="1" applyBorder="1" applyAlignment="1">
      <alignment horizontal="left" vertical="center" wrapText="1"/>
    </xf>
    <xf numFmtId="43" fontId="1" fillId="3" borderId="1" xfId="1" applyFont="1" applyFill="1" applyBorder="1" applyAlignment="1">
      <alignment horizontal="left"/>
    </xf>
    <xf numFmtId="165" fontId="0" fillId="0" borderId="1" xfId="0" applyNumberFormat="1" applyBorder="1"/>
    <xf numFmtId="166" fontId="3" fillId="0" borderId="1" xfId="1" applyNumberFormat="1" applyFont="1" applyFill="1" applyBorder="1" applyAlignment="1">
      <alignment horizontal="center" vertical="center" wrapText="1"/>
    </xf>
    <xf numFmtId="14" fontId="0" fillId="0" borderId="0" xfId="0" applyNumberFormat="1"/>
    <xf numFmtId="2" fontId="0" fillId="0" borderId="0" xfId="0" applyNumberFormat="1"/>
    <xf numFmtId="0" fontId="8" fillId="2" borderId="0" xfId="0" applyFont="1" applyFill="1" applyProtection="1">
      <protection hidden="1"/>
    </xf>
    <xf numFmtId="0" fontId="9" fillId="0" borderId="0" xfId="0" applyFont="1"/>
    <xf numFmtId="0" fontId="2" fillId="5" borderId="0" xfId="0" applyFont="1" applyFill="1" applyProtection="1">
      <protection hidden="1"/>
    </xf>
    <xf numFmtId="8" fontId="2" fillId="5" borderId="0" xfId="0" applyNumberFormat="1" applyFont="1" applyFill="1" applyProtection="1">
      <protection hidden="1"/>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horizontal="left" vertical="center" indent="2"/>
    </xf>
    <xf numFmtId="167" fontId="15" fillId="8" borderId="20" xfId="1" applyNumberFormat="1" applyFont="1" applyFill="1" applyBorder="1" applyAlignment="1">
      <alignment horizontal="center" vertical="center" wrapText="1"/>
    </xf>
    <xf numFmtId="0" fontId="15" fillId="0" borderId="21" xfId="0" applyFont="1" applyBorder="1" applyAlignment="1">
      <alignment vertical="center" wrapText="1"/>
    </xf>
    <xf numFmtId="167" fontId="15" fillId="9" borderId="20" xfId="1" applyNumberFormat="1"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22" xfId="0" applyFont="1" applyBorder="1" applyAlignment="1">
      <alignment horizontal="center" vertical="center" wrapText="1"/>
    </xf>
    <xf numFmtId="0" fontId="16" fillId="0" borderId="22" xfId="0" applyFont="1" applyBorder="1" applyAlignment="1">
      <alignment vertical="center" wrapText="1"/>
    </xf>
    <xf numFmtId="0" fontId="16" fillId="0" borderId="26" xfId="0" applyFont="1" applyBorder="1" applyAlignment="1">
      <alignment horizontal="center" vertical="center" wrapText="1"/>
    </xf>
    <xf numFmtId="167" fontId="0" fillId="0" borderId="0" xfId="0" applyNumberFormat="1"/>
    <xf numFmtId="167" fontId="0" fillId="7" borderId="0" xfId="1" applyNumberFormat="1" applyFont="1" applyFill="1"/>
    <xf numFmtId="167" fontId="15" fillId="10" borderId="20" xfId="1" applyNumberFormat="1" applyFont="1" applyFill="1" applyBorder="1" applyAlignment="1">
      <alignment horizontal="center" vertical="center" wrapText="1"/>
    </xf>
    <xf numFmtId="167" fontId="15" fillId="4" borderId="20" xfId="1" applyNumberFormat="1" applyFont="1" applyFill="1" applyBorder="1" applyAlignment="1">
      <alignment horizontal="center" vertical="center" wrapText="1"/>
    </xf>
    <xf numFmtId="167" fontId="15" fillId="11" borderId="20" xfId="1" applyNumberFormat="1" applyFont="1" applyFill="1" applyBorder="1" applyAlignment="1">
      <alignment horizontal="center" vertical="center" wrapText="1"/>
    </xf>
    <xf numFmtId="167" fontId="15" fillId="12" borderId="20" xfId="1" applyNumberFormat="1" applyFont="1" applyFill="1" applyBorder="1" applyAlignment="1">
      <alignment horizontal="center" vertical="center" wrapText="1"/>
    </xf>
    <xf numFmtId="0" fontId="15" fillId="0" borderId="29" xfId="0" applyFont="1" applyBorder="1" applyAlignment="1">
      <alignment vertical="center" wrapText="1"/>
    </xf>
    <xf numFmtId="0" fontId="17" fillId="0" borderId="22" xfId="0" applyFont="1" applyBorder="1" applyAlignment="1">
      <alignment vertical="center" wrapText="1"/>
    </xf>
    <xf numFmtId="0" fontId="15" fillId="13" borderId="30" xfId="0" applyFont="1" applyFill="1" applyBorder="1" applyAlignment="1">
      <alignment vertical="center" wrapText="1"/>
    </xf>
    <xf numFmtId="0" fontId="15" fillId="13" borderId="31" xfId="0" applyFont="1" applyFill="1" applyBorder="1" applyAlignment="1">
      <alignment vertical="center" wrapText="1"/>
    </xf>
    <xf numFmtId="0" fontId="15" fillId="13" borderId="32" xfId="0" applyFont="1" applyFill="1" applyBorder="1" applyAlignment="1">
      <alignment vertical="center" wrapText="1"/>
    </xf>
    <xf numFmtId="0" fontId="15" fillId="13" borderId="33" xfId="0" applyFont="1" applyFill="1" applyBorder="1" applyAlignment="1">
      <alignment vertical="center" wrapText="1"/>
    </xf>
    <xf numFmtId="0" fontId="15" fillId="13" borderId="34" xfId="0" applyFont="1" applyFill="1" applyBorder="1" applyAlignment="1">
      <alignment vertical="center" wrapText="1"/>
    </xf>
    <xf numFmtId="0" fontId="15" fillId="13" borderId="35" xfId="0" applyFont="1" applyFill="1" applyBorder="1" applyAlignment="1">
      <alignment vertical="center" wrapText="1"/>
    </xf>
    <xf numFmtId="0" fontId="15" fillId="14" borderId="20" xfId="0" applyFont="1" applyFill="1" applyBorder="1" applyAlignment="1">
      <alignment vertical="center" wrapText="1"/>
    </xf>
    <xf numFmtId="43" fontId="0" fillId="0" borderId="0" xfId="1" applyFont="1"/>
    <xf numFmtId="0" fontId="2" fillId="15" borderId="1" xfId="0" applyFont="1" applyFill="1" applyBorder="1" applyAlignment="1" applyProtection="1">
      <alignment horizontal="center"/>
      <protection hidden="1"/>
    </xf>
    <xf numFmtId="43" fontId="0" fillId="0" borderId="0" xfId="0" applyNumberFormat="1"/>
    <xf numFmtId="168" fontId="0" fillId="0" borderId="0" xfId="0" applyNumberFormat="1"/>
    <xf numFmtId="0" fontId="2" fillId="0" borderId="0" xfId="0" applyFont="1" applyProtection="1">
      <protection hidden="1"/>
    </xf>
    <xf numFmtId="0" fontId="22" fillId="0" borderId="35" xfId="0" applyFont="1" applyBorder="1"/>
    <xf numFmtId="0" fontId="22" fillId="0" borderId="37" xfId="0" applyFont="1" applyBorder="1"/>
    <xf numFmtId="0" fontId="22" fillId="0" borderId="38" xfId="0" applyFont="1" applyBorder="1"/>
    <xf numFmtId="0" fontId="22" fillId="0" borderId="39" xfId="0" applyFont="1" applyBorder="1"/>
    <xf numFmtId="0" fontId="22" fillId="0" borderId="0" xfId="0" applyFont="1"/>
    <xf numFmtId="0" fontId="22" fillId="0" borderId="40" xfId="0" applyFont="1" applyBorder="1"/>
    <xf numFmtId="0" fontId="22" fillId="0" borderId="41" xfId="0" applyFont="1" applyBorder="1"/>
    <xf numFmtId="0" fontId="22" fillId="0" borderId="42" xfId="0" applyFont="1" applyBorder="1"/>
    <xf numFmtId="0" fontId="22" fillId="0" borderId="43" xfId="0" applyFont="1" applyBorder="1"/>
    <xf numFmtId="0" fontId="2" fillId="8" borderId="16" xfId="0" applyFont="1" applyFill="1" applyBorder="1" applyAlignment="1">
      <alignment wrapText="1"/>
    </xf>
    <xf numFmtId="0" fontId="2" fillId="8" borderId="17" xfId="0" applyFont="1" applyFill="1" applyBorder="1" applyAlignment="1">
      <alignment wrapText="1"/>
    </xf>
    <xf numFmtId="43" fontId="0" fillId="0" borderId="1" xfId="1" applyFont="1" applyFill="1" applyBorder="1"/>
    <xf numFmtId="167" fontId="0" fillId="0" borderId="1" xfId="1" applyNumberFormat="1" applyFont="1" applyFill="1" applyBorder="1"/>
    <xf numFmtId="41" fontId="0" fillId="0" borderId="1" xfId="1" applyNumberFormat="1" applyFont="1" applyBorder="1"/>
    <xf numFmtId="41" fontId="0" fillId="0" borderId="1" xfId="1" applyNumberFormat="1" applyFont="1" applyFill="1" applyBorder="1"/>
    <xf numFmtId="0" fontId="2" fillId="0" borderId="1" xfId="0" applyFont="1" applyBorder="1" applyAlignment="1">
      <alignment wrapText="1"/>
    </xf>
    <xf numFmtId="170" fontId="0" fillId="0" borderId="14" xfId="1" applyNumberFormat="1" applyFont="1" applyBorder="1"/>
    <xf numFmtId="169" fontId="0" fillId="3" borderId="1" xfId="0" applyNumberFormat="1" applyFill="1" applyBorder="1"/>
    <xf numFmtId="8" fontId="0" fillId="0" borderId="1" xfId="1" applyNumberFormat="1" applyFont="1" applyFill="1" applyBorder="1"/>
    <xf numFmtId="8" fontId="0" fillId="0" borderId="16" xfId="1" applyNumberFormat="1" applyFont="1" applyFill="1" applyBorder="1"/>
    <xf numFmtId="8" fontId="0" fillId="0" borderId="1" xfId="0" applyNumberFormat="1" applyBorder="1"/>
    <xf numFmtId="8" fontId="0" fillId="0" borderId="19" xfId="0" applyNumberFormat="1" applyBorder="1"/>
    <xf numFmtId="0" fontId="0" fillId="6" borderId="1" xfId="0" applyFill="1" applyBorder="1"/>
    <xf numFmtId="0" fontId="2" fillId="3" borderId="0" xfId="0" applyFont="1" applyFill="1"/>
    <xf numFmtId="0" fontId="2" fillId="15" borderId="14" xfId="0" applyFont="1" applyFill="1" applyBorder="1" applyAlignment="1" applyProtection="1">
      <alignment horizontal="center"/>
      <protection hidden="1"/>
    </xf>
    <xf numFmtId="0" fontId="2" fillId="15" borderId="13" xfId="0" applyFont="1" applyFill="1" applyBorder="1" applyAlignment="1" applyProtection="1">
      <alignment horizontal="center"/>
      <protection hidden="1"/>
    </xf>
    <xf numFmtId="0" fontId="2" fillId="15" borderId="36" xfId="0" applyFont="1" applyFill="1" applyBorder="1" applyAlignment="1" applyProtection="1">
      <alignment horizontal="center"/>
      <protection hidden="1"/>
    </xf>
    <xf numFmtId="0" fontId="2" fillId="15" borderId="0" xfId="0" applyFont="1" applyFill="1" applyAlignment="1" applyProtection="1">
      <alignment horizontal="center"/>
      <protection hidden="1"/>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7" fillId="16" borderId="0" xfId="0" applyFont="1" applyFill="1"/>
    <xf numFmtId="0" fontId="0" fillId="16" borderId="0" xfId="0" applyFill="1"/>
    <xf numFmtId="0" fontId="21" fillId="6" borderId="0" xfId="0" applyFont="1" applyFill="1" applyAlignment="1">
      <alignment horizontal="center" vertical="center"/>
    </xf>
    <xf numFmtId="0" fontId="11" fillId="0" borderId="0" xfId="0" applyFont="1" applyAlignment="1">
      <alignment horizontal="center" vertical="center"/>
    </xf>
    <xf numFmtId="0" fontId="0" fillId="0" borderId="0" xfId="0"/>
    <xf numFmtId="0" fontId="20" fillId="0" borderId="0" xfId="0" applyFont="1" applyAlignment="1">
      <alignment horizontal="center" vertical="center"/>
    </xf>
    <xf numFmtId="0" fontId="10" fillId="0" borderId="0" xfId="0" applyFont="1" applyAlignment="1">
      <alignment horizontal="center" vertical="center"/>
    </xf>
    <xf numFmtId="0" fontId="16" fillId="0" borderId="27"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1"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4" xfId="0" applyFont="1" applyBorder="1" applyAlignment="1">
      <alignment horizontal="center" vertical="center" wrapText="1"/>
    </xf>
    <xf numFmtId="0" fontId="15" fillId="0" borderId="28" xfId="0" applyFont="1" applyBorder="1" applyAlignment="1">
      <alignment horizontal="justify" vertical="center"/>
    </xf>
    <xf numFmtId="0" fontId="0" fillId="0" borderId="28" xfId="0" applyBorder="1"/>
    <xf numFmtId="0" fontId="23" fillId="0" borderId="0" xfId="0" applyFont="1" applyAlignment="1">
      <alignment horizontal="center"/>
    </xf>
    <xf numFmtId="0" fontId="0" fillId="0" borderId="0" xfId="0" applyAlignment="1">
      <alignment horizontal="center"/>
    </xf>
    <xf numFmtId="0" fontId="2" fillId="17" borderId="0" xfId="0" applyFont="1" applyFill="1"/>
    <xf numFmtId="43" fontId="0" fillId="0" borderId="0" xfId="1" applyFont="1" applyBorder="1" applyAlignment="1">
      <alignment wrapText="1"/>
    </xf>
    <xf numFmtId="0" fontId="2" fillId="2" borderId="0" xfId="0" applyFont="1" applyFill="1" applyAlignment="1">
      <alignment wrapText="1"/>
    </xf>
    <xf numFmtId="0" fontId="2" fillId="2" borderId="0" xfId="0" applyFont="1" applyFill="1"/>
    <xf numFmtId="0" fontId="0" fillId="16" borderId="1" xfId="0" applyFont="1" applyFill="1" applyBorder="1" applyAlignment="1">
      <alignment wrapText="1"/>
    </xf>
    <xf numFmtId="0" fontId="0" fillId="0" borderId="1" xfId="0" applyFont="1" applyBorder="1"/>
    <xf numFmtId="0" fontId="0" fillId="0" borderId="0" xfId="0" applyBorder="1"/>
    <xf numFmtId="0" fontId="0" fillId="0" borderId="1" xfId="0" applyBorder="1" applyAlignment="1">
      <alignment wrapText="1"/>
    </xf>
    <xf numFmtId="0" fontId="2" fillId="0" borderId="0" xfId="0" applyFont="1" applyBorder="1" applyAlignment="1"/>
    <xf numFmtId="0" fontId="2" fillId="18" borderId="1" xfId="0" applyFont="1" applyFill="1" applyBorder="1"/>
    <xf numFmtId="0" fontId="2" fillId="18" borderId="1" xfId="0" applyFont="1" applyFill="1" applyBorder="1" applyAlignment="1"/>
  </cellXfs>
  <cellStyles count="3">
    <cellStyle name="Comma" xfId="1" builtinId="3"/>
    <cellStyle name="Normal" xfId="0" builtinId="0"/>
    <cellStyle name="Percent" xfId="2" builtinId="5"/>
  </cellStyles>
  <dxfs count="74">
    <dxf>
      <font>
        <b/>
        <i val="0"/>
      </font>
      <fill>
        <patternFill>
          <bgColor rgb="FFFF505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theme="5"/>
        </patternFill>
      </fill>
    </dxf>
    <dxf>
      <font>
        <b/>
        <i val="0"/>
      </font>
      <fill>
        <patternFill>
          <bgColor rgb="FFFF000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12" formatCode="&quot;$&quot;#,##0.00_);[Red]\(&quot;$&quot;#,##0.00\)"/>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_(* #,##0.0000_);_(* \(#,##0.0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_(* \(#,##0.0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70" formatCode="_(* #,##0.00_);_(* \(#,##0.00\);_(* &quot;-&quot;_);_(@_)"/>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outline="0">
        <left style="thin">
          <color indexed="64"/>
        </left>
        <right style="thin">
          <color indexed="64"/>
        </right>
        <top style="thin">
          <color indexed="64"/>
        </top>
        <bottom style="thin">
          <color indexed="64"/>
        </bottom>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sz val="10"/>
        <color rgb="FF181717"/>
        <name val="Times New Roman"/>
        <family val="1"/>
        <scheme val="none"/>
      </font>
      <numFmt numFmtId="35" formatCode="_(* #,##0.00_);_(* \(#,##0.00\);_(* &quot;-&quot;??_);_(@_)"/>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165" formatCode="0.0000"/>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numFmt numFmtId="164" formatCode="_(* #,##0_);_(* \(#,##0\);_(*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502920</xdr:colOff>
          <xdr:row>18</xdr:row>
          <xdr:rowOff>76200</xdr:rowOff>
        </xdr:from>
        <xdr:to>
          <xdr:col>11</xdr:col>
          <xdr:colOff>350520</xdr:colOff>
          <xdr:row>46</xdr:row>
          <xdr:rowOff>22860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7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64711e9dc8cfa85/Desktop/Maryville/Boczkaja_Jeffery_W4_Submission2.xlsx" TargetMode="External"/><Relationship Id="rId1" Type="http://schemas.openxmlformats.org/officeDocument/2006/relationships/externalLinkPath" Target="Boczkaja_Jeffery_W4_Submissio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19132\Google%20Drive\%23201_501%20Excel%20Class\ExcelRedo\Tweak\Week3\TheModelW3AnswerKeyV2_revised%20-No%20Hid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lossary"/>
      <sheetName val="Calculation D"/>
      <sheetName val="Controls"/>
      <sheetName val="Example Doc"/>
      <sheetName val="How It Works"/>
      <sheetName val="Orders of Operation"/>
      <sheetName val="Test Cases"/>
      <sheetName val="WdAges"/>
      <sheetName val="TestCaseExplinations"/>
      <sheetName val="Qx"/>
    </sheetNames>
    <sheetDataSet>
      <sheetData sheetId="0"/>
      <sheetData sheetId="1">
        <row r="1">
          <cell r="F1">
            <v>100000</v>
          </cell>
        </row>
        <row r="2">
          <cell r="C2">
            <v>4.5</v>
          </cell>
        </row>
        <row r="3">
          <cell r="C3">
            <v>5.2499999999999998E-2</v>
          </cell>
        </row>
        <row r="6">
          <cell r="C6">
            <v>0.04</v>
          </cell>
        </row>
        <row r="8">
          <cell r="G8">
            <v>100000</v>
          </cell>
          <cell r="H8" t="b">
            <v>1</v>
          </cell>
        </row>
        <row r="9">
          <cell r="G9">
            <v>165000</v>
          </cell>
          <cell r="H9" t="b">
            <v>0</v>
          </cell>
          <cell r="I9">
            <v>0</v>
          </cell>
        </row>
        <row r="10">
          <cell r="G10">
            <v>170000</v>
          </cell>
          <cell r="H10" t="b">
            <v>1</v>
          </cell>
          <cell r="I10">
            <v>170000</v>
          </cell>
        </row>
        <row r="11">
          <cell r="G11">
            <v>255000</v>
          </cell>
          <cell r="H11" t="b">
            <v>0</v>
          </cell>
          <cell r="I11">
            <v>0</v>
          </cell>
        </row>
        <row r="12">
          <cell r="G12">
            <v>287000</v>
          </cell>
          <cell r="H12" t="b">
            <v>1</v>
          </cell>
          <cell r="I12">
            <v>287000</v>
          </cell>
        </row>
        <row r="13">
          <cell r="G13">
            <v>287000</v>
          </cell>
          <cell r="H13" t="b">
            <v>0</v>
          </cell>
          <cell r="I13">
            <v>0</v>
          </cell>
        </row>
        <row r="14">
          <cell r="G14">
            <v>300000</v>
          </cell>
          <cell r="H14" t="b">
            <v>1</v>
          </cell>
          <cell r="I14">
            <v>300000</v>
          </cell>
        </row>
        <row r="15">
          <cell r="G15">
            <v>305000</v>
          </cell>
          <cell r="H15" t="b">
            <v>0</v>
          </cell>
          <cell r="I15">
            <v>0</v>
          </cell>
        </row>
        <row r="16">
          <cell r="G16">
            <v>312000</v>
          </cell>
          <cell r="H16" t="b">
            <v>1</v>
          </cell>
          <cell r="I16">
            <v>312000</v>
          </cell>
        </row>
        <row r="17">
          <cell r="G17">
            <v>302000</v>
          </cell>
          <cell r="H17" t="b">
            <v>0</v>
          </cell>
          <cell r="I17">
            <v>0</v>
          </cell>
        </row>
        <row r="18">
          <cell r="G18">
            <v>305000</v>
          </cell>
          <cell r="H18" t="b">
            <v>1</v>
          </cell>
          <cell r="I18">
            <v>305000</v>
          </cell>
        </row>
        <row r="19">
          <cell r="G19">
            <v>280000</v>
          </cell>
          <cell r="H19" t="b">
            <v>0</v>
          </cell>
          <cell r="I19">
            <v>0</v>
          </cell>
        </row>
        <row r="20">
          <cell r="G20">
            <v>290000</v>
          </cell>
          <cell r="H20" t="b">
            <v>1</v>
          </cell>
          <cell r="I20">
            <v>290000</v>
          </cell>
        </row>
        <row r="21">
          <cell r="G21">
            <v>260000</v>
          </cell>
          <cell r="H21" t="b">
            <v>0</v>
          </cell>
          <cell r="I21">
            <v>0</v>
          </cell>
        </row>
        <row r="22">
          <cell r="G22">
            <v>230000</v>
          </cell>
          <cell r="H22" t="b">
            <v>1</v>
          </cell>
          <cell r="I22">
            <v>230000</v>
          </cell>
        </row>
        <row r="23">
          <cell r="G23">
            <v>230000</v>
          </cell>
          <cell r="H23" t="b">
            <v>0</v>
          </cell>
          <cell r="I23">
            <v>0</v>
          </cell>
        </row>
        <row r="24">
          <cell r="G24">
            <v>150000</v>
          </cell>
          <cell r="H24" t="b">
            <v>1</v>
          </cell>
          <cell r="I24">
            <v>150000</v>
          </cell>
        </row>
        <row r="25">
          <cell r="G25">
            <v>150000</v>
          </cell>
          <cell r="H25" t="b">
            <v>0</v>
          </cell>
          <cell r="I25">
            <v>0</v>
          </cell>
        </row>
        <row r="26">
          <cell r="G26">
            <v>100000</v>
          </cell>
          <cell r="H26" t="b">
            <v>1</v>
          </cell>
          <cell r="I26">
            <v>100000</v>
          </cell>
        </row>
        <row r="27">
          <cell r="G27">
            <v>100000</v>
          </cell>
          <cell r="H27" t="b">
            <v>0</v>
          </cell>
          <cell r="I27">
            <v>0</v>
          </cell>
        </row>
        <row r="28">
          <cell r="G28">
            <v>50000</v>
          </cell>
          <cell r="H28" t="b">
            <v>1</v>
          </cell>
          <cell r="I28">
            <v>50000</v>
          </cell>
        </row>
        <row r="29">
          <cell r="G29">
            <v>50000</v>
          </cell>
          <cell r="H29" t="b">
            <v>0</v>
          </cell>
          <cell r="I29">
            <v>0</v>
          </cell>
        </row>
        <row r="30">
          <cell r="G30">
            <v>0</v>
          </cell>
          <cell r="H30" t="b">
            <v>1</v>
          </cell>
          <cell r="I30">
            <v>0</v>
          </cell>
        </row>
        <row r="31">
          <cell r="G31">
            <v>0</v>
          </cell>
          <cell r="H31" t="b">
            <v>0</v>
          </cell>
        </row>
        <row r="32">
          <cell r="G32">
            <v>0</v>
          </cell>
          <cell r="H32" t="b">
            <v>1</v>
          </cell>
        </row>
        <row r="33">
          <cell r="G33">
            <v>0</v>
          </cell>
          <cell r="H33" t="b">
            <v>0</v>
          </cell>
        </row>
        <row r="34">
          <cell r="G34">
            <v>0</v>
          </cell>
          <cell r="H34" t="b">
            <v>1</v>
          </cell>
        </row>
        <row r="35">
          <cell r="G35">
            <v>0</v>
          </cell>
          <cell r="H35" t="b">
            <v>0</v>
          </cell>
        </row>
        <row r="36">
          <cell r="G36">
            <v>0</v>
          </cell>
          <cell r="H36" t="b">
            <v>1</v>
          </cell>
        </row>
        <row r="37">
          <cell r="G37">
            <v>0</v>
          </cell>
          <cell r="H37" t="b">
            <v>0</v>
          </cell>
        </row>
        <row r="38">
          <cell r="G38">
            <v>0</v>
          </cell>
          <cell r="H38" t="b">
            <v>1</v>
          </cell>
        </row>
        <row r="39">
          <cell r="G39">
            <v>0</v>
          </cell>
          <cell r="H39" t="b">
            <v>0</v>
          </cell>
        </row>
        <row r="40">
          <cell r="G40">
            <v>0</v>
          </cell>
          <cell r="H40" t="b">
            <v>1</v>
          </cell>
        </row>
        <row r="41">
          <cell r="G41">
            <v>0</v>
          </cell>
          <cell r="H41" t="b">
            <v>0</v>
          </cell>
        </row>
        <row r="42">
          <cell r="G42">
            <v>0</v>
          </cell>
          <cell r="H42" t="b">
            <v>1</v>
          </cell>
        </row>
        <row r="43">
          <cell r="G43">
            <v>0</v>
          </cell>
          <cell r="H43" t="b">
            <v>0</v>
          </cell>
        </row>
        <row r="44">
          <cell r="G44">
            <v>0</v>
          </cell>
          <cell r="H44" t="b">
            <v>1</v>
          </cell>
        </row>
        <row r="45">
          <cell r="G45">
            <v>0</v>
          </cell>
          <cell r="H45" t="b">
            <v>0</v>
          </cell>
        </row>
        <row r="46">
          <cell r="G46">
            <v>0</v>
          </cell>
          <cell r="H46" t="b">
            <v>1</v>
          </cell>
        </row>
        <row r="47">
          <cell r="G47">
            <v>0</v>
          </cell>
          <cell r="H47" t="b">
            <v>0</v>
          </cell>
        </row>
        <row r="48">
          <cell r="G48">
            <v>0</v>
          </cell>
          <cell r="H48" t="b">
            <v>1</v>
          </cell>
        </row>
        <row r="49">
          <cell r="G49">
            <v>0</v>
          </cell>
          <cell r="H49" t="b">
            <v>0</v>
          </cell>
        </row>
        <row r="50">
          <cell r="G50">
            <v>0</v>
          </cell>
          <cell r="H50" t="b">
            <v>1</v>
          </cell>
        </row>
        <row r="51">
          <cell r="G51">
            <v>0</v>
          </cell>
          <cell r="H51" t="b">
            <v>0</v>
          </cell>
        </row>
        <row r="52">
          <cell r="G52">
            <v>0</v>
          </cell>
          <cell r="H52" t="b">
            <v>1</v>
          </cell>
        </row>
        <row r="53">
          <cell r="G53">
            <v>0</v>
          </cell>
          <cell r="H53" t="b">
            <v>0</v>
          </cell>
        </row>
        <row r="54">
          <cell r="G54">
            <v>0</v>
          </cell>
          <cell r="H54" t="b">
            <v>1</v>
          </cell>
        </row>
        <row r="55">
          <cell r="G55">
            <v>0</v>
          </cell>
          <cell r="H55" t="b">
            <v>0</v>
          </cell>
        </row>
        <row r="56">
          <cell r="G56">
            <v>0</v>
          </cell>
          <cell r="H56" t="b">
            <v>1</v>
          </cell>
        </row>
        <row r="57">
          <cell r="G57">
            <v>0</v>
          </cell>
          <cell r="H57" t="b">
            <v>0</v>
          </cell>
        </row>
        <row r="58">
          <cell r="G58">
            <v>0</v>
          </cell>
          <cell r="H58" t="b">
            <v>1</v>
          </cell>
        </row>
        <row r="59">
          <cell r="G59">
            <v>0</v>
          </cell>
          <cell r="H59" t="b">
            <v>0</v>
          </cell>
        </row>
        <row r="60">
          <cell r="G60">
            <v>0</v>
          </cell>
          <cell r="H60" t="b">
            <v>1</v>
          </cell>
        </row>
        <row r="61">
          <cell r="G61">
            <v>0</v>
          </cell>
          <cell r="H61" t="b">
            <v>0</v>
          </cell>
        </row>
        <row r="62">
          <cell r="G62">
            <v>0</v>
          </cell>
          <cell r="H62" t="b">
            <v>1</v>
          </cell>
        </row>
        <row r="63">
          <cell r="G63">
            <v>0</v>
          </cell>
          <cell r="H63" t="b">
            <v>0</v>
          </cell>
        </row>
        <row r="64">
          <cell r="G64">
            <v>0</v>
          </cell>
          <cell r="H64" t="b">
            <v>1</v>
          </cell>
        </row>
        <row r="65">
          <cell r="G65">
            <v>0</v>
          </cell>
          <cell r="H65" t="b">
            <v>0</v>
          </cell>
        </row>
        <row r="66">
          <cell r="G66">
            <v>0</v>
          </cell>
          <cell r="H66" t="b">
            <v>1</v>
          </cell>
        </row>
        <row r="67">
          <cell r="G67">
            <v>0</v>
          </cell>
          <cell r="H67" t="b">
            <v>0</v>
          </cell>
        </row>
        <row r="68">
          <cell r="G68">
            <v>0</v>
          </cell>
          <cell r="H68" t="b">
            <v>1</v>
          </cell>
        </row>
        <row r="69">
          <cell r="G69">
            <v>0</v>
          </cell>
          <cell r="H69" t="b">
            <v>0</v>
          </cell>
        </row>
        <row r="70">
          <cell r="G70">
            <v>0</v>
          </cell>
          <cell r="H70" t="b">
            <v>1</v>
          </cell>
        </row>
        <row r="71">
          <cell r="G71">
            <v>0</v>
          </cell>
          <cell r="H71" t="b">
            <v>0</v>
          </cell>
        </row>
        <row r="72">
          <cell r="G72">
            <v>0</v>
          </cell>
          <cell r="H72" t="b">
            <v>1</v>
          </cell>
        </row>
        <row r="73">
          <cell r="G73">
            <v>0</v>
          </cell>
          <cell r="H73" t="b">
            <v>0</v>
          </cell>
        </row>
        <row r="74">
          <cell r="G74">
            <v>0</v>
          </cell>
          <cell r="H74" t="b">
            <v>1</v>
          </cell>
        </row>
        <row r="75">
          <cell r="G75">
            <v>0</v>
          </cell>
          <cell r="H75" t="b">
            <v>0</v>
          </cell>
        </row>
        <row r="76">
          <cell r="G76">
            <v>0</v>
          </cell>
          <cell r="H76" t="b">
            <v>1</v>
          </cell>
        </row>
        <row r="77">
          <cell r="G77">
            <v>0</v>
          </cell>
          <cell r="H77" t="b">
            <v>0</v>
          </cell>
        </row>
        <row r="78">
          <cell r="G78">
            <v>0</v>
          </cell>
          <cell r="H78" t="b">
            <v>1</v>
          </cell>
        </row>
        <row r="79">
          <cell r="G79">
            <v>0</v>
          </cell>
          <cell r="H79" t="b">
            <v>0</v>
          </cell>
        </row>
        <row r="80">
          <cell r="G80">
            <v>0</v>
          </cell>
          <cell r="H80" t="b">
            <v>1</v>
          </cell>
        </row>
        <row r="81">
          <cell r="G81">
            <v>0</v>
          </cell>
          <cell r="H81" t="b">
            <v>0</v>
          </cell>
        </row>
        <row r="82">
          <cell r="G82">
            <v>0</v>
          </cell>
          <cell r="H82" t="b">
            <v>1</v>
          </cell>
        </row>
        <row r="83">
          <cell r="G83">
            <v>0</v>
          </cell>
          <cell r="H83" t="b">
            <v>0</v>
          </cell>
        </row>
        <row r="84">
          <cell r="G84">
            <v>0</v>
          </cell>
          <cell r="H84" t="b">
            <v>1</v>
          </cell>
        </row>
        <row r="85">
          <cell r="G85">
            <v>0</v>
          </cell>
          <cell r="H85" t="b">
            <v>0</v>
          </cell>
        </row>
        <row r="86">
          <cell r="G86">
            <v>0</v>
          </cell>
          <cell r="H86" t="b">
            <v>1</v>
          </cell>
        </row>
        <row r="87">
          <cell r="G87">
            <v>0</v>
          </cell>
          <cell r="H87" t="b">
            <v>0</v>
          </cell>
        </row>
        <row r="88">
          <cell r="G88">
            <v>0</v>
          </cell>
          <cell r="H88" t="b">
            <v>1</v>
          </cell>
        </row>
        <row r="89">
          <cell r="G89">
            <v>0</v>
          </cell>
          <cell r="H89" t="b">
            <v>0</v>
          </cell>
        </row>
        <row r="90">
          <cell r="G90">
            <v>0</v>
          </cell>
          <cell r="H90" t="b">
            <v>1</v>
          </cell>
        </row>
        <row r="91">
          <cell r="G91">
            <v>0</v>
          </cell>
          <cell r="H91" t="b">
            <v>0</v>
          </cell>
        </row>
        <row r="92">
          <cell r="G92">
            <v>0</v>
          </cell>
          <cell r="H92" t="b">
            <v>1</v>
          </cell>
        </row>
        <row r="93">
          <cell r="G93">
            <v>0</v>
          </cell>
          <cell r="H93" t="b">
            <v>0</v>
          </cell>
        </row>
        <row r="94">
          <cell r="G94">
            <v>0</v>
          </cell>
          <cell r="H94" t="b">
            <v>1</v>
          </cell>
        </row>
        <row r="95">
          <cell r="G95">
            <v>0</v>
          </cell>
          <cell r="H95" t="b">
            <v>0</v>
          </cell>
        </row>
        <row r="96">
          <cell r="G96">
            <v>0</v>
          </cell>
          <cell r="H96" t="b">
            <v>1</v>
          </cell>
        </row>
        <row r="97">
          <cell r="G97">
            <v>0</v>
          </cell>
          <cell r="H97" t="b">
            <v>0</v>
          </cell>
        </row>
        <row r="98">
          <cell r="G98">
            <v>0</v>
          </cell>
          <cell r="H98" t="b">
            <v>1</v>
          </cell>
        </row>
        <row r="99">
          <cell r="G99">
            <v>0</v>
          </cell>
          <cell r="H99" t="b">
            <v>0</v>
          </cell>
        </row>
        <row r="100">
          <cell r="G100">
            <v>0</v>
          </cell>
          <cell r="H100" t="b">
            <v>1</v>
          </cell>
        </row>
        <row r="101">
          <cell r="G101">
            <v>0</v>
          </cell>
          <cell r="H101" t="b">
            <v>0</v>
          </cell>
        </row>
        <row r="102">
          <cell r="G102">
            <v>0</v>
          </cell>
          <cell r="H102" t="b">
            <v>1</v>
          </cell>
        </row>
        <row r="103">
          <cell r="G103">
            <v>0</v>
          </cell>
          <cell r="H103" t="b">
            <v>0</v>
          </cell>
        </row>
        <row r="104">
          <cell r="G104">
            <v>0</v>
          </cell>
          <cell r="H104" t="b">
            <v>1</v>
          </cell>
        </row>
        <row r="105">
          <cell r="G105">
            <v>0</v>
          </cell>
          <cell r="H105" t="b">
            <v>0</v>
          </cell>
        </row>
        <row r="106">
          <cell r="G106">
            <v>0</v>
          </cell>
          <cell r="H106" t="b">
            <v>1</v>
          </cell>
        </row>
        <row r="107">
          <cell r="G107">
            <v>0</v>
          </cell>
          <cell r="H107" t="b">
            <v>0</v>
          </cell>
        </row>
        <row r="108">
          <cell r="G108">
            <v>0</v>
          </cell>
          <cell r="H108" t="b">
            <v>1</v>
          </cell>
        </row>
        <row r="109">
          <cell r="G109">
            <v>0</v>
          </cell>
          <cell r="H109" t="b">
            <v>0</v>
          </cell>
        </row>
        <row r="110">
          <cell r="G110">
            <v>0</v>
          </cell>
          <cell r="H110" t="b">
            <v>1</v>
          </cell>
        </row>
        <row r="111">
          <cell r="G111">
            <v>0</v>
          </cell>
          <cell r="H111" t="b">
            <v>0</v>
          </cell>
        </row>
        <row r="112">
          <cell r="G112">
            <v>0</v>
          </cell>
          <cell r="H112" t="b">
            <v>1</v>
          </cell>
        </row>
        <row r="113">
          <cell r="G113">
            <v>0</v>
          </cell>
          <cell r="H113" t="b">
            <v>0</v>
          </cell>
        </row>
        <row r="114">
          <cell r="G114">
            <v>0</v>
          </cell>
          <cell r="H114" t="b">
            <v>1</v>
          </cell>
        </row>
        <row r="115">
          <cell r="G115">
            <v>0</v>
          </cell>
          <cell r="H115" t="b">
            <v>0</v>
          </cell>
        </row>
        <row r="116">
          <cell r="G116">
            <v>0</v>
          </cell>
          <cell r="H116" t="b">
            <v>1</v>
          </cell>
        </row>
        <row r="117">
          <cell r="G117">
            <v>0</v>
          </cell>
          <cell r="H117" t="b">
            <v>0</v>
          </cell>
        </row>
        <row r="118">
          <cell r="G118">
            <v>0</v>
          </cell>
          <cell r="H118" t="b">
            <v>1</v>
          </cell>
        </row>
        <row r="119">
          <cell r="G119">
            <v>0</v>
          </cell>
          <cell r="H119" t="b">
            <v>0</v>
          </cell>
        </row>
        <row r="120">
          <cell r="G120">
            <v>0</v>
          </cell>
          <cell r="H120" t="b">
            <v>1</v>
          </cell>
        </row>
        <row r="121">
          <cell r="G121">
            <v>0</v>
          </cell>
          <cell r="H121" t="b">
            <v>0</v>
          </cell>
        </row>
        <row r="122">
          <cell r="G122">
            <v>0</v>
          </cell>
          <cell r="H122" t="b">
            <v>1</v>
          </cell>
        </row>
        <row r="123">
          <cell r="G123">
            <v>0</v>
          </cell>
          <cell r="H123" t="b">
            <v>0</v>
          </cell>
        </row>
        <row r="124">
          <cell r="G124">
            <v>0</v>
          </cell>
          <cell r="H124" t="b">
            <v>1</v>
          </cell>
        </row>
        <row r="125">
          <cell r="G125">
            <v>0</v>
          </cell>
          <cell r="H125" t="b">
            <v>0</v>
          </cell>
        </row>
        <row r="126">
          <cell r="G126">
            <v>0</v>
          </cell>
          <cell r="H126" t="b">
            <v>1</v>
          </cell>
        </row>
        <row r="127">
          <cell r="G127">
            <v>0</v>
          </cell>
          <cell r="H127" t="b">
            <v>0</v>
          </cell>
        </row>
        <row r="128">
          <cell r="G128">
            <v>0</v>
          </cell>
          <cell r="H128" t="b">
            <v>1</v>
          </cell>
        </row>
        <row r="129">
          <cell r="G129">
            <v>0</v>
          </cell>
          <cell r="H129" t="b">
            <v>0</v>
          </cell>
        </row>
        <row r="130">
          <cell r="G130">
            <v>0</v>
          </cell>
          <cell r="H130" t="b">
            <v>1</v>
          </cell>
        </row>
        <row r="131">
          <cell r="G131">
            <v>0</v>
          </cell>
          <cell r="H131" t="b">
            <v>0</v>
          </cell>
        </row>
        <row r="132">
          <cell r="G132">
            <v>0</v>
          </cell>
          <cell r="H132" t="b">
            <v>1</v>
          </cell>
        </row>
        <row r="133">
          <cell r="G133">
            <v>0</v>
          </cell>
          <cell r="H133" t="b">
            <v>0</v>
          </cell>
        </row>
        <row r="134">
          <cell r="G134">
            <v>0</v>
          </cell>
          <cell r="H134" t="b">
            <v>1</v>
          </cell>
        </row>
        <row r="135">
          <cell r="G135">
            <v>0</v>
          </cell>
          <cell r="H135" t="b">
            <v>0</v>
          </cell>
        </row>
        <row r="136">
          <cell r="G136">
            <v>0</v>
          </cell>
          <cell r="H136" t="b">
            <v>1</v>
          </cell>
        </row>
        <row r="137">
          <cell r="G137">
            <v>0</v>
          </cell>
          <cell r="H137" t="b">
            <v>0</v>
          </cell>
        </row>
        <row r="138">
          <cell r="G138">
            <v>0</v>
          </cell>
          <cell r="H138" t="b">
            <v>1</v>
          </cell>
        </row>
        <row r="139">
          <cell r="G139">
            <v>0</v>
          </cell>
          <cell r="H139" t="b">
            <v>0</v>
          </cell>
        </row>
        <row r="140">
          <cell r="G140">
            <v>0</v>
          </cell>
          <cell r="H140" t="b">
            <v>1</v>
          </cell>
        </row>
        <row r="141">
          <cell r="G141">
            <v>0</v>
          </cell>
          <cell r="H141" t="b">
            <v>0</v>
          </cell>
        </row>
        <row r="142">
          <cell r="G142">
            <v>0</v>
          </cell>
          <cell r="H142" t="b">
            <v>1</v>
          </cell>
        </row>
        <row r="143">
          <cell r="G143">
            <v>0</v>
          </cell>
          <cell r="H143" t="b">
            <v>0</v>
          </cell>
        </row>
        <row r="144">
          <cell r="G144">
            <v>0</v>
          </cell>
          <cell r="H144" t="b">
            <v>1</v>
          </cell>
        </row>
        <row r="145">
          <cell r="G145">
            <v>0</v>
          </cell>
          <cell r="H145" t="b">
            <v>0</v>
          </cell>
        </row>
        <row r="146">
          <cell r="G146">
            <v>0</v>
          </cell>
          <cell r="H146" t="b">
            <v>1</v>
          </cell>
        </row>
        <row r="147">
          <cell r="G147">
            <v>0</v>
          </cell>
          <cell r="H147" t="b">
            <v>0</v>
          </cell>
        </row>
        <row r="148">
          <cell r="G148">
            <v>0</v>
          </cell>
          <cell r="H148" t="b">
            <v>1</v>
          </cell>
        </row>
        <row r="149">
          <cell r="G149">
            <v>0</v>
          </cell>
          <cell r="H149" t="b">
            <v>0</v>
          </cell>
        </row>
        <row r="150">
          <cell r="G150">
            <v>0</v>
          </cell>
          <cell r="H150" t="b">
            <v>1</v>
          </cell>
        </row>
        <row r="151">
          <cell r="G151">
            <v>0</v>
          </cell>
          <cell r="H151" t="b">
            <v>0</v>
          </cell>
        </row>
        <row r="152">
          <cell r="G152">
            <v>0</v>
          </cell>
          <cell r="H152" t="b">
            <v>1</v>
          </cell>
        </row>
        <row r="153">
          <cell r="G153">
            <v>0</v>
          </cell>
          <cell r="H153" t="b">
            <v>0</v>
          </cell>
        </row>
        <row r="154">
          <cell r="G154">
            <v>0</v>
          </cell>
          <cell r="H154" t="b">
            <v>1</v>
          </cell>
        </row>
        <row r="155">
          <cell r="G155">
            <v>0</v>
          </cell>
          <cell r="H155" t="b">
            <v>0</v>
          </cell>
        </row>
        <row r="156">
          <cell r="G156">
            <v>0</v>
          </cell>
          <cell r="H156" t="b">
            <v>1</v>
          </cell>
        </row>
        <row r="157">
          <cell r="G157">
            <v>0</v>
          </cell>
          <cell r="H157" t="b">
            <v>0</v>
          </cell>
        </row>
        <row r="158">
          <cell r="G158">
            <v>0</v>
          </cell>
          <cell r="H158" t="b">
            <v>1</v>
          </cell>
        </row>
        <row r="159">
          <cell r="G159">
            <v>0</v>
          </cell>
          <cell r="H159" t="b">
            <v>0</v>
          </cell>
        </row>
        <row r="160">
          <cell r="G160">
            <v>0</v>
          </cell>
          <cell r="H160" t="b">
            <v>1</v>
          </cell>
        </row>
        <row r="161">
          <cell r="G161">
            <v>0</v>
          </cell>
          <cell r="H161" t="b">
            <v>0</v>
          </cell>
        </row>
        <row r="162">
          <cell r="G162">
            <v>0</v>
          </cell>
          <cell r="H162" t="b">
            <v>1</v>
          </cell>
        </row>
        <row r="163">
          <cell r="G163">
            <v>0</v>
          </cell>
          <cell r="H163" t="b">
            <v>0</v>
          </cell>
        </row>
        <row r="164">
          <cell r="G164">
            <v>0</v>
          </cell>
          <cell r="H164" t="b">
            <v>1</v>
          </cell>
        </row>
        <row r="165">
          <cell r="G165">
            <v>0</v>
          </cell>
          <cell r="H165" t="b">
            <v>0</v>
          </cell>
        </row>
        <row r="166">
          <cell r="G166">
            <v>0</v>
          </cell>
          <cell r="H166" t="b">
            <v>1</v>
          </cell>
        </row>
        <row r="167">
          <cell r="G167">
            <v>0</v>
          </cell>
          <cell r="H167" t="b">
            <v>0</v>
          </cell>
        </row>
        <row r="168">
          <cell r="G168">
            <v>0</v>
          </cell>
          <cell r="H168" t="b">
            <v>1</v>
          </cell>
        </row>
        <row r="169">
          <cell r="G169">
            <v>0</v>
          </cell>
          <cell r="H169" t="b">
            <v>0</v>
          </cell>
        </row>
        <row r="170">
          <cell r="G170">
            <v>0</v>
          </cell>
          <cell r="H170" t="b">
            <v>1</v>
          </cell>
        </row>
        <row r="171">
          <cell r="G171">
            <v>0</v>
          </cell>
          <cell r="H171" t="b">
            <v>0</v>
          </cell>
        </row>
        <row r="172">
          <cell r="G172">
            <v>0</v>
          </cell>
          <cell r="H172" t="b">
            <v>1</v>
          </cell>
        </row>
        <row r="173">
          <cell r="G173">
            <v>0</v>
          </cell>
          <cell r="H173" t="b">
            <v>0</v>
          </cell>
        </row>
        <row r="174">
          <cell r="G174">
            <v>0</v>
          </cell>
          <cell r="H174" t="b">
            <v>1</v>
          </cell>
        </row>
        <row r="175">
          <cell r="G175">
            <v>0</v>
          </cell>
          <cell r="H175" t="b">
            <v>0</v>
          </cell>
        </row>
        <row r="176">
          <cell r="G176">
            <v>0</v>
          </cell>
          <cell r="H176" t="b">
            <v>1</v>
          </cell>
        </row>
        <row r="177">
          <cell r="G177">
            <v>0</v>
          </cell>
          <cell r="H177" t="b">
            <v>0</v>
          </cell>
        </row>
        <row r="178">
          <cell r="G178">
            <v>0</v>
          </cell>
          <cell r="H178" t="b">
            <v>1</v>
          </cell>
        </row>
        <row r="179">
          <cell r="G179">
            <v>0</v>
          </cell>
          <cell r="H179" t="b">
            <v>0</v>
          </cell>
        </row>
        <row r="180">
          <cell r="G180">
            <v>0</v>
          </cell>
          <cell r="H180" t="b">
            <v>1</v>
          </cell>
        </row>
      </sheetData>
      <sheetData sheetId="2">
        <row r="2">
          <cell r="F2">
            <v>0.05</v>
          </cell>
        </row>
        <row r="34">
          <cell r="O34">
            <v>95325.473432383646</v>
          </cell>
          <cell r="P34">
            <v>95325.473432383646</v>
          </cell>
          <cell r="R34">
            <v>100000</v>
          </cell>
        </row>
        <row r="37">
          <cell r="S37">
            <v>1</v>
          </cell>
        </row>
        <row r="38">
          <cell r="B38">
            <v>1</v>
          </cell>
          <cell r="F38">
            <v>65</v>
          </cell>
          <cell r="S38">
            <v>0</v>
          </cell>
          <cell r="U38">
            <v>0</v>
          </cell>
        </row>
        <row r="39">
          <cell r="B39">
            <v>1</v>
          </cell>
          <cell r="F39">
            <v>65</v>
          </cell>
          <cell r="S39">
            <v>1</v>
          </cell>
          <cell r="U39">
            <v>1</v>
          </cell>
        </row>
        <row r="40">
          <cell r="B40">
            <v>1</v>
          </cell>
          <cell r="F40">
            <v>45</v>
          </cell>
          <cell r="S40">
            <v>2</v>
          </cell>
          <cell r="U40">
            <v>2</v>
          </cell>
        </row>
        <row r="41">
          <cell r="B41">
            <v>1</v>
          </cell>
          <cell r="F41">
            <v>55</v>
          </cell>
          <cell r="S41">
            <v>3</v>
          </cell>
          <cell r="U41">
            <v>3</v>
          </cell>
        </row>
        <row r="42">
          <cell r="B42">
            <v>1</v>
          </cell>
          <cell r="F42">
            <v>75</v>
          </cell>
          <cell r="S42">
            <v>4</v>
          </cell>
          <cell r="U42">
            <v>4</v>
          </cell>
        </row>
        <row r="43">
          <cell r="B43">
            <v>1</v>
          </cell>
          <cell r="F43">
            <v>84</v>
          </cell>
          <cell r="S43">
            <v>5</v>
          </cell>
          <cell r="U43">
            <v>5</v>
          </cell>
        </row>
        <row r="44">
          <cell r="B44">
            <v>1</v>
          </cell>
          <cell r="F44">
            <v>65</v>
          </cell>
          <cell r="S44">
            <v>6</v>
          </cell>
          <cell r="U44">
            <v>6</v>
          </cell>
        </row>
        <row r="45">
          <cell r="B45">
            <v>1</v>
          </cell>
          <cell r="F45">
            <v>65</v>
          </cell>
          <cell r="S45">
            <v>7</v>
          </cell>
          <cell r="U45">
            <v>7</v>
          </cell>
        </row>
        <row r="46">
          <cell r="B46">
            <v>1</v>
          </cell>
          <cell r="F46">
            <v>65</v>
          </cell>
          <cell r="S46">
            <v>8</v>
          </cell>
          <cell r="U46">
            <v>8</v>
          </cell>
        </row>
        <row r="47">
          <cell r="B47">
            <v>1</v>
          </cell>
          <cell r="F47">
            <v>65</v>
          </cell>
          <cell r="S47">
            <v>9</v>
          </cell>
          <cell r="U47">
            <v>9</v>
          </cell>
        </row>
        <row r="48">
          <cell r="B48">
            <v>1</v>
          </cell>
          <cell r="F48">
            <v>65</v>
          </cell>
          <cell r="S48">
            <v>10</v>
          </cell>
          <cell r="U48">
            <v>10</v>
          </cell>
        </row>
        <row r="49">
          <cell r="B49">
            <v>1</v>
          </cell>
          <cell r="F49">
            <v>65</v>
          </cell>
          <cell r="S49">
            <v>11</v>
          </cell>
          <cell r="U49">
            <v>11</v>
          </cell>
        </row>
        <row r="50">
          <cell r="B50">
            <v>1</v>
          </cell>
          <cell r="F50">
            <v>65</v>
          </cell>
          <cell r="S50">
            <v>12</v>
          </cell>
          <cell r="U50">
            <v>12</v>
          </cell>
        </row>
        <row r="51">
          <cell r="B51">
            <v>1</v>
          </cell>
          <cell r="F51">
            <v>65</v>
          </cell>
          <cell r="S51">
            <v>13</v>
          </cell>
          <cell r="U51">
            <v>13</v>
          </cell>
        </row>
        <row r="52">
          <cell r="B52">
            <v>2</v>
          </cell>
          <cell r="F52">
            <v>55</v>
          </cell>
          <cell r="S52">
            <v>14</v>
          </cell>
          <cell r="U52">
            <v>14</v>
          </cell>
        </row>
        <row r="53">
          <cell r="B53">
            <v>2</v>
          </cell>
          <cell r="F53">
            <v>65</v>
          </cell>
          <cell r="S53">
            <v>15</v>
          </cell>
          <cell r="U53">
            <v>15</v>
          </cell>
        </row>
        <row r="54">
          <cell r="B54">
            <v>2</v>
          </cell>
          <cell r="F54">
            <v>80</v>
          </cell>
          <cell r="S54">
            <v>16</v>
          </cell>
          <cell r="U54">
            <v>16</v>
          </cell>
        </row>
        <row r="85">
          <cell r="A85">
            <v>6.25E-2</v>
          </cell>
        </row>
        <row r="86">
          <cell r="A86">
            <v>0.04</v>
          </cell>
        </row>
      </sheetData>
      <sheetData sheetId="3"/>
      <sheetData sheetId="4"/>
      <sheetData sheetId="5"/>
      <sheetData sheetId="6"/>
      <sheetData sheetId="7">
        <row r="11">
          <cell r="B11">
            <v>45</v>
          </cell>
          <cell r="C11">
            <v>59</v>
          </cell>
        </row>
        <row r="12">
          <cell r="B12">
            <v>60</v>
          </cell>
          <cell r="C12">
            <v>64</v>
          </cell>
        </row>
        <row r="13">
          <cell r="B13">
            <v>65</v>
          </cell>
          <cell r="C13">
            <v>71</v>
          </cell>
        </row>
        <row r="14">
          <cell r="B14">
            <v>72</v>
          </cell>
          <cell r="C14">
            <v>99</v>
          </cell>
        </row>
        <row r="15">
          <cell r="C15">
            <v>59</v>
          </cell>
        </row>
        <row r="16">
          <cell r="C16">
            <v>64</v>
          </cell>
        </row>
        <row r="17">
          <cell r="C17">
            <v>71</v>
          </cell>
        </row>
        <row r="18">
          <cell r="C18">
            <v>99</v>
          </cell>
        </row>
      </sheetData>
      <sheetData sheetId="8"/>
      <sheetData sheetId="9">
        <row r="8">
          <cell r="B8">
            <v>1.621</v>
          </cell>
        </row>
        <row r="9">
          <cell r="B9">
            <v>0.40500000000000003</v>
          </cell>
        </row>
        <row r="10">
          <cell r="B10">
            <v>0.25900000000000001</v>
          </cell>
        </row>
        <row r="11">
          <cell r="B11">
            <v>0.17899999999999999</v>
          </cell>
        </row>
        <row r="12">
          <cell r="B12">
            <v>0.13700000000000001</v>
          </cell>
        </row>
        <row r="13">
          <cell r="B13">
            <v>0.125</v>
          </cell>
        </row>
        <row r="14">
          <cell r="B14">
            <v>0.11700000000000001</v>
          </cell>
        </row>
        <row r="15">
          <cell r="B15">
            <v>0.11</v>
          </cell>
        </row>
        <row r="16">
          <cell r="B16">
            <v>9.5000000000000001E-2</v>
          </cell>
        </row>
        <row r="17">
          <cell r="B17">
            <v>8.7999999999999995E-2</v>
          </cell>
        </row>
        <row r="18">
          <cell r="B18">
            <v>8.5000000000000006E-2</v>
          </cell>
        </row>
        <row r="19">
          <cell r="B19">
            <v>8.5999999999999993E-2</v>
          </cell>
        </row>
        <row r="20">
          <cell r="B20">
            <v>9.4E-2</v>
          </cell>
        </row>
        <row r="21">
          <cell r="B21">
            <v>0.108</v>
          </cell>
        </row>
        <row r="22">
          <cell r="B22">
            <v>0.13100000000000001</v>
          </cell>
        </row>
        <row r="23">
          <cell r="B23">
            <v>0.156</v>
          </cell>
        </row>
        <row r="24">
          <cell r="B24">
            <v>0.17899999999999999</v>
          </cell>
        </row>
        <row r="25">
          <cell r="B25">
            <v>0.19800000000000001</v>
          </cell>
        </row>
        <row r="26">
          <cell r="B26">
            <v>0.21099999999999999</v>
          </cell>
        </row>
        <row r="27">
          <cell r="B27">
            <v>0.221</v>
          </cell>
        </row>
        <row r="28">
          <cell r="B28">
            <v>0.22800000000000001</v>
          </cell>
        </row>
        <row r="29">
          <cell r="B29">
            <v>0.23400000000000001</v>
          </cell>
        </row>
        <row r="30">
          <cell r="B30">
            <v>0.24</v>
          </cell>
        </row>
        <row r="31">
          <cell r="B31">
            <v>0.245</v>
          </cell>
        </row>
        <row r="32">
          <cell r="B32">
            <v>0.247</v>
          </cell>
        </row>
        <row r="33">
          <cell r="B33">
            <v>0.25</v>
          </cell>
        </row>
        <row r="34">
          <cell r="B34">
            <v>0.25600000000000001</v>
          </cell>
        </row>
        <row r="35">
          <cell r="B35">
            <v>0.26100000000000001</v>
          </cell>
        </row>
        <row r="36">
          <cell r="B36">
            <v>0.27</v>
          </cell>
        </row>
        <row r="37">
          <cell r="B37">
            <v>0.28100000000000003</v>
          </cell>
        </row>
        <row r="38">
          <cell r="B38">
            <v>0.3</v>
          </cell>
        </row>
        <row r="39">
          <cell r="B39">
            <v>0.32100000000000001</v>
          </cell>
        </row>
        <row r="40">
          <cell r="B40">
            <v>0.33800000000000002</v>
          </cell>
        </row>
        <row r="41">
          <cell r="B41">
            <v>0.35099999999999998</v>
          </cell>
        </row>
        <row r="42">
          <cell r="B42">
            <v>0.36499999999999999</v>
          </cell>
        </row>
        <row r="43">
          <cell r="B43">
            <v>0.38100000000000001</v>
          </cell>
        </row>
        <row r="44">
          <cell r="B44">
            <v>0.40200000000000002</v>
          </cell>
        </row>
        <row r="45">
          <cell r="B45">
            <v>0.42899999999999999</v>
          </cell>
        </row>
        <row r="46">
          <cell r="B46">
            <v>0.46300000000000002</v>
          </cell>
        </row>
        <row r="47">
          <cell r="B47">
            <v>0.504</v>
          </cell>
        </row>
        <row r="48">
          <cell r="B48">
            <v>0.55200000000000005</v>
          </cell>
        </row>
        <row r="49">
          <cell r="B49">
            <v>0.6</v>
          </cell>
        </row>
        <row r="50">
          <cell r="B50">
            <v>0.65</v>
          </cell>
        </row>
        <row r="51">
          <cell r="B51">
            <v>0.69699999999999995</v>
          </cell>
        </row>
        <row r="52">
          <cell r="B52">
            <v>0.74</v>
          </cell>
        </row>
        <row r="53">
          <cell r="B53">
            <v>0.78</v>
          </cell>
        </row>
        <row r="54">
          <cell r="B54">
            <v>0.82499999999999996</v>
          </cell>
        </row>
        <row r="55">
          <cell r="B55">
            <v>0.88500000000000001</v>
          </cell>
        </row>
        <row r="56">
          <cell r="B56">
            <v>0.96399999999999997</v>
          </cell>
        </row>
        <row r="57">
          <cell r="B57">
            <v>1.0509999999999999</v>
          </cell>
        </row>
        <row r="58">
          <cell r="B58">
            <v>1.161</v>
          </cell>
        </row>
        <row r="59">
          <cell r="B59">
            <v>1.3080000000000001</v>
          </cell>
        </row>
        <row r="60">
          <cell r="B60">
            <v>1.46</v>
          </cell>
        </row>
        <row r="61">
          <cell r="B61">
            <v>1.613</v>
          </cell>
        </row>
        <row r="62">
          <cell r="B62">
            <v>1.774</v>
          </cell>
        </row>
        <row r="63">
          <cell r="B63">
            <v>1.95</v>
          </cell>
        </row>
        <row r="64">
          <cell r="B64">
            <v>2.1539999999999999</v>
          </cell>
        </row>
        <row r="65">
          <cell r="B65">
            <v>2.399</v>
          </cell>
        </row>
        <row r="66">
          <cell r="B66">
            <v>2.7</v>
          </cell>
        </row>
        <row r="67">
          <cell r="B67">
            <v>3.0539999999999998</v>
          </cell>
        </row>
        <row r="68">
          <cell r="B68">
            <v>3.46</v>
          </cell>
        </row>
        <row r="69">
          <cell r="B69">
            <v>3.9159999999999999</v>
          </cell>
        </row>
        <row r="70">
          <cell r="B70">
            <v>4.4089999999999998</v>
          </cell>
        </row>
        <row r="71">
          <cell r="B71">
            <v>4.9329999999999998</v>
          </cell>
        </row>
        <row r="72">
          <cell r="B72">
            <v>5.5069999999999997</v>
          </cell>
        </row>
        <row r="73">
          <cell r="B73">
            <v>6.1459999999999999</v>
          </cell>
        </row>
        <row r="74">
          <cell r="B74">
            <v>6.5510000000000002</v>
          </cell>
        </row>
        <row r="75">
          <cell r="B75">
            <v>7.0389999999999997</v>
          </cell>
        </row>
        <row r="76">
          <cell r="B76">
            <v>7.6280000000000001</v>
          </cell>
        </row>
        <row r="77">
          <cell r="B77">
            <v>8.3109999999999999</v>
          </cell>
        </row>
        <row r="78">
          <cell r="B78">
            <v>9.0739999999999998</v>
          </cell>
        </row>
        <row r="79">
          <cell r="B79">
            <v>9.91</v>
          </cell>
        </row>
        <row r="80">
          <cell r="B80">
            <v>10.827</v>
          </cell>
        </row>
        <row r="81">
          <cell r="B81">
            <v>11.839</v>
          </cell>
        </row>
        <row r="82">
          <cell r="B82">
            <v>12.974</v>
          </cell>
        </row>
        <row r="83">
          <cell r="B83">
            <v>14.282</v>
          </cell>
        </row>
        <row r="84">
          <cell r="B84">
            <v>15.798999999999999</v>
          </cell>
        </row>
        <row r="85">
          <cell r="B85">
            <v>17.55</v>
          </cell>
        </row>
        <row r="86">
          <cell r="B86">
            <v>19.582000000000001</v>
          </cell>
        </row>
        <row r="87">
          <cell r="B87">
            <v>21.97</v>
          </cell>
        </row>
        <row r="88">
          <cell r="B88">
            <v>24.821000000000002</v>
          </cell>
        </row>
        <row r="89">
          <cell r="B89">
            <v>28.350999999999999</v>
          </cell>
        </row>
        <row r="90">
          <cell r="B90">
            <v>32.509</v>
          </cell>
        </row>
        <row r="91">
          <cell r="B91">
            <v>37.329000000000001</v>
          </cell>
        </row>
        <row r="92">
          <cell r="B92">
            <v>42.83</v>
          </cell>
        </row>
        <row r="93">
          <cell r="B93">
            <v>48.997</v>
          </cell>
        </row>
        <row r="94">
          <cell r="B94">
            <v>55.774000000000001</v>
          </cell>
        </row>
        <row r="95">
          <cell r="B95">
            <v>63.14</v>
          </cell>
        </row>
        <row r="96">
          <cell r="B96">
            <v>71.066000000000003</v>
          </cell>
        </row>
        <row r="97">
          <cell r="B97">
            <v>79.501999999999995</v>
          </cell>
        </row>
        <row r="98">
          <cell r="B98">
            <v>88.376999999999995</v>
          </cell>
        </row>
        <row r="99">
          <cell r="B99">
            <v>97.491</v>
          </cell>
        </row>
        <row r="100">
          <cell r="B100">
            <v>107.26900000000001</v>
          </cell>
        </row>
        <row r="101">
          <cell r="B101">
            <v>118.20099999999999</v>
          </cell>
        </row>
        <row r="102">
          <cell r="B102">
            <v>130.96899999999999</v>
          </cell>
        </row>
        <row r="103">
          <cell r="B103">
            <v>146.44900000000001</v>
          </cell>
        </row>
        <row r="104">
          <cell r="B104">
            <v>163.90799999999999</v>
          </cell>
        </row>
        <row r="105">
          <cell r="B105">
            <v>179.69499999999999</v>
          </cell>
        </row>
        <row r="106">
          <cell r="B106">
            <v>196.15100000000001</v>
          </cell>
        </row>
        <row r="107">
          <cell r="B107">
            <v>213.15</v>
          </cell>
        </row>
        <row r="108">
          <cell r="B108">
            <v>230.72200000000001</v>
          </cell>
        </row>
        <row r="109">
          <cell r="B109">
            <v>251.505</v>
          </cell>
        </row>
        <row r="110">
          <cell r="B110">
            <v>273.00700000000001</v>
          </cell>
        </row>
        <row r="111">
          <cell r="B111">
            <v>295.08600000000001</v>
          </cell>
        </row>
        <row r="112">
          <cell r="B112">
            <v>317.59100000000001</v>
          </cell>
        </row>
        <row r="113">
          <cell r="B113">
            <v>340.36200000000002</v>
          </cell>
        </row>
        <row r="114">
          <cell r="B114">
            <v>362.37099999999998</v>
          </cell>
        </row>
        <row r="115">
          <cell r="B115">
            <v>384.113</v>
          </cell>
        </row>
        <row r="116">
          <cell r="B116">
            <v>400</v>
          </cell>
        </row>
        <row r="117">
          <cell r="B117">
            <v>400</v>
          </cell>
        </row>
        <row r="118">
          <cell r="B118">
            <v>400</v>
          </cell>
        </row>
        <row r="119">
          <cell r="B119">
            <v>400</v>
          </cell>
        </row>
        <row r="120">
          <cell r="B120">
            <v>400</v>
          </cell>
        </row>
        <row r="121">
          <cell r="B121">
            <v>400</v>
          </cell>
        </row>
        <row r="122">
          <cell r="B122">
            <v>400</v>
          </cell>
        </row>
        <row r="123">
          <cell r="B123">
            <v>400</v>
          </cell>
        </row>
        <row r="124">
          <cell r="B124">
            <v>400</v>
          </cell>
        </row>
        <row r="125">
          <cell r="B125">
            <v>400</v>
          </cell>
        </row>
        <row r="126">
          <cell r="B126">
            <v>400</v>
          </cell>
        </row>
        <row r="127">
          <cell r="B127">
            <v>400</v>
          </cell>
        </row>
        <row r="128">
          <cell r="B128">
            <v>1000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4">
          <cell r="C4" t="b">
            <v>1</v>
          </cell>
        </row>
        <row r="5">
          <cell r="C5">
            <v>42465</v>
          </cell>
        </row>
        <row r="6">
          <cell r="C6">
            <v>18720</v>
          </cell>
        </row>
        <row r="8">
          <cell r="C8" t="str">
            <v/>
          </cell>
        </row>
        <row r="10">
          <cell r="C10">
            <v>42465</v>
          </cell>
        </row>
        <row r="11">
          <cell r="C11">
            <v>100000</v>
          </cell>
        </row>
        <row r="12">
          <cell r="C12">
            <v>44109</v>
          </cell>
        </row>
        <row r="13">
          <cell r="C13">
            <v>1</v>
          </cell>
        </row>
        <row r="14">
          <cell r="C14">
            <v>5.2499999999999998E-2</v>
          </cell>
        </row>
        <row r="15">
          <cell r="C15">
            <v>100000</v>
          </cell>
        </row>
        <row r="16">
          <cell r="C16">
            <v>100000</v>
          </cell>
        </row>
        <row r="17">
          <cell r="C17">
            <v>999</v>
          </cell>
        </row>
        <row r="18">
          <cell r="C18">
            <v>100000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4.4991789819376029</v>
          </cell>
        </row>
        <row r="29">
          <cell r="C29" t="b">
            <v>0</v>
          </cell>
        </row>
      </sheetData>
      <sheetData sheetId="1">
        <row r="6">
          <cell r="T6">
            <v>1461878.4254432805</v>
          </cell>
        </row>
      </sheetData>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C48D058A-ACBD-4FE6-AB8B-60023675C401}"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9A735-F0DB-4947-A9A3-EEB3807AA4A8}" name="TestCases" displayName="TestCases" ref="A1:Q18" totalsRowShown="0" headerRowDxfId="73" dataDxfId="72">
  <autoFilter ref="A1:Q18" xr:uid="{E7A0DD17-F5C6-4D7E-A620-2CF622CA6412}"/>
  <tableColumns count="17">
    <tableColumn id="1" xr3:uid="{A912FE33-64FD-43FF-BC77-832D4B0B5726}" name="Test" dataDxfId="71">
      <calculatedColumnFormula>A1+1</calculatedColumnFormula>
    </tableColumn>
    <tableColumn id="2" xr3:uid="{27C24B86-F7EE-4921-98FB-301B16521BEE}" name="Test Name" dataDxfId="70"/>
    <tableColumn id="3" xr3:uid="{9B878A86-F01A-46A5-996C-0B16163110EE}" name="Use Base Case" dataDxfId="69"/>
    <tableColumn id="4" xr3:uid="{389974D8-40BA-4912-81CB-71E007CF00F6}" name="Valuation Date" dataDxfId="68"/>
    <tableColumn id="5" xr3:uid="{5D825F96-A8A8-446F-B5D9-FF2996541D14}" name="Primary Birthdate" dataDxfId="67"/>
    <tableColumn id="6" xr3:uid="{2C5BC6B7-E114-4500-9D6B-DD5C8A5F907A}" name="Primary Gender" dataDxfId="66"/>
    <tableColumn id="7" xr3:uid="{D86779BE-A179-4854-8EE3-9EC4F922FBDE}" name="Secondary Birthdate" dataDxfId="65"/>
    <tableColumn id="8" xr3:uid="{47EDDC5F-E676-4F53-80D2-63363F8412BC}" name="Secondary Gender" dataDxfId="64"/>
    <tableColumn id="9" xr3:uid="{1F100ADD-0B2E-4A5E-B997-486DFC73A344}" name="Benefit Effective Date " dataDxfId="63"/>
    <tableColumn id="10" xr3:uid="{62038AAC-4524-4C3F-9B80-5C27F441938F}" name="Initial Purchase Payment " dataDxfId="62"/>
    <tableColumn id="11" xr3:uid="{CAA9C5D2-1BDA-438B-8F61-16A3BD7B77FF}" name="Withdrawal Activation Date" dataDxfId="61"/>
    <tableColumn id="12" xr3:uid="{DAB85CF7-0FF9-47EF-8B4F-94336E5C777F}" name="Annuity Income Option" dataDxfId="60"/>
    <tableColumn id="13" xr3:uid="{46B2D273-DF66-4C14-80FF-DD2F8C91DBA2}" name="Income Credit Percentage " dataDxfId="59"/>
    <tableColumn id="14" xr3:uid="{CF26EA54-9C41-4BD9-A624-B8124C922107}" name="Current Income Base" dataDxfId="58"/>
    <tableColumn id="15" xr3:uid="{9F44D62E-2C9C-4009-9206-7B9A274018D9}" name="Current Income Base Credit" dataDxfId="57"/>
    <tableColumn id="16" xr3:uid="{1F39FF4B-5075-4555-818E-6924ABD0215E}" name="Withdrawal Amount" dataDxfId="56"/>
    <tableColumn id="17" xr3:uid="{6FE2749D-0663-41F5-9EDE-F22977158A59}" name="Current Contract Value"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57BDA-193B-4531-BC44-CCC5D6E21D3C}" name="VaBenefits" displayName="VaBenefits" ref="A7:AD190" totalsRowShown="0" headerRowDxfId="54" dataDxfId="52" headerRowBorderDxfId="53" tableBorderDxfId="51" totalsRowBorderDxfId="50">
  <autoFilter ref="A7:AD190" xr:uid="{71557BDA-193B-4531-BC44-CCC5D6E21D3C}"/>
  <tableColumns count="30">
    <tableColumn id="19" xr3:uid="{C87C3382-B43C-49E7-9AF0-F78851E5BC45}" name="Index" dataDxfId="49">
      <calculatedColumnFormula>A7+1</calculatedColumnFormula>
    </tableColumn>
    <tableColumn id="1" xr3:uid="{A6BF2699-C5A7-4888-851F-AC9C12C238FC}" name="timeFromValuation" dataDxfId="48">
      <calculatedColumnFormula>B7+0.5</calculatedColumnFormula>
    </tableColumn>
    <tableColumn id="13" xr3:uid="{500C68B7-86AF-49AA-8C8F-4DBD0C2187EB}" name="Is Activation" dataDxfId="47">
      <calculatedColumnFormula>AND(VaBenefits[[#This Row],[timeFromValuation]]&gt;=ACT,VaBenefits[[#This Row],[Assumed Contract Value ]]&gt;0)</calculatedColumnFormula>
    </tableColumn>
    <tableColumn id="2" xr3:uid="{27538DE3-C149-452A-AF3A-6A104F062358}" name="Purchase Payments" dataDxfId="46">
      <calculatedColumnFormula>IF(Is_Issued, 0,AO8)</calculatedColumnFormula>
    </tableColumn>
    <tableColumn id="3" xr3:uid="{09BE5C10-85E9-4A07-AF0C-8D4AEFFA6B86}" name="Withdrawal Taken  " dataDxfId="45">
      <calculatedColumnFormula>IF(Use_Base_Case, AP8,IF(VaBenefits[[#This Row],[Is Anniversary?]],WithAmt,0))</calculatedColumnFormula>
    </tableColumn>
    <tableColumn id="4" xr3:uid="{70E954EC-A73D-43FF-A956-12DDC55529F5}" name="Assumed Contract Value " dataDxfId="44">
      <calculatedColumnFormula>AQ8</calculatedColumnFormula>
    </tableColumn>
    <tableColumn id="30" xr3:uid="{7B2B26D3-F75A-4641-9A59-168941A80B5C}" name="Primary Age" dataDxfId="43"/>
    <tableColumn id="31" xr3:uid="{DB693849-0B4B-4843-BA11-FAEDC7D7DF78}" name="Secondary Age" dataDxfId="42"/>
    <tableColumn id="15" xr3:uid="{7318F8D8-C8C5-472C-B53A-1B691DEBFB6B}" name="Is Withdrawal" dataDxfId="41">
      <calculatedColumnFormula>VaBenefits[[#This Row],[Withdrawal Taken  ]]&gt;0</calculatedColumnFormula>
    </tableColumn>
    <tableColumn id="18" xr3:uid="{6E4997CE-4ADF-4531-8FDF-E04A976BEA05}" name="Withdrawal Haircut Before Activation" dataDxfId="40"/>
    <tableColumn id="17" xr3:uid="{D7FAEEAA-3474-41F3-90DD-AC9A91E286D2}" name="Withdrawal Haircut After Activation" dataDxfId="39"/>
    <tableColumn id="27" xr3:uid="{5C49DEB0-7FA4-44DD-8F6B-65A8B5112BDD}" name="Has a Withdrawal Occurred After Activation" dataDxfId="38"/>
    <tableColumn id="16" xr3:uid="{88556CD0-0AA5-43F4-9950-E30B1416D0AC}" name="Withdrawal Penalty" dataDxfId="37" dataCellStyle="Comma">
      <calculatedColumnFormula>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calculatedColumnFormula>
    </tableColumn>
    <tableColumn id="11" xr3:uid="{E90E2FE6-3E17-406C-820D-2DCA165AB47B}" name="Is Anniversary?" dataDxfId="36">
      <calculatedColumnFormula>IF(VaBenefits[[#This Row],[timeFromValuation]]=0,0, MOD(VaBenefits[[#This Row],[timeFromValuation]],1)=0)</calculatedColumnFormula>
    </tableColumn>
    <tableColumn id="5" xr3:uid="{8C9DF71B-DD78-4B1C-B132-891847600449}" name="Anniversary Value  " dataDxfId="35">
      <calculatedColumnFormula>IF(VaBenefits[[#This Row],[Is Anniversary?]]=TRUE,VaBenefits[[#This Row],[Assumed Contract Value ]],0)</calculatedColumnFormula>
    </tableColumn>
    <tableColumn id="21" xr3:uid="{D1892B7E-962E-41D7-95E6-71316647BA8E}" name="Income Base" dataDxfId="34"/>
    <tableColumn id="6" xr3:uid="{E9BFCDD0-4E42-4040-BA5F-9C2BB7C4994B}" name="Has Income Credit" dataDxfId="33"/>
    <tableColumn id="22" xr3:uid="{43A38FAA-2432-4FCB-B40C-54C094C614C5}" name="Income Credit Base" dataDxfId="32" dataCellStyle="Comma"/>
    <tableColumn id="7" xr3:uid="{564ACD79-F75F-4EA2-888F-FA3A319A22B4}" name="Income Credit" dataDxfId="31">
      <calculatedColumnFormula>IF(VaBenefits[[#This Row],[Is Anniversary?]]=TRUE, VaBenefits[[#This Row],[Income Credit Base]]*ICP,0)</calculatedColumnFormula>
    </tableColumn>
    <tableColumn id="9" xr3:uid="{96E6906C-496E-46D0-9163-B89D76717B77}" name="Maximum Annual Withdrawal Amount upon Activation" dataDxfId="30" dataCellStyle="Comma">
      <calculatedColumnFormula>IF(VaBenefits[[#This Row],[Assumed Contract Value ]]&gt;0,VaBenefits[[#This Row],[Income Base]]*MAWA,0)</calculatedColumnFormula>
    </tableColumn>
    <tableColumn id="10" xr3:uid="{837C5341-ACB0-4894-A7F3-468668806A3A}" name="Protected Income Payment" dataDxfId="29" dataCellStyle="Comma">
      <calculatedColumnFormula>IF(AND(VaBenefits[[#This Row],[Has Income Credit]],VaBenefits[[#This Row],[Is Anniversary?]],VaBenefits[[#This Row],[Joint Mortality tPxy for the partial year]]),VaBenefits[[#This Row],[Income Base]]*PIP,0)</calculatedColumnFormula>
    </tableColumn>
    <tableColumn id="28" xr3:uid="{06A0943D-5204-4769-8ECB-7AAA6FC7C80E}" name="Discount Factor" dataDxfId="28" dataCellStyle="Comma">
      <calculatedColumnFormula>1/(1+InterestRate)^VaBenefits[[#This Row],[timeFromValuation]]</calculatedColumnFormula>
    </tableColumn>
    <tableColumn id="8" xr3:uid="{53D2A19A-DCDE-4D31-A11E-09032DF2B135}" name="Partial Year" dataDxfId="27">
      <calculatedColumnFormula>VaBenefits[[#This Row],[timeFromValuation]]</calculatedColumnFormula>
    </tableColumn>
    <tableColumn id="12" xr3:uid="{0C0FC967-CD17-40B2-BFDA-53343C78867A}" name="Primary Annuitant Px" dataDxfId="26">
      <calculatedColumnFormula>IF(($G$8+VaBenefits[[#This Row],[timeFromValuation]])&lt;=120,VLOOKUP(G8,Table2[],Qx!L$6,FALSE),0)</calculatedColumnFormula>
    </tableColumn>
    <tableColumn id="14" xr3:uid="{2A4D2E4D-84CA-4E7D-8867-303787BC2F02}" name="Secondary Annuitant Py" dataDxfId="25">
      <calculatedColumnFormula>VLOOKUP(H8,Table2[],Qx!M$6,FALSE)</calculatedColumnFormula>
    </tableColumn>
    <tableColumn id="20" xr3:uid="{308F8227-3EEC-4C59-8851-5A75409BC891}" name="tPx" dataDxfId="24">
      <calculatedColumnFormula>PRODUCT($X$8:$X8)</calculatedColumnFormula>
    </tableColumn>
    <tableColumn id="23" xr3:uid="{3B482D98-E0F5-48E9-B8C8-039C68370633}" name="tPy" dataDxfId="23">
      <calculatedColumnFormula>PRODUCT($Y$8:$Y8)</calculatedColumnFormula>
    </tableColumn>
    <tableColumn id="24" xr3:uid="{FFC4BCCC-B655-4123-BDE5-78A05F0F3FC5}" name="Joint Mortality tPxy for the partial year" dataDxfId="22">
      <calculatedColumnFormula>VaBenefits[[#This Row],[Primary Annuitant Px]]+VaBenefits[[#This Row],[Secondary Annuitant Py]]-VaBenefits[[#This Row],[Primary Annuitant Px]]*VaBenefits[[#This Row],[Secondary Annuitant Py]]</calculatedColumnFormula>
    </tableColumn>
    <tableColumn id="25" xr3:uid="{019D3CA5-5127-4329-AF38-A6F3F0DE9684}" name="Last-to-Die Survivorship tPxy" dataDxfId="21">
      <calculatedColumnFormula>PRODUCT($AB$8:$AB8)</calculatedColumnFormula>
    </tableColumn>
    <tableColumn id="29" xr3:uid="{022DD8C4-03AF-44D0-82C8-FE562FB17BA1}" name="Reserve" dataDxfId="20">
      <calculatedColumnFormula>PV(1.03,20,-VaBenefits[[#This Row],[Protected Income Payment]])</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B2CDD-1CD9-46EA-A0CD-B4108F00407F}" name="Table2" displayName="Table2" ref="A7:G128" totalsRowShown="0" headerRowDxfId="19">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0CE36C-8DCC-439A-B640-31EA9E1FD739}" name="Table3" displayName="Table3" ref="I7:Q78" totalsRowShown="0" headerRowDxfId="18">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17">
      <calculatedColumnFormula>MIN(Qx!MaxAge,Table3[[#This Row],[Survivng t Years]]+$J$6)</calculatedColumnFormula>
    </tableColumn>
    <tableColumn id="3" xr3:uid="{C43BF3BA-5FB9-46DD-A97B-1EC22AE32D8C}" name="To Age2" dataDxfId="16">
      <calculatedColumnFormula>MIN(Table3[[#This Row],[Survivng t Years]]+$K$6,Qx!MaxAge)</calculatedColumnFormula>
    </tableColumn>
    <tableColumn id="4" xr3:uid="{889464B4-5188-43CD-A00A-42002C100B16}" name="Px" dataDxfId="15">
      <calculatedColumnFormula>VLOOKUP(Table3[[#This Row],[To Age]],$A$8:$G$128,L$6,FALSE)</calculatedColumnFormula>
    </tableColumn>
    <tableColumn id="5" xr3:uid="{D464910D-5F53-4DC6-9600-1DECB8BC3792}" name="Py" dataDxfId="14">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13">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C48D058A-ACBD-4FE6-AB8B-60023675C401}" id="{243C3B78-B61E-4FDE-8254-435F7127E356}">
    <text>2</text>
  </threadedComment>
  <threadedComment ref="G11" dT="2020-12-19T22:29:29.51" personId="{C48D058A-ACBD-4FE6-AB8B-60023675C401}" id="{4FB20E1B-3986-4B66-A6E7-59F13518CB97}">
    <text>2</text>
  </threadedComment>
  <threadedComment ref="E12" dT="2020-12-19T22:29:29.51" personId="{C48D058A-ACBD-4FE6-AB8B-60023675C401}" id="{427C74BB-2F09-4647-B0CF-33940D067A57}">
    <text>2</text>
  </threadedComment>
  <threadedComment ref="G12" dT="2020-12-19T22:29:29.51" personId="{C48D058A-ACBD-4FE6-AB8B-60023675C401}" id="{4228E5C2-CEF7-497A-B53C-583BA34D5F99}">
    <text>2</text>
  </threadedComment>
  <threadedComment ref="E15" dT="2020-12-19T22:31:23.93" personId="{C48D058A-ACBD-4FE6-AB8B-60023675C401}" id="{02AC9AF5-01A1-4297-AA44-AF669B413D74}">
    <text>3</text>
  </threadedComment>
  <threadedComment ref="G15" dT="2020-12-19T22:31:23.93" personId="{C48D058A-ACBD-4FE6-AB8B-60023675C401}" id="{652FE184-77CF-462B-842F-5E87985AF24D}">
    <text>3</text>
  </threadedComment>
  <threadedComment ref="E16" dT="2020-12-19T22:31:23.93" personId="{C48D058A-ACBD-4FE6-AB8B-60023675C401}" id="{3B7697EE-63E7-463C-A496-3827DAC128B1}">
    <text>3</text>
  </threadedComment>
  <threadedComment ref="G16" dT="2020-12-19T22:31:23.93" personId="{C48D058A-ACBD-4FE6-AB8B-60023675C401}" id="{FE3967C7-0C30-4A9C-B315-1952F8C51EE1}">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C48D058A-ACBD-4FE6-AB8B-60023675C401}" id="{E371F54D-A859-4D7B-A252-EFC5F404847A}">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package" Target="../embeddings/Microsoft_Word_Document6.docx"/><Relationship Id="rId3" Type="http://schemas.openxmlformats.org/officeDocument/2006/relationships/package" Target="../embeddings/Microsoft_Word_Document1.docx"/><Relationship Id="rId7" Type="http://schemas.openxmlformats.org/officeDocument/2006/relationships/package" Target="../embeddings/Microsoft_Word_Document3.docx"/><Relationship Id="rId12" Type="http://schemas.openxmlformats.org/officeDocument/2006/relationships/image" Target="../media/image6.emf"/><Relationship Id="rId2" Type="http://schemas.openxmlformats.org/officeDocument/2006/relationships/vmlDrawing" Target="../drawings/vmlDrawing3.vml"/><Relationship Id="rId16" Type="http://schemas.openxmlformats.org/officeDocument/2006/relationships/image" Target="../media/image8.emf"/><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Word_Document5.docx"/><Relationship Id="rId5" Type="http://schemas.openxmlformats.org/officeDocument/2006/relationships/package" Target="../embeddings/Microsoft_Word_Document2.docx"/><Relationship Id="rId15" Type="http://schemas.openxmlformats.org/officeDocument/2006/relationships/package" Target="../embeddings/Microsoft_Word_Document7.doc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Word_Document4.docx"/><Relationship Id="rId14" Type="http://schemas.openxmlformats.org/officeDocument/2006/relationships/image" Target="../media/image7.emf"/></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topLeftCell="A2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927D-090B-4EE8-9A7C-E87E88E39CF2}">
  <dimension ref="A1:O29"/>
  <sheetViews>
    <sheetView topLeftCell="H1" workbookViewId="0">
      <selection activeCell="P22" sqref="P22"/>
    </sheetView>
  </sheetViews>
  <sheetFormatPr defaultRowHeight="14.4" x14ac:dyDescent="0.3"/>
  <cols>
    <col min="1" max="1" width="3.109375" bestFit="1" customWidth="1"/>
    <col min="2" max="2" width="39.44140625" bestFit="1" customWidth="1"/>
    <col min="3" max="3" width="13.109375" bestFit="1" customWidth="1"/>
    <col min="5" max="5" width="21.33203125" bestFit="1" customWidth="1"/>
    <col min="8" max="8" width="16" bestFit="1" customWidth="1"/>
    <col min="9" max="9" width="13.33203125" bestFit="1" customWidth="1"/>
    <col min="10" max="10" width="13.33203125" customWidth="1"/>
    <col min="11" max="11" width="11.5546875" bestFit="1" customWidth="1"/>
    <col min="12" max="12" width="11.5546875" customWidth="1"/>
    <col min="13" max="13" width="14.33203125" bestFit="1" customWidth="1"/>
    <col min="14" max="14" width="12.5546875" customWidth="1"/>
    <col min="15" max="15" width="11.44140625" bestFit="1" customWidth="1"/>
  </cols>
  <sheetData>
    <row r="1" spans="1:15" x14ac:dyDescent="0.3">
      <c r="A1" s="50">
        <f>_xlfn.XMATCH(C1,TestCases[Test Name],0)</f>
        <v>1</v>
      </c>
      <c r="B1" s="50">
        <v>1</v>
      </c>
      <c r="C1" s="50" t="str">
        <f>C3</f>
        <v>Base</v>
      </c>
      <c r="E1" s="105" t="s">
        <v>147</v>
      </c>
      <c r="F1" s="105" t="s">
        <v>148</v>
      </c>
      <c r="I1" s="106" t="s">
        <v>103</v>
      </c>
      <c r="J1" s="106" t="s">
        <v>151</v>
      </c>
      <c r="K1" s="106" t="s">
        <v>103</v>
      </c>
      <c r="L1" s="106" t="s">
        <v>151</v>
      </c>
      <c r="M1" s="106" t="s">
        <v>103</v>
      </c>
      <c r="N1" s="106" t="s">
        <v>151</v>
      </c>
    </row>
    <row r="2" spans="1:15" ht="18" x14ac:dyDescent="0.35">
      <c r="B2" s="49" t="s">
        <v>61</v>
      </c>
      <c r="C2" s="49" t="s">
        <v>62</v>
      </c>
      <c r="E2" s="28" t="s">
        <v>149</v>
      </c>
      <c r="F2" s="28">
        <v>0.05</v>
      </c>
      <c r="H2" s="109" t="s">
        <v>104</v>
      </c>
      <c r="I2" s="110"/>
      <c r="J2" s="110"/>
      <c r="K2" s="110"/>
      <c r="L2" s="110"/>
      <c r="M2" s="110"/>
      <c r="N2" s="110"/>
      <c r="O2" s="110"/>
    </row>
    <row r="3" spans="1:15" x14ac:dyDescent="0.3">
      <c r="A3" s="50">
        <v>2</v>
      </c>
      <c r="B3" t="s">
        <v>27</v>
      </c>
      <c r="C3" t="s">
        <v>42</v>
      </c>
      <c r="H3" s="79" t="s">
        <v>105</v>
      </c>
      <c r="I3" s="107" t="s">
        <v>106</v>
      </c>
      <c r="J3" s="108"/>
      <c r="K3" s="107" t="s">
        <v>107</v>
      </c>
      <c r="L3" s="108"/>
      <c r="M3" s="109" t="s">
        <v>108</v>
      </c>
      <c r="N3" s="110"/>
      <c r="O3" s="110"/>
    </row>
    <row r="4" spans="1:15" x14ac:dyDescent="0.3">
      <c r="A4" s="50">
        <f>A3+1</f>
        <v>3</v>
      </c>
      <c r="B4" t="s">
        <v>28</v>
      </c>
      <c r="C4" t="b" cm="1">
        <f t="array" ref="C4">INDEX(TestCases[],$A$1,$A4)</f>
        <v>1</v>
      </c>
      <c r="H4" s="78" cm="1">
        <f t="array" aca="1" ref="H4" ca="1">INDEX(Calculation!$A$3:$F$3,1,$B$1)</f>
        <v>923682.56973072258</v>
      </c>
      <c r="I4" s="78">
        <v>1</v>
      </c>
      <c r="J4" s="78">
        <v>2</v>
      </c>
      <c r="M4" s="80">
        <f>SUM(M5:M21)</f>
        <v>8641853.4475448281</v>
      </c>
      <c r="N4">
        <f>SUM(N5:N21)</f>
        <v>6113695.6026898567</v>
      </c>
      <c r="O4" t="s">
        <v>212</v>
      </c>
    </row>
    <row r="5" spans="1:15" x14ac:dyDescent="0.3">
      <c r="A5" s="50">
        <f t="shared" ref="A5:A18" si="0">A4+1</f>
        <v>4</v>
      </c>
      <c r="B5" t="s">
        <v>29</v>
      </c>
      <c r="C5" s="47" cm="1">
        <f t="array" ref="C5">INDEX(TestCases[],$A$1,$A5)</f>
        <v>42465</v>
      </c>
      <c r="H5" s="78" t="s">
        <v>42</v>
      </c>
      <c r="I5" s="78">
        <f t="dataTable" ref="I5:I21" dt2D="1" dtr="1" r1="B1" r2="C1" ca="1"/>
        <v>923682.56973072258</v>
      </c>
      <c r="J5" s="78">
        <f>2.35*L5</f>
        <v>692917.2635</v>
      </c>
      <c r="K5" s="78">
        <v>393942.28502718301</v>
      </c>
      <c r="L5" s="78">
        <v>294858.40999999997</v>
      </c>
      <c r="M5" s="80">
        <f>I5-K5</f>
        <v>529740.28470353957</v>
      </c>
      <c r="N5" s="80">
        <f>J5-L5</f>
        <v>398058.85350000003</v>
      </c>
      <c r="O5" s="80">
        <f>M5+N5</f>
        <v>927799.13820353965</v>
      </c>
    </row>
    <row r="6" spans="1:15" x14ac:dyDescent="0.3">
      <c r="A6" s="50">
        <f t="shared" si="0"/>
        <v>5</v>
      </c>
      <c r="B6" t="s">
        <v>30</v>
      </c>
      <c r="C6" s="47" cm="1">
        <f t="array" ref="C6">INDEX(TestCases[],$A$1,$A6)</f>
        <v>18720</v>
      </c>
      <c r="H6" s="78" t="s">
        <v>44</v>
      </c>
      <c r="I6" s="78">
        <v>940085.29890312848</v>
      </c>
      <c r="J6" s="78">
        <f t="shared" ref="J6:J21" si="1">2.35*L6</f>
        <v>665729.48473027896</v>
      </c>
      <c r="K6" s="78">
        <v>378485.29890312848</v>
      </c>
      <c r="L6" s="78">
        <f>K6*0.748481231</f>
        <v>283289.14243841654</v>
      </c>
      <c r="M6" s="80">
        <f>I6-K6</f>
        <v>561600</v>
      </c>
      <c r="N6" s="80">
        <f t="shared" ref="N6:N21" si="2">J6-L6</f>
        <v>382440.34229186241</v>
      </c>
      <c r="O6" s="80">
        <f t="shared" ref="O6:O21" si="3">M6+N6</f>
        <v>944040.34229186247</v>
      </c>
    </row>
    <row r="7" spans="1:15" x14ac:dyDescent="0.3">
      <c r="A7" s="50">
        <f t="shared" si="0"/>
        <v>6</v>
      </c>
      <c r="B7" t="s">
        <v>31</v>
      </c>
      <c r="C7" t="str" cm="1">
        <f t="array" ref="C7">INDEX(TestCases[],$A$1,$A7)</f>
        <v>M</v>
      </c>
      <c r="H7" s="78" t="s">
        <v>45</v>
      </c>
      <c r="I7" s="78">
        <v>700513.60712667869</v>
      </c>
      <c r="J7" s="78">
        <f t="shared" si="1"/>
        <v>466411.57559223135</v>
      </c>
      <c r="K7" s="78">
        <v>265167.65240077372</v>
      </c>
      <c r="L7" s="78">
        <f t="shared" ref="L7:L21" si="4">K7*0.748481231</f>
        <v>198473.01089031121</v>
      </c>
      <c r="M7" s="80">
        <f>I7-K7</f>
        <v>435345.95472590497</v>
      </c>
      <c r="N7" s="80">
        <f t="shared" si="2"/>
        <v>267938.56470192014</v>
      </c>
      <c r="O7" s="80">
        <f t="shared" si="3"/>
        <v>703284.51942782511</v>
      </c>
    </row>
    <row r="8" spans="1:15" x14ac:dyDescent="0.3">
      <c r="A8" s="50">
        <f t="shared" si="0"/>
        <v>7</v>
      </c>
      <c r="B8" t="s">
        <v>32</v>
      </c>
      <c r="C8" t="str" cm="1">
        <f t="array" ref="C8">_xlfn.LET(_xlpm.value,INDEX(TestCases[],$A$1,$A8),IF(ISBLANK(_xlpm.value),"",_xlpm.value))</f>
        <v/>
      </c>
      <c r="H8" s="78" t="s">
        <v>46</v>
      </c>
      <c r="I8" s="78">
        <v>669644.888726103</v>
      </c>
      <c r="J8" s="78">
        <f t="shared" si="1"/>
        <v>467348.82281260635</v>
      </c>
      <c r="K8" s="78">
        <v>265700.50290910515</v>
      </c>
      <c r="L8" s="78">
        <f t="shared" si="4"/>
        <v>198871.8394947261</v>
      </c>
      <c r="M8" s="80">
        <f>I8-K8</f>
        <v>403944.38581699785</v>
      </c>
      <c r="N8" s="80">
        <f t="shared" si="2"/>
        <v>268476.98331788025</v>
      </c>
      <c r="O8" s="80">
        <f t="shared" si="3"/>
        <v>672421.36913487804</v>
      </c>
    </row>
    <row r="9" spans="1:15" x14ac:dyDescent="0.3">
      <c r="A9" s="50">
        <f t="shared" si="0"/>
        <v>8</v>
      </c>
      <c r="B9" t="s">
        <v>33</v>
      </c>
      <c r="C9" t="str" cm="1">
        <f t="array" ref="C9">_xlfn.LET(_xlpm.value,INDEX(TestCases[],$A$1,$A9),IF(ISBLANK(_xlpm.value),"",_xlpm.value))</f>
        <v/>
      </c>
      <c r="H9" s="78" t="s">
        <v>47</v>
      </c>
      <c r="I9" s="78">
        <v>955432.57035141822</v>
      </c>
      <c r="J9" s="78">
        <f t="shared" si="1"/>
        <v>714886.80385154055</v>
      </c>
      <c r="K9" s="78">
        <v>406432.57035141822</v>
      </c>
      <c r="L9" s="78">
        <f t="shared" si="4"/>
        <v>304207.15057512361</v>
      </c>
      <c r="M9" s="80">
        <f>I9-K9</f>
        <v>549000</v>
      </c>
      <c r="N9" s="80">
        <f t="shared" si="2"/>
        <v>410679.65327641694</v>
      </c>
      <c r="O9" s="80">
        <f t="shared" si="3"/>
        <v>959679.65327641694</v>
      </c>
    </row>
    <row r="10" spans="1:15" x14ac:dyDescent="0.3">
      <c r="A10" s="50">
        <f t="shared" si="0"/>
        <v>9</v>
      </c>
      <c r="B10" t="s">
        <v>15</v>
      </c>
      <c r="C10" s="47" cm="1">
        <f t="array" ref="C10">INDEX(TestCases[],$A$1,$A10)</f>
        <v>42465</v>
      </c>
      <c r="H10" s="78" t="s">
        <v>48</v>
      </c>
      <c r="I10" s="78">
        <v>973551.47378333565</v>
      </c>
      <c r="J10" s="78">
        <f t="shared" si="1"/>
        <v>746715.58137139131</v>
      </c>
      <c r="K10" s="78">
        <v>424528.09510980058</v>
      </c>
      <c r="L10" s="78">
        <f t="shared" si="4"/>
        <v>317751.31122186861</v>
      </c>
      <c r="M10" s="80">
        <f>I10-K10</f>
        <v>549023.37867353507</v>
      </c>
      <c r="N10" s="80">
        <f t="shared" si="2"/>
        <v>428964.27014952269</v>
      </c>
      <c r="O10" s="80">
        <f t="shared" si="3"/>
        <v>977987.64882305777</v>
      </c>
    </row>
    <row r="11" spans="1:15" x14ac:dyDescent="0.3">
      <c r="A11" s="50">
        <f t="shared" si="0"/>
        <v>10</v>
      </c>
      <c r="B11" t="s">
        <v>34</v>
      </c>
      <c r="C11" cm="1">
        <f t="array" ref="C11">INDEX(TestCases[],$A$1,$A11)</f>
        <v>100000</v>
      </c>
      <c r="H11" s="78" t="s">
        <v>49</v>
      </c>
      <c r="I11" s="78">
        <v>868246.88320219261</v>
      </c>
      <c r="J11" s="78">
        <f t="shared" si="1"/>
        <v>802946.47035407473</v>
      </c>
      <c r="K11" s="78">
        <v>456496.88320219255</v>
      </c>
      <c r="L11" s="78">
        <f t="shared" si="4"/>
        <v>341679.34908684029</v>
      </c>
      <c r="M11" s="80">
        <f>I11-K11</f>
        <v>411750.00000000006</v>
      </c>
      <c r="N11" s="80">
        <f t="shared" si="2"/>
        <v>461267.12126723444</v>
      </c>
      <c r="O11" s="80">
        <f t="shared" si="3"/>
        <v>873017.12126723444</v>
      </c>
    </row>
    <row r="12" spans="1:15" x14ac:dyDescent="0.3">
      <c r="A12" s="50">
        <f t="shared" si="0"/>
        <v>11</v>
      </c>
      <c r="B12" t="s">
        <v>35</v>
      </c>
      <c r="C12" s="47" cm="1">
        <f t="array" ref="C12">INDEX(TestCases[],$A$1,$A12)</f>
        <v>44109</v>
      </c>
      <c r="H12" s="78" t="s">
        <v>50</v>
      </c>
      <c r="I12" s="78">
        <v>989711.02784318686</v>
      </c>
      <c r="J12" s="78">
        <f t="shared" si="1"/>
        <v>528143.15433026559</v>
      </c>
      <c r="K12" s="78">
        <v>300263.73206426203</v>
      </c>
      <c r="L12" s="78">
        <f t="shared" si="4"/>
        <v>224741.76780011301</v>
      </c>
      <c r="M12" s="80">
        <f>I12-K12</f>
        <v>689447.29577892483</v>
      </c>
      <c r="N12" s="80">
        <f t="shared" si="2"/>
        <v>303401.38653015258</v>
      </c>
      <c r="O12" s="80">
        <f t="shared" si="3"/>
        <v>992848.68230907735</v>
      </c>
    </row>
    <row r="13" spans="1:15" x14ac:dyDescent="0.3">
      <c r="A13" s="50">
        <f t="shared" si="0"/>
        <v>12</v>
      </c>
      <c r="B13" t="s">
        <v>36</v>
      </c>
      <c r="C13" cm="1">
        <f t="array" ref="C13">INDEX(TestCases[],$A$1,$A13)</f>
        <v>1</v>
      </c>
      <c r="H13" s="78" t="s">
        <v>51</v>
      </c>
      <c r="I13" s="78">
        <v>941596.72370915185</v>
      </c>
      <c r="J13" s="78">
        <f t="shared" si="1"/>
        <v>668387.97651381325</v>
      </c>
      <c r="K13" s="78">
        <v>379996.72370915185</v>
      </c>
      <c r="L13" s="78">
        <f t="shared" si="4"/>
        <v>284420.41553779284</v>
      </c>
      <c r="M13" s="80">
        <f>I13-K13</f>
        <v>561600</v>
      </c>
      <c r="N13" s="80">
        <f t="shared" si="2"/>
        <v>383967.56097602041</v>
      </c>
      <c r="O13" s="80">
        <f t="shared" si="3"/>
        <v>945567.56097602041</v>
      </c>
    </row>
    <row r="14" spans="1:15" x14ac:dyDescent="0.3">
      <c r="A14" s="50">
        <f t="shared" si="0"/>
        <v>13</v>
      </c>
      <c r="B14" t="s">
        <v>37</v>
      </c>
      <c r="C14" cm="1">
        <f t="array" ref="C14">INDEX(TestCases[],$A$1,$A14)</f>
        <v>5.2499999999999998E-2</v>
      </c>
      <c r="H14" s="78" t="s">
        <v>52</v>
      </c>
      <c r="I14" s="78">
        <v>965895.03040264174</v>
      </c>
      <c r="J14" s="78">
        <f t="shared" si="1"/>
        <v>711127.01880093664</v>
      </c>
      <c r="K14" s="78">
        <v>404295.0304026418</v>
      </c>
      <c r="L14" s="78">
        <f t="shared" si="4"/>
        <v>302607.24204295175</v>
      </c>
      <c r="M14" s="80">
        <f>I14-K14</f>
        <v>561600</v>
      </c>
      <c r="N14" s="80">
        <f t="shared" si="2"/>
        <v>408519.77675798489</v>
      </c>
      <c r="O14" s="80">
        <f t="shared" si="3"/>
        <v>970119.77675798489</v>
      </c>
    </row>
    <row r="15" spans="1:15" x14ac:dyDescent="0.3">
      <c r="A15" s="50">
        <f t="shared" si="0"/>
        <v>14</v>
      </c>
      <c r="B15" t="s">
        <v>38</v>
      </c>
      <c r="C15" cm="1">
        <f t="array" ref="C15">INDEX(TestCases[],$A$1,$A15)</f>
        <v>100000</v>
      </c>
      <c r="H15" s="78" t="s">
        <v>53</v>
      </c>
      <c r="I15" s="78">
        <v>940664.96174333419</v>
      </c>
      <c r="J15" s="78">
        <f t="shared" si="1"/>
        <v>666749.07160735386</v>
      </c>
      <c r="K15" s="78">
        <v>379064.96174333419</v>
      </c>
      <c r="L15" s="78">
        <f t="shared" si="4"/>
        <v>283723.00919461867</v>
      </c>
      <c r="M15" s="80">
        <f>I15-K15</f>
        <v>561600</v>
      </c>
      <c r="N15" s="80">
        <f t="shared" si="2"/>
        <v>383026.06241273519</v>
      </c>
      <c r="O15" s="80">
        <f t="shared" si="3"/>
        <v>944626.06241273519</v>
      </c>
    </row>
    <row r="16" spans="1:15" x14ac:dyDescent="0.3">
      <c r="A16" s="50">
        <f t="shared" si="0"/>
        <v>15</v>
      </c>
      <c r="B16" t="s">
        <v>39</v>
      </c>
      <c r="C16" cm="1">
        <f t="array" ref="C16">INDEX(TestCases[],$A$1,$A16)</f>
        <v>100000</v>
      </c>
      <c r="H16" s="78" t="s">
        <v>54</v>
      </c>
      <c r="I16" s="78">
        <v>987260.64711233741</v>
      </c>
      <c r="J16" s="78">
        <f t="shared" si="1"/>
        <v>701615.53054639429</v>
      </c>
      <c r="K16" s="78">
        <v>398887.4909176022</v>
      </c>
      <c r="L16" s="78">
        <f t="shared" si="4"/>
        <v>298559.80023250822</v>
      </c>
      <c r="M16" s="80">
        <f>I16-K16</f>
        <v>588373.1561947352</v>
      </c>
      <c r="N16" s="80">
        <f t="shared" si="2"/>
        <v>403055.73031388607</v>
      </c>
      <c r="O16" s="80">
        <f t="shared" si="3"/>
        <v>991428.88650862128</v>
      </c>
    </row>
    <row r="17" spans="1:15" x14ac:dyDescent="0.3">
      <c r="A17" s="50">
        <f t="shared" si="0"/>
        <v>16</v>
      </c>
      <c r="B17" t="s">
        <v>40</v>
      </c>
      <c r="C17" cm="1">
        <f t="array" ref="C17">INDEX(TestCases[],$A$1,$A17)</f>
        <v>999</v>
      </c>
      <c r="H17" s="78" t="s">
        <v>55</v>
      </c>
      <c r="I17" s="78">
        <v>696804.21218180365</v>
      </c>
      <c r="J17" s="78">
        <f t="shared" si="1"/>
        <v>578962.36926438019</v>
      </c>
      <c r="K17" s="78">
        <v>329155.83643328137</v>
      </c>
      <c r="L17" s="78">
        <f t="shared" si="4"/>
        <v>246366.96564441707</v>
      </c>
      <c r="M17" s="80">
        <f>I17-K17</f>
        <v>367648.37574852229</v>
      </c>
      <c r="N17" s="80">
        <f t="shared" si="2"/>
        <v>332595.40361996309</v>
      </c>
      <c r="O17" s="80">
        <f t="shared" si="3"/>
        <v>700243.77936848532</v>
      </c>
    </row>
    <row r="18" spans="1:15" x14ac:dyDescent="0.3">
      <c r="A18" s="50">
        <f t="shared" si="0"/>
        <v>17</v>
      </c>
      <c r="B18" t="s">
        <v>41</v>
      </c>
      <c r="C18" cm="1">
        <f t="array" ref="C18">INDEX(TestCases[],$A$1,$A18)</f>
        <v>100000</v>
      </c>
      <c r="H18" s="78" t="s">
        <v>56</v>
      </c>
      <c r="I18" s="78">
        <v>812948.10607122374</v>
      </c>
      <c r="J18" s="78">
        <f t="shared" si="1"/>
        <v>609167.47431027459</v>
      </c>
      <c r="K18" s="78">
        <v>346328.25927756552</v>
      </c>
      <c r="L18" s="78">
        <f t="shared" si="4"/>
        <v>259220.20183415941</v>
      </c>
      <c r="M18" s="80">
        <f>I18-K18</f>
        <v>466619.84679365822</v>
      </c>
      <c r="N18" s="80">
        <f t="shared" si="2"/>
        <v>349947.27247611515</v>
      </c>
      <c r="O18" s="80">
        <f t="shared" si="3"/>
        <v>816567.11926977336</v>
      </c>
    </row>
    <row r="19" spans="1:15" x14ac:dyDescent="0.3">
      <c r="B19" s="51" t="s">
        <v>63</v>
      </c>
      <c r="C19">
        <f>YEARFRAC(Issue_Date,Valuation_Date)</f>
        <v>0</v>
      </c>
      <c r="H19" s="78" t="s">
        <v>57</v>
      </c>
      <c r="I19" s="78">
        <v>623005.76176785061</v>
      </c>
      <c r="J19" s="78">
        <f t="shared" si="1"/>
        <v>371584.28566603229</v>
      </c>
      <c r="K19" s="78">
        <v>211255.76176785058</v>
      </c>
      <c r="L19" s="78">
        <f t="shared" si="4"/>
        <v>158120.97262384353</v>
      </c>
      <c r="M19" s="80">
        <f>I19-K19</f>
        <v>411750</v>
      </c>
      <c r="N19" s="80">
        <f t="shared" si="2"/>
        <v>213463.31304218876</v>
      </c>
      <c r="O19" s="80">
        <f t="shared" si="3"/>
        <v>625213.31304218876</v>
      </c>
    </row>
    <row r="20" spans="1:15" x14ac:dyDescent="0.3">
      <c r="B20" s="52" t="s">
        <v>64</v>
      </c>
      <c r="C20">
        <f>IF(SecondaryBirthdate="",1,2)</f>
        <v>1</v>
      </c>
      <c r="H20" s="78" t="s">
        <v>59</v>
      </c>
      <c r="I20" s="78">
        <v>894062.18025124888</v>
      </c>
      <c r="J20" s="78">
        <f t="shared" si="1"/>
        <v>608172.43479037448</v>
      </c>
      <c r="K20" s="78">
        <v>345762.55227682722</v>
      </c>
      <c r="L20" s="78">
        <f t="shared" si="4"/>
        <v>258796.78076186148</v>
      </c>
      <c r="M20" s="80">
        <f>I20-K20</f>
        <v>548299.62797442172</v>
      </c>
      <c r="N20" s="80">
        <f t="shared" si="2"/>
        <v>349375.654028513</v>
      </c>
      <c r="O20" s="80">
        <f t="shared" si="3"/>
        <v>897675.28200293472</v>
      </c>
    </row>
    <row r="21" spans="1:15" x14ac:dyDescent="0.3">
      <c r="B21" s="51" t="s">
        <v>65</v>
      </c>
      <c r="C21" t="b">
        <f>AnnCount=2</f>
        <v>0</v>
      </c>
      <c r="H21" s="78" t="s">
        <v>60</v>
      </c>
      <c r="I21" s="78">
        <v>809217.73458601465</v>
      </c>
      <c r="J21" s="78">
        <f t="shared" si="1"/>
        <v>641493.69404780085</v>
      </c>
      <c r="K21" s="78">
        <v>364706.59345142724</v>
      </c>
      <c r="L21" s="78">
        <f t="shared" si="4"/>
        <v>272976.04002034076</v>
      </c>
      <c r="M21" s="80">
        <f>I21-K21</f>
        <v>444511.14113458741</v>
      </c>
      <c r="N21" s="80">
        <f t="shared" si="2"/>
        <v>368517.65402746008</v>
      </c>
      <c r="O21" s="80">
        <f t="shared" si="3"/>
        <v>813028.79516204749</v>
      </c>
    </row>
    <row r="22" spans="1:15" x14ac:dyDescent="0.3">
      <c r="B22" s="52" t="s">
        <v>66</v>
      </c>
      <c r="C22">
        <f>INT(YEARFRAC(PrimaryBirthdate,Valuation_Date))</f>
        <v>65</v>
      </c>
    </row>
    <row r="23" spans="1:15" x14ac:dyDescent="0.3">
      <c r="B23" s="52" t="s">
        <v>67</v>
      </c>
      <c r="C23" t="str">
        <f>IF(Is_Joint,YEARFRAC(SecondaryBirthdate,Valuation_Date),"")</f>
        <v/>
      </c>
    </row>
    <row r="24" spans="1:15" x14ac:dyDescent="0.3">
      <c r="B24" s="51" t="s">
        <v>68</v>
      </c>
      <c r="C24">
        <f>IF(Is_Joint,MIN(SecondaryIssueAge,PrimaryIssueAge),PrimaryIssueAge)</f>
        <v>65</v>
      </c>
    </row>
    <row r="25" spans="1:15" x14ac:dyDescent="0.3">
      <c r="B25" s="52" t="s">
        <v>69</v>
      </c>
      <c r="C25" s="64" cm="1">
        <f t="array" aca="1" ref="C25" ca="1">_xlfn.LET(_xlpm.ageRow,MATCH(MidWdAge,OFFSET(LbWdAgesPrimaryPer,(AnnCount-1)*4,0),1),_xlpm.wdRange, OFFSET(WithdrawalPercentages,(AnnCount-1)*4,(IncomeOption-1)*2),_xlpm.pipOffset,0,INDEX(_xlpm.wdRange,_xlpm.ageRow,1+_xlpm.pipOffset))</f>
        <v>6.25E-2</v>
      </c>
    </row>
    <row r="26" spans="1:15" x14ac:dyDescent="0.3">
      <c r="B26" s="52" t="s">
        <v>10</v>
      </c>
      <c r="C26" s="64" cm="1">
        <f t="array" aca="1" ref="C26" ca="1">_xlfn.LET(_xlpm.ageRow,MATCH(MidWdAge,OFFSET(LbWdAgesPrimaryPer,(AnnCount-1)*4,0),1),_xlpm.wdRange, OFFSET(WithdrawalPercentages,(AnnCount-1)*4,(IncomeOption-1)*2),_xlpm.pipOffset,1,INDEX(_xlpm.wdRange,_xlpm.ageRow,1+_xlpm.pipOffset))</f>
        <v>0.04</v>
      </c>
    </row>
    <row r="27" spans="1:15" x14ac:dyDescent="0.3">
      <c r="B27" s="52" t="s">
        <v>12</v>
      </c>
      <c r="C27">
        <f>YEARFRAC(Valuation_Date,WithdrawalDate)</f>
        <v>4.5</v>
      </c>
    </row>
    <row r="28" spans="1:15" x14ac:dyDescent="0.3">
      <c r="B28" s="52" t="s">
        <v>70</v>
      </c>
      <c r="C28">
        <f>120-MidWdAge</f>
        <v>55</v>
      </c>
    </row>
    <row r="29" spans="1:15" x14ac:dyDescent="0.3">
      <c r="B29" s="51" t="s">
        <v>71</v>
      </c>
      <c r="C29" t="b">
        <f>Valuation_Date&gt;Issue_Date</f>
        <v>0</v>
      </c>
    </row>
  </sheetData>
  <mergeCells count="4">
    <mergeCell ref="I3:J3"/>
    <mergeCell ref="K3:L3"/>
    <mergeCell ref="M3:O3"/>
    <mergeCell ref="H2:O2"/>
  </mergeCells>
  <conditionalFormatting sqref="M5:M21">
    <cfRule type="cellIs" dxfId="10" priority="3" operator="notEqual">
      <formula>0</formula>
    </cfRule>
  </conditionalFormatting>
  <conditionalFormatting sqref="N5:N21">
    <cfRule type="cellIs" dxfId="9" priority="2" operator="notEqual">
      <formula>0</formula>
    </cfRule>
  </conditionalFormatting>
  <conditionalFormatting sqref="O5:O21">
    <cfRule type="cellIs" dxfId="8" priority="1" operator="notEqual">
      <formula>0</formula>
    </cfRule>
  </conditionalFormatting>
  <dataValidations disablePrompts="1" count="1">
    <dataValidation type="list" allowBlank="1" showInputMessage="1" showErrorMessage="1" sqref="C3" xr:uid="{01D3EDD7-8C04-46A8-B630-F95CEF5A3643}">
      <formula1>INDIRECT("TestCases[Test Name]")</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C0EF-0CE9-4C6C-A434-58916076E486}">
  <sheetPr>
    <tabColor rgb="FF00B050"/>
  </sheetPr>
  <dimension ref="A1:Q18"/>
  <sheetViews>
    <sheetView topLeftCell="M1" workbookViewId="0">
      <selection activeCell="B4" sqref="B4"/>
    </sheetView>
  </sheetViews>
  <sheetFormatPr defaultRowHeight="14.4" x14ac:dyDescent="0.3"/>
  <cols>
    <col min="2" max="2" width="21.5546875" bestFit="1" customWidth="1"/>
    <col min="3" max="3" width="15.6640625" customWidth="1"/>
    <col min="4" max="4" width="16.33203125" customWidth="1"/>
    <col min="5" max="5" width="18.6640625" customWidth="1"/>
    <col min="6" max="6" width="17.109375" customWidth="1"/>
    <col min="7" max="7" width="21" customWidth="1"/>
    <col min="8" max="8" width="19.44140625" customWidth="1"/>
    <col min="9" max="9" width="23" customWidth="1"/>
    <col min="10" max="10" width="25.44140625" customWidth="1"/>
    <col min="11" max="11" width="27.5546875" customWidth="1"/>
    <col min="12" max="12" width="23.6640625" customWidth="1"/>
    <col min="13" max="13" width="26.44140625" customWidth="1"/>
    <col min="14" max="14" width="21.44140625" customWidth="1"/>
    <col min="15" max="15" width="27.33203125" customWidth="1"/>
    <col min="16" max="16" width="21.109375" customWidth="1"/>
    <col min="17" max="17" width="23.33203125" customWidth="1"/>
  </cols>
  <sheetData>
    <row r="1" spans="1:17" x14ac:dyDescent="0.3">
      <c r="A1" s="39" t="s">
        <v>26</v>
      </c>
      <c r="B1" s="39" t="s">
        <v>27</v>
      </c>
      <c r="C1" s="39" t="s">
        <v>28</v>
      </c>
      <c r="D1" s="39" t="s">
        <v>29</v>
      </c>
      <c r="E1" s="39" t="s">
        <v>30</v>
      </c>
      <c r="F1" s="39" t="s">
        <v>31</v>
      </c>
      <c r="G1" s="39" t="s">
        <v>32</v>
      </c>
      <c r="H1" s="39" t="s">
        <v>33</v>
      </c>
      <c r="I1" s="39" t="s">
        <v>15</v>
      </c>
      <c r="J1" s="39" t="s">
        <v>34</v>
      </c>
      <c r="K1" s="39" t="s">
        <v>35</v>
      </c>
      <c r="L1" s="39" t="s">
        <v>36</v>
      </c>
      <c r="M1" s="39" t="s">
        <v>37</v>
      </c>
      <c r="N1" s="39" t="s">
        <v>38</v>
      </c>
      <c r="O1" s="39" t="s">
        <v>39</v>
      </c>
      <c r="P1" s="39" t="s">
        <v>40</v>
      </c>
      <c r="Q1" s="39" t="s">
        <v>41</v>
      </c>
    </row>
    <row r="2" spans="1:17" x14ac:dyDescent="0.3">
      <c r="A2">
        <v>0</v>
      </c>
      <c r="B2" t="s">
        <v>42</v>
      </c>
      <c r="C2" t="b">
        <v>1</v>
      </c>
      <c r="D2" s="47">
        <v>42465</v>
      </c>
      <c r="E2" s="47">
        <v>18720</v>
      </c>
      <c r="F2" t="s">
        <v>43</v>
      </c>
      <c r="I2" s="47">
        <v>42465</v>
      </c>
      <c r="J2">
        <v>100000</v>
      </c>
      <c r="K2" s="47">
        <v>44109</v>
      </c>
      <c r="L2">
        <v>1</v>
      </c>
      <c r="M2">
        <v>5.2499999999999998E-2</v>
      </c>
      <c r="N2">
        <v>100000</v>
      </c>
      <c r="O2">
        <v>100000</v>
      </c>
      <c r="P2">
        <v>999</v>
      </c>
      <c r="Q2">
        <v>100000</v>
      </c>
    </row>
    <row r="3" spans="1:17" x14ac:dyDescent="0.3">
      <c r="A3">
        <f t="shared" ref="A3:A18" si="0">A2+1</f>
        <v>1</v>
      </c>
      <c r="B3" t="s">
        <v>44</v>
      </c>
      <c r="C3" t="b">
        <v>0</v>
      </c>
      <c r="D3" s="47">
        <f>D2+800</f>
        <v>43265</v>
      </c>
      <c r="E3" s="47">
        <v>18720</v>
      </c>
      <c r="F3" t="s">
        <v>43</v>
      </c>
      <c r="I3" s="47">
        <v>42465</v>
      </c>
      <c r="J3">
        <v>0</v>
      </c>
      <c r="K3" s="47">
        <v>44109</v>
      </c>
      <c r="L3">
        <v>1</v>
      </c>
      <c r="M3">
        <v>5.2499999999999998E-2</v>
      </c>
      <c r="N3" s="48">
        <v>95325.473432383646</v>
      </c>
      <c r="O3" s="48">
        <v>95325.473432383646</v>
      </c>
      <c r="P3" s="48">
        <v>4221.541103677775</v>
      </c>
      <c r="Q3">
        <v>100000</v>
      </c>
    </row>
    <row r="4" spans="1:17" x14ac:dyDescent="0.3">
      <c r="A4">
        <f t="shared" si="0"/>
        <v>2</v>
      </c>
      <c r="B4" t="s">
        <v>45</v>
      </c>
      <c r="C4" t="b">
        <v>0</v>
      </c>
      <c r="D4" s="47">
        <v>42465</v>
      </c>
      <c r="E4" s="47">
        <v>26020</v>
      </c>
      <c r="F4" t="s">
        <v>43</v>
      </c>
      <c r="I4" s="47">
        <v>42465</v>
      </c>
      <c r="J4" s="48">
        <v>152456.43532326125</v>
      </c>
      <c r="K4" s="47">
        <v>44109</v>
      </c>
      <c r="L4">
        <v>1</v>
      </c>
      <c r="M4">
        <v>5.2499999999999998E-2</v>
      </c>
      <c r="N4" s="48">
        <v>152456.43532326125</v>
      </c>
      <c r="O4" s="48">
        <v>152456.43532326125</v>
      </c>
      <c r="P4" s="48">
        <v>8114.6383236774336</v>
      </c>
      <c r="Q4" s="48">
        <f>TestCases[[#This Row],[Current Income Base]]</f>
        <v>152456.43532326125</v>
      </c>
    </row>
    <row r="5" spans="1:17" x14ac:dyDescent="0.3">
      <c r="A5">
        <f t="shared" si="0"/>
        <v>3</v>
      </c>
      <c r="B5" t="s">
        <v>46</v>
      </c>
      <c r="C5" t="b">
        <v>0</v>
      </c>
      <c r="D5" s="47">
        <v>42465</v>
      </c>
      <c r="E5" s="47">
        <v>22370</v>
      </c>
      <c r="F5" t="s">
        <v>43</v>
      </c>
      <c r="I5" s="47">
        <v>42465</v>
      </c>
      <c r="J5" s="48">
        <v>182203.00216090496</v>
      </c>
      <c r="K5" s="47">
        <v>44109</v>
      </c>
      <c r="L5">
        <v>1</v>
      </c>
      <c r="M5">
        <v>5.2499999999999998E-2</v>
      </c>
      <c r="N5" s="48">
        <v>182203.00216090496</v>
      </c>
      <c r="O5" s="48">
        <v>182203.00216090496</v>
      </c>
      <c r="P5" s="48">
        <v>14523.798553991892</v>
      </c>
      <c r="Q5" s="48">
        <f>TestCases[[#This Row],[Current Income Base]]</f>
        <v>182203.00216090496</v>
      </c>
    </row>
    <row r="6" spans="1:17" x14ac:dyDescent="0.3">
      <c r="A6">
        <f t="shared" si="0"/>
        <v>4</v>
      </c>
      <c r="B6" t="s">
        <v>47</v>
      </c>
      <c r="C6" t="b">
        <v>0</v>
      </c>
      <c r="D6" s="47">
        <v>42465</v>
      </c>
      <c r="E6" s="47">
        <v>15070</v>
      </c>
      <c r="F6" t="s">
        <v>43</v>
      </c>
      <c r="I6" s="47">
        <v>42465</v>
      </c>
      <c r="J6" s="48">
        <v>69184.946238427947</v>
      </c>
      <c r="K6" s="47">
        <v>44109</v>
      </c>
      <c r="L6">
        <v>1</v>
      </c>
      <c r="M6">
        <v>5.2499999999999998E-2</v>
      </c>
      <c r="N6" s="48">
        <v>69184.946238427947</v>
      </c>
      <c r="O6" s="48">
        <v>69184.946238427947</v>
      </c>
      <c r="P6" s="48">
        <v>8143.3285014251214</v>
      </c>
      <c r="Q6" s="48">
        <f>TestCases[[#This Row],[Current Income Base]]</f>
        <v>69184.946238427947</v>
      </c>
    </row>
    <row r="7" spans="1:17" x14ac:dyDescent="0.3">
      <c r="A7">
        <f t="shared" si="0"/>
        <v>5</v>
      </c>
      <c r="B7" t="s">
        <v>48</v>
      </c>
      <c r="C7" t="b">
        <v>0</v>
      </c>
      <c r="D7" s="47">
        <v>42465</v>
      </c>
      <c r="E7" s="47">
        <v>11420</v>
      </c>
      <c r="F7" t="s">
        <v>43</v>
      </c>
      <c r="I7" s="47">
        <v>42465</v>
      </c>
      <c r="J7" s="48">
        <v>150298.66258566288</v>
      </c>
      <c r="K7" s="47">
        <v>44109</v>
      </c>
      <c r="L7">
        <v>1</v>
      </c>
      <c r="M7">
        <v>5.2499999999999998E-2</v>
      </c>
      <c r="N7" s="48">
        <v>150298.66258566288</v>
      </c>
      <c r="O7" s="48">
        <v>150298.66258566288</v>
      </c>
      <c r="P7" s="48">
        <v>13684.105061322096</v>
      </c>
      <c r="Q7" s="48">
        <f>TestCases[[#This Row],[Current Income Base]]</f>
        <v>150298.66258566288</v>
      </c>
    </row>
    <row r="8" spans="1:17" x14ac:dyDescent="0.3">
      <c r="A8">
        <f t="shared" si="0"/>
        <v>6</v>
      </c>
      <c r="B8" t="s">
        <v>49</v>
      </c>
      <c r="C8" t="b">
        <v>0</v>
      </c>
      <c r="D8" s="47">
        <v>42465</v>
      </c>
      <c r="E8" s="47">
        <v>18720</v>
      </c>
      <c r="F8" t="s">
        <v>43</v>
      </c>
      <c r="I8" s="47">
        <v>42465</v>
      </c>
      <c r="J8" s="48">
        <v>105606.93882617053</v>
      </c>
      <c r="K8" s="47">
        <v>44109</v>
      </c>
      <c r="L8">
        <v>2</v>
      </c>
      <c r="M8">
        <v>5.2499999999999998E-2</v>
      </c>
      <c r="N8" s="48">
        <v>105606.93882617053</v>
      </c>
      <c r="O8" s="48">
        <v>105606.93882617053</v>
      </c>
      <c r="P8" s="48">
        <v>10085.128879183343</v>
      </c>
      <c r="Q8" s="48">
        <f>TestCases[[#This Row],[Current Income Base]]</f>
        <v>105606.93882617053</v>
      </c>
    </row>
    <row r="9" spans="1:17" x14ac:dyDescent="0.3">
      <c r="A9">
        <f t="shared" si="0"/>
        <v>7</v>
      </c>
      <c r="B9" t="s">
        <v>50</v>
      </c>
      <c r="C9" t="b">
        <v>0</v>
      </c>
      <c r="D9" s="47">
        <v>42465</v>
      </c>
      <c r="E9" s="47">
        <v>18720</v>
      </c>
      <c r="F9" t="s">
        <v>43</v>
      </c>
      <c r="I9" s="47">
        <v>42465</v>
      </c>
      <c r="J9" s="48">
        <v>42427.11718072473</v>
      </c>
      <c r="K9" s="47">
        <v>44109</v>
      </c>
      <c r="L9">
        <v>3</v>
      </c>
      <c r="M9">
        <v>5.2499999999999998E-2</v>
      </c>
      <c r="N9" s="48">
        <v>42427.11718072473</v>
      </c>
      <c r="O9" s="48">
        <v>42427.11718072473</v>
      </c>
      <c r="P9" s="48">
        <v>5578.9796538104865</v>
      </c>
      <c r="Q9" s="48">
        <f>TestCases[[#This Row],[Current Income Base]]</f>
        <v>42427.11718072473</v>
      </c>
    </row>
    <row r="10" spans="1:17" x14ac:dyDescent="0.3">
      <c r="A10">
        <f t="shared" si="0"/>
        <v>8</v>
      </c>
      <c r="B10" t="s">
        <v>51</v>
      </c>
      <c r="C10" t="b">
        <v>0</v>
      </c>
      <c r="D10" s="47">
        <v>42465</v>
      </c>
      <c r="E10" s="47">
        <v>18720</v>
      </c>
      <c r="F10" t="s">
        <v>43</v>
      </c>
      <c r="I10" s="47">
        <v>42465</v>
      </c>
      <c r="J10" s="48">
        <v>47603.469194453544</v>
      </c>
      <c r="K10" s="47">
        <v>43013</v>
      </c>
      <c r="L10">
        <v>1</v>
      </c>
      <c r="M10">
        <v>5.2499999999999998E-2</v>
      </c>
      <c r="N10" s="48">
        <v>47603.469194453544</v>
      </c>
      <c r="O10" s="48">
        <v>47603.469194453544</v>
      </c>
      <c r="P10" s="48">
        <v>18541.617782629564</v>
      </c>
      <c r="Q10" s="48">
        <f>TestCases[[#This Row],[Current Income Base]]</f>
        <v>47603.469194453544</v>
      </c>
    </row>
    <row r="11" spans="1:17" x14ac:dyDescent="0.3">
      <c r="A11">
        <f t="shared" si="0"/>
        <v>9</v>
      </c>
      <c r="B11" t="s">
        <v>52</v>
      </c>
      <c r="C11" t="b">
        <v>0</v>
      </c>
      <c r="D11" s="47">
        <v>42465</v>
      </c>
      <c r="E11" s="47">
        <v>18720</v>
      </c>
      <c r="F11" t="s">
        <v>43</v>
      </c>
      <c r="I11" s="47">
        <v>42465</v>
      </c>
      <c r="J11" s="48">
        <v>157110.87938977685</v>
      </c>
      <c r="K11" s="47">
        <v>43378</v>
      </c>
      <c r="L11">
        <v>1</v>
      </c>
      <c r="M11">
        <v>5.2499999999999998E-2</v>
      </c>
      <c r="N11" s="48">
        <v>157110.87938977685</v>
      </c>
      <c r="O11" s="48">
        <v>157110.87938977685</v>
      </c>
      <c r="P11" s="48">
        <v>12472.756690167882</v>
      </c>
      <c r="Q11" s="48">
        <f>TestCases[[#This Row],[Current Income Base]]</f>
        <v>157110.87938977685</v>
      </c>
    </row>
    <row r="12" spans="1:17" x14ac:dyDescent="0.3">
      <c r="A12">
        <f t="shared" si="0"/>
        <v>10</v>
      </c>
      <c r="B12" t="s">
        <v>53</v>
      </c>
      <c r="C12" t="b">
        <v>0</v>
      </c>
      <c r="D12" s="47">
        <v>42465</v>
      </c>
      <c r="E12" s="47">
        <v>18720</v>
      </c>
      <c r="F12" t="s">
        <v>43</v>
      </c>
      <c r="I12" s="47">
        <v>42465</v>
      </c>
      <c r="J12" s="48">
        <v>28106.899207877428</v>
      </c>
      <c r="K12" s="47">
        <v>43743</v>
      </c>
      <c r="L12">
        <v>1</v>
      </c>
      <c r="M12">
        <v>5.2499999999999998E-2</v>
      </c>
      <c r="N12" s="48">
        <v>28106.899207877428</v>
      </c>
      <c r="O12" s="48">
        <v>28106.899207877428</v>
      </c>
      <c r="P12" s="48">
        <v>3862.4017537345594</v>
      </c>
      <c r="Q12" s="48">
        <f>TestCases[[#This Row],[Current Income Base]]</f>
        <v>28106.899207877428</v>
      </c>
    </row>
    <row r="13" spans="1:17" x14ac:dyDescent="0.3">
      <c r="A13">
        <f t="shared" si="0"/>
        <v>11</v>
      </c>
      <c r="B13" t="s">
        <v>54</v>
      </c>
      <c r="C13" t="b">
        <v>0</v>
      </c>
      <c r="D13" s="47">
        <v>42465</v>
      </c>
      <c r="E13" s="47">
        <v>18720</v>
      </c>
      <c r="F13" t="s">
        <v>43</v>
      </c>
      <c r="I13" s="47">
        <v>42465</v>
      </c>
      <c r="J13" s="48">
        <v>96931.426475781816</v>
      </c>
      <c r="K13" s="47">
        <v>44474</v>
      </c>
      <c r="L13">
        <v>1</v>
      </c>
      <c r="M13">
        <v>5.2499999999999998E-2</v>
      </c>
      <c r="N13" s="48">
        <v>96931.426475781816</v>
      </c>
      <c r="O13" s="48">
        <v>96931.426475781816</v>
      </c>
      <c r="P13" s="48">
        <v>1796.8830721520278</v>
      </c>
      <c r="Q13" s="48">
        <f>TestCases[[#This Row],[Current Income Base]]</f>
        <v>96931.426475781816</v>
      </c>
    </row>
    <row r="14" spans="1:17" x14ac:dyDescent="0.3">
      <c r="A14">
        <f t="shared" si="0"/>
        <v>12</v>
      </c>
      <c r="B14" t="s">
        <v>55</v>
      </c>
      <c r="C14" t="b">
        <v>0</v>
      </c>
      <c r="D14" s="47">
        <v>42465</v>
      </c>
      <c r="E14" s="47">
        <v>18720</v>
      </c>
      <c r="F14" t="s">
        <v>43</v>
      </c>
      <c r="I14" s="47">
        <v>42465</v>
      </c>
      <c r="J14" s="48">
        <v>92382.669600073219</v>
      </c>
      <c r="K14" s="47">
        <f>K13+365</f>
        <v>44839</v>
      </c>
      <c r="L14">
        <v>1</v>
      </c>
      <c r="M14">
        <v>5.2499999999999998E-2</v>
      </c>
      <c r="N14" s="48">
        <v>92382.669600073219</v>
      </c>
      <c r="O14" s="48">
        <v>92382.669600073219</v>
      </c>
      <c r="P14" s="48">
        <v>24938.25284851898</v>
      </c>
      <c r="Q14" s="48">
        <f>TestCases[[#This Row],[Current Income Base]]</f>
        <v>92382.669600073219</v>
      </c>
    </row>
    <row r="15" spans="1:17" x14ac:dyDescent="0.3">
      <c r="A15">
        <f t="shared" si="0"/>
        <v>13</v>
      </c>
      <c r="B15" t="s">
        <v>56</v>
      </c>
      <c r="C15" t="b">
        <v>0</v>
      </c>
      <c r="D15" s="47">
        <v>42465</v>
      </c>
      <c r="E15" s="47">
        <v>18720</v>
      </c>
      <c r="F15" t="s">
        <v>43</v>
      </c>
      <c r="I15" s="47">
        <v>42465</v>
      </c>
      <c r="J15" s="48">
        <v>58832.783356219523</v>
      </c>
      <c r="K15" s="47">
        <f>K14+365</f>
        <v>45204</v>
      </c>
      <c r="L15">
        <v>1</v>
      </c>
      <c r="M15">
        <v>5.2499999999999998E-2</v>
      </c>
      <c r="N15" s="48">
        <v>58832.783356219523</v>
      </c>
      <c r="O15" s="48">
        <v>58832.783356219523</v>
      </c>
      <c r="P15" s="48">
        <v>19049.832245647714</v>
      </c>
      <c r="Q15" s="48">
        <f>TestCases[[#This Row],[Current Income Base]]</f>
        <v>58832.783356219523</v>
      </c>
    </row>
    <row r="16" spans="1:17" x14ac:dyDescent="0.3">
      <c r="A16">
        <f t="shared" si="0"/>
        <v>14</v>
      </c>
      <c r="B16" t="s">
        <v>57</v>
      </c>
      <c r="C16" t="b">
        <v>0</v>
      </c>
      <c r="D16" s="47">
        <v>42465</v>
      </c>
      <c r="E16" s="47">
        <f>E17+365*10</f>
        <v>22370</v>
      </c>
      <c r="F16" t="s">
        <v>43</v>
      </c>
      <c r="G16" s="47">
        <f>E16-365*10+85</f>
        <v>18805</v>
      </c>
      <c r="H16" t="s">
        <v>58</v>
      </c>
      <c r="I16" s="47">
        <v>42465</v>
      </c>
      <c r="J16" s="48">
        <v>77254.968706246742</v>
      </c>
      <c r="K16" s="47">
        <v>44109</v>
      </c>
      <c r="L16">
        <v>1</v>
      </c>
      <c r="M16">
        <v>5.2499999999999998E-2</v>
      </c>
      <c r="N16" s="48">
        <v>77254.968706246742</v>
      </c>
      <c r="O16" s="48">
        <v>77254.968706246742</v>
      </c>
      <c r="P16" s="48">
        <v>8328.878719952414</v>
      </c>
      <c r="Q16" s="48">
        <f>TestCases[[#This Row],[Current Income Base]]</f>
        <v>77254.968706246742</v>
      </c>
    </row>
    <row r="17" spans="1:17" x14ac:dyDescent="0.3">
      <c r="A17">
        <f t="shared" si="0"/>
        <v>15</v>
      </c>
      <c r="B17" t="s">
        <v>59</v>
      </c>
      <c r="C17" t="b">
        <v>0</v>
      </c>
      <c r="D17" s="47">
        <v>42465</v>
      </c>
      <c r="E17" s="47">
        <v>18720</v>
      </c>
      <c r="F17" t="s">
        <v>43</v>
      </c>
      <c r="G17" s="47">
        <f>E17-365*10+101</f>
        <v>15171</v>
      </c>
      <c r="H17" t="s">
        <v>43</v>
      </c>
      <c r="I17" s="47">
        <v>42465</v>
      </c>
      <c r="J17" s="48">
        <v>102897.29750340692</v>
      </c>
      <c r="K17" s="47">
        <v>44109</v>
      </c>
      <c r="L17">
        <v>1</v>
      </c>
      <c r="M17">
        <v>5.2499999999999998E-2</v>
      </c>
      <c r="N17" s="48">
        <v>102897.29750340692</v>
      </c>
      <c r="O17" s="48">
        <v>102897.29750340692</v>
      </c>
      <c r="P17" s="48">
        <v>17308.417559792819</v>
      </c>
      <c r="Q17" s="48">
        <f>TestCases[[#This Row],[Current Income Base]]</f>
        <v>102897.29750340692</v>
      </c>
    </row>
    <row r="18" spans="1:17" x14ac:dyDescent="0.3">
      <c r="A18">
        <f t="shared" si="0"/>
        <v>16</v>
      </c>
      <c r="B18" t="s">
        <v>60</v>
      </c>
      <c r="C18" t="b">
        <v>0</v>
      </c>
      <c r="D18" s="47">
        <v>42465</v>
      </c>
      <c r="E18" s="47">
        <f>E17-365*15</f>
        <v>13245</v>
      </c>
      <c r="F18" t="s">
        <v>58</v>
      </c>
      <c r="G18" s="47">
        <f>E18-1</f>
        <v>13244</v>
      </c>
      <c r="H18" t="s">
        <v>58</v>
      </c>
      <c r="I18" s="47">
        <v>42465</v>
      </c>
      <c r="J18" s="48">
        <v>146058.38404748004</v>
      </c>
      <c r="K18" s="47">
        <v>44109</v>
      </c>
      <c r="L18">
        <v>1</v>
      </c>
      <c r="M18">
        <v>5.2499999999999998E-2</v>
      </c>
      <c r="N18" s="48">
        <v>146058.38404748004</v>
      </c>
      <c r="O18" s="48">
        <v>146058.38404748004</v>
      </c>
      <c r="P18" s="48">
        <v>23365.275131770417</v>
      </c>
      <c r="Q18" s="48">
        <f>TestCases[[#This Row],[Current Income Base]]</f>
        <v>146058.38404748004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BJ191"/>
  <sheetViews>
    <sheetView topLeftCell="X7" zoomScale="90" zoomScaleNormal="90" workbookViewId="0">
      <selection activeCell="V7" sqref="V7:AD7"/>
    </sheetView>
  </sheetViews>
  <sheetFormatPr defaultRowHeight="14.4" outlineLevelCol="1" x14ac:dyDescent="0.3"/>
  <cols>
    <col min="1" max="1" width="23" customWidth="1"/>
    <col min="2" max="2" width="23.6640625" customWidth="1"/>
    <col min="3" max="3" width="18" customWidth="1"/>
    <col min="4" max="4" width="16.44140625" customWidth="1"/>
    <col min="5" max="5" width="12" customWidth="1"/>
    <col min="6" max="6" width="12.5546875" customWidth="1"/>
    <col min="7" max="7" width="18" customWidth="1"/>
    <col min="8" max="8" width="15.5546875" customWidth="1" outlineLevel="1"/>
    <col min="9" max="10" width="15.33203125" customWidth="1" outlineLevel="1"/>
    <col min="11" max="11" width="18" customWidth="1"/>
    <col min="12" max="13" width="12.5546875" customWidth="1"/>
    <col min="14" max="15" width="22.109375" customWidth="1"/>
    <col min="16" max="16" width="15.6640625" customWidth="1"/>
    <col min="17" max="17" width="17" customWidth="1"/>
    <col min="18" max="18" width="19.109375" customWidth="1"/>
    <col min="19" max="20" width="13.5546875" customWidth="1"/>
    <col min="21" max="21" width="11.6640625" bestFit="1" customWidth="1"/>
    <col min="22" max="22" width="14.21875" bestFit="1" customWidth="1"/>
    <col min="23" max="23" width="8.5546875" bestFit="1" customWidth="1"/>
    <col min="24" max="24" width="8.33203125" bestFit="1" customWidth="1"/>
    <col min="25" max="25" width="12.6640625" customWidth="1"/>
    <col min="26" max="26" width="18" customWidth="1"/>
    <col min="27" max="27" width="17.109375" customWidth="1"/>
    <col min="28" max="28" width="15.6640625" bestFit="1" customWidth="1"/>
    <col min="29" max="29" width="11.44140625" bestFit="1" customWidth="1"/>
    <col min="30" max="30" width="11.44140625" customWidth="1"/>
    <col min="31" max="31" width="10.5546875" bestFit="1" customWidth="1"/>
    <col min="32" max="34" width="10.5546875" customWidth="1"/>
    <col min="35" max="35" width="12" customWidth="1"/>
    <col min="36" max="36" width="10.5546875" customWidth="1"/>
    <col min="37" max="37" width="12" customWidth="1"/>
    <col min="38" max="40" width="10.5546875" customWidth="1"/>
    <col min="41" max="41" width="11.88671875" customWidth="1"/>
    <col min="42" max="42" width="11.5546875" bestFit="1" customWidth="1"/>
    <col min="43" max="48" width="10.5546875" customWidth="1"/>
    <col min="49" max="49" width="12.88671875" customWidth="1"/>
    <col min="50" max="51" width="11.5546875" bestFit="1" customWidth="1"/>
    <col min="52" max="52" width="10.5546875" bestFit="1" customWidth="1"/>
    <col min="53" max="53" width="13.6640625" customWidth="1"/>
    <col min="54" max="54" width="11.88671875" customWidth="1"/>
  </cols>
  <sheetData>
    <row r="1" spans="1:62" ht="23.4" x14ac:dyDescent="0.3">
      <c r="A1" s="116" t="s">
        <v>102</v>
      </c>
      <c r="B1" s="116"/>
      <c r="C1" s="26"/>
    </row>
    <row r="2" spans="1:62" ht="18" x14ac:dyDescent="0.35">
      <c r="A2" t="s">
        <v>103</v>
      </c>
      <c r="B2" t="s">
        <v>151</v>
      </c>
      <c r="C2" s="26"/>
      <c r="D2" s="27"/>
    </row>
    <row r="3" spans="1:62" x14ac:dyDescent="0.3">
      <c r="A3" s="78">
        <f ca="1">SUM(VaBenefits[[Maximum Annual Withdrawal Amount upon Activation]:[Protected Income Payment]])</f>
        <v>923682.56973072258</v>
      </c>
      <c r="B3" s="48">
        <f ca="1">SUM(Reserves)</f>
        <v>294858.41319273942</v>
      </c>
      <c r="C3" s="26"/>
      <c r="D3" s="1"/>
    </row>
    <row r="4" spans="1:62" x14ac:dyDescent="0.3">
      <c r="C4" s="26"/>
    </row>
    <row r="5" spans="1:62" ht="15" thickBot="1" x14ac:dyDescent="0.35">
      <c r="B5" s="26"/>
      <c r="C5" s="26"/>
      <c r="D5" s="1"/>
      <c r="N5" s="6"/>
      <c r="O5" s="6"/>
      <c r="V5" s="114"/>
      <c r="W5" s="114"/>
      <c r="X5" s="115"/>
      <c r="Y5" s="115"/>
    </row>
    <row r="6" spans="1:62" ht="15" thickBot="1" x14ac:dyDescent="0.35">
      <c r="B6" s="26"/>
      <c r="C6" s="26"/>
      <c r="D6" s="8"/>
      <c r="V6" s="114"/>
      <c r="W6" s="114"/>
      <c r="X6" s="115"/>
      <c r="Y6" s="115"/>
      <c r="AD6" s="111" t="s">
        <v>14</v>
      </c>
      <c r="AE6" s="112"/>
      <c r="AF6" s="112"/>
      <c r="AG6" s="112"/>
      <c r="AH6" s="112"/>
      <c r="AI6" s="112"/>
      <c r="AJ6" s="112"/>
      <c r="AK6" s="112"/>
      <c r="AL6" s="112"/>
      <c r="AM6" s="113"/>
    </row>
    <row r="7" spans="1:62" ht="71.25" customHeight="1" x14ac:dyDescent="0.3">
      <c r="A7" s="32" t="s">
        <v>16</v>
      </c>
      <c r="B7" s="31" t="s">
        <v>150</v>
      </c>
      <c r="C7" s="36" t="s">
        <v>19</v>
      </c>
      <c r="D7" s="32" t="s">
        <v>11</v>
      </c>
      <c r="E7" s="32" t="s">
        <v>6</v>
      </c>
      <c r="F7" s="32" t="s">
        <v>7</v>
      </c>
      <c r="G7" s="32" t="s">
        <v>152</v>
      </c>
      <c r="H7" s="32" t="s">
        <v>153</v>
      </c>
      <c r="I7" s="92" t="s">
        <v>20</v>
      </c>
      <c r="J7" s="92" t="s">
        <v>22</v>
      </c>
      <c r="K7" s="92" t="s">
        <v>23</v>
      </c>
      <c r="L7" s="92" t="s">
        <v>24</v>
      </c>
      <c r="M7" s="92" t="s">
        <v>21</v>
      </c>
      <c r="N7" s="92" t="s">
        <v>18</v>
      </c>
      <c r="O7" s="92" t="s">
        <v>8</v>
      </c>
      <c r="P7" s="92" t="s">
        <v>0</v>
      </c>
      <c r="Q7" s="92" t="s">
        <v>25</v>
      </c>
      <c r="R7" s="92" t="s">
        <v>13</v>
      </c>
      <c r="S7" s="92" t="s">
        <v>1</v>
      </c>
      <c r="T7" s="92" t="s">
        <v>3</v>
      </c>
      <c r="U7" s="93" t="s">
        <v>10</v>
      </c>
      <c r="V7" s="92" t="s">
        <v>146</v>
      </c>
      <c r="W7" s="92" t="s">
        <v>139</v>
      </c>
      <c r="X7" s="92" t="s">
        <v>140</v>
      </c>
      <c r="Y7" s="92" t="s">
        <v>141</v>
      </c>
      <c r="Z7" s="92" t="s">
        <v>142</v>
      </c>
      <c r="AA7" s="92" t="s">
        <v>143</v>
      </c>
      <c r="AB7" s="92" t="s">
        <v>144</v>
      </c>
      <c r="AC7" s="92" t="s">
        <v>145</v>
      </c>
      <c r="AD7" s="92" t="s">
        <v>151</v>
      </c>
      <c r="AE7" s="98"/>
      <c r="AF7" s="41" t="s">
        <v>17</v>
      </c>
      <c r="AG7" s="41" t="s">
        <v>8</v>
      </c>
      <c r="AH7" s="41" t="s">
        <v>9</v>
      </c>
      <c r="AI7" s="41" t="s">
        <v>4</v>
      </c>
      <c r="AJ7" s="41" t="s">
        <v>5</v>
      </c>
      <c r="AK7" s="41" t="s">
        <v>3</v>
      </c>
      <c r="AL7" s="41" t="s">
        <v>10</v>
      </c>
      <c r="AM7" s="40"/>
      <c r="AN7" s="29" t="s">
        <v>17</v>
      </c>
      <c r="AO7" s="19" t="s">
        <v>11</v>
      </c>
      <c r="AP7" s="19" t="s">
        <v>6</v>
      </c>
      <c r="AQ7" s="19" t="s">
        <v>7</v>
      </c>
      <c r="AR7" s="19" t="s">
        <v>8</v>
      </c>
      <c r="AS7" s="19" t="s">
        <v>9</v>
      </c>
      <c r="AT7" s="19" t="s">
        <v>4</v>
      </c>
      <c r="AU7" s="19" t="s">
        <v>5</v>
      </c>
      <c r="AV7" s="19" t="s">
        <v>3</v>
      </c>
      <c r="AW7" s="20" t="s">
        <v>10</v>
      </c>
      <c r="AX7" s="3"/>
      <c r="AY7" s="3"/>
      <c r="AZ7" s="3"/>
      <c r="BA7" s="3"/>
      <c r="BB7" s="3"/>
      <c r="BC7" s="3"/>
      <c r="BE7" s="3" t="s">
        <v>8</v>
      </c>
      <c r="BF7" s="3" t="s">
        <v>9</v>
      </c>
      <c r="BG7" s="3" t="s">
        <v>4</v>
      </c>
      <c r="BH7" s="3" t="s">
        <v>5</v>
      </c>
      <c r="BI7" s="3" t="s">
        <v>3</v>
      </c>
      <c r="BJ7" s="3" t="s">
        <v>10</v>
      </c>
    </row>
    <row r="8" spans="1:62" x14ac:dyDescent="0.3">
      <c r="A8" s="38">
        <v>0</v>
      </c>
      <c r="B8" s="30">
        <f>AN8</f>
        <v>0</v>
      </c>
      <c r="C8" s="30" t="b">
        <f>AND(VaBenefits[[#This Row],[timeFromValuation]]&gt;=ACT,VaBenefits[[#This Row],[Assumed Contract Value ]]&gt;0)</f>
        <v>0</v>
      </c>
      <c r="D8" s="21">
        <f t="shared" ref="D8:D39" si="0">IF(Is_Issued, 0,AO8)</f>
        <v>100000</v>
      </c>
      <c r="E8" s="21">
        <f>IF(Use_Base_Case, AP8,IF(VaBenefits[[#This Row],[Is Anniversary?]],WithAmt,0))</f>
        <v>0</v>
      </c>
      <c r="F8" s="21">
        <f>AccountValue</f>
        <v>100000</v>
      </c>
      <c r="G8" s="21">
        <v>55</v>
      </c>
      <c r="H8" s="21">
        <v>65</v>
      </c>
      <c r="I8" s="28" t="b">
        <f>VaBenefits[[#This Row],[Withdrawal Taken  ]]&gt;0</f>
        <v>0</v>
      </c>
      <c r="J8" s="45">
        <v>0</v>
      </c>
      <c r="K8" s="45">
        <v>0</v>
      </c>
      <c r="L8" s="28" t="b">
        <f>AND(VaBenefits[[#This Row],[Is Activation]],SUMIFS($E8:$E$8,$C8:$C$8,TRUE)&gt;0)</f>
        <v>0</v>
      </c>
      <c r="M8" s="37">
        <f>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 s="7">
        <f>IF(VaBenefits[[#This Row],[timeFromValuation]]=0,0, MOD(VaBenefits[[#This Row],[timeFromValuation]],1)=0)</f>
        <v>0</v>
      </c>
      <c r="O8" s="7">
        <f>IF(VaBenefits[[#This Row],[Is Anniversary?]]=TRUE,VaBenefits[[#This Row],[Assumed Contract Value ]],0)</f>
        <v>0</v>
      </c>
      <c r="P8" s="7">
        <f>StartingIncomeBase</f>
        <v>100000</v>
      </c>
      <c r="Q8" s="7" t="b">
        <v>0</v>
      </c>
      <c r="R8" s="7">
        <f>StartingIncomeCreditBase</f>
        <v>100000</v>
      </c>
      <c r="S8" s="7">
        <v>0</v>
      </c>
      <c r="T8" s="5">
        <f ca="1">IF(VaBenefits[[#This Row],[Assumed Contract Value ]]&gt;0,VaBenefits[[#This Row],[Income Base]]*MAWA,0)</f>
        <v>6250</v>
      </c>
      <c r="U8" s="99">
        <f>IF(AND(VaBenefits[[#This Row],[Has Income Credit]],VaBenefits[[#This Row],[Is Anniversary?]],VaBenefits[[#This Row],[Joint Mortality tPxy for the partial year]]),VaBenefits[[#This Row],[Income Base]]*PIP,0)</f>
        <v>0</v>
      </c>
      <c r="V8" s="9">
        <f>1/(1+InterestRate)^VaBenefits[[#This Row],[timeFromValuation]]</f>
        <v>1</v>
      </c>
      <c r="W8" s="94">
        <f>VaBenefits[[#This Row],[timeFromValuation]]</f>
        <v>0</v>
      </c>
      <c r="X8" s="95">
        <f>IF(($G$8+VaBenefits[[#This Row],[timeFromValuation]])&lt;=120,VLOOKUP(G8,Table2[],Qx!L$6,FALSE),0)</f>
        <v>0.99804999999999999</v>
      </c>
      <c r="Y8" s="95">
        <f>IF(($H$8+VaBenefits[[#This Row],[timeFromValuation]])&lt;=120,VLOOKUP(H8,Table2[],Qx!M$6,FALSE),0)</f>
        <v>0.99189400000000005</v>
      </c>
      <c r="Z8" s="95">
        <f>PRODUCT($X$8:$X8)</f>
        <v>0.99804999999999999</v>
      </c>
      <c r="AA8" s="95">
        <f>PRODUCT($Y$8:$Y8)</f>
        <v>0.99189400000000005</v>
      </c>
      <c r="AB8" s="95">
        <f>VaBenefits[[#This Row],[Primary Annuitant Px]]+VaBenefits[[#This Row],[Secondary Annuitant Py]]-VaBenefits[[#This Row],[Primary Annuitant Px]]*VaBenefits[[#This Row],[Secondary Annuitant Py]]</f>
        <v>0.99998419329999988</v>
      </c>
      <c r="AC8" s="95">
        <f>PRODUCT($AB$8:$AB8)</f>
        <v>0.99998419329999988</v>
      </c>
      <c r="AD8" s="102">
        <f>PV(1.03,20,-VaBenefits[[#This Row],[Protected Income Payment]])</f>
        <v>0</v>
      </c>
      <c r="AE8" s="2"/>
      <c r="AF8" s="42">
        <v>0</v>
      </c>
      <c r="AG8" s="9">
        <f>VaBenefits[[#This Row],[Anniversary Value  ]]-AR8</f>
        <v>0</v>
      </c>
      <c r="AH8" s="9">
        <f>VaBenefits[[#This Row],[Income Base]]-AS8</f>
        <v>0</v>
      </c>
      <c r="AI8" s="9">
        <f>VaBenefits[[#This Row],[Income Credit Base]]-AT8</f>
        <v>0</v>
      </c>
      <c r="AJ8" s="9">
        <f>VaBenefits[[#This Row],[Income Credit]]-AU8</f>
        <v>0</v>
      </c>
      <c r="AK8" s="9">
        <f ca="1">VaBenefits[[#This Row],[Maximum Annual Withdrawal Amount upon Activation]]-AV8</f>
        <v>0</v>
      </c>
      <c r="AL8" s="9">
        <f>VaBenefits[[#This Row],[Protected Income Payment]]-AW8</f>
        <v>0</v>
      </c>
      <c r="AM8" s="2"/>
      <c r="AN8" s="22">
        <v>0</v>
      </c>
      <c r="AO8" s="23">
        <v>100000</v>
      </c>
      <c r="AP8" s="23">
        <v>0</v>
      </c>
      <c r="AQ8" s="23">
        <v>100000</v>
      </c>
      <c r="AR8" s="12">
        <v>0</v>
      </c>
      <c r="AS8" s="11">
        <v>100000</v>
      </c>
      <c r="AT8" s="11">
        <v>100000</v>
      </c>
      <c r="AU8" s="11">
        <v>0</v>
      </c>
      <c r="AV8" s="11">
        <v>6250</v>
      </c>
      <c r="AW8" s="14">
        <v>0</v>
      </c>
      <c r="AX8" s="10"/>
      <c r="AY8" s="10"/>
      <c r="AZ8" s="10"/>
      <c r="BA8" s="10"/>
      <c r="BB8" s="10"/>
      <c r="BC8" s="10"/>
      <c r="BE8" s="4"/>
      <c r="BF8" s="4">
        <v>100000</v>
      </c>
      <c r="BG8" s="4">
        <v>100000</v>
      </c>
      <c r="BH8" s="4">
        <v>0</v>
      </c>
      <c r="BI8" s="4">
        <v>6250</v>
      </c>
      <c r="BJ8" s="4">
        <v>0</v>
      </c>
    </row>
    <row r="9" spans="1:62" x14ac:dyDescent="0.3">
      <c r="A9" s="7">
        <f>A8+1</f>
        <v>1</v>
      </c>
      <c r="B9" s="30">
        <f>B8+0.5</f>
        <v>0.5</v>
      </c>
      <c r="C9" s="30" t="b">
        <f>AND(VaBenefits[[#This Row],[timeFromValuation]]&gt;=ACT,VaBenefits[[#This Row],[Assumed Contract Value ]]&gt;0)</f>
        <v>0</v>
      </c>
      <c r="D9" s="21">
        <f t="shared" si="0"/>
        <v>60000</v>
      </c>
      <c r="E9" s="21">
        <f>IF(Use_Base_Case, AP9,IF(VaBenefits[[#This Row],[Is Anniversary?]],WithAmt,0))</f>
        <v>0</v>
      </c>
      <c r="F9" s="21">
        <f t="shared" ref="F9:F40" si="1">AQ9</f>
        <v>165000</v>
      </c>
      <c r="G9" s="100">
        <f>ROUND($G$8+VaBenefits[[#This Row],[timeFromValuation]],0)</f>
        <v>56</v>
      </c>
      <c r="H9" s="21">
        <f>ROUND($H$8+VaBenefits[[#This Row],[timeFromValuation]],0)</f>
        <v>66</v>
      </c>
      <c r="I9" s="28" t="b">
        <f>VaBenefits[[#This Row],[Withdrawal Taken  ]]&gt;0</f>
        <v>0</v>
      </c>
      <c r="J9" s="45">
        <f>IF(AND(NOT(VaBenefits[[#This Row],[Is Activation]]),VaBenefits[[#This Row],[Assumed Contract Value ]]&gt;0),VaBenefits[[#This Row],[Withdrawal Taken  ]]/VaBenefits[[#This Row],[Assumed Contract Value ]],0)</f>
        <v>0</v>
      </c>
      <c r="K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 s="28" t="b">
        <f>AND(VaBenefits[[#This Row],[Is Activation]],SUMIFS($E$8:$E9,$C$8:$C9,TRUE)&gt;0)</f>
        <v>0</v>
      </c>
      <c r="M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 s="7" t="b">
        <f>IF(VaBenefits[[#This Row],[timeFromValuation]]=0,0, MOD(VaBenefits[[#This Row],[timeFromValuation]],1)=0)</f>
        <v>0</v>
      </c>
      <c r="O9" s="7">
        <f>IF(VaBenefits[[#This Row],[Is Anniversary?]]=TRUE,VaBenefits[[#This Row],[Assumed Contract Value ]],0)</f>
        <v>0</v>
      </c>
      <c r="P9" s="7">
        <f ca="1">(IF(VaBenefits[[#This Row],[Is Anniversary?]], MAX(OFFSET(VaBenefits[[#This Row],[Income Base]],-1,0)+VaBenefits[[#This Row],[Income Credit]],VaBenefits[[#This Row],[Anniversary Value  ]]),OFFSET(VaBenefits[[#This Row],[Income Base]],-1,0))+VaBenefits[[#This Row],[Purchase Payments]])*VaBenefits[[#This Row],[Withdrawal Penalty]]</f>
        <v>160000</v>
      </c>
      <c r="Q9" s="7" t="b">
        <f>VaBenefits[[#This Row],[Assumed Contract Value ]]&lt;0.1</f>
        <v>0</v>
      </c>
      <c r="R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160000</v>
      </c>
      <c r="S9" s="7">
        <f ca="1">IF(AND(VaBenefits[[#This Row],[Is Activation]]=FALSE,VaBenefits[[#This Row],[Is Anniversary?]]=TRUE),OFFSET( VaBenefits[[#This Row],[Income Credit Base]],-1,0)*ICP,0)</f>
        <v>0</v>
      </c>
      <c r="T9" s="5">
        <f ca="1">IF(VaBenefits[[#This Row],[Assumed Contract Value ]]&gt;0,VaBenefits[[#This Row],[Income Base]]*MAWA,0)</f>
        <v>10000</v>
      </c>
      <c r="U9" s="99">
        <f>IF(AND(VaBenefits[[#This Row],[Has Income Credit]],VaBenefits[[#This Row],[Is Anniversary?]],VaBenefits[[#This Row],[Joint Mortality tPxy for the partial year]]),VaBenefits[[#This Row],[Income Base]]*PIP,0)</f>
        <v>0</v>
      </c>
      <c r="V9" s="9">
        <f>1/(1+InterestRate)^VaBenefits[[#This Row],[timeFromValuation]]</f>
        <v>0.97590007294853309</v>
      </c>
      <c r="W9" s="94">
        <f>VaBenefits[[#This Row],[timeFromValuation]]</f>
        <v>0.5</v>
      </c>
      <c r="X9" s="95">
        <f>IF(($G$8+VaBenefits[[#This Row],[timeFromValuation]])&lt;=120,VLOOKUP(G9,Table2[],Qx!L$6,FALSE),0)</f>
        <v>0.99784600000000001</v>
      </c>
      <c r="Y9" s="95">
        <f>IF(($H$8+VaBenefits[[#This Row],[timeFromValuation]])&lt;=120,VLOOKUP(H9,Table2[],Qx!M$6,FALSE),0)</f>
        <v>0.991452</v>
      </c>
      <c r="Z9" s="95">
        <f>PRODUCT($X$8:$X9)</f>
        <v>0.99590020030000004</v>
      </c>
      <c r="AA9" s="95">
        <f>PRODUCT($Y$8:$Y9)</f>
        <v>0.9834152900880001</v>
      </c>
      <c r="AB9" s="95">
        <f>VaBenefits[[#This Row],[Primary Annuitant Px]]+VaBenefits[[#This Row],[Secondary Annuitant Py]]-VaBenefits[[#This Row],[Primary Annuitant Px]]*VaBenefits[[#This Row],[Secondary Annuitant Py]]</f>
        <v>0.99998158760800004</v>
      </c>
      <c r="AC9" s="95">
        <f>PRODUCT($AB$8:$AB9)</f>
        <v>0.99996578119903912</v>
      </c>
      <c r="AD9" s="101">
        <f>PV(1.03,20,-VaBenefits[[#This Row],[Protected Income Payment]])</f>
        <v>0</v>
      </c>
      <c r="AE9" s="2"/>
      <c r="AF9" s="43">
        <f>AF8+0.5</f>
        <v>0.5</v>
      </c>
      <c r="AG9" s="9">
        <f>VaBenefits[[#This Row],[Anniversary Value  ]]-AR9</f>
        <v>0</v>
      </c>
      <c r="AH9" s="9">
        <f ca="1">VaBenefits[[#This Row],[Income Base]]-AS9</f>
        <v>0</v>
      </c>
      <c r="AI9" s="9">
        <f ca="1">VaBenefits[[#This Row],[Income Credit Base]]-AT9</f>
        <v>0</v>
      </c>
      <c r="AJ9" s="9">
        <f ca="1">VaBenefits[[#This Row],[Income Credit]]-AU9</f>
        <v>0</v>
      </c>
      <c r="AK9" s="9">
        <f ca="1">VaBenefits[[#This Row],[Maximum Annual Withdrawal Amount upon Activation]]-AV9</f>
        <v>0</v>
      </c>
      <c r="AL9" s="9">
        <f>VaBenefits[[#This Row],[Protected Income Payment]]-AW9</f>
        <v>0</v>
      </c>
      <c r="AM9" s="2"/>
      <c r="AN9" s="22">
        <f>AN8+0.5</f>
        <v>0.5</v>
      </c>
      <c r="AO9" s="23">
        <v>60000</v>
      </c>
      <c r="AP9" s="23">
        <v>0</v>
      </c>
      <c r="AQ9" s="23">
        <v>165000</v>
      </c>
      <c r="AR9" s="12">
        <v>0</v>
      </c>
      <c r="AS9" s="11">
        <v>160000</v>
      </c>
      <c r="AT9" s="11">
        <v>160000</v>
      </c>
      <c r="AU9" s="11">
        <v>0</v>
      </c>
      <c r="AV9" s="11">
        <v>10000</v>
      </c>
      <c r="AW9" s="14">
        <v>0</v>
      </c>
      <c r="AX9" s="10"/>
      <c r="AY9" s="10"/>
      <c r="AZ9" s="10"/>
      <c r="BA9" s="10"/>
      <c r="BB9" s="10"/>
      <c r="BC9" s="10"/>
      <c r="BE9" s="4"/>
      <c r="BF9" s="4">
        <v>160000</v>
      </c>
      <c r="BG9" s="4">
        <v>160000</v>
      </c>
      <c r="BH9" s="4">
        <v>0</v>
      </c>
      <c r="BI9" s="4">
        <v>10000</v>
      </c>
      <c r="BJ9" s="4">
        <v>0</v>
      </c>
    </row>
    <row r="10" spans="1:62" x14ac:dyDescent="0.3">
      <c r="A10" s="7">
        <f t="shared" ref="A10:A73" si="2">A9+1</f>
        <v>2</v>
      </c>
      <c r="B10" s="30">
        <f t="shared" ref="B10:B73" si="3">B9+0.5</f>
        <v>1</v>
      </c>
      <c r="C10" s="30" t="b">
        <f>AND(VaBenefits[[#This Row],[timeFromValuation]]&gt;=ACT,VaBenefits[[#This Row],[Assumed Contract Value ]]&gt;0)</f>
        <v>0</v>
      </c>
      <c r="D10" s="21">
        <f t="shared" si="0"/>
        <v>0</v>
      </c>
      <c r="E10" s="21">
        <f>IF(Use_Base_Case, AP10,IF(VaBenefits[[#This Row],[Is Anniversary?]],WithAmt,0))</f>
        <v>0</v>
      </c>
      <c r="F10" s="21">
        <f t="shared" si="1"/>
        <v>170000</v>
      </c>
      <c r="G10" s="100">
        <f>ROUND($G$8+VaBenefits[[#This Row],[timeFromValuation]],0)</f>
        <v>56</v>
      </c>
      <c r="H10" s="21">
        <f>ROUND($H$8+VaBenefits[[#This Row],[timeFromValuation]],0)</f>
        <v>66</v>
      </c>
      <c r="I10" s="28" t="b">
        <f>VaBenefits[[#This Row],[Withdrawal Taken  ]]&gt;0</f>
        <v>0</v>
      </c>
      <c r="J10" s="45">
        <f>IF(AND(NOT(VaBenefits[[#This Row],[Is Activation]]),VaBenefits[[#This Row],[Assumed Contract Value ]]&gt;0),VaBenefits[[#This Row],[Withdrawal Taken  ]]/VaBenefits[[#This Row],[Assumed Contract Value ]],0)</f>
        <v>0</v>
      </c>
      <c r="K1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 s="28" t="b">
        <f>AND(VaBenefits[[#This Row],[Is Activation]],SUMIFS($E$8:$E10,$C$8:$C10,TRUE)&gt;0)</f>
        <v>0</v>
      </c>
      <c r="M1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 s="7" t="b">
        <f>IF(VaBenefits[[#This Row],[timeFromValuation]]=0,0, MOD(VaBenefits[[#This Row],[timeFromValuation]],1)=0)</f>
        <v>1</v>
      </c>
      <c r="O10" s="7">
        <f>IF(VaBenefits[[#This Row],[Is Anniversary?]]=TRUE,VaBenefits[[#This Row],[Assumed Contract Value ]],0)</f>
        <v>170000</v>
      </c>
      <c r="P10" s="7">
        <f ca="1">(IF(VaBenefits[[#This Row],[Is Anniversary?]], MAX(OFFSET(VaBenefits[[#This Row],[Income Base]],-1,0)+VaBenefits[[#This Row],[Income Credit]],VaBenefits[[#This Row],[Anniversary Value  ]]),OFFSET(VaBenefits[[#This Row],[Income Base]],-1,0))+VaBenefits[[#This Row],[Purchase Payments]])*VaBenefits[[#This Row],[Withdrawal Penalty]]</f>
        <v>170000</v>
      </c>
      <c r="Q10" s="7" t="b">
        <f>VaBenefits[[#This Row],[Assumed Contract Value ]]&lt;0.1</f>
        <v>0</v>
      </c>
      <c r="R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170000</v>
      </c>
      <c r="S10" s="7">
        <f ca="1">IF(AND(VaBenefits[[#This Row],[Is Activation]]=FALSE,VaBenefits[[#This Row],[Is Anniversary?]]=TRUE),OFFSET( VaBenefits[[#This Row],[Income Credit Base]],-1,0)*ICP,0)</f>
        <v>8400</v>
      </c>
      <c r="T10" s="5">
        <f ca="1">IF(VaBenefits[[#This Row],[Assumed Contract Value ]]&gt;0,VaBenefits[[#This Row],[Income Base]]*MAWA,0)</f>
        <v>10625</v>
      </c>
      <c r="U10" s="99">
        <f>IF(AND(VaBenefits[[#This Row],[Has Income Credit]],VaBenefits[[#This Row],[Is Anniversary?]],VaBenefits[[#This Row],[Joint Mortality tPxy for the partial year]]),VaBenefits[[#This Row],[Income Base]]*PIP,0)</f>
        <v>0</v>
      </c>
      <c r="V10" s="9">
        <f>1/(1+InterestRate)^VaBenefits[[#This Row],[timeFromValuation]]</f>
        <v>0.95238095238095233</v>
      </c>
      <c r="W10" s="94">
        <f>VaBenefits[[#This Row],[timeFromValuation]]</f>
        <v>1</v>
      </c>
      <c r="X10" s="95">
        <f>IF(($G$8+VaBenefits[[#This Row],[timeFromValuation]])&lt;=120,VLOOKUP(G10,Table2[],Qx!L$6,FALSE),0)</f>
        <v>0.99784600000000001</v>
      </c>
      <c r="Y10" s="95">
        <f>IF(($H$8+VaBenefits[[#This Row],[timeFromValuation]])&lt;=120,VLOOKUP(H10,Table2[],Qx!M$6,FALSE),0)</f>
        <v>0.991452</v>
      </c>
      <c r="Z10" s="95">
        <f>PRODUCT($X$8:$X10)</f>
        <v>0.9937550312685538</v>
      </c>
      <c r="AA10" s="95">
        <f>PRODUCT($Y$8:$Y10)</f>
        <v>0.97500905618832789</v>
      </c>
      <c r="AB10" s="95">
        <f>VaBenefits[[#This Row],[Primary Annuitant Px]]+VaBenefits[[#This Row],[Secondary Annuitant Py]]-VaBenefits[[#This Row],[Primary Annuitant Px]]*VaBenefits[[#This Row],[Secondary Annuitant Py]]</f>
        <v>0.99998158760800004</v>
      </c>
      <c r="AC10" s="95">
        <f>PRODUCT($AB$8:$AB10)</f>
        <v>0.99994736943708917</v>
      </c>
      <c r="AD10" s="101">
        <f>PV(1.03,20,-VaBenefits[[#This Row],[Protected Income Payment]])</f>
        <v>0</v>
      </c>
      <c r="AE10" s="2"/>
      <c r="AF10" s="43">
        <f t="shared" ref="AF10:AF30" si="4">AF9+0.5</f>
        <v>1</v>
      </c>
      <c r="AG10" s="9">
        <f>VaBenefits[[#This Row],[Anniversary Value  ]]-AR10</f>
        <v>0</v>
      </c>
      <c r="AH10" s="9">
        <f ca="1">VaBenefits[[#This Row],[Income Base]]-AS10</f>
        <v>0</v>
      </c>
      <c r="AI10" s="9">
        <f ca="1">VaBenefits[[#This Row],[Income Credit Base]]-AT10</f>
        <v>0</v>
      </c>
      <c r="AJ10" s="9">
        <f ca="1">VaBenefits[[#This Row],[Income Credit]]-AU10</f>
        <v>0</v>
      </c>
      <c r="AK10" s="9">
        <f ca="1">VaBenefits[[#This Row],[Maximum Annual Withdrawal Amount upon Activation]]-AV10</f>
        <v>0</v>
      </c>
      <c r="AL10" s="9">
        <f>VaBenefits[[#This Row],[Protected Income Payment]]-AW10</f>
        <v>0</v>
      </c>
      <c r="AM10" s="2"/>
      <c r="AN10" s="22">
        <f t="shared" ref="AN10:AN30" si="5">AN9+0.5</f>
        <v>1</v>
      </c>
      <c r="AO10" s="23">
        <v>0</v>
      </c>
      <c r="AP10" s="23">
        <v>0</v>
      </c>
      <c r="AQ10" s="23">
        <v>170000</v>
      </c>
      <c r="AR10" s="12">
        <v>170000</v>
      </c>
      <c r="AS10" s="11">
        <v>170000</v>
      </c>
      <c r="AT10" s="11">
        <v>170000</v>
      </c>
      <c r="AU10" s="11">
        <v>8400</v>
      </c>
      <c r="AV10" s="11">
        <v>10625</v>
      </c>
      <c r="AW10" s="14">
        <v>0</v>
      </c>
      <c r="AX10" s="10"/>
      <c r="AY10" s="10"/>
      <c r="AZ10" s="10"/>
      <c r="BA10" s="10"/>
      <c r="BB10" s="10"/>
      <c r="BC10" s="10"/>
      <c r="BE10" s="4">
        <v>170000</v>
      </c>
      <c r="BF10" s="4">
        <v>170000</v>
      </c>
      <c r="BG10" s="4">
        <v>170000</v>
      </c>
      <c r="BH10" s="4">
        <v>13912.5</v>
      </c>
      <c r="BI10" s="4">
        <v>10625</v>
      </c>
      <c r="BJ10" s="4">
        <v>0</v>
      </c>
    </row>
    <row r="11" spans="1:62" x14ac:dyDescent="0.3">
      <c r="A11" s="7">
        <f t="shared" si="2"/>
        <v>3</v>
      </c>
      <c r="B11" s="30">
        <f t="shared" si="3"/>
        <v>1.5</v>
      </c>
      <c r="C11" s="30" t="b">
        <f>AND(VaBenefits[[#This Row],[timeFromValuation]]&gt;=ACT,VaBenefits[[#This Row],[Assumed Contract Value ]]&gt;0)</f>
        <v>0</v>
      </c>
      <c r="D11" s="21">
        <f t="shared" si="0"/>
        <v>90000</v>
      </c>
      <c r="E11" s="21">
        <f>IF(Use_Base_Case, AP11,IF(VaBenefits[[#This Row],[Is Anniversary?]],WithAmt,0))</f>
        <v>0</v>
      </c>
      <c r="F11" s="21">
        <f t="shared" si="1"/>
        <v>255000</v>
      </c>
      <c r="G11" s="100">
        <f>ROUND($G$8+VaBenefits[[#This Row],[timeFromValuation]],0)</f>
        <v>57</v>
      </c>
      <c r="H11" s="21">
        <f>ROUND($H$8+VaBenefits[[#This Row],[timeFromValuation]],0)</f>
        <v>67</v>
      </c>
      <c r="I11" s="28" t="b">
        <f>VaBenefits[[#This Row],[Withdrawal Taken  ]]&gt;0</f>
        <v>0</v>
      </c>
      <c r="J11" s="45">
        <f>IF(AND(NOT(VaBenefits[[#This Row],[Is Activation]]),VaBenefits[[#This Row],[Assumed Contract Value ]]&gt;0),VaBenefits[[#This Row],[Withdrawal Taken  ]]/VaBenefits[[#This Row],[Assumed Contract Value ]],0)</f>
        <v>0</v>
      </c>
      <c r="K1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 s="28" t="b">
        <f>AND(VaBenefits[[#This Row],[Is Activation]],SUMIFS($E$8:$E11,$C$8:$C11,TRUE)&gt;0)</f>
        <v>0</v>
      </c>
      <c r="M1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 s="7" t="b">
        <f>IF(VaBenefits[[#This Row],[timeFromValuation]]=0,0, MOD(VaBenefits[[#This Row],[timeFromValuation]],1)=0)</f>
        <v>0</v>
      </c>
      <c r="O11" s="7">
        <f>IF(VaBenefits[[#This Row],[Is Anniversary?]]=TRUE,VaBenefits[[#This Row],[Assumed Contract Value ]],0)</f>
        <v>0</v>
      </c>
      <c r="P11" s="7">
        <f ca="1">(IF(VaBenefits[[#This Row],[Is Anniversary?]], MAX(OFFSET(VaBenefits[[#This Row],[Income Base]],-1,0)+VaBenefits[[#This Row],[Income Credit]],VaBenefits[[#This Row],[Anniversary Value  ]]),OFFSET(VaBenefits[[#This Row],[Income Base]],-1,0))+VaBenefits[[#This Row],[Purchase Payments]])*VaBenefits[[#This Row],[Withdrawal Penalty]]</f>
        <v>260000</v>
      </c>
      <c r="Q11" s="7" t="b">
        <f>VaBenefits[[#This Row],[Assumed Contract Value ]]&lt;0.1</f>
        <v>0</v>
      </c>
      <c r="R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260000</v>
      </c>
      <c r="S11" s="7">
        <f ca="1">IF(AND(VaBenefits[[#This Row],[Is Activation]]=FALSE,VaBenefits[[#This Row],[Is Anniversary?]]=TRUE),OFFSET( VaBenefits[[#This Row],[Income Credit Base]],-1,0)*ICP,0)</f>
        <v>0</v>
      </c>
      <c r="T11" s="5">
        <f ca="1">IF(VaBenefits[[#This Row],[Assumed Contract Value ]]&gt;0,VaBenefits[[#This Row],[Income Base]]*MAWA,0)</f>
        <v>16250</v>
      </c>
      <c r="U11" s="99">
        <f>IF(AND(VaBenefits[[#This Row],[Has Income Credit]],VaBenefits[[#This Row],[Is Anniversary?]],VaBenefits[[#This Row],[Joint Mortality tPxy for the partial year]]),VaBenefits[[#This Row],[Income Base]]*PIP,0)</f>
        <v>0</v>
      </c>
      <c r="V11" s="9">
        <f>1/(1+InterestRate)^VaBenefits[[#This Row],[timeFromValuation]]</f>
        <v>0.92942864090336497</v>
      </c>
      <c r="W11" s="94">
        <f>VaBenefits[[#This Row],[timeFromValuation]]</f>
        <v>1.5</v>
      </c>
      <c r="X11" s="95">
        <f>IF(($G$8+VaBenefits[[#This Row],[timeFromValuation]])&lt;=120,VLOOKUP(G11,Table2[],Qx!L$6,FALSE),0)</f>
        <v>0.99760099999999996</v>
      </c>
      <c r="Y11" s="95">
        <f>IF(($H$8+VaBenefits[[#This Row],[timeFromValuation]])&lt;=120,VLOOKUP(H11,Table2[],Qx!M$6,FALSE),0)</f>
        <v>0.99092400000000003</v>
      </c>
      <c r="Z11" s="95">
        <f>PRODUCT($X$8:$X11)</f>
        <v>0.99137101294854046</v>
      </c>
      <c r="AA11" s="95">
        <f>PRODUCT($Y$8:$Y11)</f>
        <v>0.96615987399436265</v>
      </c>
      <c r="AB11" s="95">
        <f>VaBenefits[[#This Row],[Primary Annuitant Px]]+VaBenefits[[#This Row],[Secondary Annuitant Py]]-VaBenefits[[#This Row],[Primary Annuitant Px]]*VaBenefits[[#This Row],[Secondary Annuitant Py]]</f>
        <v>0.99997822667600011</v>
      </c>
      <c r="AC11" s="95">
        <f>PRODUCT($AB$8:$AB11)</f>
        <v>0.99992559725903163</v>
      </c>
      <c r="AD11" s="101">
        <f>PV(1.03,20,-VaBenefits[[#This Row],[Protected Income Payment]])</f>
        <v>0</v>
      </c>
      <c r="AE11" s="2"/>
      <c r="AF11" s="43">
        <f t="shared" si="4"/>
        <v>1.5</v>
      </c>
      <c r="AG11" s="9">
        <f>VaBenefits[[#This Row],[Anniversary Value  ]]-AR11</f>
        <v>0</v>
      </c>
      <c r="AH11" s="9">
        <f ca="1">VaBenefits[[#This Row],[Income Base]]-AS11</f>
        <v>0</v>
      </c>
      <c r="AI11" s="9">
        <f ca="1">VaBenefits[[#This Row],[Income Credit Base]]-AT11</f>
        <v>0</v>
      </c>
      <c r="AJ11" s="9">
        <f ca="1">VaBenefits[[#This Row],[Income Credit]]-AU11</f>
        <v>0</v>
      </c>
      <c r="AK11" s="9">
        <f ca="1">VaBenefits[[#This Row],[Maximum Annual Withdrawal Amount upon Activation]]-AV11</f>
        <v>0</v>
      </c>
      <c r="AL11" s="9">
        <f>VaBenefits[[#This Row],[Protected Income Payment]]-AW11</f>
        <v>0</v>
      </c>
      <c r="AM11" s="2"/>
      <c r="AN11" s="22">
        <f t="shared" si="5"/>
        <v>1.5</v>
      </c>
      <c r="AO11" s="23">
        <v>90000</v>
      </c>
      <c r="AP11" s="23">
        <v>0</v>
      </c>
      <c r="AQ11" s="23">
        <v>255000</v>
      </c>
      <c r="AR11" s="12">
        <v>0</v>
      </c>
      <c r="AS11" s="11">
        <v>260000</v>
      </c>
      <c r="AT11" s="11">
        <v>260000</v>
      </c>
      <c r="AU11" s="11">
        <v>0</v>
      </c>
      <c r="AV11" s="11">
        <v>16250</v>
      </c>
      <c r="AW11" s="14">
        <v>0</v>
      </c>
      <c r="AX11" s="10"/>
      <c r="AY11" s="10"/>
      <c r="AZ11" s="10"/>
      <c r="BA11" s="10"/>
      <c r="BB11" s="10"/>
      <c r="BC11" s="10"/>
      <c r="BE11" s="4"/>
      <c r="BF11" s="4">
        <v>260000</v>
      </c>
      <c r="BG11" s="4">
        <v>260000</v>
      </c>
      <c r="BH11" s="4">
        <v>0</v>
      </c>
      <c r="BI11" s="4">
        <v>16250</v>
      </c>
      <c r="BJ11" s="4">
        <v>0</v>
      </c>
    </row>
    <row r="12" spans="1:62" x14ac:dyDescent="0.3">
      <c r="A12" s="7">
        <f t="shared" si="2"/>
        <v>4</v>
      </c>
      <c r="B12" s="30">
        <f t="shared" si="3"/>
        <v>2</v>
      </c>
      <c r="C12" s="30" t="b">
        <f>AND(VaBenefits[[#This Row],[timeFromValuation]]&gt;=ACT,VaBenefits[[#This Row],[Assumed Contract Value ]]&gt;0)</f>
        <v>0</v>
      </c>
      <c r="D12" s="21">
        <f t="shared" si="0"/>
        <v>0</v>
      </c>
      <c r="E12" s="21">
        <f>IF(Use_Base_Case, AP12,IF(VaBenefits[[#This Row],[Is Anniversary?]],WithAmt,0))</f>
        <v>0</v>
      </c>
      <c r="F12" s="21">
        <f t="shared" si="1"/>
        <v>287000</v>
      </c>
      <c r="G12" s="100">
        <f>ROUND($G$8+VaBenefits[[#This Row],[timeFromValuation]],0)</f>
        <v>57</v>
      </c>
      <c r="H12" s="21">
        <f>ROUND($H$8+VaBenefits[[#This Row],[timeFromValuation]],0)</f>
        <v>67</v>
      </c>
      <c r="I12" s="28" t="b">
        <f>VaBenefits[[#This Row],[Withdrawal Taken  ]]&gt;0</f>
        <v>0</v>
      </c>
      <c r="J12" s="45">
        <f>IF(AND(NOT(VaBenefits[[#This Row],[Is Activation]]),VaBenefits[[#This Row],[Assumed Contract Value ]]&gt;0),VaBenefits[[#This Row],[Withdrawal Taken  ]]/VaBenefits[[#This Row],[Assumed Contract Value ]],0)</f>
        <v>0</v>
      </c>
      <c r="K1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 s="28" t="b">
        <f>AND(VaBenefits[[#This Row],[Is Activation]],SUMIFS($E$8:$E12,$C$8:$C12,TRUE)&gt;0)</f>
        <v>0</v>
      </c>
      <c r="M1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 s="7" t="b">
        <f>IF(VaBenefits[[#This Row],[timeFromValuation]]=0,0, MOD(VaBenefits[[#This Row],[timeFromValuation]],1)=0)</f>
        <v>1</v>
      </c>
      <c r="O12" s="7">
        <f>IF(VaBenefits[[#This Row],[Is Anniversary?]]=TRUE,VaBenefits[[#This Row],[Assumed Contract Value ]],0)</f>
        <v>287000</v>
      </c>
      <c r="P12" s="7">
        <f ca="1">(IF(VaBenefits[[#This Row],[Is Anniversary?]], MAX(OFFSET(VaBenefits[[#This Row],[Income Base]],-1,0)+VaBenefits[[#This Row],[Income Credit]],VaBenefits[[#This Row],[Anniversary Value  ]]),OFFSET(VaBenefits[[#This Row],[Income Base]],-1,0))+VaBenefits[[#This Row],[Purchase Payments]])*VaBenefits[[#This Row],[Withdrawal Penalty]]</f>
        <v>287000</v>
      </c>
      <c r="Q12" s="7" t="b">
        <f>VaBenefits[[#This Row],[Assumed Contract Value ]]&lt;0.1</f>
        <v>0</v>
      </c>
      <c r="R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2" s="7">
        <f ca="1">IF(AND(VaBenefits[[#This Row],[Is Activation]]=FALSE,VaBenefits[[#This Row],[Is Anniversary?]]=TRUE),OFFSET( VaBenefits[[#This Row],[Income Credit Base]],-1,0)*ICP,0)</f>
        <v>13650</v>
      </c>
      <c r="T12" s="5">
        <f ca="1">IF(VaBenefits[[#This Row],[Assumed Contract Value ]]&gt;0,VaBenefits[[#This Row],[Income Base]]*MAWA,0)</f>
        <v>17937.5</v>
      </c>
      <c r="U12" s="99">
        <f>IF(AND(VaBenefits[[#This Row],[Has Income Credit]],VaBenefits[[#This Row],[Is Anniversary?]],VaBenefits[[#This Row],[Joint Mortality tPxy for the partial year]]),VaBenefits[[#This Row],[Income Base]]*PIP,0)</f>
        <v>0</v>
      </c>
      <c r="V12" s="9">
        <f>1/(1+InterestRate)^VaBenefits[[#This Row],[timeFromValuation]]</f>
        <v>0.90702947845804982</v>
      </c>
      <c r="W12" s="94">
        <f>VaBenefits[[#This Row],[timeFromValuation]]</f>
        <v>2</v>
      </c>
      <c r="X12" s="95">
        <f>IF(($G$8+VaBenefits[[#This Row],[timeFromValuation]])&lt;=120,VLOOKUP(G12,Table2[],Qx!L$6,FALSE),0)</f>
        <v>0.99760099999999996</v>
      </c>
      <c r="Y12" s="95">
        <f>IF(($H$8+VaBenefits[[#This Row],[timeFromValuation]])&lt;=120,VLOOKUP(H12,Table2[],Qx!M$6,FALSE),0)</f>
        <v>0.99092400000000003</v>
      </c>
      <c r="Z12" s="95">
        <f>PRODUCT($X$8:$X12)</f>
        <v>0.98899271388847687</v>
      </c>
      <c r="AA12" s="95">
        <f>PRODUCT($Y$8:$Y12)</f>
        <v>0.95739100697798984</v>
      </c>
      <c r="AB12" s="95">
        <f>VaBenefits[[#This Row],[Primary Annuitant Px]]+VaBenefits[[#This Row],[Secondary Annuitant Py]]-VaBenefits[[#This Row],[Primary Annuitant Px]]*VaBenefits[[#This Row],[Secondary Annuitant Py]]</f>
        <v>0.99997822667600011</v>
      </c>
      <c r="AC12" s="95">
        <f>PRODUCT($AB$8:$AB12)</f>
        <v>0.99990382555502677</v>
      </c>
      <c r="AD12" s="101">
        <f>PV(1.03,20,-VaBenefits[[#This Row],[Protected Income Payment]])</f>
        <v>0</v>
      </c>
      <c r="AE12" s="2"/>
      <c r="AF12" s="43">
        <f t="shared" si="4"/>
        <v>2</v>
      </c>
      <c r="AG12" s="9">
        <f>VaBenefits[[#This Row],[Anniversary Value  ]]-AR12</f>
        <v>0</v>
      </c>
      <c r="AH12" s="9">
        <f ca="1">VaBenefits[[#This Row],[Income Base]]-AS12</f>
        <v>0</v>
      </c>
      <c r="AI12" s="9">
        <f ca="1">VaBenefits[[#This Row],[Income Credit Base]]-AT12</f>
        <v>0</v>
      </c>
      <c r="AJ12" s="9">
        <f ca="1">VaBenefits[[#This Row],[Income Credit]]-AU12</f>
        <v>0</v>
      </c>
      <c r="AK12" s="9">
        <f ca="1">VaBenefits[[#This Row],[Maximum Annual Withdrawal Amount upon Activation]]-AV12</f>
        <v>-0.5</v>
      </c>
      <c r="AL12" s="9">
        <f>VaBenefits[[#This Row],[Protected Income Payment]]-AW12</f>
        <v>0</v>
      </c>
      <c r="AM12" s="2"/>
      <c r="AN12" s="22">
        <f t="shared" si="5"/>
        <v>2</v>
      </c>
      <c r="AO12" s="23">
        <v>0</v>
      </c>
      <c r="AP12" s="23">
        <v>0</v>
      </c>
      <c r="AQ12" s="23">
        <v>287000</v>
      </c>
      <c r="AR12" s="12">
        <v>287000</v>
      </c>
      <c r="AS12" s="11">
        <v>287000</v>
      </c>
      <c r="AT12" s="11">
        <v>287000</v>
      </c>
      <c r="AU12" s="11">
        <v>13650</v>
      </c>
      <c r="AV12" s="11">
        <v>17938</v>
      </c>
      <c r="AW12" s="14">
        <v>0</v>
      </c>
      <c r="AX12" s="10"/>
      <c r="AY12" s="10"/>
      <c r="AZ12" s="10"/>
      <c r="BA12" s="10"/>
      <c r="BB12" s="10"/>
      <c r="BC12" s="10"/>
      <c r="BE12" s="4">
        <v>287000</v>
      </c>
      <c r="BF12" s="4">
        <v>287000</v>
      </c>
      <c r="BG12" s="4">
        <v>287000</v>
      </c>
      <c r="BH12" s="4">
        <v>36225</v>
      </c>
      <c r="BI12" s="4">
        <v>17937.5</v>
      </c>
      <c r="BJ12" s="4">
        <v>0</v>
      </c>
    </row>
    <row r="13" spans="1:62" x14ac:dyDescent="0.3">
      <c r="A13" s="7">
        <f t="shared" si="2"/>
        <v>5</v>
      </c>
      <c r="B13" s="30">
        <f t="shared" si="3"/>
        <v>2.5</v>
      </c>
      <c r="C13" s="30" t="b">
        <f>AND(VaBenefits[[#This Row],[timeFromValuation]]&gt;=ACT,VaBenefits[[#This Row],[Assumed Contract Value ]]&gt;0)</f>
        <v>0</v>
      </c>
      <c r="D13" s="21">
        <f t="shared" si="0"/>
        <v>0</v>
      </c>
      <c r="E13" s="21">
        <f>IF(Use_Base_Case, AP13,IF(VaBenefits[[#This Row],[Is Anniversary?]],WithAmt,0))</f>
        <v>0</v>
      </c>
      <c r="F13" s="21">
        <f t="shared" si="1"/>
        <v>287000</v>
      </c>
      <c r="G13" s="100">
        <f>ROUND($G$8+VaBenefits[[#This Row],[timeFromValuation]],0)</f>
        <v>58</v>
      </c>
      <c r="H13" s="21">
        <f>ROUND($H$8+VaBenefits[[#This Row],[timeFromValuation]],0)</f>
        <v>68</v>
      </c>
      <c r="I13" s="28" t="b">
        <f>VaBenefits[[#This Row],[Withdrawal Taken  ]]&gt;0</f>
        <v>0</v>
      </c>
      <c r="J13" s="45">
        <f>IF(AND(NOT(VaBenefits[[#This Row],[Is Activation]]),VaBenefits[[#This Row],[Assumed Contract Value ]]&gt;0),VaBenefits[[#This Row],[Withdrawal Taken  ]]/VaBenefits[[#This Row],[Assumed Contract Value ]],0)</f>
        <v>0</v>
      </c>
      <c r="K1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 s="28" t="b">
        <f>AND(VaBenefits[[#This Row],[Is Activation]],SUMIFS($E$8:$E13,$C$8:$C13,TRUE)&gt;0)</f>
        <v>0</v>
      </c>
      <c r="M1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 s="7" t="b">
        <f>IF(VaBenefits[[#This Row],[timeFromValuation]]=0,0, MOD(VaBenefits[[#This Row],[timeFromValuation]],1)=0)</f>
        <v>0</v>
      </c>
      <c r="O13" s="7">
        <f>IF(VaBenefits[[#This Row],[Is Anniversary?]]=TRUE,VaBenefits[[#This Row],[Assumed Contract Value ]],0)</f>
        <v>0</v>
      </c>
      <c r="P13" s="7">
        <f ca="1">(IF(VaBenefits[[#This Row],[Is Anniversary?]], MAX(OFFSET(VaBenefits[[#This Row],[Income Base]],-1,0)+VaBenefits[[#This Row],[Income Credit]],VaBenefits[[#This Row],[Anniversary Value  ]]),OFFSET(VaBenefits[[#This Row],[Income Base]],-1,0))+VaBenefits[[#This Row],[Purchase Payments]])*VaBenefits[[#This Row],[Withdrawal Penalty]]</f>
        <v>287000</v>
      </c>
      <c r="Q13" s="7" t="b">
        <f>VaBenefits[[#This Row],[Assumed Contract Value ]]&lt;0.1</f>
        <v>0</v>
      </c>
      <c r="R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287000</v>
      </c>
      <c r="S13" s="7">
        <f ca="1">IF(AND(VaBenefits[[#This Row],[Is Activation]]=FALSE,VaBenefits[[#This Row],[Is Anniversary?]]=TRUE),OFFSET( VaBenefits[[#This Row],[Income Credit Base]],-1,0)*ICP,0)</f>
        <v>0</v>
      </c>
      <c r="T13" s="5">
        <f ca="1">IF(VaBenefits[[#This Row],[Assumed Contract Value ]]&gt;0,VaBenefits[[#This Row],[Income Base]]*MAWA,0)</f>
        <v>17937.5</v>
      </c>
      <c r="U13" s="99">
        <f>IF(AND(VaBenefits[[#This Row],[Has Income Credit]],VaBenefits[[#This Row],[Is Anniversary?]],VaBenefits[[#This Row],[Joint Mortality tPxy for the partial year]]),VaBenefits[[#This Row],[Income Base]]*PIP,0)</f>
        <v>0</v>
      </c>
      <c r="V13" s="9">
        <f>1/(1+InterestRate)^VaBenefits[[#This Row],[timeFromValuation]]</f>
        <v>0.88517013419368074</v>
      </c>
      <c r="W13" s="94">
        <f>VaBenefits[[#This Row],[timeFromValuation]]</f>
        <v>2.5</v>
      </c>
      <c r="X13" s="95">
        <f>IF(($G$8+VaBenefits[[#This Row],[timeFromValuation]])&lt;=120,VLOOKUP(G13,Table2[],Qx!L$6,FALSE),0)</f>
        <v>0.99729999999999996</v>
      </c>
      <c r="Y13" s="95">
        <f>IF(($H$8+VaBenefits[[#This Row],[timeFromValuation]])&lt;=120,VLOOKUP(H13,Table2[],Qx!M$6,FALSE),0)</f>
        <v>0.99029199999999995</v>
      </c>
      <c r="Z13" s="95">
        <f>PRODUCT($X$8:$X13)</f>
        <v>0.98632243356097793</v>
      </c>
      <c r="AA13" s="95">
        <f>PRODUCT($Y$8:$Y13)</f>
        <v>0.9480966550822475</v>
      </c>
      <c r="AB13" s="95">
        <f>VaBenefits[[#This Row],[Primary Annuitant Px]]+VaBenefits[[#This Row],[Secondary Annuitant Py]]-VaBenefits[[#This Row],[Primary Annuitant Px]]*VaBenefits[[#This Row],[Secondary Annuitant Py]]</f>
        <v>0.99997378839999984</v>
      </c>
      <c r="AC13" s="95">
        <f>PRODUCT($AB$8:$AB13)</f>
        <v>0.99987761647591267</v>
      </c>
      <c r="AD13" s="101">
        <f>PV(1.03,20,-VaBenefits[[#This Row],[Protected Income Payment]])</f>
        <v>0</v>
      </c>
      <c r="AE13" s="2"/>
      <c r="AF13" s="43">
        <f t="shared" si="4"/>
        <v>2.5</v>
      </c>
      <c r="AG13" s="9">
        <f>VaBenefits[[#This Row],[Anniversary Value  ]]-AR13</f>
        <v>0</v>
      </c>
      <c r="AH13" s="9">
        <f ca="1">VaBenefits[[#This Row],[Income Base]]-AS13</f>
        <v>0</v>
      </c>
      <c r="AI13" s="9">
        <f ca="1">VaBenefits[[#This Row],[Income Credit Base]]-AT13</f>
        <v>0</v>
      </c>
      <c r="AJ13" s="9">
        <f ca="1">VaBenefits[[#This Row],[Income Credit]]-AU13</f>
        <v>0</v>
      </c>
      <c r="AK13" s="9">
        <f ca="1">VaBenefits[[#This Row],[Maximum Annual Withdrawal Amount upon Activation]]-AV13</f>
        <v>-0.5</v>
      </c>
      <c r="AL13" s="9">
        <f>VaBenefits[[#This Row],[Protected Income Payment]]-AW13</f>
        <v>0</v>
      </c>
      <c r="AM13" s="2"/>
      <c r="AN13" s="22">
        <f t="shared" si="5"/>
        <v>2.5</v>
      </c>
      <c r="AO13" s="23">
        <v>0</v>
      </c>
      <c r="AP13" s="23">
        <v>0</v>
      </c>
      <c r="AQ13" s="23">
        <v>287000</v>
      </c>
      <c r="AR13" s="13">
        <v>0</v>
      </c>
      <c r="AS13" s="11">
        <v>287000</v>
      </c>
      <c r="AT13" s="11">
        <v>287000</v>
      </c>
      <c r="AU13" s="11">
        <v>0</v>
      </c>
      <c r="AV13" s="11">
        <v>17938</v>
      </c>
      <c r="AW13" s="14">
        <v>0</v>
      </c>
      <c r="AX13" s="10"/>
      <c r="AY13" s="10"/>
      <c r="AZ13" s="10"/>
      <c r="BA13" s="10"/>
      <c r="BB13" s="10"/>
      <c r="BC13" s="10"/>
      <c r="BE13" s="4">
        <f>BE12</f>
        <v>287000</v>
      </c>
      <c r="BF13" s="4">
        <f t="shared" ref="BF13:BI13" si="6">BF12</f>
        <v>287000</v>
      </c>
      <c r="BG13" s="4">
        <f t="shared" si="6"/>
        <v>287000</v>
      </c>
      <c r="BH13" s="4">
        <f t="shared" si="6"/>
        <v>36225</v>
      </c>
      <c r="BI13" s="4">
        <f t="shared" si="6"/>
        <v>17937.5</v>
      </c>
      <c r="BJ13" s="4">
        <v>0</v>
      </c>
    </row>
    <row r="14" spans="1:62" x14ac:dyDescent="0.3">
      <c r="A14" s="7">
        <f t="shared" si="2"/>
        <v>6</v>
      </c>
      <c r="B14" s="30">
        <f t="shared" si="3"/>
        <v>3</v>
      </c>
      <c r="C14" s="30" t="b">
        <f>AND(VaBenefits[[#This Row],[timeFromValuation]]&gt;=ACT,VaBenefits[[#This Row],[Assumed Contract Value ]]&gt;0)</f>
        <v>0</v>
      </c>
      <c r="D14" s="21">
        <f t="shared" si="0"/>
        <v>0</v>
      </c>
      <c r="E14" s="21">
        <f>IF(Use_Base_Case, AP14,IF(VaBenefits[[#This Row],[Is Anniversary?]],WithAmt,0))</f>
        <v>0</v>
      </c>
      <c r="F14" s="21">
        <f t="shared" si="1"/>
        <v>300000</v>
      </c>
      <c r="G14" s="100">
        <f>ROUND($G$8+VaBenefits[[#This Row],[timeFromValuation]],0)</f>
        <v>58</v>
      </c>
      <c r="H14" s="21">
        <f>ROUND($H$8+VaBenefits[[#This Row],[timeFromValuation]],0)</f>
        <v>68</v>
      </c>
      <c r="I14" s="28" t="b">
        <f>VaBenefits[[#This Row],[Withdrawal Taken  ]]&gt;0</f>
        <v>0</v>
      </c>
      <c r="J14" s="45">
        <f>IF(AND(NOT(VaBenefits[[#This Row],[Is Activation]]),VaBenefits[[#This Row],[Assumed Contract Value ]]&gt;0),VaBenefits[[#This Row],[Withdrawal Taken  ]]/VaBenefits[[#This Row],[Assumed Contract Value ]],0)</f>
        <v>0</v>
      </c>
      <c r="K1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 s="28" t="b">
        <f>AND(VaBenefits[[#This Row],[Is Activation]],SUMIFS($E$8:$E14,$C$8:$C14,TRUE)&gt;0)</f>
        <v>0</v>
      </c>
      <c r="M1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 s="7" t="b">
        <f>IF(VaBenefits[[#This Row],[timeFromValuation]]=0,0, MOD(VaBenefits[[#This Row],[timeFromValuation]],1)=0)</f>
        <v>1</v>
      </c>
      <c r="O14" s="7">
        <f>IF(VaBenefits[[#This Row],[Is Anniversary?]]=TRUE,VaBenefits[[#This Row],[Assumed Contract Value ]],0)</f>
        <v>300000</v>
      </c>
      <c r="P14" s="7">
        <f ca="1">(IF(VaBenefits[[#This Row],[Is Anniversary?]], MAX(OFFSET(VaBenefits[[#This Row],[Income Base]],-1,0)+VaBenefits[[#This Row],[Income Credit]],VaBenefits[[#This Row],[Anniversary Value  ]]),OFFSET(VaBenefits[[#This Row],[Income Base]],-1,0))+VaBenefits[[#This Row],[Purchase Payments]])*VaBenefits[[#This Row],[Withdrawal Penalty]]</f>
        <v>302067.5</v>
      </c>
      <c r="Q14" s="7" t="b">
        <f>VaBenefits[[#This Row],[Assumed Contract Value ]]&lt;0.1</f>
        <v>0</v>
      </c>
      <c r="R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300000</v>
      </c>
      <c r="S14" s="7">
        <f ca="1">IF(AND(VaBenefits[[#This Row],[Is Activation]]=FALSE,VaBenefits[[#This Row],[Is Anniversary?]]=TRUE),OFFSET( VaBenefits[[#This Row],[Income Credit Base]],-1,0)*ICP,0)</f>
        <v>15067.5</v>
      </c>
      <c r="T14" s="5">
        <f ca="1">IF(VaBenefits[[#This Row],[Assumed Contract Value ]]&gt;0,VaBenefits[[#This Row],[Income Base]]*MAWA,0)</f>
        <v>18879.21875</v>
      </c>
      <c r="U14" s="99">
        <f>IF(AND(VaBenefits[[#This Row],[Has Income Credit]],VaBenefits[[#This Row],[Is Anniversary?]],VaBenefits[[#This Row],[Joint Mortality tPxy for the partial year]]),VaBenefits[[#This Row],[Income Base]]*PIP,0)</f>
        <v>0</v>
      </c>
      <c r="V14" s="9">
        <f>1/(1+InterestRate)^VaBenefits[[#This Row],[timeFromValuation]]</f>
        <v>0.86383759853147601</v>
      </c>
      <c r="W14" s="94">
        <f>VaBenefits[[#This Row],[timeFromValuation]]</f>
        <v>3</v>
      </c>
      <c r="X14" s="95">
        <f>IF(($G$8+VaBenefits[[#This Row],[timeFromValuation]])&lt;=120,VLOOKUP(G14,Table2[],Qx!L$6,FALSE),0)</f>
        <v>0.99729999999999996</v>
      </c>
      <c r="Y14" s="95">
        <f>IF(($H$8+VaBenefits[[#This Row],[timeFromValuation]])&lt;=120,VLOOKUP(H14,Table2[],Qx!M$6,FALSE),0)</f>
        <v>0.99029199999999995</v>
      </c>
      <c r="Z14" s="95">
        <f>PRODUCT($X$8:$X14)</f>
        <v>0.98365936299036327</v>
      </c>
      <c r="AA14" s="95">
        <f>PRODUCT($Y$8:$Y14)</f>
        <v>0.93889253275470896</v>
      </c>
      <c r="AB14" s="95">
        <f>VaBenefits[[#This Row],[Primary Annuitant Px]]+VaBenefits[[#This Row],[Secondary Annuitant Py]]-VaBenefits[[#This Row],[Primary Annuitant Px]]*VaBenefits[[#This Row],[Secondary Annuitant Py]]</f>
        <v>0.99997378839999984</v>
      </c>
      <c r="AC14" s="95">
        <f>PRODUCT($AB$8:$AB14)</f>
        <v>0.99985140808378048</v>
      </c>
      <c r="AD14" s="101">
        <f>PV(1.03,20,-VaBenefits[[#This Row],[Protected Income Payment]])</f>
        <v>0</v>
      </c>
      <c r="AE14" s="2"/>
      <c r="AF14" s="43">
        <f t="shared" si="4"/>
        <v>3</v>
      </c>
      <c r="AG14" s="9">
        <f>VaBenefits[[#This Row],[Anniversary Value  ]]-AR14</f>
        <v>0</v>
      </c>
      <c r="AH14" s="9">
        <f ca="1">VaBenefits[[#This Row],[Income Base]]-AS14</f>
        <v>-0.5</v>
      </c>
      <c r="AI14" s="9">
        <f ca="1">VaBenefits[[#This Row],[Income Credit Base]]-AT14</f>
        <v>13000</v>
      </c>
      <c r="AJ14" s="9">
        <f ca="1">VaBenefits[[#This Row],[Income Credit]]-AU14</f>
        <v>-0.5</v>
      </c>
      <c r="AK14" s="9">
        <f ca="1">VaBenefits[[#This Row],[Maximum Annual Withdrawal Amount upon Activation]]-AV14</f>
        <v>0.21875</v>
      </c>
      <c r="AL14" s="9">
        <f>VaBenefits[[#This Row],[Protected Income Payment]]-AW14</f>
        <v>0</v>
      </c>
      <c r="AM14" s="2"/>
      <c r="AN14" s="22">
        <f t="shared" si="5"/>
        <v>3</v>
      </c>
      <c r="AO14" s="23">
        <v>0</v>
      </c>
      <c r="AP14" s="23">
        <v>0</v>
      </c>
      <c r="AQ14" s="23">
        <v>300000</v>
      </c>
      <c r="AR14" s="12">
        <v>300000</v>
      </c>
      <c r="AS14" s="11">
        <v>302068</v>
      </c>
      <c r="AT14" s="11">
        <v>287000</v>
      </c>
      <c r="AU14" s="11">
        <v>15068</v>
      </c>
      <c r="AV14" s="11">
        <v>18879</v>
      </c>
      <c r="AW14" s="14">
        <v>0</v>
      </c>
      <c r="AX14" s="10"/>
      <c r="AY14" s="10"/>
      <c r="AZ14" s="10"/>
      <c r="BA14" s="10"/>
      <c r="BB14" s="10"/>
      <c r="BC14" s="10"/>
      <c r="BE14" s="4">
        <v>300000</v>
      </c>
      <c r="BF14" s="4">
        <v>302067.5</v>
      </c>
      <c r="BG14" s="4">
        <v>287000</v>
      </c>
      <c r="BH14" s="4">
        <v>15067.5</v>
      </c>
      <c r="BI14" s="4">
        <v>18879.21875</v>
      </c>
      <c r="BJ14" s="4">
        <v>0</v>
      </c>
    </row>
    <row r="15" spans="1:62" x14ac:dyDescent="0.3">
      <c r="A15" s="7">
        <f t="shared" si="2"/>
        <v>7</v>
      </c>
      <c r="B15" s="30">
        <f t="shared" si="3"/>
        <v>3.5</v>
      </c>
      <c r="C15" s="30" t="b">
        <f>AND(VaBenefits[[#This Row],[timeFromValuation]]&gt;=ACT,VaBenefits[[#This Row],[Assumed Contract Value ]]&gt;0)</f>
        <v>0</v>
      </c>
      <c r="D15" s="21">
        <f t="shared" si="0"/>
        <v>0</v>
      </c>
      <c r="E15" s="21">
        <f>IF(Use_Base_Case, AP15,IF(VaBenefits[[#This Row],[Is Anniversary?]],WithAmt,0))</f>
        <v>5000</v>
      </c>
      <c r="F15" s="21">
        <f t="shared" si="1"/>
        <v>305000</v>
      </c>
      <c r="G15" s="100">
        <f>ROUND($G$8+VaBenefits[[#This Row],[timeFromValuation]],0)</f>
        <v>59</v>
      </c>
      <c r="H15" s="21">
        <f>ROUND($H$8+VaBenefits[[#This Row],[timeFromValuation]],0)</f>
        <v>69</v>
      </c>
      <c r="I15" s="28" t="b">
        <f>VaBenefits[[#This Row],[Withdrawal Taken  ]]&gt;0</f>
        <v>1</v>
      </c>
      <c r="J15" s="45">
        <f>IF(AND(NOT(VaBenefits[[#This Row],[Is Activation]]),VaBenefits[[#This Row],[Assumed Contract Value ]]&gt;0),VaBenefits[[#This Row],[Withdrawal Taken  ]]/VaBenefits[[#This Row],[Assumed Contract Value ]],0)</f>
        <v>1.6393442622950821E-2</v>
      </c>
      <c r="K1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 s="28" t="b">
        <f>AND(VaBenefits[[#This Row],[Is Activation]],SUMIFS($E$8:$E15,$C$8:$C15,TRUE)&gt;0)</f>
        <v>0</v>
      </c>
      <c r="M15" s="46">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0.98360655737704916</v>
      </c>
      <c r="N15" s="7" t="b">
        <f>IF(VaBenefits[[#This Row],[timeFromValuation]]=0,0, MOD(VaBenefits[[#This Row],[timeFromValuation]],1)=0)</f>
        <v>0</v>
      </c>
      <c r="O15" s="7">
        <f>IF(VaBenefits[[#This Row],[Is Anniversary?]]=TRUE,VaBenefits[[#This Row],[Assumed Contract Value ]],0)</f>
        <v>0</v>
      </c>
      <c r="P15" s="7">
        <f ca="1">(IF(VaBenefits[[#This Row],[Is Anniversary?]], MAX(OFFSET(VaBenefits[[#This Row],[Income Base]],-1,0)+VaBenefits[[#This Row],[Income Credit]],VaBenefits[[#This Row],[Anniversary Value  ]]),OFFSET(VaBenefits[[#This Row],[Income Base]],-1,0))+VaBenefits[[#This Row],[Purchase Payments]])*VaBenefits[[#This Row],[Withdrawal Penalty]]</f>
        <v>297115.57377049181</v>
      </c>
      <c r="Q15" s="7" t="b">
        <f>VaBenefits[[#This Row],[Assumed Contract Value ]]&lt;0.1</f>
        <v>0</v>
      </c>
      <c r="R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295081.96721311472</v>
      </c>
      <c r="S15" s="7">
        <f ca="1">IF(AND(VaBenefits[[#This Row],[Is Activation]]=FALSE,VaBenefits[[#This Row],[Is Anniversary?]]=TRUE),OFFSET( VaBenefits[[#This Row],[Income Credit Base]],-1,0)*ICP,0)</f>
        <v>0</v>
      </c>
      <c r="T15" s="5">
        <f ca="1">IF(VaBenefits[[#This Row],[Assumed Contract Value ]]&gt;0,VaBenefits[[#This Row],[Income Base]]*MAWA,0)</f>
        <v>18569.723360655738</v>
      </c>
      <c r="U15" s="99">
        <f>IF(AND(VaBenefits[[#This Row],[Has Income Credit]],VaBenefits[[#This Row],[Is Anniversary?]],VaBenefits[[#This Row],[Joint Mortality tPxy for the partial year]]),VaBenefits[[#This Row],[Income Base]]*PIP,0)</f>
        <v>0</v>
      </c>
      <c r="V15" s="9">
        <f>1/(1+InterestRate)^VaBenefits[[#This Row],[timeFromValuation]]</f>
        <v>0.843019175422553</v>
      </c>
      <c r="W15" s="94">
        <f>VaBenefits[[#This Row],[timeFromValuation]]</f>
        <v>3.5</v>
      </c>
      <c r="X15" s="95">
        <f>IF(($G$8+VaBenefits[[#This Row],[timeFromValuation]])&lt;=120,VLOOKUP(G15,Table2[],Qx!L$6,FALSE),0)</f>
        <v>0.996946</v>
      </c>
      <c r="Y15" s="95">
        <f>IF(($H$8+VaBenefits[[#This Row],[timeFromValuation]])&lt;=120,VLOOKUP(H15,Table2[],Qx!M$6,FALSE),0)</f>
        <v>0.989537</v>
      </c>
      <c r="Z15" s="95">
        <f>PRODUCT($X$8:$X15)</f>
        <v>0.98065526729579067</v>
      </c>
      <c r="AA15" s="95">
        <f>PRODUCT($Y$8:$Y15)</f>
        <v>0.92906890018449639</v>
      </c>
      <c r="AB15" s="95">
        <f>VaBenefits[[#This Row],[Primary Annuitant Px]]+VaBenefits[[#This Row],[Secondary Annuitant Py]]-VaBenefits[[#This Row],[Primary Annuitant Px]]*VaBenefits[[#This Row],[Secondary Annuitant Py]]</f>
        <v>0.99996804599800004</v>
      </c>
      <c r="AC15" s="95">
        <f>PRODUCT($AB$8:$AB15)</f>
        <v>0.99981945882988688</v>
      </c>
      <c r="AD15" s="101">
        <f>PV(1.03,20,-VaBenefits[[#This Row],[Protected Income Payment]])</f>
        <v>0</v>
      </c>
      <c r="AE15" s="2"/>
      <c r="AF15" s="43">
        <f t="shared" si="4"/>
        <v>3.5</v>
      </c>
      <c r="AG15" s="9">
        <f>VaBenefits[[#This Row],[Anniversary Value  ]]-AR15</f>
        <v>0</v>
      </c>
      <c r="AH15" s="9">
        <f ca="1">VaBenefits[[#This Row],[Income Base]]-AS15</f>
        <v>-0.42622950818622485</v>
      </c>
      <c r="AI15" s="9">
        <f ca="1">VaBenefits[[#This Row],[Income Credit Base]]-AT15</f>
        <v>12786.967213114724</v>
      </c>
      <c r="AJ15" s="9">
        <f ca="1">VaBenefits[[#This Row],[Income Credit]]-AU15</f>
        <v>0</v>
      </c>
      <c r="AK15" s="9">
        <f ca="1">VaBenefits[[#This Row],[Maximum Annual Withdrawal Amount upon Activation]]-AV15</f>
        <v>-0.27663934426163905</v>
      </c>
      <c r="AL15" s="9">
        <f>VaBenefits[[#This Row],[Protected Income Payment]]-AW15</f>
        <v>0</v>
      </c>
      <c r="AM15" s="2"/>
      <c r="AN15" s="22">
        <f t="shared" si="5"/>
        <v>3.5</v>
      </c>
      <c r="AO15" s="23">
        <v>0</v>
      </c>
      <c r="AP15" s="23">
        <v>5000</v>
      </c>
      <c r="AQ15" s="23">
        <v>305000</v>
      </c>
      <c r="AR15" s="12">
        <v>0</v>
      </c>
      <c r="AS15" s="11">
        <v>297116</v>
      </c>
      <c r="AT15" s="11">
        <v>282295</v>
      </c>
      <c r="AU15" s="11">
        <v>0</v>
      </c>
      <c r="AV15" s="11">
        <v>18570</v>
      </c>
      <c r="AW15" s="14">
        <v>0</v>
      </c>
      <c r="AX15" s="10"/>
      <c r="AY15" s="10"/>
      <c r="AZ15" s="10"/>
      <c r="BA15" s="10"/>
      <c r="BB15" s="10"/>
      <c r="BC15" s="10"/>
      <c r="BE15" s="4"/>
      <c r="BF15" s="4">
        <v>297115.57377049181</v>
      </c>
      <c r="BG15" s="4">
        <v>282295.08196721313</v>
      </c>
      <c r="BH15" s="4">
        <v>0</v>
      </c>
      <c r="BI15" s="4">
        <v>18569.723360655738</v>
      </c>
      <c r="BJ15" s="4">
        <v>0</v>
      </c>
    </row>
    <row r="16" spans="1:62" x14ac:dyDescent="0.3">
      <c r="A16" s="7">
        <f t="shared" si="2"/>
        <v>8</v>
      </c>
      <c r="B16" s="30">
        <f t="shared" si="3"/>
        <v>4</v>
      </c>
      <c r="C16" s="30" t="b">
        <f>AND(VaBenefits[[#This Row],[timeFromValuation]]&gt;=ACT,VaBenefits[[#This Row],[Assumed Contract Value ]]&gt;0)</f>
        <v>0</v>
      </c>
      <c r="D16" s="21">
        <f t="shared" si="0"/>
        <v>0</v>
      </c>
      <c r="E16" s="21">
        <f>IF(Use_Base_Case, AP16,IF(VaBenefits[[#This Row],[Is Anniversary?]],WithAmt,0))</f>
        <v>0</v>
      </c>
      <c r="F16" s="21">
        <f t="shared" si="1"/>
        <v>312000</v>
      </c>
      <c r="G16" s="100">
        <f>ROUND($G$8+VaBenefits[[#This Row],[timeFromValuation]],0)</f>
        <v>59</v>
      </c>
      <c r="H16" s="21">
        <f>ROUND($H$8+VaBenefits[[#This Row],[timeFromValuation]],0)</f>
        <v>69</v>
      </c>
      <c r="I16" s="28" t="b">
        <f>VaBenefits[[#This Row],[Withdrawal Taken  ]]&gt;0</f>
        <v>0</v>
      </c>
      <c r="J16" s="45">
        <f>IF(AND(NOT(VaBenefits[[#This Row],[Is Activation]]),VaBenefits[[#This Row],[Assumed Contract Value ]]&gt;0),VaBenefits[[#This Row],[Withdrawal Taken  ]]/VaBenefits[[#This Row],[Assumed Contract Value ]],0)</f>
        <v>0</v>
      </c>
      <c r="K1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 s="28" t="b">
        <f>AND(VaBenefits[[#This Row],[Is Activation]],SUMIFS($E$8:$E16,$C$8:$C16,TRUE)&gt;0)</f>
        <v>0</v>
      </c>
      <c r="M1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 s="7" t="b">
        <f>IF(VaBenefits[[#This Row],[timeFromValuation]]=0,0, MOD(VaBenefits[[#This Row],[timeFromValuation]],1)=0)</f>
        <v>1</v>
      </c>
      <c r="O16" s="7">
        <f>IF(VaBenefits[[#This Row],[Is Anniversary?]]=TRUE,VaBenefits[[#This Row],[Assumed Contract Value ]],0)</f>
        <v>312000</v>
      </c>
      <c r="P16"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16" s="7" t="b">
        <f>VaBenefits[[#This Row],[Assumed Contract Value ]]&lt;0.1</f>
        <v>0</v>
      </c>
      <c r="R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312000</v>
      </c>
      <c r="S16" s="7">
        <f ca="1">IF(AND(VaBenefits[[#This Row],[Is Activation]]=FALSE,VaBenefits[[#This Row],[Is Anniversary?]]=TRUE),OFFSET( VaBenefits[[#This Row],[Income Credit Base]],-1,0)*ICP,0)</f>
        <v>15491.803278688523</v>
      </c>
      <c r="T16" s="5">
        <f ca="1">IF(VaBenefits[[#This Row],[Assumed Contract Value ]]&gt;0,VaBenefits[[#This Row],[Income Base]]*MAWA,0)</f>
        <v>19537.961065573771</v>
      </c>
      <c r="U16" s="99">
        <f>IF(AND(VaBenefits[[#This Row],[Has Income Credit]],VaBenefits[[#This Row],[Is Anniversary?]],VaBenefits[[#This Row],[Joint Mortality tPxy for the partial year]]),VaBenefits[[#This Row],[Income Base]]*PIP,0)</f>
        <v>0</v>
      </c>
      <c r="V16" s="9">
        <f>1/(1+InterestRate)^VaBenefits[[#This Row],[timeFromValuation]]</f>
        <v>0.82270247479188197</v>
      </c>
      <c r="W16" s="94">
        <f>VaBenefits[[#This Row],[timeFromValuation]]</f>
        <v>4</v>
      </c>
      <c r="X16" s="95">
        <f>IF(($G$8+VaBenefits[[#This Row],[timeFromValuation]])&lt;=120,VLOOKUP(G16,Table2[],Qx!L$6,FALSE),0)</f>
        <v>0.996946</v>
      </c>
      <c r="Y16" s="95">
        <f>IF(($H$8+VaBenefits[[#This Row],[timeFromValuation]])&lt;=120,VLOOKUP(H16,Table2[],Qx!M$6,FALSE),0)</f>
        <v>0.989537</v>
      </c>
      <c r="Z16" s="95">
        <f>PRODUCT($X$8:$X16)</f>
        <v>0.97766034610946928</v>
      </c>
      <c r="AA16" s="95">
        <f>PRODUCT($Y$8:$Y16)</f>
        <v>0.919348052281866</v>
      </c>
      <c r="AB16" s="95">
        <f>VaBenefits[[#This Row],[Primary Annuitant Px]]+VaBenefits[[#This Row],[Secondary Annuitant Py]]-VaBenefits[[#This Row],[Primary Annuitant Px]]*VaBenefits[[#This Row],[Secondary Annuitant Py]]</f>
        <v>0.99996804599800004</v>
      </c>
      <c r="AC16" s="95">
        <f>PRODUCT($AB$8:$AB16)</f>
        <v>0.99978751059689985</v>
      </c>
      <c r="AD16" s="101">
        <f>PV(1.03,20,-VaBenefits[[#This Row],[Protected Income Payment]])</f>
        <v>0</v>
      </c>
      <c r="AE16" s="2"/>
      <c r="AF16" s="43">
        <f t="shared" si="4"/>
        <v>4</v>
      </c>
      <c r="AG16" s="9">
        <f>VaBenefits[[#This Row],[Anniversary Value  ]]-AR16</f>
        <v>0</v>
      </c>
      <c r="AH16" s="9">
        <f ca="1">VaBenefits[[#This Row],[Income Base]]-AS16</f>
        <v>607.37704918032978</v>
      </c>
      <c r="AI16" s="9">
        <f ca="1">VaBenefits[[#This Row],[Income Credit Base]]-AT16</f>
        <v>0</v>
      </c>
      <c r="AJ16" s="9">
        <f ca="1">VaBenefits[[#This Row],[Income Credit]]-AU16</f>
        <v>671.80327868852328</v>
      </c>
      <c r="AK16" s="9">
        <f ca="1">VaBenefits[[#This Row],[Maximum Annual Withdrawal Amount upon Activation]]-AV16</f>
        <v>37.961065573770611</v>
      </c>
      <c r="AL16" s="9">
        <f>VaBenefits[[#This Row],[Protected Income Payment]]-AW16</f>
        <v>0</v>
      </c>
      <c r="AM16" s="2"/>
      <c r="AN16" s="22">
        <f t="shared" si="5"/>
        <v>4</v>
      </c>
      <c r="AO16" s="23">
        <v>0</v>
      </c>
      <c r="AP16" s="23">
        <v>0</v>
      </c>
      <c r="AQ16" s="23">
        <v>312000</v>
      </c>
      <c r="AR16" s="12">
        <v>312000</v>
      </c>
      <c r="AS16" s="11">
        <v>312000</v>
      </c>
      <c r="AT16" s="11">
        <v>312000</v>
      </c>
      <c r="AU16" s="11">
        <v>14820</v>
      </c>
      <c r="AV16" s="11">
        <v>19500</v>
      </c>
      <c r="AW16" s="14">
        <v>0</v>
      </c>
      <c r="AX16" s="10"/>
      <c r="AY16" s="10"/>
      <c r="AZ16" s="10"/>
      <c r="BA16" s="10"/>
      <c r="BB16" s="10"/>
      <c r="BC16" s="10"/>
      <c r="BE16" s="4">
        <v>312000</v>
      </c>
      <c r="BF16" s="4">
        <v>312000</v>
      </c>
      <c r="BG16" s="4">
        <v>312000</v>
      </c>
      <c r="BH16" s="4">
        <v>14820.491803278688</v>
      </c>
      <c r="BI16" s="4">
        <v>19500</v>
      </c>
      <c r="BJ16" s="4">
        <v>0</v>
      </c>
    </row>
    <row r="17" spans="1:62" x14ac:dyDescent="0.3">
      <c r="A17" s="7">
        <f t="shared" si="2"/>
        <v>9</v>
      </c>
      <c r="B17" s="30">
        <f t="shared" si="3"/>
        <v>4.5</v>
      </c>
      <c r="C17" s="30" t="b">
        <f>AND(VaBenefits[[#This Row],[timeFromValuation]]&gt;=ACT,VaBenefits[[#This Row],[Assumed Contract Value ]]&gt;0)</f>
        <v>1</v>
      </c>
      <c r="D17" s="21">
        <f t="shared" si="0"/>
        <v>0</v>
      </c>
      <c r="E17" s="21">
        <f>IF(Use_Base_Case, AP17,IF(VaBenefits[[#This Row],[Is Anniversary?]],WithAmt,0))</f>
        <v>19500</v>
      </c>
      <c r="F17" s="21">
        <f t="shared" si="1"/>
        <v>302000</v>
      </c>
      <c r="G17" s="100">
        <f>ROUND($G$8+VaBenefits[[#This Row],[timeFromValuation]],0)</f>
        <v>60</v>
      </c>
      <c r="H17" s="21">
        <f>ROUND($H$8+VaBenefits[[#This Row],[timeFromValuation]],0)</f>
        <v>70</v>
      </c>
      <c r="I17" s="28" t="b">
        <f>VaBenefits[[#This Row],[Withdrawal Taken  ]]&gt;0</f>
        <v>1</v>
      </c>
      <c r="J17" s="45">
        <f>IF(AND(NOT(VaBenefits[[#This Row],[Is Activation]]),VaBenefits[[#This Row],[Assumed Contract Value ]]&gt;0),VaBenefits[[#This Row],[Withdrawal Taken  ]]/VaBenefits[[#This Row],[Assumed Contract Value ]],0)</f>
        <v>0</v>
      </c>
      <c r="K1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 s="28" t="b">
        <f>AND(VaBenefits[[#This Row],[Is Activation]],SUMIFS($E$8:$E17,$C$8:$C17,TRUE)&gt;0)</f>
        <v>1</v>
      </c>
      <c r="M1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 s="7" t="b">
        <f>IF(VaBenefits[[#This Row],[timeFromValuation]]=0,0, MOD(VaBenefits[[#This Row],[timeFromValuation]],1)=0)</f>
        <v>0</v>
      </c>
      <c r="O17" s="7">
        <f>IF(VaBenefits[[#This Row],[Is Anniversary?]]=TRUE,VaBenefits[[#This Row],[Assumed Contract Value ]],0)</f>
        <v>0</v>
      </c>
      <c r="P17"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17" s="7" t="b">
        <f>VaBenefits[[#This Row],[Assumed Contract Value ]]&lt;0.1</f>
        <v>0</v>
      </c>
      <c r="R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 s="7">
        <f ca="1">IF(AND(VaBenefits[[#This Row],[Is Activation]]=FALSE,VaBenefits[[#This Row],[Is Anniversary?]]=TRUE),OFFSET( VaBenefits[[#This Row],[Income Credit Base]],-1,0)*ICP,0)</f>
        <v>0</v>
      </c>
      <c r="T17" s="5">
        <f ca="1">IF(VaBenefits[[#This Row],[Assumed Contract Value ]]&gt;0,VaBenefits[[#This Row],[Income Base]]*MAWA,0)</f>
        <v>19537.961065573771</v>
      </c>
      <c r="U17" s="99">
        <f>IF(AND(VaBenefits[[#This Row],[Has Income Credit]],VaBenefits[[#This Row],[Is Anniversary?]],VaBenefits[[#This Row],[Joint Mortality tPxy for the partial year]]),VaBenefits[[#This Row],[Income Base]]*PIP,0)</f>
        <v>0</v>
      </c>
      <c r="V17" s="9">
        <f>1/(1+InterestRate)^VaBenefits[[#This Row],[timeFromValuation]]</f>
        <v>0.80287540516433631</v>
      </c>
      <c r="W17" s="94">
        <f>VaBenefits[[#This Row],[timeFromValuation]]</f>
        <v>4.5</v>
      </c>
      <c r="X17" s="95">
        <f>IF(($G$8+VaBenefits[[#This Row],[timeFromValuation]])&lt;=120,VLOOKUP(G17,Table2[],Qx!L$6,FALSE),0)</f>
        <v>0.99653999999999998</v>
      </c>
      <c r="Y17" s="95">
        <f>IF(($H$8+VaBenefits[[#This Row],[timeFromValuation]])&lt;=120,VLOOKUP(H17,Table2[],Qx!M$6,FALSE),0)</f>
        <v>0.98864300000000005</v>
      </c>
      <c r="Z17" s="95">
        <f>PRODUCT($X$8:$X17)</f>
        <v>0.97427764131193051</v>
      </c>
      <c r="AA17" s="95">
        <f>PRODUCT($Y$8:$Y17)</f>
        <v>0.90890701645210092</v>
      </c>
      <c r="AB17" s="95">
        <f>VaBenefits[[#This Row],[Primary Annuitant Px]]+VaBenefits[[#This Row],[Secondary Annuitant Py]]-VaBenefits[[#This Row],[Primary Annuitant Px]]*VaBenefits[[#This Row],[Secondary Annuitant Py]]</f>
        <v>0.9999607047800001</v>
      </c>
      <c r="AC17" s="95">
        <f>PRODUCT($AB$8:$AB17)</f>
        <v>0.99974822372671779</v>
      </c>
      <c r="AD17" s="101">
        <f>PV(1.03,20,-VaBenefits[[#This Row],[Protected Income Payment]])</f>
        <v>0</v>
      </c>
      <c r="AE17" s="2"/>
      <c r="AF17" s="43">
        <f t="shared" si="4"/>
        <v>4.5</v>
      </c>
      <c r="AG17" s="9">
        <f>VaBenefits[[#This Row],[Anniversary Value  ]]-AR17</f>
        <v>0</v>
      </c>
      <c r="AH17" s="9">
        <f ca="1">VaBenefits[[#This Row],[Income Base]]-AS17</f>
        <v>607.37704918032978</v>
      </c>
      <c r="AI17" s="9">
        <f ca="1">VaBenefits[[#This Row],[Income Credit Base]]-AT17</f>
        <v>0</v>
      </c>
      <c r="AJ17" s="9">
        <f ca="1">VaBenefits[[#This Row],[Income Credit]]-AU17</f>
        <v>0</v>
      </c>
      <c r="AK17" s="9">
        <f ca="1">VaBenefits[[#This Row],[Maximum Annual Withdrawal Amount upon Activation]]-AV17</f>
        <v>37.961065573770611</v>
      </c>
      <c r="AL17" s="9">
        <f>VaBenefits[[#This Row],[Protected Income Payment]]-AW17</f>
        <v>0</v>
      </c>
      <c r="AM17" s="2"/>
      <c r="AN17" s="22">
        <f t="shared" si="5"/>
        <v>4.5</v>
      </c>
      <c r="AO17" s="23">
        <v>0</v>
      </c>
      <c r="AP17" s="23">
        <v>19500</v>
      </c>
      <c r="AQ17" s="23">
        <v>302000</v>
      </c>
      <c r="AR17" s="13">
        <v>0</v>
      </c>
      <c r="AS17" s="11">
        <v>312000</v>
      </c>
      <c r="AT17" s="5">
        <v>0</v>
      </c>
      <c r="AU17" s="5">
        <v>0</v>
      </c>
      <c r="AV17" s="11">
        <v>19500</v>
      </c>
      <c r="AW17" s="14">
        <v>0</v>
      </c>
      <c r="AX17" s="10"/>
      <c r="AY17" s="10"/>
      <c r="AZ17" s="10"/>
      <c r="BA17" s="10"/>
      <c r="BB17" s="10"/>
      <c r="BC17" s="10"/>
      <c r="BE17" s="4"/>
      <c r="BF17" s="4">
        <v>312000</v>
      </c>
      <c r="BG17" s="4"/>
      <c r="BH17" s="4"/>
      <c r="BI17" s="4">
        <v>19500</v>
      </c>
      <c r="BJ17" s="4">
        <v>0</v>
      </c>
    </row>
    <row r="18" spans="1:62" x14ac:dyDescent="0.3">
      <c r="A18" s="7">
        <f t="shared" si="2"/>
        <v>10</v>
      </c>
      <c r="B18" s="30">
        <f t="shared" si="3"/>
        <v>5</v>
      </c>
      <c r="C18" s="30" t="b">
        <f>AND(VaBenefits[[#This Row],[timeFromValuation]]&gt;=ACT,VaBenefits[[#This Row],[Assumed Contract Value ]]&gt;0)</f>
        <v>1</v>
      </c>
      <c r="D18" s="21">
        <f t="shared" si="0"/>
        <v>0</v>
      </c>
      <c r="E18" s="21">
        <f>IF(Use_Base_Case, AP18,IF(VaBenefits[[#This Row],[Is Anniversary?]],WithAmt,0))</f>
        <v>0</v>
      </c>
      <c r="F18" s="21">
        <f t="shared" si="1"/>
        <v>305000</v>
      </c>
      <c r="G18" s="100">
        <f>ROUND($G$8+VaBenefits[[#This Row],[timeFromValuation]],0)</f>
        <v>60</v>
      </c>
      <c r="H18" s="21">
        <f>ROUND($H$8+VaBenefits[[#This Row],[timeFromValuation]],0)</f>
        <v>70</v>
      </c>
      <c r="I18" s="28" t="b">
        <f>VaBenefits[[#This Row],[Withdrawal Taken  ]]&gt;0</f>
        <v>0</v>
      </c>
      <c r="J18" s="45">
        <f>IF(AND(NOT(VaBenefits[[#This Row],[Is Activation]]),VaBenefits[[#This Row],[Assumed Contract Value ]]&gt;0),VaBenefits[[#This Row],[Withdrawal Taken  ]]/VaBenefits[[#This Row],[Assumed Contract Value ]],0)</f>
        <v>0</v>
      </c>
      <c r="K1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 s="28" t="b">
        <f>AND(VaBenefits[[#This Row],[Is Activation]],SUMIFS($E$8:$E18,$C$8:$C18,TRUE)&gt;0)</f>
        <v>1</v>
      </c>
      <c r="M1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 s="7" t="b">
        <f>IF(VaBenefits[[#This Row],[timeFromValuation]]=0,0, MOD(VaBenefits[[#This Row],[timeFromValuation]],1)=0)</f>
        <v>1</v>
      </c>
      <c r="O18" s="7">
        <f>IF(VaBenefits[[#This Row],[Is Anniversary?]]=TRUE,VaBenefits[[#This Row],[Assumed Contract Value ]],0)</f>
        <v>305000</v>
      </c>
      <c r="P18" s="7">
        <f ca="1">(IF(VaBenefits[[#This Row],[Is Anniversary?]], MAX(OFFSET(VaBenefits[[#This Row],[Income Base]],-1,0)+VaBenefits[[#This Row],[Income Credit]],VaBenefits[[#This Row],[Anniversary Value  ]]),OFFSET(VaBenefits[[#This Row],[Income Base]],-1,0))+VaBenefits[[#This Row],[Purchase Payments]])*VaBenefits[[#This Row],[Withdrawal Penalty]]</f>
        <v>312607.37704918033</v>
      </c>
      <c r="Q18" s="7" t="b">
        <f>VaBenefits[[#This Row],[Assumed Contract Value ]]&lt;0.1</f>
        <v>0</v>
      </c>
      <c r="R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 s="7">
        <f ca="1">IF(AND(VaBenefits[[#This Row],[Is Activation]]=FALSE,VaBenefits[[#This Row],[Is Anniversary?]]=TRUE),OFFSET( VaBenefits[[#This Row],[Income Credit Base]],-1,0)*ICP,0)</f>
        <v>0</v>
      </c>
      <c r="T18" s="5">
        <f ca="1">IF(VaBenefits[[#This Row],[Assumed Contract Value ]]&gt;0,VaBenefits[[#This Row],[Income Base]]*MAWA,0)</f>
        <v>19537.961065573771</v>
      </c>
      <c r="U18" s="99">
        <f>IF(AND(VaBenefits[[#This Row],[Has Income Credit]],VaBenefits[[#This Row],[Is Anniversary?]],VaBenefits[[#This Row],[Joint Mortality tPxy for the partial year]]),VaBenefits[[#This Row],[Income Base]]*PIP,0)</f>
        <v>0</v>
      </c>
      <c r="V18" s="9">
        <f>1/(1+InterestRate)^VaBenefits[[#This Row],[timeFromValuation]]</f>
        <v>0.78352616646845896</v>
      </c>
      <c r="W18" s="94">
        <f>VaBenefits[[#This Row],[timeFromValuation]]</f>
        <v>5</v>
      </c>
      <c r="X18" s="95">
        <f>IF(($G$8+VaBenefits[[#This Row],[timeFromValuation]])&lt;=120,VLOOKUP(G18,Table2[],Qx!L$6,FALSE),0)</f>
        <v>0.99653999999999998</v>
      </c>
      <c r="Y18" s="95">
        <f>IF(($H$8+VaBenefits[[#This Row],[timeFromValuation]])&lt;=120,VLOOKUP(H18,Table2[],Qx!M$6,FALSE),0)</f>
        <v>0.98864300000000005</v>
      </c>
      <c r="Z18" s="95">
        <f>PRODUCT($X$8:$X18)</f>
        <v>0.97090664067299126</v>
      </c>
      <c r="AA18" s="95">
        <f>PRODUCT($Y$8:$Y18)</f>
        <v>0.89858455946625448</v>
      </c>
      <c r="AB18" s="95">
        <f>VaBenefits[[#This Row],[Primary Annuitant Px]]+VaBenefits[[#This Row],[Secondary Annuitant Py]]-VaBenefits[[#This Row],[Primary Annuitant Px]]*VaBenefits[[#This Row],[Secondary Annuitant Py]]</f>
        <v>0.9999607047800001</v>
      </c>
      <c r="AC18" s="95">
        <f>PRODUCT($AB$8:$AB18)</f>
        <v>0.99970893840032193</v>
      </c>
      <c r="AD18" s="101">
        <f>PV(1.03,20,-VaBenefits[[#This Row],[Protected Income Payment]])</f>
        <v>0</v>
      </c>
      <c r="AE18" s="2"/>
      <c r="AF18" s="43">
        <f t="shared" si="4"/>
        <v>5</v>
      </c>
      <c r="AG18" s="9">
        <f>VaBenefits[[#This Row],[Anniversary Value  ]]-AR18</f>
        <v>0</v>
      </c>
      <c r="AH18" s="9">
        <f ca="1">VaBenefits[[#This Row],[Income Base]]-AS18</f>
        <v>607.37704918032978</v>
      </c>
      <c r="AI18" s="9">
        <f ca="1">VaBenefits[[#This Row],[Income Credit Base]]-AT18</f>
        <v>0</v>
      </c>
      <c r="AJ18" s="9">
        <f ca="1">VaBenefits[[#This Row],[Income Credit]]-AU18</f>
        <v>0</v>
      </c>
      <c r="AK18" s="9">
        <f ca="1">VaBenefits[[#This Row],[Maximum Annual Withdrawal Amount upon Activation]]-AV18</f>
        <v>37.961065573770611</v>
      </c>
      <c r="AL18" s="9">
        <f>VaBenefits[[#This Row],[Protected Income Payment]]-AW18</f>
        <v>0</v>
      </c>
      <c r="AM18" s="2"/>
      <c r="AN18" s="22">
        <f t="shared" si="5"/>
        <v>5</v>
      </c>
      <c r="AO18" s="23">
        <v>0</v>
      </c>
      <c r="AP18" s="23">
        <v>0</v>
      </c>
      <c r="AQ18" s="23">
        <v>305000</v>
      </c>
      <c r="AR18" s="12">
        <v>305000</v>
      </c>
      <c r="AS18" s="11">
        <v>312000</v>
      </c>
      <c r="AT18" s="5">
        <v>0</v>
      </c>
      <c r="AU18" s="5">
        <v>0</v>
      </c>
      <c r="AV18" s="11">
        <v>19500</v>
      </c>
      <c r="AW18" s="14">
        <v>0</v>
      </c>
      <c r="AX18" s="10"/>
      <c r="AY18" s="6"/>
      <c r="AZ18" s="10"/>
      <c r="BA18" s="10"/>
      <c r="BB18" s="10"/>
      <c r="BC18" s="10"/>
      <c r="BE18" s="4">
        <v>305000</v>
      </c>
      <c r="BF18" s="4">
        <v>312000</v>
      </c>
      <c r="BG18" s="4"/>
      <c r="BH18" s="4"/>
      <c r="BI18" s="4">
        <v>19500</v>
      </c>
      <c r="BJ18" s="4">
        <v>0</v>
      </c>
    </row>
    <row r="19" spans="1:62" x14ac:dyDescent="0.3">
      <c r="A19" s="7">
        <f t="shared" si="2"/>
        <v>11</v>
      </c>
      <c r="B19" s="30">
        <f t="shared" si="3"/>
        <v>5.5</v>
      </c>
      <c r="C19" s="30" t="b">
        <f>AND(VaBenefits[[#This Row],[timeFromValuation]]&gt;=ACT,VaBenefits[[#This Row],[Assumed Contract Value ]]&gt;0)</f>
        <v>1</v>
      </c>
      <c r="D19" s="21">
        <f t="shared" si="0"/>
        <v>0</v>
      </c>
      <c r="E19" s="21">
        <f>IF(Use_Base_Case, AP19,IF(VaBenefits[[#This Row],[Is Anniversary?]],WithAmt,0))</f>
        <v>24960</v>
      </c>
      <c r="F19" s="21">
        <f t="shared" si="1"/>
        <v>280000</v>
      </c>
      <c r="G19" s="100">
        <f>ROUND($G$8+VaBenefits[[#This Row],[timeFromValuation]],0)</f>
        <v>61</v>
      </c>
      <c r="H19" s="21">
        <f>ROUND($H$8+VaBenefits[[#This Row],[timeFromValuation]],0)</f>
        <v>71</v>
      </c>
      <c r="I19" s="28" t="b">
        <f>VaBenefits[[#This Row],[Withdrawal Taken  ]]&gt;0</f>
        <v>1</v>
      </c>
      <c r="J19" s="45">
        <f>IF(AND(NOT(VaBenefits[[#This Row],[Is Activation]]),VaBenefits[[#This Row],[Assumed Contract Value ]]&gt;0),VaBenefits[[#This Row],[Withdrawal Taken  ]]/VaBenefits[[#This Row],[Assumed Contract Value ]],0)</f>
        <v>0</v>
      </c>
      <c r="K1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1.8993905300563385E-2</v>
      </c>
      <c r="L19" s="28" t="b">
        <f>AND(VaBenefits[[#This Row],[Is Activation]],SUMIFS($E$8:$E19,$C$8:$C19,TRUE)&gt;0)</f>
        <v>1</v>
      </c>
      <c r="M1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0.98100609469943656</v>
      </c>
      <c r="N19" s="7" t="b">
        <f>IF(VaBenefits[[#This Row],[timeFromValuation]]=0,0, MOD(VaBenefits[[#This Row],[timeFromValuation]],1)=0)</f>
        <v>0</v>
      </c>
      <c r="O19" s="7">
        <f>IF(VaBenefits[[#This Row],[Is Anniversary?]]=TRUE,VaBenefits[[#This Row],[Assumed Contract Value ]],0)</f>
        <v>0</v>
      </c>
      <c r="P19"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19" s="7" t="b">
        <f>VaBenefits[[#This Row],[Assumed Contract Value ]]&lt;0.1</f>
        <v>0</v>
      </c>
      <c r="R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 s="7">
        <f ca="1">IF(AND(VaBenefits[[#This Row],[Is Activation]]=FALSE,VaBenefits[[#This Row],[Is Anniversary?]]=TRUE),OFFSET( VaBenefits[[#This Row],[Income Credit Base]],-1,0)*ICP,0)</f>
        <v>0</v>
      </c>
      <c r="T19" s="5">
        <f ca="1">IF(VaBenefits[[#This Row],[Assumed Contract Value ]]&gt;0,VaBenefits[[#This Row],[Income Base]]*MAWA,0)</f>
        <v>19166.858883328168</v>
      </c>
      <c r="U19" s="99">
        <f>IF(AND(VaBenefits[[#This Row],[Has Income Credit]],VaBenefits[[#This Row],[Is Anniversary?]],VaBenefits[[#This Row],[Joint Mortality tPxy for the partial year]]),VaBenefits[[#This Row],[Income Base]]*PIP,0)</f>
        <v>0</v>
      </c>
      <c r="V19" s="9">
        <f>1/(1+InterestRate)^VaBenefits[[#This Row],[timeFromValuation]]</f>
        <v>0.7646432430136535</v>
      </c>
      <c r="W19" s="94">
        <f>VaBenefits[[#This Row],[timeFromValuation]]</f>
        <v>5.5</v>
      </c>
      <c r="X19" s="95">
        <f>IF(($G$8+VaBenefits[[#This Row],[timeFromValuation]])&lt;=120,VLOOKUP(G19,Table2[],Qx!L$6,FALSE),0)</f>
        <v>0.99608399999999997</v>
      </c>
      <c r="Y19" s="95">
        <f>IF(($H$8+VaBenefits[[#This Row],[timeFromValuation]])&lt;=120,VLOOKUP(H19,Table2[],Qx!M$6,FALSE),0)</f>
        <v>0.98758199999999996</v>
      </c>
      <c r="Z19" s="95">
        <f>PRODUCT($X$8:$X19)</f>
        <v>0.9671045702681158</v>
      </c>
      <c r="AA19" s="95">
        <f>PRODUCT($Y$8:$Y19)</f>
        <v>0.88742593640680245</v>
      </c>
      <c r="AB19" s="95">
        <f>VaBenefits[[#This Row],[Primary Annuitant Px]]+VaBenefits[[#This Row],[Secondary Annuitant Py]]-VaBenefits[[#This Row],[Primary Annuitant Px]]*VaBenefits[[#This Row],[Secondary Annuitant Py]]</f>
        <v>0.99995137111200005</v>
      </c>
      <c r="AC19" s="95">
        <f>PRODUCT($AB$8:$AB19)</f>
        <v>0.99966032366632396</v>
      </c>
      <c r="AD19" s="101">
        <f>PV(1.03,20,-VaBenefits[[#This Row],[Protected Income Payment]])</f>
        <v>0</v>
      </c>
      <c r="AE19" s="2"/>
      <c r="AF19" s="43">
        <f t="shared" si="4"/>
        <v>5.5</v>
      </c>
      <c r="AG19" s="9">
        <f>VaBenefits[[#This Row],[Anniversary Value  ]]-AR19</f>
        <v>0</v>
      </c>
      <c r="AH19" s="9">
        <f ca="1">VaBenefits[[#This Row],[Income Base]]-AS19</f>
        <v>636.74213325069286</v>
      </c>
      <c r="AI19" s="9">
        <f ca="1">VaBenefits[[#This Row],[Income Credit Base]]-AT19</f>
        <v>0</v>
      </c>
      <c r="AJ19" s="9">
        <f ca="1">VaBenefits[[#This Row],[Income Credit]]-AU19</f>
        <v>0</v>
      </c>
      <c r="AK19" s="9">
        <f ca="1">VaBenefits[[#This Row],[Maximum Annual Withdrawal Amount upon Activation]]-AV19</f>
        <v>39.858883328168304</v>
      </c>
      <c r="AL19" s="9">
        <f>VaBenefits[[#This Row],[Protected Income Payment]]-AW19</f>
        <v>0</v>
      </c>
      <c r="AM19" s="2"/>
      <c r="AN19" s="22">
        <f t="shared" si="5"/>
        <v>5.5</v>
      </c>
      <c r="AO19" s="23">
        <v>0</v>
      </c>
      <c r="AP19" s="23">
        <v>24960</v>
      </c>
      <c r="AQ19" s="23">
        <v>280000</v>
      </c>
      <c r="AR19" s="12">
        <v>0</v>
      </c>
      <c r="AS19" s="11">
        <v>306033</v>
      </c>
      <c r="AT19" s="5">
        <v>0</v>
      </c>
      <c r="AU19" s="5">
        <v>0</v>
      </c>
      <c r="AV19" s="11">
        <v>19127</v>
      </c>
      <c r="AW19" s="14">
        <v>0</v>
      </c>
      <c r="AY19" s="10"/>
      <c r="AZ19" s="10"/>
      <c r="BA19" s="10"/>
      <c r="BB19" s="10"/>
      <c r="BC19" s="10"/>
      <c r="BE19" s="4" t="s">
        <v>2</v>
      </c>
      <c r="BF19" s="4">
        <v>306033</v>
      </c>
      <c r="BG19" s="4"/>
      <c r="BH19" s="4"/>
      <c r="BI19" s="4">
        <v>19127</v>
      </c>
      <c r="BJ19" s="4">
        <v>0</v>
      </c>
    </row>
    <row r="20" spans="1:62" x14ac:dyDescent="0.3">
      <c r="A20" s="7">
        <f t="shared" si="2"/>
        <v>12</v>
      </c>
      <c r="B20" s="30">
        <f t="shared" si="3"/>
        <v>6</v>
      </c>
      <c r="C20" s="30" t="b">
        <f>AND(VaBenefits[[#This Row],[timeFromValuation]]&gt;=ACT,VaBenefits[[#This Row],[Assumed Contract Value ]]&gt;0)</f>
        <v>1</v>
      </c>
      <c r="D20" s="21">
        <f t="shared" si="0"/>
        <v>0</v>
      </c>
      <c r="E20" s="21">
        <f>IF(Use_Base_Case, AP20,IF(VaBenefits[[#This Row],[Is Anniversary?]],WithAmt,0))</f>
        <v>0</v>
      </c>
      <c r="F20" s="21">
        <f t="shared" si="1"/>
        <v>290000</v>
      </c>
      <c r="G20" s="100">
        <f>ROUND($G$8+VaBenefits[[#This Row],[timeFromValuation]],0)</f>
        <v>61</v>
      </c>
      <c r="H20" s="21">
        <f>ROUND($H$8+VaBenefits[[#This Row],[timeFromValuation]],0)</f>
        <v>71</v>
      </c>
      <c r="I20" s="28" t="b">
        <f>VaBenefits[[#This Row],[Withdrawal Taken  ]]&gt;0</f>
        <v>0</v>
      </c>
      <c r="J20" s="45">
        <f>IF(AND(NOT(VaBenefits[[#This Row],[Is Activation]]),VaBenefits[[#This Row],[Assumed Contract Value ]]&gt;0),VaBenefits[[#This Row],[Withdrawal Taken  ]]/VaBenefits[[#This Row],[Assumed Contract Value ]],0)</f>
        <v>0</v>
      </c>
      <c r="K2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0" s="28" t="b">
        <f>AND(VaBenefits[[#This Row],[Is Activation]],SUMIFS($E$8:$E20,$C$8:$C20,TRUE)&gt;0)</f>
        <v>1</v>
      </c>
      <c r="M2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0" s="7" t="b">
        <f>IF(VaBenefits[[#This Row],[timeFromValuation]]=0,0, MOD(VaBenefits[[#This Row],[timeFromValuation]],1)=0)</f>
        <v>1</v>
      </c>
      <c r="O20" s="7">
        <f>IF(VaBenefits[[#This Row],[Is Anniversary?]]=TRUE,VaBenefits[[#This Row],[Assumed Contract Value ]],0)</f>
        <v>290000</v>
      </c>
      <c r="P20" s="7">
        <f ca="1">(IF(VaBenefits[[#This Row],[Is Anniversary?]], MAX(OFFSET(VaBenefits[[#This Row],[Income Base]],-1,0)+VaBenefits[[#This Row],[Income Credit]],VaBenefits[[#This Row],[Anniversary Value  ]]),OFFSET(VaBenefits[[#This Row],[Income Base]],-1,0))+VaBenefits[[#This Row],[Purchase Payments]])*VaBenefits[[#This Row],[Withdrawal Penalty]]</f>
        <v>306669.74213325069</v>
      </c>
      <c r="Q20" s="7" t="b">
        <f>VaBenefits[[#This Row],[Assumed Contract Value ]]&lt;0.1</f>
        <v>0</v>
      </c>
      <c r="R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0" s="7">
        <f ca="1">IF(AND(VaBenefits[[#This Row],[Is Activation]]=FALSE,VaBenefits[[#This Row],[Is Anniversary?]]=TRUE),OFFSET( VaBenefits[[#This Row],[Income Credit Base]],-1,0)*ICP,0)</f>
        <v>0</v>
      </c>
      <c r="T20" s="5">
        <f ca="1">IF(VaBenefits[[#This Row],[Assumed Contract Value ]]&gt;0,VaBenefits[[#This Row],[Income Base]]*MAWA,0)</f>
        <v>19166.858883328168</v>
      </c>
      <c r="U20" s="99">
        <f>IF(AND(VaBenefits[[#This Row],[Has Income Credit]],VaBenefits[[#This Row],[Is Anniversary?]],VaBenefits[[#This Row],[Joint Mortality tPxy for the partial year]]),VaBenefits[[#This Row],[Income Base]]*PIP,0)</f>
        <v>0</v>
      </c>
      <c r="V20" s="9">
        <f>1/(1+InterestRate)^VaBenefits[[#This Row],[timeFromValuation]]</f>
        <v>0.74621539663662761</v>
      </c>
      <c r="W20" s="94">
        <f>VaBenefits[[#This Row],[timeFromValuation]]</f>
        <v>6</v>
      </c>
      <c r="X20" s="95">
        <f>IF(($G$8+VaBenefits[[#This Row],[timeFromValuation]])&lt;=120,VLOOKUP(G20,Table2[],Qx!L$6,FALSE),0)</f>
        <v>0.99608399999999997</v>
      </c>
      <c r="Y20" s="95">
        <f>IF(($H$8+VaBenefits[[#This Row],[timeFromValuation]])&lt;=120,VLOOKUP(H20,Table2[],Qx!M$6,FALSE),0)</f>
        <v>0.98758199999999996</v>
      </c>
      <c r="Z20" s="95">
        <f>PRODUCT($X$8:$X20)</f>
        <v>0.96331738877094586</v>
      </c>
      <c r="AA20" s="95">
        <f>PRODUCT($Y$8:$Y20)</f>
        <v>0.87640588112850271</v>
      </c>
      <c r="AB20" s="95">
        <f>VaBenefits[[#This Row],[Primary Annuitant Px]]+VaBenefits[[#This Row],[Secondary Annuitant Py]]-VaBenefits[[#This Row],[Primary Annuitant Px]]*VaBenefits[[#This Row],[Secondary Annuitant Py]]</f>
        <v>0.99995137111200005</v>
      </c>
      <c r="AC20" s="95">
        <f>PRODUCT($AB$8:$AB20)</f>
        <v>0.99961171129640636</v>
      </c>
      <c r="AD20" s="101">
        <f>PV(1.03,20,-VaBenefits[[#This Row],[Protected Income Payment]])</f>
        <v>0</v>
      </c>
      <c r="AE20" s="2"/>
      <c r="AF20" s="43">
        <f t="shared" si="4"/>
        <v>6</v>
      </c>
      <c r="AG20" s="9">
        <f>VaBenefits[[#This Row],[Anniversary Value  ]]-AR20</f>
        <v>0</v>
      </c>
      <c r="AH20" s="9">
        <f ca="1">VaBenefits[[#This Row],[Income Base]]-AS20</f>
        <v>636.74213325069286</v>
      </c>
      <c r="AI20" s="9">
        <f ca="1">VaBenefits[[#This Row],[Income Credit Base]]-AT20</f>
        <v>0</v>
      </c>
      <c r="AJ20" s="9">
        <f ca="1">VaBenefits[[#This Row],[Income Credit]]-AU20</f>
        <v>0</v>
      </c>
      <c r="AK20" s="9">
        <f ca="1">VaBenefits[[#This Row],[Maximum Annual Withdrawal Amount upon Activation]]-AV20</f>
        <v>39.858883328168304</v>
      </c>
      <c r="AL20" s="9">
        <f>VaBenefits[[#This Row],[Protected Income Payment]]-AW20</f>
        <v>0</v>
      </c>
      <c r="AM20" s="2"/>
      <c r="AN20" s="22">
        <f t="shared" si="5"/>
        <v>6</v>
      </c>
      <c r="AO20" s="23">
        <v>0</v>
      </c>
      <c r="AP20" s="23">
        <v>0</v>
      </c>
      <c r="AQ20" s="23">
        <v>290000</v>
      </c>
      <c r="AR20" s="12">
        <v>290000</v>
      </c>
      <c r="AS20" s="11">
        <v>306033</v>
      </c>
      <c r="AT20" s="5">
        <v>0</v>
      </c>
      <c r="AU20" s="5">
        <v>0</v>
      </c>
      <c r="AV20" s="11">
        <v>19127</v>
      </c>
      <c r="AW20" s="14">
        <v>0</v>
      </c>
      <c r="AX20" s="10"/>
      <c r="AY20" s="10"/>
      <c r="AZ20" s="10"/>
      <c r="BA20" s="10"/>
      <c r="BB20" s="10"/>
      <c r="BC20" s="10"/>
      <c r="BE20" s="4">
        <v>290000</v>
      </c>
      <c r="BF20" s="4">
        <v>306033</v>
      </c>
      <c r="BG20" s="4"/>
      <c r="BH20" s="4"/>
      <c r="BI20" s="4">
        <v>19127</v>
      </c>
      <c r="BJ20" s="4">
        <v>0</v>
      </c>
    </row>
    <row r="21" spans="1:62" x14ac:dyDescent="0.3">
      <c r="A21" s="7">
        <f t="shared" si="2"/>
        <v>13</v>
      </c>
      <c r="B21" s="30">
        <f t="shared" si="3"/>
        <v>6.5</v>
      </c>
      <c r="C21" s="30" t="b">
        <f>AND(VaBenefits[[#This Row],[timeFromValuation]]&gt;=ACT,VaBenefits[[#This Row],[Assumed Contract Value ]]&gt;0)</f>
        <v>1</v>
      </c>
      <c r="D21" s="21">
        <f t="shared" si="0"/>
        <v>0</v>
      </c>
      <c r="E21" s="21">
        <f>IF(Use_Base_Case, AP21,IF(VaBenefits[[#This Row],[Is Anniversary?]],WithAmt,0))</f>
        <v>24483</v>
      </c>
      <c r="F21" s="21">
        <f t="shared" si="1"/>
        <v>260000</v>
      </c>
      <c r="G21" s="100">
        <f>ROUND($G$8+VaBenefits[[#This Row],[timeFromValuation]],0)</f>
        <v>62</v>
      </c>
      <c r="H21" s="21">
        <f>ROUND($H$8+VaBenefits[[#This Row],[timeFromValuation]],0)</f>
        <v>72</v>
      </c>
      <c r="I21" s="28" t="b">
        <f>VaBenefits[[#This Row],[Withdrawal Taken  ]]&gt;0</f>
        <v>1</v>
      </c>
      <c r="J21" s="45">
        <f>IF(AND(NOT(VaBenefits[[#This Row],[Is Activation]]),VaBenefits[[#This Row],[Assumed Contract Value ]]&gt;0),VaBenefits[[#This Row],[Withdrawal Taken  ]]/VaBenefits[[#This Row],[Assumed Contract Value ]],0)</f>
        <v>0</v>
      </c>
      <c r="K2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1.9628842669522851E-2</v>
      </c>
      <c r="L21" s="28" t="b">
        <f>AND(VaBenefits[[#This Row],[Is Activation]],SUMIFS($E$8:$E21,$C$8:$C21,TRUE)&gt;0)</f>
        <v>1</v>
      </c>
      <c r="M2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0.98037115733047719</v>
      </c>
      <c r="N21" s="7" t="b">
        <f>IF(VaBenefits[[#This Row],[timeFromValuation]]=0,0, MOD(VaBenefits[[#This Row],[timeFromValuation]],1)=0)</f>
        <v>0</v>
      </c>
      <c r="O21" s="7">
        <f>IF(VaBenefits[[#This Row],[Is Anniversary?]]=TRUE,VaBenefits[[#This Row],[Assumed Contract Value ]],0)</f>
        <v>0</v>
      </c>
      <c r="P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1" s="7" t="b">
        <f>VaBenefits[[#This Row],[Assumed Contract Value ]]&lt;0.1</f>
        <v>0</v>
      </c>
      <c r="R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1" s="7">
        <f ca="1">IF(AND(VaBenefits[[#This Row],[Is Activation]]=FALSE,VaBenefits[[#This Row],[Is Anniversary?]]=TRUE),OFFSET( VaBenefits[[#This Row],[Income Credit Base]],-1,0)*ICP,0)</f>
        <v>0</v>
      </c>
      <c r="T21" s="5">
        <f ca="1">IF(VaBenefits[[#This Row],[Assumed Contract Value ]]&gt;0,VaBenefits[[#This Row],[Income Base]]*MAWA,0)</f>
        <v>18790.635625838375</v>
      </c>
      <c r="U21" s="99">
        <f>IF(AND(VaBenefits[[#This Row],[Has Income Credit]],VaBenefits[[#This Row],[Is Anniversary?]],VaBenefits[[#This Row],[Joint Mortality tPxy for the partial year]]),VaBenefits[[#This Row],[Income Base]]*PIP,0)</f>
        <v>0</v>
      </c>
      <c r="V21" s="9">
        <f>1/(1+InterestRate)^VaBenefits[[#This Row],[timeFromValuation]]</f>
        <v>0.72823166001300332</v>
      </c>
      <c r="W21" s="94">
        <f>VaBenefits[[#This Row],[timeFromValuation]]</f>
        <v>6.5</v>
      </c>
      <c r="X21" s="95">
        <f>IF(($G$8+VaBenefits[[#This Row],[timeFromValuation]])&lt;=120,VLOOKUP(G21,Table2[],Qx!L$6,FALSE),0)</f>
        <v>0.995591</v>
      </c>
      <c r="Y21" s="95">
        <f>IF(($H$8+VaBenefits[[#This Row],[timeFromValuation]])&lt;=120,VLOOKUP(H21,Table2[],Qx!M$6,FALSE),0)</f>
        <v>0.98632500000000001</v>
      </c>
      <c r="Z21" s="95">
        <f>PRODUCT($X$8:$X21)</f>
        <v>0.95907012240385481</v>
      </c>
      <c r="AA21" s="95">
        <f>PRODUCT($Y$8:$Y21)</f>
        <v>0.86442103070407039</v>
      </c>
      <c r="AB21" s="95">
        <f>VaBenefits[[#This Row],[Primary Annuitant Px]]+VaBenefits[[#This Row],[Secondary Annuitant Py]]-VaBenefits[[#This Row],[Primary Annuitant Px]]*VaBenefits[[#This Row],[Secondary Annuitant Py]]</f>
        <v>0.999939706925</v>
      </c>
      <c r="AC21" s="95">
        <f>PRODUCT($AB$8:$AB21)</f>
        <v>0.99955144163252629</v>
      </c>
      <c r="AD21" s="101">
        <f>PV(1.03,20,-VaBenefits[[#This Row],[Protected Income Payment]])</f>
        <v>0</v>
      </c>
      <c r="AE21" s="2"/>
      <c r="AF21" s="44">
        <f t="shared" si="4"/>
        <v>6.5</v>
      </c>
      <c r="AG21" s="9">
        <f>VaBenefits[[#This Row],[Anniversary Value  ]]-AR21</f>
        <v>0</v>
      </c>
      <c r="AH21" s="9">
        <f ca="1">VaBenefits[[#This Row],[Income Base]]-AS21</f>
        <v>668.17001341399737</v>
      </c>
      <c r="AI21" s="9">
        <f ca="1">VaBenefits[[#This Row],[Income Credit Base]]-AT21</f>
        <v>0</v>
      </c>
      <c r="AJ21" s="9">
        <f ca="1">VaBenefits[[#This Row],[Income Credit]]-AU21</f>
        <v>0</v>
      </c>
      <c r="AK21" s="9">
        <f ca="1">VaBenefits[[#This Row],[Maximum Annual Withdrawal Amount upon Activation]]-AV21</f>
        <v>41.635625838374835</v>
      </c>
      <c r="AL21" s="9">
        <f>VaBenefits[[#This Row],[Protected Income Payment]]-AW21</f>
        <v>0</v>
      </c>
      <c r="AM21" s="2"/>
      <c r="AN21" s="22">
        <f t="shared" si="5"/>
        <v>6.5</v>
      </c>
      <c r="AO21" s="23">
        <v>0</v>
      </c>
      <c r="AP21" s="23">
        <v>24483</v>
      </c>
      <c r="AQ21" s="23">
        <v>260000</v>
      </c>
      <c r="AR21" s="12">
        <v>0</v>
      </c>
      <c r="AS21" s="11">
        <v>299982</v>
      </c>
      <c r="AT21" s="5">
        <v>0</v>
      </c>
      <c r="AU21" s="5">
        <v>0</v>
      </c>
      <c r="AV21" s="11">
        <v>18749</v>
      </c>
      <c r="AW21" s="14">
        <v>0</v>
      </c>
      <c r="AX21" s="10"/>
      <c r="AY21" s="10"/>
      <c r="AZ21" s="10"/>
      <c r="BA21" s="10"/>
      <c r="BB21" s="10"/>
      <c r="BC21" s="10"/>
      <c r="BE21" s="4" t="s">
        <v>2</v>
      </c>
      <c r="BF21" s="4">
        <v>299982</v>
      </c>
      <c r="BG21" s="4"/>
      <c r="BH21" s="4"/>
      <c r="BI21" s="4">
        <v>18749</v>
      </c>
      <c r="BJ21" s="4">
        <v>0</v>
      </c>
    </row>
    <row r="22" spans="1:62" x14ac:dyDescent="0.3">
      <c r="A22" s="7">
        <f t="shared" si="2"/>
        <v>14</v>
      </c>
      <c r="B22" s="30">
        <f t="shared" si="3"/>
        <v>7</v>
      </c>
      <c r="C22" s="30" t="b">
        <f>AND(VaBenefits[[#This Row],[timeFromValuation]]&gt;=ACT,VaBenefits[[#This Row],[Assumed Contract Value ]]&gt;0)</f>
        <v>1</v>
      </c>
      <c r="D22" s="21">
        <f t="shared" si="0"/>
        <v>0</v>
      </c>
      <c r="E22" s="21">
        <f>IF(Use_Base_Case, AP22,IF(VaBenefits[[#This Row],[Is Anniversary?]],WithAmt,0))</f>
        <v>0</v>
      </c>
      <c r="F22" s="21">
        <f t="shared" si="1"/>
        <v>230000</v>
      </c>
      <c r="G22" s="100">
        <f>ROUND($G$8+VaBenefits[[#This Row],[timeFromValuation]],0)</f>
        <v>62</v>
      </c>
      <c r="H22" s="21">
        <f>ROUND($H$8+VaBenefits[[#This Row],[timeFromValuation]],0)</f>
        <v>72</v>
      </c>
      <c r="I22" s="28" t="b">
        <f>VaBenefits[[#This Row],[Withdrawal Taken  ]]&gt;0</f>
        <v>0</v>
      </c>
      <c r="J22" s="45">
        <f>IF(AND(NOT(VaBenefits[[#This Row],[Is Activation]]),VaBenefits[[#This Row],[Assumed Contract Value ]]&gt;0),VaBenefits[[#This Row],[Withdrawal Taken  ]]/VaBenefits[[#This Row],[Assumed Contract Value ]],0)</f>
        <v>0</v>
      </c>
      <c r="K2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2" s="28" t="b">
        <f>AND(VaBenefits[[#This Row],[Is Activation]],SUMIFS($E$8:$E22,$C$8:$C22,TRUE)&gt;0)</f>
        <v>1</v>
      </c>
      <c r="M2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2" s="7" t="b">
        <f>IF(VaBenefits[[#This Row],[timeFromValuation]]=0,0, MOD(VaBenefits[[#This Row],[timeFromValuation]],1)=0)</f>
        <v>1</v>
      </c>
      <c r="O22" s="7">
        <f>IF(VaBenefits[[#This Row],[Is Anniversary?]]=TRUE,VaBenefits[[#This Row],[Assumed Contract Value ]],0)</f>
        <v>230000</v>
      </c>
      <c r="P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2" s="7" t="b">
        <f>VaBenefits[[#This Row],[Assumed Contract Value ]]&lt;0.1</f>
        <v>0</v>
      </c>
      <c r="R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2" s="7">
        <f ca="1">IF(AND(VaBenefits[[#This Row],[Is Activation]]=FALSE,VaBenefits[[#This Row],[Is Anniversary?]]=TRUE),OFFSET( VaBenefits[[#This Row],[Income Credit Base]],-1,0)*ICP,0)</f>
        <v>0</v>
      </c>
      <c r="T22" s="5">
        <f ca="1">IF(VaBenefits[[#This Row],[Assumed Contract Value ]]&gt;0,VaBenefits[[#This Row],[Income Base]]*MAWA,0)</f>
        <v>18790.635625838375</v>
      </c>
      <c r="U22" s="99">
        <f>IF(AND(VaBenefits[[#This Row],[Has Income Credit]],VaBenefits[[#This Row],[Is Anniversary?]],VaBenefits[[#This Row],[Joint Mortality tPxy for the partial year]]),VaBenefits[[#This Row],[Income Base]]*PIP,0)</f>
        <v>0</v>
      </c>
      <c r="V22" s="9">
        <f>1/(1+InterestRate)^VaBenefits[[#This Row],[timeFromValuation]]</f>
        <v>0.71068133013012147</v>
      </c>
      <c r="W22" s="94">
        <f>VaBenefits[[#This Row],[timeFromValuation]]</f>
        <v>7</v>
      </c>
      <c r="X22" s="95">
        <f>IF(($G$8+VaBenefits[[#This Row],[timeFromValuation]])&lt;=120,VLOOKUP(G22,Table2[],Qx!L$6,FALSE),0)</f>
        <v>0.995591</v>
      </c>
      <c r="Y22" s="95">
        <f>IF(($H$8+VaBenefits[[#This Row],[timeFromValuation]])&lt;=120,VLOOKUP(H22,Table2[],Qx!M$6,FALSE),0)</f>
        <v>0.98632500000000001</v>
      </c>
      <c r="Z22" s="95">
        <f>PRODUCT($X$8:$X22)</f>
        <v>0.95484158223417626</v>
      </c>
      <c r="AA22" s="95">
        <f>PRODUCT($Y$8:$Y22)</f>
        <v>0.85260007310919228</v>
      </c>
      <c r="AB22" s="95">
        <f>VaBenefits[[#This Row],[Primary Annuitant Px]]+VaBenefits[[#This Row],[Secondary Annuitant Py]]-VaBenefits[[#This Row],[Primary Annuitant Px]]*VaBenefits[[#This Row],[Secondary Annuitant Py]]</f>
        <v>0.999939706925</v>
      </c>
      <c r="AC22" s="95">
        <f>PRODUCT($AB$8:$AB22)</f>
        <v>0.99949117560248957</v>
      </c>
      <c r="AD22" s="101">
        <f>PV(1.03,20,-VaBenefits[[#This Row],[Protected Income Payment]])</f>
        <v>0</v>
      </c>
      <c r="AE22" s="2"/>
      <c r="AF22" s="44">
        <f t="shared" si="4"/>
        <v>7</v>
      </c>
      <c r="AG22" s="9">
        <f>VaBenefits[[#This Row],[Anniversary Value  ]]-AR22</f>
        <v>0</v>
      </c>
      <c r="AH22" s="9">
        <f ca="1">VaBenefits[[#This Row],[Income Base]]-AS22</f>
        <v>668.17001341399737</v>
      </c>
      <c r="AI22" s="9">
        <f ca="1">VaBenefits[[#This Row],[Income Credit Base]]-AT22</f>
        <v>0</v>
      </c>
      <c r="AJ22" s="9">
        <f ca="1">VaBenefits[[#This Row],[Income Credit]]-AU22</f>
        <v>0</v>
      </c>
      <c r="AK22" s="9">
        <f ca="1">VaBenefits[[#This Row],[Maximum Annual Withdrawal Amount upon Activation]]-AV22</f>
        <v>41.635625838374835</v>
      </c>
      <c r="AL22" s="9">
        <f>VaBenefits[[#This Row],[Protected Income Payment]]-AW22</f>
        <v>0</v>
      </c>
      <c r="AM22" s="2"/>
      <c r="AN22" s="22">
        <f t="shared" si="5"/>
        <v>7</v>
      </c>
      <c r="AO22" s="23">
        <v>0</v>
      </c>
      <c r="AP22" s="23">
        <v>0</v>
      </c>
      <c r="AQ22" s="23">
        <v>230000</v>
      </c>
      <c r="AR22" s="12">
        <v>230000</v>
      </c>
      <c r="AS22" s="11">
        <v>299982</v>
      </c>
      <c r="AT22" s="5">
        <v>0</v>
      </c>
      <c r="AU22" s="5">
        <v>0</v>
      </c>
      <c r="AV22" s="11">
        <v>18749</v>
      </c>
      <c r="AW22" s="14">
        <v>0</v>
      </c>
      <c r="AX22" s="10"/>
      <c r="AY22" s="10"/>
      <c r="AZ22" s="10"/>
      <c r="BA22" s="10"/>
      <c r="BB22" s="10"/>
      <c r="BC22" s="10"/>
      <c r="BE22" s="4">
        <v>230000</v>
      </c>
      <c r="BF22" s="4">
        <v>299982</v>
      </c>
      <c r="BG22" s="4"/>
      <c r="BH22" s="4"/>
      <c r="BI22" s="4">
        <v>18749</v>
      </c>
      <c r="BJ22" s="4">
        <v>0</v>
      </c>
    </row>
    <row r="23" spans="1:62" x14ac:dyDescent="0.3">
      <c r="A23" s="7">
        <f t="shared" si="2"/>
        <v>15</v>
      </c>
      <c r="B23" s="30">
        <f t="shared" si="3"/>
        <v>7.5</v>
      </c>
      <c r="C23" s="30" t="b">
        <f>AND(VaBenefits[[#This Row],[timeFromValuation]]&gt;=ACT,VaBenefits[[#This Row],[Assumed Contract Value ]]&gt;0)</f>
        <v>1</v>
      </c>
      <c r="D23" s="21">
        <f t="shared" si="0"/>
        <v>0</v>
      </c>
      <c r="E23" s="21">
        <f>IF(Use_Base_Case, AP23,IF(VaBenefits[[#This Row],[Is Anniversary?]],WithAmt,0))</f>
        <v>0</v>
      </c>
      <c r="F23" s="21">
        <f t="shared" si="1"/>
        <v>230000</v>
      </c>
      <c r="G23" s="100">
        <f>ROUND($G$8+VaBenefits[[#This Row],[timeFromValuation]],0)</f>
        <v>63</v>
      </c>
      <c r="H23" s="21">
        <f>ROUND($H$8+VaBenefits[[#This Row],[timeFromValuation]],0)</f>
        <v>73</v>
      </c>
      <c r="I23" s="28" t="b">
        <f>VaBenefits[[#This Row],[Withdrawal Taken  ]]&gt;0</f>
        <v>0</v>
      </c>
      <c r="J23" s="45">
        <f>IF(AND(NOT(VaBenefits[[#This Row],[Is Activation]]),VaBenefits[[#This Row],[Assumed Contract Value ]]&gt;0),VaBenefits[[#This Row],[Withdrawal Taken  ]]/VaBenefits[[#This Row],[Assumed Contract Value ]],0)</f>
        <v>0</v>
      </c>
      <c r="K2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3" s="28" t="b">
        <f>AND(VaBenefits[[#This Row],[Is Activation]],SUMIFS($E$8:$E23,$C$8:$C23,TRUE)&gt;0)</f>
        <v>1</v>
      </c>
      <c r="M2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3" s="7" t="b">
        <f>IF(VaBenefits[[#This Row],[timeFromValuation]]=0,0, MOD(VaBenefits[[#This Row],[timeFromValuation]],1)=0)</f>
        <v>0</v>
      </c>
      <c r="O23" s="7">
        <f>IF(VaBenefits[[#This Row],[Is Anniversary?]]=TRUE,VaBenefits[[#This Row],[Assumed Contract Value ]],0)</f>
        <v>0</v>
      </c>
      <c r="P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3" s="7" t="b">
        <f>VaBenefits[[#This Row],[Assumed Contract Value ]]&lt;0.1</f>
        <v>0</v>
      </c>
      <c r="R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3" s="7">
        <f ca="1">IF(AND(VaBenefits[[#This Row],[Is Activation]]=FALSE,VaBenefits[[#This Row],[Is Anniversary?]]=TRUE),OFFSET( VaBenefits[[#This Row],[Income Credit Base]],-1,0)*ICP,0)</f>
        <v>0</v>
      </c>
      <c r="T23" s="5">
        <f ca="1">IF(VaBenefits[[#This Row],[Assumed Contract Value ]]&gt;0,VaBenefits[[#This Row],[Income Base]]*MAWA,0)</f>
        <v>18790.635625838375</v>
      </c>
      <c r="U23" s="99">
        <f>IF(AND(VaBenefits[[#This Row],[Has Income Credit]],VaBenefits[[#This Row],[Is Anniversary?]],VaBenefits[[#This Row],[Joint Mortality tPxy for the partial year]]),VaBenefits[[#This Row],[Income Base]]*PIP,0)</f>
        <v>0</v>
      </c>
      <c r="V23" s="9">
        <f>1/(1+InterestRate)^VaBenefits[[#This Row],[timeFromValuation]]</f>
        <v>0.69355396191714602</v>
      </c>
      <c r="W23" s="94">
        <f>VaBenefits[[#This Row],[timeFromValuation]]</f>
        <v>7.5</v>
      </c>
      <c r="X23" s="95">
        <f>IF(($G$8+VaBenefits[[#This Row],[timeFromValuation]])&lt;=120,VLOOKUP(G23,Table2[],Qx!L$6,FALSE),0)</f>
        <v>0.99506700000000003</v>
      </c>
      <c r="Y23" s="95">
        <f>IF(($H$8+VaBenefits[[#This Row],[timeFromValuation]])&lt;=120,VLOOKUP(H23,Table2[],Qx!M$6,FALSE),0)</f>
        <v>0.98485</v>
      </c>
      <c r="Z23" s="95">
        <f>PRODUCT($X$8:$X23)</f>
        <v>0.95013134870901506</v>
      </c>
      <c r="AA23" s="95">
        <f>PRODUCT($Y$8:$Y23)</f>
        <v>0.83968318200158798</v>
      </c>
      <c r="AB23" s="95">
        <f>VaBenefits[[#This Row],[Primary Annuitant Px]]+VaBenefits[[#This Row],[Secondary Annuitant Py]]-VaBenefits[[#This Row],[Primary Annuitant Px]]*VaBenefits[[#This Row],[Secondary Annuitant Py]]</f>
        <v>0.9999252650499999</v>
      </c>
      <c r="AC23" s="95">
        <f>PRODUCT($AB$8:$AB23)</f>
        <v>0.99941647867945538</v>
      </c>
      <c r="AD23" s="101">
        <f>PV(1.03,20,-VaBenefits[[#This Row],[Protected Income Payment]])</f>
        <v>0</v>
      </c>
      <c r="AE23" s="2"/>
      <c r="AF23" s="44">
        <f t="shared" si="4"/>
        <v>7.5</v>
      </c>
      <c r="AG23" s="9">
        <f>VaBenefits[[#This Row],[Anniversary Value  ]]-AR23</f>
        <v>0</v>
      </c>
      <c r="AH23" s="9">
        <f ca="1">VaBenefits[[#This Row],[Income Base]]-AS23</f>
        <v>668.17001341399737</v>
      </c>
      <c r="AI23" s="9">
        <f ca="1">VaBenefits[[#This Row],[Income Credit Base]]-AT23</f>
        <v>0</v>
      </c>
      <c r="AJ23" s="9">
        <f ca="1">VaBenefits[[#This Row],[Income Credit]]-AU23</f>
        <v>0</v>
      </c>
      <c r="AK23" s="9">
        <f ca="1">VaBenefits[[#This Row],[Maximum Annual Withdrawal Amount upon Activation]]-AV23</f>
        <v>41.635625838374835</v>
      </c>
      <c r="AL23" s="9">
        <f>VaBenefits[[#This Row],[Protected Income Payment]]-AW23</f>
        <v>0</v>
      </c>
      <c r="AM23" s="2"/>
      <c r="AN23" s="22">
        <f t="shared" si="5"/>
        <v>7.5</v>
      </c>
      <c r="AO23" s="23">
        <v>0</v>
      </c>
      <c r="AP23" s="23">
        <v>0</v>
      </c>
      <c r="AQ23" s="23">
        <v>230000</v>
      </c>
      <c r="AR23" s="13">
        <v>0</v>
      </c>
      <c r="AS23" s="11">
        <v>299982</v>
      </c>
      <c r="AT23" s="5">
        <v>0</v>
      </c>
      <c r="AU23" s="5">
        <v>0</v>
      </c>
      <c r="AV23" s="11">
        <v>18749</v>
      </c>
      <c r="AW23" s="14">
        <v>0</v>
      </c>
      <c r="AX23" s="10"/>
      <c r="AY23" s="10"/>
      <c r="AZ23" s="10"/>
      <c r="BA23" s="10"/>
      <c r="BB23" s="10"/>
      <c r="BC23" s="10"/>
      <c r="BE23" s="4">
        <v>150000</v>
      </c>
      <c r="BF23" s="4">
        <v>299982</v>
      </c>
      <c r="BG23" s="4"/>
      <c r="BH23" s="4"/>
      <c r="BI23" s="4">
        <v>18749</v>
      </c>
      <c r="BJ23" s="4">
        <v>0</v>
      </c>
    </row>
    <row r="24" spans="1:62" x14ac:dyDescent="0.3">
      <c r="A24" s="7">
        <f t="shared" si="2"/>
        <v>16</v>
      </c>
      <c r="B24" s="30">
        <f t="shared" si="3"/>
        <v>8</v>
      </c>
      <c r="C24" s="30" t="b">
        <f>AND(VaBenefits[[#This Row],[timeFromValuation]]&gt;=ACT,VaBenefits[[#This Row],[Assumed Contract Value ]]&gt;0)</f>
        <v>1</v>
      </c>
      <c r="D24" s="21">
        <f t="shared" si="0"/>
        <v>0</v>
      </c>
      <c r="E24" s="21">
        <f>IF(Use_Base_Case, AP24,IF(VaBenefits[[#This Row],[Is Anniversary?]],WithAmt,0))</f>
        <v>0</v>
      </c>
      <c r="F24" s="21">
        <f t="shared" si="1"/>
        <v>150000</v>
      </c>
      <c r="G24" s="100">
        <f>ROUND($G$8+VaBenefits[[#This Row],[timeFromValuation]],0)</f>
        <v>63</v>
      </c>
      <c r="H24" s="21">
        <f>ROUND($H$8+VaBenefits[[#This Row],[timeFromValuation]],0)</f>
        <v>73</v>
      </c>
      <c r="I24" s="28" t="b">
        <f>VaBenefits[[#This Row],[Withdrawal Taken  ]]&gt;0</f>
        <v>0</v>
      </c>
      <c r="J24" s="45">
        <f>IF(AND(NOT(VaBenefits[[#This Row],[Is Activation]]),VaBenefits[[#This Row],[Assumed Contract Value ]]&gt;0),VaBenefits[[#This Row],[Withdrawal Taken  ]]/VaBenefits[[#This Row],[Assumed Contract Value ]],0)</f>
        <v>0</v>
      </c>
      <c r="K2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4" s="28" t="b">
        <f>AND(VaBenefits[[#This Row],[Is Activation]],SUMIFS($E$8:$E24,$C$8:$C24,TRUE)&gt;0)</f>
        <v>1</v>
      </c>
      <c r="M2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4" s="7" t="b">
        <f>IF(VaBenefits[[#This Row],[timeFromValuation]]=0,0, MOD(VaBenefits[[#This Row],[timeFromValuation]],1)=0)</f>
        <v>1</v>
      </c>
      <c r="O24" s="7">
        <f>IF(VaBenefits[[#This Row],[Is Anniversary?]]=TRUE,VaBenefits[[#This Row],[Assumed Contract Value ]],0)</f>
        <v>150000</v>
      </c>
      <c r="P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4" s="7" t="b">
        <f>VaBenefits[[#This Row],[Assumed Contract Value ]]&lt;0.1</f>
        <v>0</v>
      </c>
      <c r="R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4" s="7">
        <f ca="1">IF(AND(VaBenefits[[#This Row],[Is Activation]]=FALSE,VaBenefits[[#This Row],[Is Anniversary?]]=TRUE),OFFSET( VaBenefits[[#This Row],[Income Credit Base]],-1,0)*ICP,0)</f>
        <v>0</v>
      </c>
      <c r="T24" s="5">
        <f ca="1">IF(VaBenefits[[#This Row],[Assumed Contract Value ]]&gt;0,VaBenefits[[#This Row],[Income Base]]*MAWA,0)</f>
        <v>18790.635625838375</v>
      </c>
      <c r="U24" s="99">
        <f>IF(AND(VaBenefits[[#This Row],[Has Income Credit]],VaBenefits[[#This Row],[Is Anniversary?]],VaBenefits[[#This Row],[Joint Mortality tPxy for the partial year]]),VaBenefits[[#This Row],[Income Base]]*PIP,0)</f>
        <v>0</v>
      </c>
      <c r="V24" s="9">
        <f>1/(1+InterestRate)^VaBenefits[[#This Row],[timeFromValuation]]</f>
        <v>0.67683936202868722</v>
      </c>
      <c r="W24" s="94">
        <f>VaBenefits[[#This Row],[timeFromValuation]]</f>
        <v>8</v>
      </c>
      <c r="X24" s="95">
        <f>IF(($G$8+VaBenefits[[#This Row],[timeFromValuation]])&lt;=120,VLOOKUP(G24,Table2[],Qx!L$6,FALSE),0)</f>
        <v>0.99506700000000003</v>
      </c>
      <c r="Y24" s="95">
        <f>IF(($H$8+VaBenefits[[#This Row],[timeFromValuation]])&lt;=120,VLOOKUP(H24,Table2[],Qx!M$6,FALSE),0)</f>
        <v>0.98485</v>
      </c>
      <c r="Z24" s="95">
        <f>PRODUCT($X$8:$X24)</f>
        <v>0.94544435076583355</v>
      </c>
      <c r="AA24" s="95">
        <f>PRODUCT($Y$8:$Y24)</f>
        <v>0.82696198179426395</v>
      </c>
      <c r="AB24" s="95">
        <f>VaBenefits[[#This Row],[Primary Annuitant Px]]+VaBenefits[[#This Row],[Secondary Annuitant Py]]-VaBenefits[[#This Row],[Primary Annuitant Px]]*VaBenefits[[#This Row],[Secondary Annuitant Py]]</f>
        <v>0.9999252650499999</v>
      </c>
      <c r="AC24" s="95">
        <f>PRODUCT($AB$8:$AB24)</f>
        <v>0.99934178733889201</v>
      </c>
      <c r="AD24" s="101">
        <f>PV(1.03,20,-VaBenefits[[#This Row],[Protected Income Payment]])</f>
        <v>0</v>
      </c>
      <c r="AE24" s="2"/>
      <c r="AF24" s="44">
        <f t="shared" si="4"/>
        <v>8</v>
      </c>
      <c r="AG24" s="9">
        <f>VaBenefits[[#This Row],[Anniversary Value  ]]-AR24</f>
        <v>0</v>
      </c>
      <c r="AH24" s="9">
        <f ca="1">VaBenefits[[#This Row],[Income Base]]-AS24</f>
        <v>668.17001341399737</v>
      </c>
      <c r="AI24" s="9">
        <f ca="1">VaBenefits[[#This Row],[Income Credit Base]]-AT24</f>
        <v>0</v>
      </c>
      <c r="AJ24" s="9">
        <f ca="1">VaBenefits[[#This Row],[Income Credit]]-AU24</f>
        <v>0</v>
      </c>
      <c r="AK24" s="9">
        <f ca="1">VaBenefits[[#This Row],[Maximum Annual Withdrawal Amount upon Activation]]-AV24</f>
        <v>41.635625838374835</v>
      </c>
      <c r="AL24" s="9">
        <f>VaBenefits[[#This Row],[Protected Income Payment]]-AW24</f>
        <v>0</v>
      </c>
      <c r="AM24" s="2"/>
      <c r="AN24" s="22">
        <f t="shared" si="5"/>
        <v>8</v>
      </c>
      <c r="AO24" s="23">
        <v>0</v>
      </c>
      <c r="AP24" s="23">
        <v>0</v>
      </c>
      <c r="AQ24" s="23">
        <v>150000</v>
      </c>
      <c r="AR24" s="12">
        <v>150000</v>
      </c>
      <c r="AS24" s="11">
        <v>299982</v>
      </c>
      <c r="AT24" s="5">
        <v>0</v>
      </c>
      <c r="AU24" s="5">
        <v>0</v>
      </c>
      <c r="AV24" s="11">
        <v>18749</v>
      </c>
      <c r="AW24" s="14">
        <v>0</v>
      </c>
      <c r="AX24" s="10"/>
      <c r="AY24" s="10"/>
      <c r="AZ24" s="10"/>
      <c r="BA24" s="10"/>
      <c r="BB24" s="10"/>
      <c r="BC24" s="10"/>
      <c r="BE24" s="4">
        <f>BE23</f>
        <v>150000</v>
      </c>
      <c r="BF24" s="4">
        <f t="shared" ref="BF24:BI24" si="7">BF23</f>
        <v>299982</v>
      </c>
      <c r="BG24" s="4">
        <f t="shared" si="7"/>
        <v>0</v>
      </c>
      <c r="BH24" s="4">
        <f t="shared" si="7"/>
        <v>0</v>
      </c>
      <c r="BI24" s="4">
        <f t="shared" si="7"/>
        <v>18749</v>
      </c>
      <c r="BJ24" s="4">
        <v>0</v>
      </c>
    </row>
    <row r="25" spans="1:62" x14ac:dyDescent="0.3">
      <c r="A25" s="7">
        <f t="shared" si="2"/>
        <v>17</v>
      </c>
      <c r="B25" s="30">
        <f t="shared" si="3"/>
        <v>8.5</v>
      </c>
      <c r="C25" s="30" t="b">
        <f>AND(VaBenefits[[#This Row],[timeFromValuation]]&gt;=ACT,VaBenefits[[#This Row],[Assumed Contract Value ]]&gt;0)</f>
        <v>1</v>
      </c>
      <c r="D25" s="21">
        <f t="shared" si="0"/>
        <v>0</v>
      </c>
      <c r="E25" s="21">
        <f>IF(Use_Base_Case, AP25,IF(VaBenefits[[#This Row],[Is Anniversary?]],WithAmt,0))</f>
        <v>0</v>
      </c>
      <c r="F25" s="21">
        <f t="shared" si="1"/>
        <v>150000</v>
      </c>
      <c r="G25" s="100">
        <f>ROUND($G$8+VaBenefits[[#This Row],[timeFromValuation]],0)</f>
        <v>64</v>
      </c>
      <c r="H25" s="21">
        <f>ROUND($H$8+VaBenefits[[#This Row],[timeFromValuation]],0)</f>
        <v>74</v>
      </c>
      <c r="I25" s="28" t="b">
        <f>VaBenefits[[#This Row],[Withdrawal Taken  ]]&gt;0</f>
        <v>0</v>
      </c>
      <c r="J25" s="45">
        <f>IF(AND(NOT(VaBenefits[[#This Row],[Is Activation]]),VaBenefits[[#This Row],[Assumed Contract Value ]]&gt;0),VaBenefits[[#This Row],[Withdrawal Taken  ]]/VaBenefits[[#This Row],[Assumed Contract Value ]],0)</f>
        <v>0</v>
      </c>
      <c r="K2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5" s="28" t="b">
        <f>AND(VaBenefits[[#This Row],[Is Activation]],SUMIFS($E$8:$E25,$C$8:$C25,TRUE)&gt;0)</f>
        <v>1</v>
      </c>
      <c r="M2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5" s="7" t="b">
        <f>IF(VaBenefits[[#This Row],[timeFromValuation]]=0,0, MOD(VaBenefits[[#This Row],[timeFromValuation]],1)=0)</f>
        <v>0</v>
      </c>
      <c r="O25" s="7">
        <f>IF(VaBenefits[[#This Row],[Is Anniversary?]]=TRUE,VaBenefits[[#This Row],[Assumed Contract Value ]],0)</f>
        <v>0</v>
      </c>
      <c r="P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5" s="7" t="b">
        <f>VaBenefits[[#This Row],[Assumed Contract Value ]]&lt;0.1</f>
        <v>0</v>
      </c>
      <c r="R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5" s="7">
        <f ca="1">IF(AND(VaBenefits[[#This Row],[Is Activation]]=FALSE,VaBenefits[[#This Row],[Is Anniversary?]]=TRUE),OFFSET( VaBenefits[[#This Row],[Income Credit Base]],-1,0)*ICP,0)</f>
        <v>0</v>
      </c>
      <c r="T25" s="5">
        <f ca="1">IF(VaBenefits[[#This Row],[Assumed Contract Value ]]&gt;0,VaBenefits[[#This Row],[Income Base]]*MAWA,0)</f>
        <v>18790.635625838375</v>
      </c>
      <c r="U25" s="99">
        <f>IF(AND(VaBenefits[[#This Row],[Has Income Credit]],VaBenefits[[#This Row],[Is Anniversary?]],VaBenefits[[#This Row],[Joint Mortality tPxy for the partial year]]),VaBenefits[[#This Row],[Income Base]]*PIP,0)</f>
        <v>0</v>
      </c>
      <c r="V25" s="9">
        <f>1/(1+InterestRate)^VaBenefits[[#This Row],[timeFromValuation]]</f>
        <v>0.66052758277823431</v>
      </c>
      <c r="W25" s="94">
        <f>VaBenefits[[#This Row],[timeFromValuation]]</f>
        <v>8.5</v>
      </c>
      <c r="X25" s="95">
        <f>IF(($G$8+VaBenefits[[#This Row],[timeFromValuation]])&lt;=120,VLOOKUP(G25,Table2[],Qx!L$6,FALSE),0)</f>
        <v>0.99449299999999996</v>
      </c>
      <c r="Y25" s="95">
        <f>IF(($H$8+VaBenefits[[#This Row],[timeFromValuation]])&lt;=120,VLOOKUP(H25,Table2[],Qx!M$6,FALSE),0)</f>
        <v>0.98314000000000001</v>
      </c>
      <c r="Z25" s="95">
        <f>PRODUCT($X$8:$X25)</f>
        <v>0.94023778872616603</v>
      </c>
      <c r="AA25" s="95">
        <f>PRODUCT($Y$8:$Y25)</f>
        <v>0.81301940278121265</v>
      </c>
      <c r="AB25" s="95">
        <f>VaBenefits[[#This Row],[Primary Annuitant Px]]+VaBenefits[[#This Row],[Secondary Annuitant Py]]-VaBenefits[[#This Row],[Primary Annuitant Px]]*VaBenefits[[#This Row],[Secondary Annuitant Py]]</f>
        <v>0.99990715198000002</v>
      </c>
      <c r="AC25" s="95">
        <f>PRODUCT($AB$8:$AB25)</f>
        <v>0.99924900043263432</v>
      </c>
      <c r="AD25" s="101">
        <f>PV(1.03,20,-VaBenefits[[#This Row],[Protected Income Payment]])</f>
        <v>0</v>
      </c>
      <c r="AE25" s="2"/>
      <c r="AF25" s="44">
        <f t="shared" si="4"/>
        <v>8.5</v>
      </c>
      <c r="AG25" s="9">
        <f>VaBenefits[[#This Row],[Anniversary Value  ]]-AR25</f>
        <v>0</v>
      </c>
      <c r="AH25" s="9">
        <f ca="1">VaBenefits[[#This Row],[Income Base]]-AS25</f>
        <v>668.17001341399737</v>
      </c>
      <c r="AI25" s="9">
        <f ca="1">VaBenefits[[#This Row],[Income Credit Base]]-AT25</f>
        <v>0</v>
      </c>
      <c r="AJ25" s="9">
        <f ca="1">VaBenefits[[#This Row],[Income Credit]]-AU25</f>
        <v>0</v>
      </c>
      <c r="AK25" s="9">
        <f ca="1">VaBenefits[[#This Row],[Maximum Annual Withdrawal Amount upon Activation]]-AV25</f>
        <v>41.635625838374835</v>
      </c>
      <c r="AL25" s="9">
        <f>VaBenefits[[#This Row],[Protected Income Payment]]-AW25</f>
        <v>0</v>
      </c>
      <c r="AM25" s="2"/>
      <c r="AN25" s="22">
        <f t="shared" si="5"/>
        <v>8.5</v>
      </c>
      <c r="AO25" s="23">
        <v>0</v>
      </c>
      <c r="AP25" s="23">
        <v>0</v>
      </c>
      <c r="AQ25" s="23">
        <v>150000</v>
      </c>
      <c r="AR25" s="13">
        <v>0</v>
      </c>
      <c r="AS25" s="11">
        <v>299982</v>
      </c>
      <c r="AT25" s="5">
        <v>0</v>
      </c>
      <c r="AU25" s="5">
        <v>0</v>
      </c>
      <c r="AV25" s="11">
        <v>18749</v>
      </c>
      <c r="AW25" s="14">
        <v>0</v>
      </c>
      <c r="AX25" s="10"/>
      <c r="AY25" s="10"/>
      <c r="AZ25" s="10"/>
      <c r="BA25" s="10"/>
      <c r="BB25" s="10"/>
      <c r="BC25" s="10"/>
      <c r="BE25" s="4">
        <v>100000</v>
      </c>
      <c r="BF25" s="4">
        <v>299982</v>
      </c>
      <c r="BG25" s="4"/>
      <c r="BH25" s="4"/>
      <c r="BI25" s="4">
        <v>18749</v>
      </c>
      <c r="BJ25" s="4">
        <v>0</v>
      </c>
    </row>
    <row r="26" spans="1:62" x14ac:dyDescent="0.3">
      <c r="A26" s="7">
        <f t="shared" si="2"/>
        <v>18</v>
      </c>
      <c r="B26" s="30">
        <f t="shared" si="3"/>
        <v>9</v>
      </c>
      <c r="C26" s="30" t="b">
        <f>AND(VaBenefits[[#This Row],[timeFromValuation]]&gt;=ACT,VaBenefits[[#This Row],[Assumed Contract Value ]]&gt;0)</f>
        <v>1</v>
      </c>
      <c r="D26" s="21">
        <f t="shared" si="0"/>
        <v>0</v>
      </c>
      <c r="E26" s="21">
        <f>IF(Use_Base_Case, AP26,IF(VaBenefits[[#This Row],[Is Anniversary?]],WithAmt,0))</f>
        <v>0</v>
      </c>
      <c r="F26" s="21">
        <f t="shared" si="1"/>
        <v>100000</v>
      </c>
      <c r="G26" s="100">
        <f>ROUND($G$8+VaBenefits[[#This Row],[timeFromValuation]],0)</f>
        <v>64</v>
      </c>
      <c r="H26" s="21">
        <f>ROUND($H$8+VaBenefits[[#This Row],[timeFromValuation]],0)</f>
        <v>74</v>
      </c>
      <c r="I26" s="28" t="b">
        <f>VaBenefits[[#This Row],[Withdrawal Taken  ]]&gt;0</f>
        <v>0</v>
      </c>
      <c r="J26" s="45">
        <f>IF(AND(NOT(VaBenefits[[#This Row],[Is Activation]]),VaBenefits[[#This Row],[Assumed Contract Value ]]&gt;0),VaBenefits[[#This Row],[Withdrawal Taken  ]]/VaBenefits[[#This Row],[Assumed Contract Value ]],0)</f>
        <v>0</v>
      </c>
      <c r="K2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6" s="28" t="b">
        <f>AND(VaBenefits[[#This Row],[Is Activation]],SUMIFS($E$8:$E26,$C$8:$C26,TRUE)&gt;0)</f>
        <v>1</v>
      </c>
      <c r="M2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6" s="7" t="b">
        <f>IF(VaBenefits[[#This Row],[timeFromValuation]]=0,0, MOD(VaBenefits[[#This Row],[timeFromValuation]],1)=0)</f>
        <v>1</v>
      </c>
      <c r="O26" s="7">
        <f>IF(VaBenefits[[#This Row],[Is Anniversary?]]=TRUE,VaBenefits[[#This Row],[Assumed Contract Value ]],0)</f>
        <v>100000</v>
      </c>
      <c r="P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6" s="7" t="b">
        <f>VaBenefits[[#This Row],[Assumed Contract Value ]]&lt;0.1</f>
        <v>0</v>
      </c>
      <c r="R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6" s="7">
        <f ca="1">IF(AND(VaBenefits[[#This Row],[Is Activation]]=FALSE,VaBenefits[[#This Row],[Is Anniversary?]]=TRUE),OFFSET( VaBenefits[[#This Row],[Income Credit Base]],-1,0)*ICP,0)</f>
        <v>0</v>
      </c>
      <c r="T26" s="5">
        <f ca="1">IF(VaBenefits[[#This Row],[Assumed Contract Value ]]&gt;0,VaBenefits[[#This Row],[Income Base]]*MAWA,0)</f>
        <v>18790.635625838375</v>
      </c>
      <c r="U26" s="99">
        <f>IF(AND(VaBenefits[[#This Row],[Has Income Credit]],VaBenefits[[#This Row],[Is Anniversary?]],VaBenefits[[#This Row],[Joint Mortality tPxy for the partial year]]),VaBenefits[[#This Row],[Income Base]]*PIP,0)</f>
        <v>0</v>
      </c>
      <c r="V26" s="9">
        <f>1/(1+InterestRate)^VaBenefits[[#This Row],[timeFromValuation]]</f>
        <v>0.64460891621779726</v>
      </c>
      <c r="W26" s="94">
        <f>VaBenefits[[#This Row],[timeFromValuation]]</f>
        <v>9</v>
      </c>
      <c r="X26" s="95">
        <f>IF(($G$8+VaBenefits[[#This Row],[timeFromValuation]])&lt;=120,VLOOKUP(G26,Table2[],Qx!L$6,FALSE),0)</f>
        <v>0.99449299999999996</v>
      </c>
      <c r="Y26" s="95">
        <f>IF(($H$8+VaBenefits[[#This Row],[timeFromValuation]])&lt;=120,VLOOKUP(H26,Table2[],Qx!M$6,FALSE),0)</f>
        <v>0.98314000000000001</v>
      </c>
      <c r="Z26" s="95">
        <f>PRODUCT($X$8:$X26)</f>
        <v>0.93505989922365096</v>
      </c>
      <c r="AA26" s="95">
        <f>PRODUCT($Y$8:$Y26)</f>
        <v>0.79931189565032146</v>
      </c>
      <c r="AB26" s="95">
        <f>VaBenefits[[#This Row],[Primary Annuitant Px]]+VaBenefits[[#This Row],[Secondary Annuitant Py]]-VaBenefits[[#This Row],[Primary Annuitant Px]]*VaBenefits[[#This Row],[Secondary Annuitant Py]]</f>
        <v>0.99990715198000002</v>
      </c>
      <c r="AC26" s="95">
        <f>PRODUCT($AB$8:$AB26)</f>
        <v>0.99915622214145716</v>
      </c>
      <c r="AD26" s="101">
        <f>PV(1.03,20,-VaBenefits[[#This Row],[Protected Income Payment]])</f>
        <v>0</v>
      </c>
      <c r="AE26" s="2"/>
      <c r="AF26" s="44">
        <f t="shared" si="4"/>
        <v>9</v>
      </c>
      <c r="AG26" s="9">
        <f>VaBenefits[[#This Row],[Anniversary Value  ]]-AR26</f>
        <v>0</v>
      </c>
      <c r="AH26" s="9">
        <f ca="1">VaBenefits[[#This Row],[Income Base]]-AS26</f>
        <v>668.17001341399737</v>
      </c>
      <c r="AI26" s="9">
        <f ca="1">VaBenefits[[#This Row],[Income Credit Base]]-AT26</f>
        <v>0</v>
      </c>
      <c r="AJ26" s="9">
        <f ca="1">VaBenefits[[#This Row],[Income Credit]]-AU26</f>
        <v>0</v>
      </c>
      <c r="AK26" s="9">
        <f ca="1">VaBenefits[[#This Row],[Maximum Annual Withdrawal Amount upon Activation]]-AV26</f>
        <v>41.635625838374835</v>
      </c>
      <c r="AL26" s="9">
        <f>VaBenefits[[#This Row],[Protected Income Payment]]-AW26</f>
        <v>0</v>
      </c>
      <c r="AM26" s="2"/>
      <c r="AN26" s="22">
        <f t="shared" si="5"/>
        <v>9</v>
      </c>
      <c r="AO26" s="23">
        <v>0</v>
      </c>
      <c r="AP26" s="23">
        <v>0</v>
      </c>
      <c r="AQ26" s="23">
        <v>100000</v>
      </c>
      <c r="AR26" s="12">
        <v>100000</v>
      </c>
      <c r="AS26" s="11">
        <v>299982</v>
      </c>
      <c r="AT26" s="5">
        <v>0</v>
      </c>
      <c r="AU26" s="5">
        <v>0</v>
      </c>
      <c r="AV26" s="11">
        <v>18749</v>
      </c>
      <c r="AW26" s="14">
        <v>0</v>
      </c>
      <c r="AX26" s="10"/>
      <c r="AY26" s="10"/>
      <c r="AZ26" s="10"/>
      <c r="BA26" s="10"/>
      <c r="BB26" s="10"/>
      <c r="BC26" s="10"/>
      <c r="BE26" s="4">
        <f>BE25</f>
        <v>100000</v>
      </c>
      <c r="BF26" s="4">
        <f t="shared" ref="BF26" si="8">BF25</f>
        <v>299982</v>
      </c>
      <c r="BG26" s="4">
        <f t="shared" ref="BG26" si="9">BG25</f>
        <v>0</v>
      </c>
      <c r="BH26" s="4">
        <f t="shared" ref="BH26" si="10">BH25</f>
        <v>0</v>
      </c>
      <c r="BI26" s="4">
        <f t="shared" ref="BI26" si="11">BI25</f>
        <v>18749</v>
      </c>
      <c r="BJ26" s="4">
        <v>0</v>
      </c>
    </row>
    <row r="27" spans="1:62" x14ac:dyDescent="0.3">
      <c r="A27" s="7">
        <f t="shared" si="2"/>
        <v>19</v>
      </c>
      <c r="B27" s="30">
        <f t="shared" si="3"/>
        <v>9.5</v>
      </c>
      <c r="C27" s="30" t="b">
        <f>AND(VaBenefits[[#This Row],[timeFromValuation]]&gt;=ACT,VaBenefits[[#This Row],[Assumed Contract Value ]]&gt;0)</f>
        <v>1</v>
      </c>
      <c r="D27" s="21">
        <f t="shared" si="0"/>
        <v>0</v>
      </c>
      <c r="E27" s="21">
        <f>IF(Use_Base_Case, AP27,IF(VaBenefits[[#This Row],[Is Anniversary?]],WithAmt,0))</f>
        <v>0</v>
      </c>
      <c r="F27" s="21">
        <f t="shared" si="1"/>
        <v>100000</v>
      </c>
      <c r="G27" s="100">
        <f>ROUND($G$8+VaBenefits[[#This Row],[timeFromValuation]],0)</f>
        <v>65</v>
      </c>
      <c r="H27" s="21">
        <f>ROUND($H$8+VaBenefits[[#This Row],[timeFromValuation]],0)</f>
        <v>75</v>
      </c>
      <c r="I27" s="28" t="b">
        <f>VaBenefits[[#This Row],[Withdrawal Taken  ]]&gt;0</f>
        <v>0</v>
      </c>
      <c r="J27" s="45">
        <f>IF(AND(NOT(VaBenefits[[#This Row],[Is Activation]]),VaBenefits[[#This Row],[Assumed Contract Value ]]&gt;0),VaBenefits[[#This Row],[Withdrawal Taken  ]]/VaBenefits[[#This Row],[Assumed Contract Value ]],0)</f>
        <v>0</v>
      </c>
      <c r="K2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7" s="28" t="b">
        <f>AND(VaBenefits[[#This Row],[Is Activation]],SUMIFS($E$8:$E27,$C$8:$C27,TRUE)&gt;0)</f>
        <v>1</v>
      </c>
      <c r="M2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7" s="7" t="b">
        <f>IF(VaBenefits[[#This Row],[timeFromValuation]]=0,0, MOD(VaBenefits[[#This Row],[timeFromValuation]],1)=0)</f>
        <v>0</v>
      </c>
      <c r="O27" s="7">
        <f>IF(VaBenefits[[#This Row],[Is Anniversary?]]=TRUE,VaBenefits[[#This Row],[Assumed Contract Value ]],0)</f>
        <v>0</v>
      </c>
      <c r="P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7" s="7" t="b">
        <f>VaBenefits[[#This Row],[Assumed Contract Value ]]&lt;0.1</f>
        <v>0</v>
      </c>
      <c r="R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7" s="7">
        <f ca="1">IF(AND(VaBenefits[[#This Row],[Is Activation]]=FALSE,VaBenefits[[#This Row],[Is Anniversary?]]=TRUE),OFFSET( VaBenefits[[#This Row],[Income Credit Base]],-1,0)*ICP,0)</f>
        <v>0</v>
      </c>
      <c r="T27" s="5">
        <f ca="1">IF(VaBenefits[[#This Row],[Assumed Contract Value ]]&gt;0,VaBenefits[[#This Row],[Income Base]]*MAWA,0)</f>
        <v>18790.635625838375</v>
      </c>
      <c r="U27" s="99">
        <f>IF(AND(VaBenefits[[#This Row],[Has Income Credit]],VaBenefits[[#This Row],[Is Anniversary?]],VaBenefits[[#This Row],[Joint Mortality tPxy for the partial year]]),VaBenefits[[#This Row],[Income Base]]*PIP,0)</f>
        <v>0</v>
      </c>
      <c r="V27" s="9">
        <f>1/(1+InterestRate)^VaBenefits[[#This Row],[timeFromValuation]]</f>
        <v>0.62907388836022304</v>
      </c>
      <c r="W27" s="94">
        <f>VaBenefits[[#This Row],[timeFromValuation]]</f>
        <v>9.5</v>
      </c>
      <c r="X27" s="95">
        <f>IF(($G$8+VaBenefits[[#This Row],[timeFromValuation]])&lt;=120,VLOOKUP(G27,Table2[],Qx!L$6,FALSE),0)</f>
        <v>0.99385400000000002</v>
      </c>
      <c r="Y27" s="95">
        <f>IF(($H$8+VaBenefits[[#This Row],[timeFromValuation]])&lt;=120,VLOOKUP(H27,Table2[],Qx!M$6,FALSE),0)</f>
        <v>0.98118499999999997</v>
      </c>
      <c r="Z27" s="95">
        <f>PRODUCT($X$8:$X27)</f>
        <v>0.92931302108302238</v>
      </c>
      <c r="AA27" s="95">
        <f>PRODUCT($Y$8:$Y27)</f>
        <v>0.78427284233366068</v>
      </c>
      <c r="AB27" s="95">
        <f>VaBenefits[[#This Row],[Primary Annuitant Px]]+VaBenefits[[#This Row],[Secondary Annuitant Py]]-VaBenefits[[#This Row],[Primary Annuitant Px]]*VaBenefits[[#This Row],[Secondary Annuitant Py]]</f>
        <v>0.99988436301000005</v>
      </c>
      <c r="AC27" s="95">
        <f>PRODUCT($AB$8:$AB27)</f>
        <v>0.99904068272338897</v>
      </c>
      <c r="AD27" s="101">
        <f>PV(1.03,20,-VaBenefits[[#This Row],[Protected Income Payment]])</f>
        <v>0</v>
      </c>
      <c r="AE27" s="2"/>
      <c r="AF27" s="44">
        <f t="shared" si="4"/>
        <v>9.5</v>
      </c>
      <c r="AG27" s="9">
        <f>VaBenefits[[#This Row],[Anniversary Value  ]]-AR27</f>
        <v>0</v>
      </c>
      <c r="AH27" s="9">
        <f ca="1">VaBenefits[[#This Row],[Income Base]]-AS27</f>
        <v>668.17001341399737</v>
      </c>
      <c r="AI27" s="9">
        <f ca="1">VaBenefits[[#This Row],[Income Credit Base]]-AT27</f>
        <v>0</v>
      </c>
      <c r="AJ27" s="9">
        <f ca="1">VaBenefits[[#This Row],[Income Credit]]-AU27</f>
        <v>0</v>
      </c>
      <c r="AK27" s="9">
        <f ca="1">VaBenefits[[#This Row],[Maximum Annual Withdrawal Amount upon Activation]]-AV27</f>
        <v>41.635625838374835</v>
      </c>
      <c r="AL27" s="9">
        <f>VaBenefits[[#This Row],[Protected Income Payment]]-AW27</f>
        <v>0</v>
      </c>
      <c r="AM27" s="2"/>
      <c r="AN27" s="22">
        <f t="shared" si="5"/>
        <v>9.5</v>
      </c>
      <c r="AO27" s="23">
        <v>0</v>
      </c>
      <c r="AP27" s="23">
        <v>0</v>
      </c>
      <c r="AQ27" s="23">
        <v>100000</v>
      </c>
      <c r="AR27" s="13">
        <v>0</v>
      </c>
      <c r="AS27" s="11">
        <v>299982</v>
      </c>
      <c r="AT27" s="5">
        <v>0</v>
      </c>
      <c r="AU27" s="5">
        <v>0</v>
      </c>
      <c r="AV27" s="11">
        <v>18749</v>
      </c>
      <c r="AW27" s="14">
        <v>0</v>
      </c>
      <c r="AX27" s="10"/>
      <c r="AY27" s="10"/>
      <c r="AZ27" s="10"/>
      <c r="BA27" s="10"/>
      <c r="BB27" s="10"/>
      <c r="BC27" s="10"/>
      <c r="BE27" s="4">
        <v>50000</v>
      </c>
      <c r="BF27" s="4">
        <v>299982</v>
      </c>
      <c r="BG27" s="4"/>
      <c r="BH27" s="4"/>
      <c r="BI27" s="4">
        <v>18749</v>
      </c>
      <c r="BJ27" s="4">
        <v>0</v>
      </c>
    </row>
    <row r="28" spans="1:62" x14ac:dyDescent="0.3">
      <c r="A28" s="7">
        <f t="shared" si="2"/>
        <v>20</v>
      </c>
      <c r="B28" s="30">
        <f t="shared" si="3"/>
        <v>10</v>
      </c>
      <c r="C28" s="30" t="b">
        <f>AND(VaBenefits[[#This Row],[timeFromValuation]]&gt;=ACT,VaBenefits[[#This Row],[Assumed Contract Value ]]&gt;0)</f>
        <v>1</v>
      </c>
      <c r="D28" s="21">
        <f t="shared" si="0"/>
        <v>0</v>
      </c>
      <c r="E28" s="21">
        <f>IF(Use_Base_Case, AP28,IF(VaBenefits[[#This Row],[Is Anniversary?]],WithAmt,0))</f>
        <v>0</v>
      </c>
      <c r="F28" s="21">
        <f t="shared" si="1"/>
        <v>50000</v>
      </c>
      <c r="G28" s="100">
        <f>ROUND($G$8+VaBenefits[[#This Row],[timeFromValuation]],0)</f>
        <v>65</v>
      </c>
      <c r="H28" s="21">
        <f>ROUND($H$8+VaBenefits[[#This Row],[timeFromValuation]],0)</f>
        <v>75</v>
      </c>
      <c r="I28" s="28" t="b">
        <f>VaBenefits[[#This Row],[Withdrawal Taken  ]]&gt;0</f>
        <v>0</v>
      </c>
      <c r="J28" s="45">
        <f>IF(AND(NOT(VaBenefits[[#This Row],[Is Activation]]),VaBenefits[[#This Row],[Assumed Contract Value ]]&gt;0),VaBenefits[[#This Row],[Withdrawal Taken  ]]/VaBenefits[[#This Row],[Assumed Contract Value ]],0)</f>
        <v>0</v>
      </c>
      <c r="K2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8" s="28" t="b">
        <f>AND(VaBenefits[[#This Row],[Is Activation]],SUMIFS($E$8:$E28,$C$8:$C28,TRUE)&gt;0)</f>
        <v>1</v>
      </c>
      <c r="M2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8" s="7" t="b">
        <f>IF(VaBenefits[[#This Row],[timeFromValuation]]=0,0, MOD(VaBenefits[[#This Row],[timeFromValuation]],1)=0)</f>
        <v>1</v>
      </c>
      <c r="O28" s="7">
        <f>IF(VaBenefits[[#This Row],[Is Anniversary?]]=TRUE,VaBenefits[[#This Row],[Assumed Contract Value ]],0)</f>
        <v>50000</v>
      </c>
      <c r="P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8" s="7" t="b">
        <f>VaBenefits[[#This Row],[Assumed Contract Value ]]&lt;0.1</f>
        <v>0</v>
      </c>
      <c r="R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8" s="7">
        <f ca="1">IF(AND(VaBenefits[[#This Row],[Is Activation]]=FALSE,VaBenefits[[#This Row],[Is Anniversary?]]=TRUE),OFFSET( VaBenefits[[#This Row],[Income Credit Base]],-1,0)*ICP,0)</f>
        <v>0</v>
      </c>
      <c r="T28" s="5">
        <f ca="1">IF(VaBenefits[[#This Row],[Assumed Contract Value ]]&gt;0,VaBenefits[[#This Row],[Income Base]]*MAWA,0)</f>
        <v>18790.635625838375</v>
      </c>
      <c r="U28" s="99">
        <f>IF(AND(VaBenefits[[#This Row],[Has Income Credit]],VaBenefits[[#This Row],[Is Anniversary?]],VaBenefits[[#This Row],[Joint Mortality tPxy for the partial year]]),VaBenefits[[#This Row],[Income Base]]*PIP,0)</f>
        <v>0</v>
      </c>
      <c r="V28" s="9">
        <f>1/(1+InterestRate)^VaBenefits[[#This Row],[timeFromValuation]]</f>
        <v>0.61391325354075932</v>
      </c>
      <c r="W28" s="94">
        <f>VaBenefits[[#This Row],[timeFromValuation]]</f>
        <v>10</v>
      </c>
      <c r="X28" s="95">
        <f>IF(($G$8+VaBenefits[[#This Row],[timeFromValuation]])&lt;=120,VLOOKUP(G28,Table2[],Qx!L$6,FALSE),0)</f>
        <v>0.99385400000000002</v>
      </c>
      <c r="Y28" s="95">
        <f>IF(($H$8+VaBenefits[[#This Row],[timeFromValuation]])&lt;=120,VLOOKUP(H28,Table2[],Qx!M$6,FALSE),0)</f>
        <v>0.98118499999999997</v>
      </c>
      <c r="Z28" s="95">
        <f>PRODUCT($X$8:$X28)</f>
        <v>0.92360146325544612</v>
      </c>
      <c r="AA28" s="95">
        <f>PRODUCT($Y$8:$Y28)</f>
        <v>0.76951674880515286</v>
      </c>
      <c r="AB28" s="95">
        <f>VaBenefits[[#This Row],[Primary Annuitant Px]]+VaBenefits[[#This Row],[Secondary Annuitant Py]]-VaBenefits[[#This Row],[Primary Annuitant Px]]*VaBenefits[[#This Row],[Secondary Annuitant Py]]</f>
        <v>0.99988436301000005</v>
      </c>
      <c r="AC28" s="95">
        <f>PRODUCT($AB$8:$AB28)</f>
        <v>0.99892515666595139</v>
      </c>
      <c r="AD28" s="101">
        <f>PV(1.03,20,-VaBenefits[[#This Row],[Protected Income Payment]])</f>
        <v>0</v>
      </c>
      <c r="AE28" s="2"/>
      <c r="AF28" s="44">
        <f t="shared" si="4"/>
        <v>10</v>
      </c>
      <c r="AG28" s="9">
        <f>VaBenefits[[#This Row],[Anniversary Value  ]]-AR28</f>
        <v>0</v>
      </c>
      <c r="AH28" s="9">
        <f ca="1">VaBenefits[[#This Row],[Income Base]]-AS28</f>
        <v>668.17001341399737</v>
      </c>
      <c r="AI28" s="9">
        <f ca="1">VaBenefits[[#This Row],[Income Credit Base]]-AT28</f>
        <v>0</v>
      </c>
      <c r="AJ28" s="9">
        <f ca="1">VaBenefits[[#This Row],[Income Credit]]-AU28</f>
        <v>0</v>
      </c>
      <c r="AK28" s="9">
        <f ca="1">VaBenefits[[#This Row],[Maximum Annual Withdrawal Amount upon Activation]]-AV28</f>
        <v>41.635625838374835</v>
      </c>
      <c r="AL28" s="9">
        <f>VaBenefits[[#This Row],[Protected Income Payment]]-AW28</f>
        <v>0</v>
      </c>
      <c r="AM28" s="2"/>
      <c r="AN28" s="22">
        <f t="shared" si="5"/>
        <v>10</v>
      </c>
      <c r="AO28" s="23">
        <v>0</v>
      </c>
      <c r="AP28" s="23">
        <v>0</v>
      </c>
      <c r="AQ28" s="23">
        <v>50000</v>
      </c>
      <c r="AR28" s="12">
        <v>50000</v>
      </c>
      <c r="AS28" s="11">
        <v>299982</v>
      </c>
      <c r="AT28" s="5">
        <v>0</v>
      </c>
      <c r="AU28" s="5">
        <v>0</v>
      </c>
      <c r="AV28" s="11">
        <v>18749</v>
      </c>
      <c r="AW28" s="14">
        <v>0</v>
      </c>
      <c r="AX28" s="10"/>
      <c r="AY28" s="10"/>
      <c r="AZ28" s="10"/>
      <c r="BA28" s="10"/>
      <c r="BB28" s="10"/>
      <c r="BC28" s="10"/>
      <c r="BE28" s="4">
        <f>BE27</f>
        <v>50000</v>
      </c>
      <c r="BF28" s="4">
        <f t="shared" ref="BF28" si="12">BF27</f>
        <v>299982</v>
      </c>
      <c r="BG28" s="4">
        <f t="shared" ref="BG28" si="13">BG27</f>
        <v>0</v>
      </c>
      <c r="BH28" s="4">
        <f t="shared" ref="BH28" si="14">BH27</f>
        <v>0</v>
      </c>
      <c r="BI28" s="4">
        <f t="shared" ref="BI28" si="15">BI27</f>
        <v>18749</v>
      </c>
      <c r="BJ28" s="4">
        <v>0</v>
      </c>
    </row>
    <row r="29" spans="1:62" x14ac:dyDescent="0.3">
      <c r="A29" s="7">
        <f t="shared" si="2"/>
        <v>21</v>
      </c>
      <c r="B29" s="30">
        <f t="shared" si="3"/>
        <v>10.5</v>
      </c>
      <c r="C29" s="30" t="b">
        <f>AND(VaBenefits[[#This Row],[timeFromValuation]]&gt;=ACT,VaBenefits[[#This Row],[Assumed Contract Value ]]&gt;0)</f>
        <v>1</v>
      </c>
      <c r="D29" s="21">
        <f t="shared" si="0"/>
        <v>0</v>
      </c>
      <c r="E29" s="21">
        <f>IF(Use_Base_Case, AP29,IF(VaBenefits[[#This Row],[Is Anniversary?]],WithAmt,0))</f>
        <v>0</v>
      </c>
      <c r="F29" s="21">
        <f t="shared" si="1"/>
        <v>50000</v>
      </c>
      <c r="G29" s="100">
        <f>ROUND($G$8+VaBenefits[[#This Row],[timeFromValuation]],0)</f>
        <v>66</v>
      </c>
      <c r="H29" s="21">
        <f>ROUND($H$8+VaBenefits[[#This Row],[timeFromValuation]],0)</f>
        <v>76</v>
      </c>
      <c r="I29" s="28" t="b">
        <f>VaBenefits[[#This Row],[Withdrawal Taken  ]]&gt;0</f>
        <v>0</v>
      </c>
      <c r="J29" s="45">
        <f>IF(AND(NOT(VaBenefits[[#This Row],[Is Activation]]),VaBenefits[[#This Row],[Assumed Contract Value ]]&gt;0),VaBenefits[[#This Row],[Withdrawal Taken  ]]/VaBenefits[[#This Row],[Assumed Contract Value ]],0)</f>
        <v>0</v>
      </c>
      <c r="K2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29" s="28" t="b">
        <f>AND(VaBenefits[[#This Row],[Is Activation]],SUMIFS($E$8:$E29,$C$8:$C29,TRUE)&gt;0)</f>
        <v>1</v>
      </c>
      <c r="M2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29" s="7" t="b">
        <f>IF(VaBenefits[[#This Row],[timeFromValuation]]=0,0, MOD(VaBenefits[[#This Row],[timeFromValuation]],1)=0)</f>
        <v>0</v>
      </c>
      <c r="O29" s="7">
        <f>IF(VaBenefits[[#This Row],[Is Anniversary?]]=TRUE,VaBenefits[[#This Row],[Assumed Contract Value ]],0)</f>
        <v>0</v>
      </c>
      <c r="P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29" s="7" t="b">
        <f>VaBenefits[[#This Row],[Assumed Contract Value ]]&lt;0.1</f>
        <v>0</v>
      </c>
      <c r="R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29" s="7">
        <f ca="1">IF(AND(VaBenefits[[#This Row],[Is Activation]]=FALSE,VaBenefits[[#This Row],[Is Anniversary?]]=TRUE),OFFSET( VaBenefits[[#This Row],[Income Credit Base]],-1,0)*ICP,0)</f>
        <v>0</v>
      </c>
      <c r="T29" s="5">
        <f ca="1">IF(VaBenefits[[#This Row],[Assumed Contract Value ]]&gt;0,VaBenefits[[#This Row],[Income Base]]*MAWA,0)</f>
        <v>18790.635625838375</v>
      </c>
      <c r="U29" s="99">
        <f>IF(AND(VaBenefits[[#This Row],[Has Income Credit]],VaBenefits[[#This Row],[Is Anniversary?]],VaBenefits[[#This Row],[Joint Mortality tPxy for the partial year]]),VaBenefits[[#This Row],[Income Base]]*PIP,0)</f>
        <v>0</v>
      </c>
      <c r="V29" s="9">
        <f>1/(1+InterestRate)^VaBenefits[[#This Row],[timeFromValuation]]</f>
        <v>0.59911798891449808</v>
      </c>
      <c r="W29" s="94">
        <f>VaBenefits[[#This Row],[timeFromValuation]]</f>
        <v>10.5</v>
      </c>
      <c r="X29" s="95">
        <f>IF(($G$8+VaBenefits[[#This Row],[timeFromValuation]])&lt;=120,VLOOKUP(G29,Table2[],Qx!L$6,FALSE),0)</f>
        <v>0.99344900000000003</v>
      </c>
      <c r="Y29" s="95">
        <f>IF(($H$8+VaBenefits[[#This Row],[timeFromValuation]])&lt;=120,VLOOKUP(H29,Table2[],Qx!M$6,FALSE),0)</f>
        <v>0.97896899999999998</v>
      </c>
      <c r="Z29" s="95">
        <f>PRODUCT($X$8:$X29)</f>
        <v>0.9175509500696597</v>
      </c>
      <c r="AA29" s="95">
        <f>PRODUCT($Y$8:$Y29)</f>
        <v>0.75333304206103169</v>
      </c>
      <c r="AB29" s="95">
        <f>VaBenefits[[#This Row],[Primary Annuitant Px]]+VaBenefits[[#This Row],[Secondary Annuitant Py]]-VaBenefits[[#This Row],[Primary Annuitant Px]]*VaBenefits[[#This Row],[Secondary Annuitant Py]]</f>
        <v>0.99986222591899998</v>
      </c>
      <c r="AC29" s="95">
        <f>PRODUCT($AB$8:$AB29)</f>
        <v>0.99878753067050396</v>
      </c>
      <c r="AD29" s="101">
        <f>PV(1.03,20,-VaBenefits[[#This Row],[Protected Income Payment]])</f>
        <v>0</v>
      </c>
      <c r="AE29" s="2"/>
      <c r="AF29" s="44">
        <f t="shared" si="4"/>
        <v>10.5</v>
      </c>
      <c r="AG29" s="9">
        <f>VaBenefits[[#This Row],[Anniversary Value  ]]-AR29</f>
        <v>0</v>
      </c>
      <c r="AH29" s="9">
        <f ca="1">VaBenefits[[#This Row],[Income Base]]-AS29</f>
        <v>668.17001341399737</v>
      </c>
      <c r="AI29" s="9">
        <f ca="1">VaBenefits[[#This Row],[Income Credit Base]]-AT29</f>
        <v>0</v>
      </c>
      <c r="AJ29" s="9">
        <f ca="1">VaBenefits[[#This Row],[Income Credit]]-AU29</f>
        <v>0</v>
      </c>
      <c r="AK29" s="9">
        <f ca="1">VaBenefits[[#This Row],[Maximum Annual Withdrawal Amount upon Activation]]-AV29</f>
        <v>41.635625838374835</v>
      </c>
      <c r="AL29" s="9">
        <f>VaBenefits[[#This Row],[Protected Income Payment]]-AW29</f>
        <v>0</v>
      </c>
      <c r="AM29" s="2"/>
      <c r="AN29" s="22">
        <f t="shared" si="5"/>
        <v>10.5</v>
      </c>
      <c r="AO29" s="23">
        <v>0</v>
      </c>
      <c r="AP29" s="23">
        <v>0</v>
      </c>
      <c r="AQ29" s="23">
        <v>50000</v>
      </c>
      <c r="AR29" s="13">
        <v>0</v>
      </c>
      <c r="AS29" s="11">
        <v>299982</v>
      </c>
      <c r="AT29" s="5">
        <v>0</v>
      </c>
      <c r="AU29" s="5">
        <v>0</v>
      </c>
      <c r="AV29" s="11">
        <v>18749</v>
      </c>
      <c r="AW29" s="14">
        <v>0</v>
      </c>
      <c r="AX29" s="10"/>
      <c r="AY29" s="10"/>
      <c r="AZ29" s="10"/>
      <c r="BA29" s="10"/>
      <c r="BB29" s="10"/>
      <c r="BC29" s="10"/>
      <c r="BE29" s="4">
        <v>0</v>
      </c>
      <c r="BF29" s="4">
        <v>299982</v>
      </c>
      <c r="BG29" s="4"/>
      <c r="BH29" s="4"/>
      <c r="BI29" s="4">
        <v>18749</v>
      </c>
      <c r="BJ29" s="4">
        <v>0</v>
      </c>
    </row>
    <row r="30" spans="1:62" ht="15" thickBot="1" x14ac:dyDescent="0.35">
      <c r="A30" s="35">
        <f t="shared" si="2"/>
        <v>22</v>
      </c>
      <c r="B30" s="33">
        <f t="shared" si="3"/>
        <v>11</v>
      </c>
      <c r="C30" s="30" t="b">
        <f>AND(VaBenefits[[#This Row],[timeFromValuation]]&gt;=ACT,VaBenefits[[#This Row],[Assumed Contract Value ]]&gt;0)</f>
        <v>0</v>
      </c>
      <c r="D30" s="34">
        <f t="shared" si="0"/>
        <v>0</v>
      </c>
      <c r="E30" s="34">
        <f>IF(Use_Base_Case, AP30,IF(VaBenefits[[#This Row],[Is Anniversary?]],WithAmt,0))</f>
        <v>0</v>
      </c>
      <c r="F30" s="34">
        <f t="shared" si="1"/>
        <v>0</v>
      </c>
      <c r="G30" s="100">
        <f>ROUND($G$8+VaBenefits[[#This Row],[timeFromValuation]],0)</f>
        <v>66</v>
      </c>
      <c r="H30" s="21">
        <f>ROUND($H$8+VaBenefits[[#This Row],[timeFromValuation]],0)</f>
        <v>76</v>
      </c>
      <c r="I30" s="28" t="b">
        <f>VaBenefits[[#This Row],[Withdrawal Taken  ]]&gt;0</f>
        <v>0</v>
      </c>
      <c r="J30" s="45">
        <f>IF(AND(NOT(VaBenefits[[#This Row],[Is Activation]]),VaBenefits[[#This Row],[Assumed Contract Value ]]&gt;0),VaBenefits[[#This Row],[Withdrawal Taken  ]]/VaBenefits[[#This Row],[Assumed Contract Value ]],0)</f>
        <v>0</v>
      </c>
      <c r="K3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0" s="28" t="b">
        <f>AND(VaBenefits[[#This Row],[Is Activation]],SUMIFS($E$8:$E190,$C$8:$C190,TRUE)&gt;0)</f>
        <v>0</v>
      </c>
      <c r="M3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0" s="35" t="b">
        <f>IF(VaBenefits[[#This Row],[timeFromValuation]]=0,0, MOD(VaBenefits[[#This Row],[timeFromValuation]],1)=0)</f>
        <v>1</v>
      </c>
      <c r="O30" s="7">
        <f>IF(VaBenefits[[#This Row],[Is Anniversary?]]=TRUE,VaBenefits[[#This Row],[Assumed Contract Value ]],0)</f>
        <v>0</v>
      </c>
      <c r="P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0" s="7" t="b">
        <f>VaBenefits[[#This Row],[Assumed Contract Value ]]&lt;0.1</f>
        <v>1</v>
      </c>
      <c r="R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0" s="7">
        <f ca="1">IF(AND(VaBenefits[[#This Row],[Is Activation]]=FALSE,VaBenefits[[#This Row],[Is Anniversary?]]=TRUE),OFFSET( VaBenefits[[#This Row],[Income Credit Base]],-1,0)*ICP,0)</f>
        <v>0</v>
      </c>
      <c r="T30" s="5">
        <f>IF(VaBenefits[[#This Row],[Assumed Contract Value ]]&gt;0,VaBenefits[[#This Row],[Income Base]]*MAWA,0)</f>
        <v>0</v>
      </c>
      <c r="U30" s="99">
        <f ca="1">IF(AND(VaBenefits[[#This Row],[Has Income Credit]],VaBenefits[[#This Row],[Is Anniversary?]],VaBenefits[[#This Row],[Joint Mortality tPxy for the partial year]]),VaBenefits[[#This Row],[Income Base]]*PIP,0)</f>
        <v>12026.006800536559</v>
      </c>
      <c r="V30" s="9">
        <f>1/(1+InterestRate)^VaBenefits[[#This Row],[timeFromValuation]]</f>
        <v>0.5846792890864374</v>
      </c>
      <c r="W30" s="94">
        <f>VaBenefits[[#This Row],[timeFromValuation]]</f>
        <v>11</v>
      </c>
      <c r="X30" s="95">
        <f>IF(($G$8+VaBenefits[[#This Row],[timeFromValuation]])&lt;=120,VLOOKUP(G30,Table2[],Qx!L$6,FALSE),0)</f>
        <v>0.99344900000000003</v>
      </c>
      <c r="Y30" s="95">
        <f>IF(($H$8+VaBenefits[[#This Row],[timeFromValuation]])&lt;=120,VLOOKUP(H30,Table2[],Qx!M$6,FALSE),0)</f>
        <v>0.97896899999999998</v>
      </c>
      <c r="Z30" s="95">
        <f>PRODUCT($X$8:$X30)</f>
        <v>0.91154007379575341</v>
      </c>
      <c r="AA30" s="95">
        <f>PRODUCT($Y$8:$Y30)</f>
        <v>0.73748969485344607</v>
      </c>
      <c r="AB30" s="95">
        <f>VaBenefits[[#This Row],[Primary Annuitant Px]]+VaBenefits[[#This Row],[Secondary Annuitant Py]]-VaBenefits[[#This Row],[Primary Annuitant Px]]*VaBenefits[[#This Row],[Secondary Annuitant Py]]</f>
        <v>0.99986222591899998</v>
      </c>
      <c r="AC30" s="95">
        <f>PRODUCT($AB$8:$AB30)</f>
        <v>0.99864992363635152</v>
      </c>
      <c r="AD30" s="101">
        <f ca="1">PV(1.03,20,-VaBenefits[[#This Row],[Protected Income Payment]])</f>
        <v>11675.726490506962</v>
      </c>
      <c r="AE30" s="2"/>
      <c r="AF30" s="43">
        <f t="shared" si="4"/>
        <v>11</v>
      </c>
      <c r="AG30" s="9">
        <f>VaBenefits[[#This Row],[Anniversary Value  ]]-AR30</f>
        <v>0</v>
      </c>
      <c r="AH30" s="9">
        <f ca="1">VaBenefits[[#This Row],[Income Base]]-AS30</f>
        <v>668.17001341399737</v>
      </c>
      <c r="AI30" s="9">
        <f ca="1">VaBenefits[[#This Row],[Income Credit Base]]-AT30</f>
        <v>0</v>
      </c>
      <c r="AJ30" s="9">
        <f ca="1">VaBenefits[[#This Row],[Income Credit]]-AU30</f>
        <v>0</v>
      </c>
      <c r="AK30" s="9">
        <f>VaBenefits[[#This Row],[Maximum Annual Withdrawal Amount upon Activation]]-AV30</f>
        <v>0</v>
      </c>
      <c r="AL30" s="9">
        <f ca="1">VaBenefits[[#This Row],[Protected Income Payment]]-AW30</f>
        <v>27.00680053655924</v>
      </c>
      <c r="AM30" s="2"/>
      <c r="AN30" s="24">
        <f t="shared" si="5"/>
        <v>11</v>
      </c>
      <c r="AO30" s="25">
        <v>0</v>
      </c>
      <c r="AP30" s="25">
        <v>0</v>
      </c>
      <c r="AQ30" s="23">
        <v>0</v>
      </c>
      <c r="AR30" s="17">
        <v>0</v>
      </c>
      <c r="AS30" s="15">
        <v>299982</v>
      </c>
      <c r="AT30" s="16">
        <v>0</v>
      </c>
      <c r="AU30" s="16">
        <v>0</v>
      </c>
      <c r="AV30" s="15">
        <v>0</v>
      </c>
      <c r="AW30" s="18">
        <v>11999</v>
      </c>
      <c r="AX30" s="10"/>
      <c r="AY30" s="10"/>
      <c r="AZ30" s="10"/>
      <c r="BA30" s="10"/>
      <c r="BB30" s="10"/>
      <c r="BC30" s="10"/>
      <c r="BE30" s="4">
        <v>0</v>
      </c>
      <c r="BF30" s="4">
        <v>299982</v>
      </c>
      <c r="BG30" s="4"/>
      <c r="BH30" s="4"/>
      <c r="BI30" s="4">
        <v>0</v>
      </c>
      <c r="BJ30" s="4">
        <v>11999</v>
      </c>
    </row>
    <row r="31" spans="1:62" x14ac:dyDescent="0.3">
      <c r="A31" s="35">
        <f t="shared" si="2"/>
        <v>23</v>
      </c>
      <c r="B31" s="33">
        <f t="shared" si="3"/>
        <v>11.5</v>
      </c>
      <c r="C31" s="30" t="b">
        <f>AND(VaBenefits[[#This Row],[timeFromValuation]]&gt;=ACT,VaBenefits[[#This Row],[Assumed Contract Value ]]&gt;0)</f>
        <v>0</v>
      </c>
      <c r="D31" s="34">
        <f t="shared" si="0"/>
        <v>0</v>
      </c>
      <c r="E31" s="34">
        <f>IF(Use_Base_Case, AP31,IF(VaBenefits[[#This Row],[Is Anniversary?]],WithAmt,0))</f>
        <v>0</v>
      </c>
      <c r="F31" s="34">
        <f t="shared" si="1"/>
        <v>0</v>
      </c>
      <c r="G31" s="100">
        <f>ROUND($G$8+VaBenefits[[#This Row],[timeFromValuation]],0)</f>
        <v>67</v>
      </c>
      <c r="H31" s="21">
        <f>ROUND($H$8+VaBenefits[[#This Row],[timeFromValuation]],0)</f>
        <v>77</v>
      </c>
      <c r="I31" s="28" t="b">
        <f>VaBenefits[[#This Row],[Withdrawal Taken  ]]&gt;0</f>
        <v>0</v>
      </c>
      <c r="J31" s="45">
        <f>IF(AND(NOT(VaBenefits[[#This Row],[Is Activation]]),VaBenefits[[#This Row],[Assumed Contract Value ]]&gt;0),VaBenefits[[#This Row],[Withdrawal Taken  ]]/VaBenefits[[#This Row],[Assumed Contract Value ]],0)</f>
        <v>0</v>
      </c>
      <c r="K3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1" s="28" t="b">
        <f>AND(VaBenefits[[#This Row],[Is Activation]],SUMIFS($E$8:$E31,$C$8:$C31,TRUE)&gt;0)</f>
        <v>0</v>
      </c>
      <c r="M3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1" s="35" t="b">
        <f>IF(VaBenefits[[#This Row],[timeFromValuation]]=0,0, MOD(VaBenefits[[#This Row],[timeFromValuation]],1)=0)</f>
        <v>0</v>
      </c>
      <c r="O31" s="7">
        <f>IF(VaBenefits[[#This Row],[Is Anniversary?]]=TRUE,VaBenefits[[#This Row],[Assumed Contract Value ]],0)</f>
        <v>0</v>
      </c>
      <c r="P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1" s="7" t="b">
        <f>VaBenefits[[#This Row],[Assumed Contract Value ]]&lt;0.1</f>
        <v>1</v>
      </c>
      <c r="R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1" s="7">
        <f ca="1">IF(AND(VaBenefits[[#This Row],[Is Activation]]=FALSE,VaBenefits[[#This Row],[Is Anniversary?]]=TRUE),OFFSET( VaBenefits[[#This Row],[Income Credit Base]],-1,0)*ICP,0)</f>
        <v>0</v>
      </c>
      <c r="T31" s="5">
        <f>IF(VaBenefits[[#This Row],[Assumed Contract Value ]]&gt;0,VaBenefits[[#This Row],[Income Base]]*MAWA,0)</f>
        <v>0</v>
      </c>
      <c r="U31" s="99">
        <f>IF(AND(VaBenefits[[#This Row],[Has Income Credit]],VaBenefits[[#This Row],[Is Anniversary?]],VaBenefits[[#This Row],[Joint Mortality tPxy for the partial year]]),VaBenefits[[#This Row],[Income Base]]*PIP,0)</f>
        <v>0</v>
      </c>
      <c r="V31" s="9">
        <f>1/(1+InterestRate)^VaBenefits[[#This Row],[timeFromValuation]]</f>
        <v>0.57058856087095067</v>
      </c>
      <c r="W31" s="94">
        <f>VaBenefits[[#This Row],[timeFromValuation]]</f>
        <v>11.5</v>
      </c>
      <c r="X31" s="95">
        <f>IF(($G$8+VaBenefits[[#This Row],[timeFromValuation]])&lt;=120,VLOOKUP(G31,Table2[],Qx!L$6,FALSE),0)</f>
        <v>0.99296099999999998</v>
      </c>
      <c r="Y31" s="95">
        <f>IF(($H$8+VaBenefits[[#This Row],[timeFromValuation]])&lt;=120,VLOOKUP(H31,Table2[],Qx!M$6,FALSE),0)</f>
        <v>0.97645999999999999</v>
      </c>
      <c r="Z31" s="95">
        <f>PRODUCT($X$8:$X31)</f>
        <v>0.90512374321630507</v>
      </c>
      <c r="AA31" s="95">
        <f>PRODUCT($Y$8:$Y31)</f>
        <v>0.72012918743659593</v>
      </c>
      <c r="AB31" s="95">
        <f>VaBenefits[[#This Row],[Primary Annuitant Px]]+VaBenefits[[#This Row],[Secondary Annuitant Py]]-VaBenefits[[#This Row],[Primary Annuitant Px]]*VaBenefits[[#This Row],[Secondary Annuitant Py]]</f>
        <v>0.99983430194000011</v>
      </c>
      <c r="AC31" s="95">
        <f>PRODUCT($AB$8:$AB31)</f>
        <v>0.99848444928138591</v>
      </c>
      <c r="AD31" s="101">
        <f>PV(1.03,20,-VaBenefits[[#This Row],[Protected Income Payment]])</f>
        <v>0</v>
      </c>
    </row>
    <row r="32" spans="1:62" x14ac:dyDescent="0.3">
      <c r="A32" s="35">
        <f t="shared" si="2"/>
        <v>24</v>
      </c>
      <c r="B32" s="33">
        <f t="shared" si="3"/>
        <v>12</v>
      </c>
      <c r="C32" s="30" t="b">
        <f>AND(VaBenefits[[#This Row],[timeFromValuation]]&gt;=ACT,VaBenefits[[#This Row],[Assumed Contract Value ]]&gt;0)</f>
        <v>0</v>
      </c>
      <c r="D32" s="34">
        <f t="shared" si="0"/>
        <v>0</v>
      </c>
      <c r="E32" s="34">
        <f>IF(Use_Base_Case, AP32,IF(VaBenefits[[#This Row],[Is Anniversary?]],WithAmt,0))</f>
        <v>0</v>
      </c>
      <c r="F32" s="34">
        <f t="shared" si="1"/>
        <v>0</v>
      </c>
      <c r="G32" s="100">
        <f>ROUND($G$8+VaBenefits[[#This Row],[timeFromValuation]],0)</f>
        <v>67</v>
      </c>
      <c r="H32" s="21">
        <f>ROUND($H$8+VaBenefits[[#This Row],[timeFromValuation]],0)</f>
        <v>77</v>
      </c>
      <c r="I32" s="28" t="b">
        <f>VaBenefits[[#This Row],[Withdrawal Taken  ]]&gt;0</f>
        <v>0</v>
      </c>
      <c r="J32" s="45">
        <f>IF(AND(NOT(VaBenefits[[#This Row],[Is Activation]]),VaBenefits[[#This Row],[Assumed Contract Value ]]&gt;0),VaBenefits[[#This Row],[Withdrawal Taken  ]]/VaBenefits[[#This Row],[Assumed Contract Value ]],0)</f>
        <v>0</v>
      </c>
      <c r="K3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2" s="28" t="b">
        <f>AND(VaBenefits[[#This Row],[Is Activation]],SUMIFS($E$8:$E32,$C$8:$C32,TRUE)&gt;0)</f>
        <v>0</v>
      </c>
      <c r="M3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2" s="35" t="b">
        <f>IF(VaBenefits[[#This Row],[timeFromValuation]]=0,0, MOD(VaBenefits[[#This Row],[timeFromValuation]],1)=0)</f>
        <v>1</v>
      </c>
      <c r="O32" s="7">
        <f>IF(VaBenefits[[#This Row],[Is Anniversary?]]=TRUE,VaBenefits[[#This Row],[Assumed Contract Value ]],0)</f>
        <v>0</v>
      </c>
      <c r="P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2" s="7" t="b">
        <f>VaBenefits[[#This Row],[Assumed Contract Value ]]&lt;0.1</f>
        <v>1</v>
      </c>
      <c r="R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2" s="7">
        <f ca="1">IF(AND(VaBenefits[[#This Row],[Is Activation]]=FALSE,VaBenefits[[#This Row],[Is Anniversary?]]=TRUE),OFFSET( VaBenefits[[#This Row],[Income Credit Base]],-1,0)*ICP,0)</f>
        <v>0</v>
      </c>
      <c r="T32" s="5">
        <f>IF(VaBenefits[[#This Row],[Assumed Contract Value ]]&gt;0,VaBenefits[[#This Row],[Income Base]]*MAWA,0)</f>
        <v>0</v>
      </c>
      <c r="U32" s="99">
        <f ca="1">IF(AND(VaBenefits[[#This Row],[Has Income Credit]],VaBenefits[[#This Row],[Is Anniversary?]],VaBenefits[[#This Row],[Joint Mortality tPxy for the partial year]]),VaBenefits[[#This Row],[Income Base]]*PIP,0)</f>
        <v>12026.006800536559</v>
      </c>
      <c r="V32" s="9">
        <f>1/(1+InterestRate)^VaBenefits[[#This Row],[timeFromValuation]]</f>
        <v>0.5568374181775595</v>
      </c>
      <c r="W32" s="94">
        <f>VaBenefits[[#This Row],[timeFromValuation]]</f>
        <v>12</v>
      </c>
      <c r="X32" s="95">
        <f>IF(($G$8+VaBenefits[[#This Row],[timeFromValuation]])&lt;=120,VLOOKUP(G32,Table2[],Qx!L$6,FALSE),0)</f>
        <v>0.99296099999999998</v>
      </c>
      <c r="Y32" s="95">
        <f>IF(($H$8+VaBenefits[[#This Row],[timeFromValuation]])&lt;=120,VLOOKUP(H32,Table2[],Qx!M$6,FALSE),0)</f>
        <v>0.97645999999999999</v>
      </c>
      <c r="Z32" s="95">
        <f>PRODUCT($X$8:$X32)</f>
        <v>0.89875257718780543</v>
      </c>
      <c r="AA32" s="95">
        <f>PRODUCT($Y$8:$Y32)</f>
        <v>0.70317734636433848</v>
      </c>
      <c r="AB32" s="95">
        <f>VaBenefits[[#This Row],[Primary Annuitant Px]]+VaBenefits[[#This Row],[Secondary Annuitant Py]]-VaBenefits[[#This Row],[Primary Annuitant Px]]*VaBenefits[[#This Row],[Secondary Annuitant Py]]</f>
        <v>0.99983430194000011</v>
      </c>
      <c r="AC32" s="95">
        <f>PRODUCT($AB$8:$AB32)</f>
        <v>0.99831900234519988</v>
      </c>
      <c r="AD32" s="101">
        <f ca="1">PV(1.03,20,-AD30)</f>
        <v>11335.64876040514</v>
      </c>
    </row>
    <row r="33" spans="1:30" x14ac:dyDescent="0.3">
      <c r="A33" s="35">
        <f t="shared" si="2"/>
        <v>25</v>
      </c>
      <c r="B33" s="33">
        <f t="shared" si="3"/>
        <v>12.5</v>
      </c>
      <c r="C33" s="30" t="b">
        <f>AND(VaBenefits[[#This Row],[timeFromValuation]]&gt;=ACT,VaBenefits[[#This Row],[Assumed Contract Value ]]&gt;0)</f>
        <v>0</v>
      </c>
      <c r="D33" s="34">
        <f t="shared" si="0"/>
        <v>0</v>
      </c>
      <c r="E33" s="34">
        <f>IF(Use_Base_Case, AP33,IF(VaBenefits[[#This Row],[Is Anniversary?]],WithAmt,0))</f>
        <v>0</v>
      </c>
      <c r="F33" s="34">
        <f t="shared" si="1"/>
        <v>0</v>
      </c>
      <c r="G33" s="100">
        <f>ROUND($G$8+VaBenefits[[#This Row],[timeFromValuation]],0)</f>
        <v>68</v>
      </c>
      <c r="H33" s="21">
        <f>ROUND($H$8+VaBenefits[[#This Row],[timeFromValuation]],0)</f>
        <v>78</v>
      </c>
      <c r="I33" s="28" t="b">
        <f>VaBenefits[[#This Row],[Withdrawal Taken  ]]&gt;0</f>
        <v>0</v>
      </c>
      <c r="J33" s="45">
        <f>IF(AND(NOT(VaBenefits[[#This Row],[Is Activation]]),VaBenefits[[#This Row],[Assumed Contract Value ]]&gt;0),VaBenefits[[#This Row],[Withdrawal Taken  ]]/VaBenefits[[#This Row],[Assumed Contract Value ]],0)</f>
        <v>0</v>
      </c>
      <c r="K3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3" s="28" t="b">
        <f>AND(VaBenefits[[#This Row],[Is Activation]],SUMIFS($E$8:$E33,$C$8:$C33,TRUE)&gt;0)</f>
        <v>0</v>
      </c>
      <c r="M3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3" s="35" t="b">
        <f>IF(VaBenefits[[#This Row],[timeFromValuation]]=0,0, MOD(VaBenefits[[#This Row],[timeFromValuation]],1)=0)</f>
        <v>0</v>
      </c>
      <c r="O33" s="7">
        <f>IF(VaBenefits[[#This Row],[Is Anniversary?]]=TRUE,VaBenefits[[#This Row],[Assumed Contract Value ]],0)</f>
        <v>0</v>
      </c>
      <c r="P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3" s="7" t="b">
        <f>VaBenefits[[#This Row],[Assumed Contract Value ]]&lt;0.1</f>
        <v>1</v>
      </c>
      <c r="R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3" s="7">
        <f ca="1">IF(AND(VaBenefits[[#This Row],[Is Activation]]=FALSE,VaBenefits[[#This Row],[Is Anniversary?]]=TRUE),OFFSET( VaBenefits[[#This Row],[Income Credit Base]],-1,0)*ICP,0)</f>
        <v>0</v>
      </c>
      <c r="T33" s="5">
        <f>IF(VaBenefits[[#This Row],[Assumed Contract Value ]]&gt;0,VaBenefits[[#This Row],[Income Base]]*MAWA,0)</f>
        <v>0</v>
      </c>
      <c r="U33" s="99">
        <f>IF(AND(VaBenefits[[#This Row],[Has Income Credit]],VaBenefits[[#This Row],[Is Anniversary?]],VaBenefits[[#This Row],[Joint Mortality tPxy for the partial year]]),VaBenefits[[#This Row],[Income Base]]*PIP,0)</f>
        <v>0</v>
      </c>
      <c r="V33" s="9">
        <f>1/(1+InterestRate)^VaBenefits[[#This Row],[timeFromValuation]]</f>
        <v>0.54341767701995292</v>
      </c>
      <c r="W33" s="94">
        <f>VaBenefits[[#This Row],[timeFromValuation]]</f>
        <v>12.5</v>
      </c>
      <c r="X33" s="95">
        <f>IF(($G$8+VaBenefits[[#This Row],[timeFromValuation]])&lt;=120,VLOOKUP(G33,Table2[],Qx!L$6,FALSE),0)</f>
        <v>0.99237200000000003</v>
      </c>
      <c r="Y33" s="95">
        <f>IF(($H$8+VaBenefits[[#This Row],[timeFromValuation]])&lt;=120,VLOOKUP(H33,Table2[],Qx!M$6,FALSE),0)</f>
        <v>0.97362499999999996</v>
      </c>
      <c r="Z33" s="95">
        <f>PRODUCT($X$8:$X33)</f>
        <v>0.89189689252901694</v>
      </c>
      <c r="AA33" s="95">
        <f>PRODUCT($Y$8:$Y33)</f>
        <v>0.68463104385397899</v>
      </c>
      <c r="AB33" s="95">
        <f>VaBenefits[[#This Row],[Primary Annuitant Px]]+VaBenefits[[#This Row],[Secondary Annuitant Py]]-VaBenefits[[#This Row],[Primary Annuitant Px]]*VaBenefits[[#This Row],[Secondary Annuitant Py]]</f>
        <v>0.99979881150000005</v>
      </c>
      <c r="AC33" s="95">
        <f>PRODUCT($AB$8:$AB33)</f>
        <v>0.99811815204259657</v>
      </c>
      <c r="AD33" s="101">
        <f t="shared" ref="AD33:AD96" si="16">PV(1.03,20,-AD31)</f>
        <v>0</v>
      </c>
    </row>
    <row r="34" spans="1:30" x14ac:dyDescent="0.3">
      <c r="A34" s="35">
        <f t="shared" si="2"/>
        <v>26</v>
      </c>
      <c r="B34" s="33">
        <f t="shared" si="3"/>
        <v>13</v>
      </c>
      <c r="C34" s="30" t="b">
        <f>AND(VaBenefits[[#This Row],[timeFromValuation]]&gt;=ACT,VaBenefits[[#This Row],[Assumed Contract Value ]]&gt;0)</f>
        <v>0</v>
      </c>
      <c r="D34" s="34">
        <f t="shared" si="0"/>
        <v>0</v>
      </c>
      <c r="E34" s="34">
        <f>IF(Use_Base_Case, AP34,IF(VaBenefits[[#This Row],[Is Anniversary?]],WithAmt,0))</f>
        <v>0</v>
      </c>
      <c r="F34" s="34">
        <f t="shared" si="1"/>
        <v>0</v>
      </c>
      <c r="G34" s="100">
        <f>ROUND($G$8+VaBenefits[[#This Row],[timeFromValuation]],0)</f>
        <v>68</v>
      </c>
      <c r="H34" s="21">
        <f>ROUND($H$8+VaBenefits[[#This Row],[timeFromValuation]],0)</f>
        <v>78</v>
      </c>
      <c r="I34" s="28" t="b">
        <f>VaBenefits[[#This Row],[Withdrawal Taken  ]]&gt;0</f>
        <v>0</v>
      </c>
      <c r="J34" s="45">
        <f>IF(AND(NOT(VaBenefits[[#This Row],[Is Activation]]),VaBenefits[[#This Row],[Assumed Contract Value ]]&gt;0),VaBenefits[[#This Row],[Withdrawal Taken  ]]/VaBenefits[[#This Row],[Assumed Contract Value ]],0)</f>
        <v>0</v>
      </c>
      <c r="K3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4" s="28" t="b">
        <f>AND(VaBenefits[[#This Row],[Is Activation]],SUMIFS($E$8:$E34,$C$8:$C34,TRUE)&gt;0)</f>
        <v>0</v>
      </c>
      <c r="M3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4" s="35" t="b">
        <f>IF(VaBenefits[[#This Row],[timeFromValuation]]=0,0, MOD(VaBenefits[[#This Row],[timeFromValuation]],1)=0)</f>
        <v>1</v>
      </c>
      <c r="O34" s="7">
        <f>IF(VaBenefits[[#This Row],[Is Anniversary?]]=TRUE,VaBenefits[[#This Row],[Assumed Contract Value ]],0)</f>
        <v>0</v>
      </c>
      <c r="P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4" s="7" t="b">
        <f>VaBenefits[[#This Row],[Assumed Contract Value ]]&lt;0.1</f>
        <v>1</v>
      </c>
      <c r="R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4" s="7">
        <f ca="1">IF(AND(VaBenefits[[#This Row],[Is Activation]]=FALSE,VaBenefits[[#This Row],[Is Anniversary?]]=TRUE),OFFSET( VaBenefits[[#This Row],[Income Credit Base]],-1,0)*ICP,0)</f>
        <v>0</v>
      </c>
      <c r="T34" s="5">
        <f>IF(VaBenefits[[#This Row],[Assumed Contract Value ]]&gt;0,VaBenefits[[#This Row],[Income Base]]*MAWA,0)</f>
        <v>0</v>
      </c>
      <c r="U34" s="99">
        <f ca="1">IF(AND(VaBenefits[[#This Row],[Has Income Credit]],VaBenefits[[#This Row],[Is Anniversary?]],VaBenefits[[#This Row],[Joint Mortality tPxy for the partial year]]),VaBenefits[[#This Row],[Income Base]]*PIP,0)</f>
        <v>12026.006800536559</v>
      </c>
      <c r="V34" s="9">
        <f>1/(1+InterestRate)^VaBenefits[[#This Row],[timeFromValuation]]</f>
        <v>0.53032135064529462</v>
      </c>
      <c r="W34" s="94">
        <f>VaBenefits[[#This Row],[timeFromValuation]]</f>
        <v>13</v>
      </c>
      <c r="X34" s="95">
        <f>IF(($G$8+VaBenefits[[#This Row],[timeFromValuation]])&lt;=120,VLOOKUP(G34,Table2[],Qx!L$6,FALSE),0)</f>
        <v>0.99237200000000003</v>
      </c>
      <c r="Y34" s="95">
        <f>IF(($H$8+VaBenefits[[#This Row],[timeFromValuation]])&lt;=120,VLOOKUP(H34,Table2[],Qx!M$6,FALSE),0)</f>
        <v>0.97362499999999996</v>
      </c>
      <c r="Z34" s="95">
        <f>PRODUCT($X$8:$X34)</f>
        <v>0.88509350303280565</v>
      </c>
      <c r="AA34" s="95">
        <f>PRODUCT($Y$8:$Y34)</f>
        <v>0.66657390007233031</v>
      </c>
      <c r="AB34" s="95">
        <f>VaBenefits[[#This Row],[Primary Annuitant Px]]+VaBenefits[[#This Row],[Secondary Annuitant Py]]-VaBenefits[[#This Row],[Primary Annuitant Px]]*VaBenefits[[#This Row],[Secondary Annuitant Py]]</f>
        <v>0.99979881150000005</v>
      </c>
      <c r="AC34" s="95">
        <f>PRODUCT($AB$8:$AB34)</f>
        <v>0.99791734214876437</v>
      </c>
      <c r="AD34" s="101">
        <f t="shared" ca="1" si="16"/>
        <v>11005.476440695145</v>
      </c>
    </row>
    <row r="35" spans="1:30" x14ac:dyDescent="0.3">
      <c r="A35" s="35">
        <f t="shared" si="2"/>
        <v>27</v>
      </c>
      <c r="B35" s="33">
        <f t="shared" si="3"/>
        <v>13.5</v>
      </c>
      <c r="C35" s="30" t="b">
        <f>AND(VaBenefits[[#This Row],[timeFromValuation]]&gt;=ACT,VaBenefits[[#This Row],[Assumed Contract Value ]]&gt;0)</f>
        <v>0</v>
      </c>
      <c r="D35" s="34">
        <f t="shared" si="0"/>
        <v>0</v>
      </c>
      <c r="E35" s="34">
        <f>IF(Use_Base_Case, AP35,IF(VaBenefits[[#This Row],[Is Anniversary?]],WithAmt,0))</f>
        <v>0</v>
      </c>
      <c r="F35" s="34">
        <f t="shared" si="1"/>
        <v>0</v>
      </c>
      <c r="G35" s="100">
        <f>ROUND($G$8+VaBenefits[[#This Row],[timeFromValuation]],0)</f>
        <v>69</v>
      </c>
      <c r="H35" s="21">
        <f>ROUND($H$8+VaBenefits[[#This Row],[timeFromValuation]],0)</f>
        <v>79</v>
      </c>
      <c r="I35" s="28" t="b">
        <f>VaBenefits[[#This Row],[Withdrawal Taken  ]]&gt;0</f>
        <v>0</v>
      </c>
      <c r="J35" s="45">
        <f>IF(AND(NOT(VaBenefits[[#This Row],[Is Activation]]),VaBenefits[[#This Row],[Assumed Contract Value ]]&gt;0),VaBenefits[[#This Row],[Withdrawal Taken  ]]/VaBenefits[[#This Row],[Assumed Contract Value ]],0)</f>
        <v>0</v>
      </c>
      <c r="K3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5" s="28" t="b">
        <f>AND(VaBenefits[[#This Row],[Is Activation]],SUMIFS($E$8:$E35,$C$8:$C35,TRUE)&gt;0)</f>
        <v>0</v>
      </c>
      <c r="M3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5" s="35" t="b">
        <f>IF(VaBenefits[[#This Row],[timeFromValuation]]=0,0, MOD(VaBenefits[[#This Row],[timeFromValuation]],1)=0)</f>
        <v>0</v>
      </c>
      <c r="O35" s="7">
        <f>IF(VaBenefits[[#This Row],[Is Anniversary?]]=TRUE,VaBenefits[[#This Row],[Assumed Contract Value ]],0)</f>
        <v>0</v>
      </c>
      <c r="P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5" s="7" t="b">
        <f>VaBenefits[[#This Row],[Assumed Contract Value ]]&lt;0.1</f>
        <v>1</v>
      </c>
      <c r="R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5" s="7">
        <f ca="1">IF(AND(VaBenefits[[#This Row],[Is Activation]]=FALSE,VaBenefits[[#This Row],[Is Anniversary?]]=TRUE),OFFSET( VaBenefits[[#This Row],[Income Credit Base]],-1,0)*ICP,0)</f>
        <v>0</v>
      </c>
      <c r="T35" s="5">
        <f>IF(VaBenefits[[#This Row],[Assumed Contract Value ]]&gt;0,VaBenefits[[#This Row],[Income Base]]*MAWA,0)</f>
        <v>0</v>
      </c>
      <c r="U35" s="99">
        <f>IF(AND(VaBenefits[[#This Row],[Has Income Credit]],VaBenefits[[#This Row],[Is Anniversary?]],VaBenefits[[#This Row],[Joint Mortality tPxy for the partial year]]),VaBenefits[[#This Row],[Income Base]]*PIP,0)</f>
        <v>0</v>
      </c>
      <c r="V35" s="9">
        <f>1/(1+InterestRate)^VaBenefits[[#This Row],[timeFromValuation]]</f>
        <v>0.51754064478090755</v>
      </c>
      <c r="W35" s="94">
        <f>VaBenefits[[#This Row],[timeFromValuation]]</f>
        <v>13.5</v>
      </c>
      <c r="X35" s="95">
        <f>IF(($G$8+VaBenefits[[#This Row],[timeFromValuation]])&lt;=120,VLOOKUP(G35,Table2[],Qx!L$6,FALSE),0)</f>
        <v>0.99168900000000004</v>
      </c>
      <c r="Y35" s="95">
        <f>IF(($H$8+VaBenefits[[#This Row],[timeFromValuation]])&lt;=120,VLOOKUP(H35,Table2[],Qx!M$6,FALSE),0)</f>
        <v>0.97042799999999996</v>
      </c>
      <c r="Z35" s="95">
        <f>PRODUCT($X$8:$X35)</f>
        <v>0.87773749092910003</v>
      </c>
      <c r="AA35" s="95">
        <f>PRODUCT($Y$8:$Y35)</f>
        <v>0.64686197669939127</v>
      </c>
      <c r="AB35" s="95">
        <f>VaBenefits[[#This Row],[Primary Annuitant Px]]+VaBenefits[[#This Row],[Secondary Annuitant Py]]-VaBenefits[[#This Row],[Primary Annuitant Px]]*VaBenefits[[#This Row],[Secondary Annuitant Py]]</f>
        <v>0.9997542271080001</v>
      </c>
      <c r="AC35" s="95">
        <f>PRODUCT($AB$8:$AB35)</f>
        <v>0.99767208111760763</v>
      </c>
      <c r="AD35" s="101">
        <f t="shared" si="16"/>
        <v>0</v>
      </c>
    </row>
    <row r="36" spans="1:30" x14ac:dyDescent="0.3">
      <c r="A36" s="35">
        <f t="shared" si="2"/>
        <v>28</v>
      </c>
      <c r="B36" s="33">
        <f t="shared" si="3"/>
        <v>14</v>
      </c>
      <c r="C36" s="30" t="b">
        <f>AND(VaBenefits[[#This Row],[timeFromValuation]]&gt;=ACT,VaBenefits[[#This Row],[Assumed Contract Value ]]&gt;0)</f>
        <v>0</v>
      </c>
      <c r="D36" s="34">
        <f t="shared" si="0"/>
        <v>0</v>
      </c>
      <c r="E36" s="34">
        <f>IF(Use_Base_Case, AP36,IF(VaBenefits[[#This Row],[Is Anniversary?]],WithAmt,0))</f>
        <v>0</v>
      </c>
      <c r="F36" s="34">
        <f t="shared" si="1"/>
        <v>0</v>
      </c>
      <c r="G36" s="100">
        <f>ROUND($G$8+VaBenefits[[#This Row],[timeFromValuation]],0)</f>
        <v>69</v>
      </c>
      <c r="H36" s="21">
        <f>ROUND($H$8+VaBenefits[[#This Row],[timeFromValuation]],0)</f>
        <v>79</v>
      </c>
      <c r="I36" s="28" t="b">
        <f>VaBenefits[[#This Row],[Withdrawal Taken  ]]&gt;0</f>
        <v>0</v>
      </c>
      <c r="J36" s="45">
        <f>IF(AND(NOT(VaBenefits[[#This Row],[Is Activation]]),VaBenefits[[#This Row],[Assumed Contract Value ]]&gt;0),VaBenefits[[#This Row],[Withdrawal Taken  ]]/VaBenefits[[#This Row],[Assumed Contract Value ]],0)</f>
        <v>0</v>
      </c>
      <c r="K3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6" s="28" t="b">
        <f>AND(VaBenefits[[#This Row],[Is Activation]],SUMIFS($E$8:$E36,$C$8:$C36,TRUE)&gt;0)</f>
        <v>0</v>
      </c>
      <c r="M3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6" s="35" t="b">
        <f>IF(VaBenefits[[#This Row],[timeFromValuation]]=0,0, MOD(VaBenefits[[#This Row],[timeFromValuation]],1)=0)</f>
        <v>1</v>
      </c>
      <c r="O36" s="7">
        <f>IF(VaBenefits[[#This Row],[Is Anniversary?]]=TRUE,VaBenefits[[#This Row],[Assumed Contract Value ]],0)</f>
        <v>0</v>
      </c>
      <c r="P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6" s="7" t="b">
        <f>VaBenefits[[#This Row],[Assumed Contract Value ]]&lt;0.1</f>
        <v>1</v>
      </c>
      <c r="R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6" s="7">
        <f ca="1">IF(AND(VaBenefits[[#This Row],[Is Activation]]=FALSE,VaBenefits[[#This Row],[Is Anniversary?]]=TRUE),OFFSET( VaBenefits[[#This Row],[Income Credit Base]],-1,0)*ICP,0)</f>
        <v>0</v>
      </c>
      <c r="T36" s="5">
        <f>IF(VaBenefits[[#This Row],[Assumed Contract Value ]]&gt;0,VaBenefits[[#This Row],[Income Base]]*MAWA,0)</f>
        <v>0</v>
      </c>
      <c r="U36" s="99">
        <f ca="1">IF(AND(VaBenefits[[#This Row],[Has Income Credit]],VaBenefits[[#This Row],[Is Anniversary?]],VaBenefits[[#This Row],[Joint Mortality tPxy for the partial year]]),VaBenefits[[#This Row],[Income Base]]*PIP,0)</f>
        <v>12026.006800536559</v>
      </c>
      <c r="V36" s="9">
        <f>1/(1+InterestRate)^VaBenefits[[#This Row],[timeFromValuation]]</f>
        <v>0.50506795299551888</v>
      </c>
      <c r="W36" s="94">
        <f>VaBenefits[[#This Row],[timeFromValuation]]</f>
        <v>14</v>
      </c>
      <c r="X36" s="95">
        <f>IF(($G$8+VaBenefits[[#This Row],[timeFromValuation]])&lt;=120,VLOOKUP(G36,Table2[],Qx!L$6,FALSE),0)</f>
        <v>0.99168900000000004</v>
      </c>
      <c r="Y36" s="95">
        <f>IF(($H$8+VaBenefits[[#This Row],[timeFromValuation]])&lt;=120,VLOOKUP(H36,Table2[],Qx!M$6,FALSE),0)</f>
        <v>0.97042799999999996</v>
      </c>
      <c r="Z36" s="95">
        <f>PRODUCT($X$8:$X36)</f>
        <v>0.87044261464198835</v>
      </c>
      <c r="AA36" s="95">
        <f>PRODUCT($Y$8:$Y36)</f>
        <v>0.62773297432443687</v>
      </c>
      <c r="AB36" s="95">
        <f>VaBenefits[[#This Row],[Primary Annuitant Px]]+VaBenefits[[#This Row],[Secondary Annuitant Py]]-VaBenefits[[#This Row],[Primary Annuitant Px]]*VaBenefits[[#This Row],[Secondary Annuitant Py]]</f>
        <v>0.9997542271080001</v>
      </c>
      <c r="AC36" s="95">
        <f>PRODUCT($AB$8:$AB36)</f>
        <v>0.99742688036496385</v>
      </c>
      <c r="AD36" s="101">
        <f t="shared" ca="1" si="16"/>
        <v>10684.9210174687</v>
      </c>
    </row>
    <row r="37" spans="1:30" x14ac:dyDescent="0.3">
      <c r="A37" s="35">
        <f t="shared" si="2"/>
        <v>29</v>
      </c>
      <c r="B37" s="33">
        <f t="shared" si="3"/>
        <v>14.5</v>
      </c>
      <c r="C37" s="30" t="b">
        <f>AND(VaBenefits[[#This Row],[timeFromValuation]]&gt;=ACT,VaBenefits[[#This Row],[Assumed Contract Value ]]&gt;0)</f>
        <v>0</v>
      </c>
      <c r="D37" s="34">
        <f t="shared" si="0"/>
        <v>0</v>
      </c>
      <c r="E37" s="34">
        <f>IF(Use_Base_Case, AP37,IF(VaBenefits[[#This Row],[Is Anniversary?]],WithAmt,0))</f>
        <v>0</v>
      </c>
      <c r="F37" s="34">
        <f t="shared" si="1"/>
        <v>0</v>
      </c>
      <c r="G37" s="100">
        <f>ROUND($G$8+VaBenefits[[#This Row],[timeFromValuation]],0)</f>
        <v>70</v>
      </c>
      <c r="H37" s="21">
        <f>ROUND($H$8+VaBenefits[[#This Row],[timeFromValuation]],0)</f>
        <v>80</v>
      </c>
      <c r="I37" s="28" t="b">
        <f>VaBenefits[[#This Row],[Withdrawal Taken  ]]&gt;0</f>
        <v>0</v>
      </c>
      <c r="J37" s="45">
        <f>IF(AND(NOT(VaBenefits[[#This Row],[Is Activation]]),VaBenefits[[#This Row],[Assumed Contract Value ]]&gt;0),VaBenefits[[#This Row],[Withdrawal Taken  ]]/VaBenefits[[#This Row],[Assumed Contract Value ]],0)</f>
        <v>0</v>
      </c>
      <c r="K3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7" s="28" t="b">
        <f>AND(VaBenefits[[#This Row],[Is Activation]],SUMIFS($E$8:$E37,$C$8:$C37,TRUE)&gt;0)</f>
        <v>0</v>
      </c>
      <c r="M3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7" s="35" t="b">
        <f>IF(VaBenefits[[#This Row],[timeFromValuation]]=0,0, MOD(VaBenefits[[#This Row],[timeFromValuation]],1)=0)</f>
        <v>0</v>
      </c>
      <c r="O37" s="7">
        <f>IF(VaBenefits[[#This Row],[Is Anniversary?]]=TRUE,VaBenefits[[#This Row],[Assumed Contract Value ]],0)</f>
        <v>0</v>
      </c>
      <c r="P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7" s="7" t="b">
        <f>VaBenefits[[#This Row],[Assumed Contract Value ]]&lt;0.1</f>
        <v>1</v>
      </c>
      <c r="R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7" s="7">
        <f ca="1">IF(AND(VaBenefits[[#This Row],[Is Activation]]=FALSE,VaBenefits[[#This Row],[Is Anniversary?]]=TRUE),OFFSET( VaBenefits[[#This Row],[Income Credit Base]],-1,0)*ICP,0)</f>
        <v>0</v>
      </c>
      <c r="T37" s="5">
        <f>IF(VaBenefits[[#This Row],[Assumed Contract Value ]]&gt;0,VaBenefits[[#This Row],[Income Base]]*MAWA,0)</f>
        <v>0</v>
      </c>
      <c r="U37" s="99">
        <f>IF(AND(VaBenefits[[#This Row],[Has Income Credit]],VaBenefits[[#This Row],[Is Anniversary?]],VaBenefits[[#This Row],[Joint Mortality tPxy for the partial year]]),VaBenefits[[#This Row],[Income Base]]*PIP,0)</f>
        <v>0</v>
      </c>
      <c r="V37" s="9">
        <f>1/(1+InterestRate)^VaBenefits[[#This Row],[timeFromValuation]]</f>
        <v>0.49289585217229281</v>
      </c>
      <c r="W37" s="94">
        <f>VaBenefits[[#This Row],[timeFromValuation]]</f>
        <v>14.5</v>
      </c>
      <c r="X37" s="95">
        <f>IF(($G$8+VaBenefits[[#This Row],[timeFromValuation]])&lt;=120,VLOOKUP(G37,Table2[],Qx!L$6,FALSE),0)</f>
        <v>0.99092599999999997</v>
      </c>
      <c r="Y37" s="95">
        <f>IF(($H$8+VaBenefits[[#This Row],[timeFromValuation]])&lt;=120,VLOOKUP(H37,Table2[],Qx!M$6,FALSE),0)</f>
        <v>0.96676600000000001</v>
      </c>
      <c r="Z37" s="95">
        <f>PRODUCT($X$8:$X37)</f>
        <v>0.8625442183567269</v>
      </c>
      <c r="AA37" s="95">
        <f>PRODUCT($Y$8:$Y37)</f>
        <v>0.60687089665573857</v>
      </c>
      <c r="AB37" s="95">
        <f>VaBenefits[[#This Row],[Primary Annuitant Px]]+VaBenefits[[#This Row],[Secondary Annuitant Py]]-VaBenefits[[#This Row],[Primary Annuitant Px]]*VaBenefits[[#This Row],[Secondary Annuitant Py]]</f>
        <v>0.99969843468399999</v>
      </c>
      <c r="AC37" s="95">
        <f>PRODUCT($AB$8:$AB37)</f>
        <v>0.99712609101259964</v>
      </c>
      <c r="AD37" s="101">
        <f t="shared" si="16"/>
        <v>0</v>
      </c>
    </row>
    <row r="38" spans="1:30" x14ac:dyDescent="0.3">
      <c r="A38" s="35">
        <f t="shared" si="2"/>
        <v>30</v>
      </c>
      <c r="B38" s="33">
        <f t="shared" si="3"/>
        <v>15</v>
      </c>
      <c r="C38" s="30" t="b">
        <f>AND(VaBenefits[[#This Row],[timeFromValuation]]&gt;=ACT,VaBenefits[[#This Row],[Assumed Contract Value ]]&gt;0)</f>
        <v>0</v>
      </c>
      <c r="D38" s="34">
        <f t="shared" si="0"/>
        <v>0</v>
      </c>
      <c r="E38" s="34">
        <f>IF(Use_Base_Case, AP38,IF(VaBenefits[[#This Row],[Is Anniversary?]],WithAmt,0))</f>
        <v>0</v>
      </c>
      <c r="F38" s="34">
        <f t="shared" si="1"/>
        <v>0</v>
      </c>
      <c r="G38" s="100">
        <f>ROUND($G$8+VaBenefits[[#This Row],[timeFromValuation]],0)</f>
        <v>70</v>
      </c>
      <c r="H38" s="21">
        <f>ROUND($H$8+VaBenefits[[#This Row],[timeFromValuation]],0)</f>
        <v>80</v>
      </c>
      <c r="I38" s="28" t="b">
        <f>VaBenefits[[#This Row],[Withdrawal Taken  ]]&gt;0</f>
        <v>0</v>
      </c>
      <c r="J38" s="45">
        <f>IF(AND(NOT(VaBenefits[[#This Row],[Is Activation]]),VaBenefits[[#This Row],[Assumed Contract Value ]]&gt;0),VaBenefits[[#This Row],[Withdrawal Taken  ]]/VaBenefits[[#This Row],[Assumed Contract Value ]],0)</f>
        <v>0</v>
      </c>
      <c r="K3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8" s="28" t="b">
        <f>AND(VaBenefits[[#This Row],[Is Activation]],SUMIFS($E$8:$E38,$C$8:$C38,TRUE)&gt;0)</f>
        <v>0</v>
      </c>
      <c r="M3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8" s="35" t="b">
        <f>IF(VaBenefits[[#This Row],[timeFromValuation]]=0,0, MOD(VaBenefits[[#This Row],[timeFromValuation]],1)=0)</f>
        <v>1</v>
      </c>
      <c r="O38" s="7">
        <f>IF(VaBenefits[[#This Row],[Is Anniversary?]]=TRUE,VaBenefits[[#This Row],[Assumed Contract Value ]],0)</f>
        <v>0</v>
      </c>
      <c r="P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8" s="7" t="b">
        <f>VaBenefits[[#This Row],[Assumed Contract Value ]]&lt;0.1</f>
        <v>1</v>
      </c>
      <c r="R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8" s="7">
        <f ca="1">IF(AND(VaBenefits[[#This Row],[Is Activation]]=FALSE,VaBenefits[[#This Row],[Is Anniversary?]]=TRUE),OFFSET( VaBenefits[[#This Row],[Income Credit Base]],-1,0)*ICP,0)</f>
        <v>0</v>
      </c>
      <c r="T38" s="5">
        <f>IF(VaBenefits[[#This Row],[Assumed Contract Value ]]&gt;0,VaBenefits[[#This Row],[Income Base]]*MAWA,0)</f>
        <v>0</v>
      </c>
      <c r="U38" s="99">
        <f ca="1">IF(AND(VaBenefits[[#This Row],[Has Income Credit]],VaBenefits[[#This Row],[Is Anniversary?]],VaBenefits[[#This Row],[Joint Mortality tPxy for the partial year]]),VaBenefits[[#This Row],[Income Base]]*PIP,0)</f>
        <v>12026.006800536559</v>
      </c>
      <c r="V38" s="9">
        <f>1/(1+InterestRate)^VaBenefits[[#This Row],[timeFromValuation]]</f>
        <v>0.48101709809097021</v>
      </c>
      <c r="W38" s="94">
        <f>VaBenefits[[#This Row],[timeFromValuation]]</f>
        <v>15</v>
      </c>
      <c r="X38" s="95">
        <f>IF(($G$8+VaBenefits[[#This Row],[timeFromValuation]])&lt;=120,VLOOKUP(G38,Table2[],Qx!L$6,FALSE),0)</f>
        <v>0.99092599999999997</v>
      </c>
      <c r="Y38" s="95">
        <f>IF(($H$8+VaBenefits[[#This Row],[timeFromValuation]])&lt;=120,VLOOKUP(H38,Table2[],Qx!M$6,FALSE),0)</f>
        <v>0.96676600000000001</v>
      </c>
      <c r="Z38" s="95">
        <f>PRODUCT($X$8:$X38)</f>
        <v>0.85471749211935799</v>
      </c>
      <c r="AA38" s="95">
        <f>PRODUCT($Y$8:$Y38)</f>
        <v>0.58670214927628173</v>
      </c>
      <c r="AB38" s="95">
        <f>VaBenefits[[#This Row],[Primary Annuitant Px]]+VaBenefits[[#This Row],[Secondary Annuitant Py]]-VaBenefits[[#This Row],[Primary Annuitant Px]]*VaBenefits[[#This Row],[Secondary Annuitant Py]]</f>
        <v>0.99969843468399999</v>
      </c>
      <c r="AC38" s="95">
        <f>PRODUCT($AB$8:$AB38)</f>
        <v>0.9968253923678716</v>
      </c>
      <c r="AD38" s="101">
        <f t="shared" ca="1" si="16"/>
        <v>10373.702380333578</v>
      </c>
    </row>
    <row r="39" spans="1:30" x14ac:dyDescent="0.3">
      <c r="A39" s="35">
        <f t="shared" si="2"/>
        <v>31</v>
      </c>
      <c r="B39" s="33">
        <f t="shared" si="3"/>
        <v>15.5</v>
      </c>
      <c r="C39" s="30" t="b">
        <f>AND(VaBenefits[[#This Row],[timeFromValuation]]&gt;=ACT,VaBenefits[[#This Row],[Assumed Contract Value ]]&gt;0)</f>
        <v>0</v>
      </c>
      <c r="D39" s="34">
        <f t="shared" si="0"/>
        <v>0</v>
      </c>
      <c r="E39" s="34">
        <f>IF(Use_Base_Case, AP39,IF(VaBenefits[[#This Row],[Is Anniversary?]],WithAmt,0))</f>
        <v>0</v>
      </c>
      <c r="F39" s="34">
        <f t="shared" si="1"/>
        <v>0</v>
      </c>
      <c r="G39" s="100">
        <f>ROUND($G$8+VaBenefits[[#This Row],[timeFromValuation]],0)</f>
        <v>71</v>
      </c>
      <c r="H39" s="21">
        <f>ROUND($H$8+VaBenefits[[#This Row],[timeFromValuation]],0)</f>
        <v>81</v>
      </c>
      <c r="I39" s="28" t="b">
        <f>VaBenefits[[#This Row],[Withdrawal Taken  ]]&gt;0</f>
        <v>0</v>
      </c>
      <c r="J39" s="45">
        <f>IF(AND(NOT(VaBenefits[[#This Row],[Is Activation]]),VaBenefits[[#This Row],[Assumed Contract Value ]]&gt;0),VaBenefits[[#This Row],[Withdrawal Taken  ]]/VaBenefits[[#This Row],[Assumed Contract Value ]],0)</f>
        <v>0</v>
      </c>
      <c r="K3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39" s="28" t="b">
        <f>AND(VaBenefits[[#This Row],[Is Activation]],SUMIFS($E$8:$E39,$C$8:$C39,TRUE)&gt;0)</f>
        <v>0</v>
      </c>
      <c r="M3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39" s="35" t="b">
        <f>IF(VaBenefits[[#This Row],[timeFromValuation]]=0,0, MOD(VaBenefits[[#This Row],[timeFromValuation]],1)=0)</f>
        <v>0</v>
      </c>
      <c r="O39" s="7">
        <f>IF(VaBenefits[[#This Row],[Is Anniversary?]]=TRUE,VaBenefits[[#This Row],[Assumed Contract Value ]],0)</f>
        <v>0</v>
      </c>
      <c r="P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39" s="7" t="b">
        <f>VaBenefits[[#This Row],[Assumed Contract Value ]]&lt;0.1</f>
        <v>1</v>
      </c>
      <c r="R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39" s="7">
        <f ca="1">IF(AND(VaBenefits[[#This Row],[Is Activation]]=FALSE,VaBenefits[[#This Row],[Is Anniversary?]]=TRUE),OFFSET( VaBenefits[[#This Row],[Income Credit Base]],-1,0)*ICP,0)</f>
        <v>0</v>
      </c>
      <c r="T39" s="5">
        <f>IF(VaBenefits[[#This Row],[Assumed Contract Value ]]&gt;0,VaBenefits[[#This Row],[Income Base]]*MAWA,0)</f>
        <v>0</v>
      </c>
      <c r="U39" s="99">
        <f>IF(AND(VaBenefits[[#This Row],[Has Income Credit]],VaBenefits[[#This Row],[Is Anniversary?]],VaBenefits[[#This Row],[Joint Mortality tPxy for the partial year]]),VaBenefits[[#This Row],[Income Base]]*PIP,0)</f>
        <v>0</v>
      </c>
      <c r="V39" s="9">
        <f>1/(1+InterestRate)^VaBenefits[[#This Row],[timeFromValuation]]</f>
        <v>0.46942462111646938</v>
      </c>
      <c r="W39" s="94">
        <f>VaBenefits[[#This Row],[timeFromValuation]]</f>
        <v>15.5</v>
      </c>
      <c r="X39" s="95">
        <f>IF(($G$8+VaBenefits[[#This Row],[timeFromValuation]])&lt;=120,VLOOKUP(G39,Table2[],Qx!L$6,FALSE),0)</f>
        <v>0.99009000000000003</v>
      </c>
      <c r="Y39" s="95">
        <f>IF(($H$8+VaBenefits[[#This Row],[timeFromValuation]])&lt;=120,VLOOKUP(H39,Table2[],Qx!M$6,FALSE),0)</f>
        <v>0.96246699999999996</v>
      </c>
      <c r="Z39" s="95">
        <f>PRODUCT($X$8:$X39)</f>
        <v>0.84624724177245514</v>
      </c>
      <c r="AA39" s="95">
        <f>PRODUCT($Y$8:$Y39)</f>
        <v>0.56468145750749499</v>
      </c>
      <c r="AB39" s="95">
        <f>VaBenefits[[#This Row],[Primary Annuitant Px]]+VaBenefits[[#This Row],[Secondary Annuitant Py]]-VaBenefits[[#This Row],[Primary Annuitant Px]]*VaBenefits[[#This Row],[Secondary Annuitant Py]]</f>
        <v>0.99962804797000016</v>
      </c>
      <c r="AC39" s="95">
        <f>PRODUCT($AB$8:$AB39)</f>
        <v>0.99645462113962502</v>
      </c>
      <c r="AD39" s="101">
        <f t="shared" si="16"/>
        <v>0</v>
      </c>
    </row>
    <row r="40" spans="1:30" x14ac:dyDescent="0.3">
      <c r="A40" s="35">
        <f t="shared" si="2"/>
        <v>32</v>
      </c>
      <c r="B40" s="33">
        <f t="shared" si="3"/>
        <v>16</v>
      </c>
      <c r="C40" s="30" t="b">
        <f>AND(VaBenefits[[#This Row],[timeFromValuation]]&gt;=ACT,VaBenefits[[#This Row],[Assumed Contract Value ]]&gt;0)</f>
        <v>0</v>
      </c>
      <c r="D40" s="34">
        <f t="shared" ref="D40:D71" si="17">IF(Is_Issued, 0,AO40)</f>
        <v>0</v>
      </c>
      <c r="E40" s="34">
        <f>IF(Use_Base_Case, AP40,IF(VaBenefits[[#This Row],[Is Anniversary?]],WithAmt,0))</f>
        <v>0</v>
      </c>
      <c r="F40" s="34">
        <f t="shared" si="1"/>
        <v>0</v>
      </c>
      <c r="G40" s="100">
        <f>ROUND($G$8+VaBenefits[[#This Row],[timeFromValuation]],0)</f>
        <v>71</v>
      </c>
      <c r="H40" s="21">
        <f>ROUND($H$8+VaBenefits[[#This Row],[timeFromValuation]],0)</f>
        <v>81</v>
      </c>
      <c r="I40" s="28" t="b">
        <f>VaBenefits[[#This Row],[Withdrawal Taken  ]]&gt;0</f>
        <v>0</v>
      </c>
      <c r="J40" s="45">
        <f>IF(AND(NOT(VaBenefits[[#This Row],[Is Activation]]),VaBenefits[[#This Row],[Assumed Contract Value ]]&gt;0),VaBenefits[[#This Row],[Withdrawal Taken  ]]/VaBenefits[[#This Row],[Assumed Contract Value ]],0)</f>
        <v>0</v>
      </c>
      <c r="K4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0" s="28" t="b">
        <f>AND(VaBenefits[[#This Row],[Is Activation]],SUMIFS($E$8:$E40,$C$8:$C40,TRUE)&gt;0)</f>
        <v>0</v>
      </c>
      <c r="M4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0" s="35" t="b">
        <f>IF(VaBenefits[[#This Row],[timeFromValuation]]=0,0, MOD(VaBenefits[[#This Row],[timeFromValuation]],1)=0)</f>
        <v>1</v>
      </c>
      <c r="O40" s="7">
        <f>IF(VaBenefits[[#This Row],[Is Anniversary?]]=TRUE,VaBenefits[[#This Row],[Assumed Contract Value ]],0)</f>
        <v>0</v>
      </c>
      <c r="P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0" s="7" t="b">
        <f>VaBenefits[[#This Row],[Assumed Contract Value ]]&lt;0.1</f>
        <v>1</v>
      </c>
      <c r="R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0" s="7">
        <f ca="1">IF(AND(VaBenefits[[#This Row],[Is Activation]]=FALSE,VaBenefits[[#This Row],[Is Anniversary?]]=TRUE),OFFSET( VaBenefits[[#This Row],[Income Credit Base]],-1,0)*ICP,0)</f>
        <v>0</v>
      </c>
      <c r="T40" s="5">
        <f>IF(VaBenefits[[#This Row],[Assumed Contract Value ]]&gt;0,VaBenefits[[#This Row],[Income Base]]*MAWA,0)</f>
        <v>0</v>
      </c>
      <c r="U40" s="99">
        <f ca="1">IF(AND(VaBenefits[[#This Row],[Has Income Credit]],VaBenefits[[#This Row],[Is Anniversary?]],VaBenefits[[#This Row],[Joint Mortality tPxy for the partial year]]),VaBenefits[[#This Row],[Income Base]]*PIP,0)</f>
        <v>12026.006800536559</v>
      </c>
      <c r="V40" s="9">
        <f>1/(1+InterestRate)^VaBenefits[[#This Row],[timeFromValuation]]</f>
        <v>0.45811152199140021</v>
      </c>
      <c r="W40" s="94">
        <f>VaBenefits[[#This Row],[timeFromValuation]]</f>
        <v>16</v>
      </c>
      <c r="X40" s="95">
        <f>IF(($G$8+VaBenefits[[#This Row],[timeFromValuation]])&lt;=120,VLOOKUP(G40,Table2[],Qx!L$6,FALSE),0)</f>
        <v>0.99009000000000003</v>
      </c>
      <c r="Y40" s="95">
        <f>IF(($H$8+VaBenefits[[#This Row],[timeFromValuation]])&lt;=120,VLOOKUP(H40,Table2[],Qx!M$6,FALSE),0)</f>
        <v>0.96246699999999996</v>
      </c>
      <c r="Z40" s="95">
        <f>PRODUCT($X$8:$X40)</f>
        <v>0.83786093160649011</v>
      </c>
      <c r="AA40" s="95">
        <f>PRODUCT($Y$8:$Y40)</f>
        <v>0.5434872683628662</v>
      </c>
      <c r="AB40" s="95">
        <f>VaBenefits[[#This Row],[Primary Annuitant Px]]+VaBenefits[[#This Row],[Secondary Annuitant Py]]-VaBenefits[[#This Row],[Primary Annuitant Px]]*VaBenefits[[#This Row],[Secondary Annuitant Py]]</f>
        <v>0.99962804797000016</v>
      </c>
      <c r="AC40" s="95">
        <f>PRODUCT($AB$8:$AB40)</f>
        <v>0.99608398782048946</v>
      </c>
      <c r="AD40" s="101">
        <f t="shared" ca="1" si="16"/>
        <v>10071.548577645233</v>
      </c>
    </row>
    <row r="41" spans="1:30" x14ac:dyDescent="0.3">
      <c r="A41" s="35">
        <f t="shared" si="2"/>
        <v>33</v>
      </c>
      <c r="B41" s="33">
        <f t="shared" si="3"/>
        <v>16.5</v>
      </c>
      <c r="C41" s="30" t="b">
        <f>AND(VaBenefits[[#This Row],[timeFromValuation]]&gt;=ACT,VaBenefits[[#This Row],[Assumed Contract Value ]]&gt;0)</f>
        <v>0</v>
      </c>
      <c r="D41" s="34">
        <f t="shared" si="17"/>
        <v>0</v>
      </c>
      <c r="E41" s="34">
        <f>IF(Use_Base_Case, AP41,IF(VaBenefits[[#This Row],[Is Anniversary?]],WithAmt,0))</f>
        <v>0</v>
      </c>
      <c r="F41" s="34">
        <f t="shared" ref="F41:F72" si="18">AQ41</f>
        <v>0</v>
      </c>
      <c r="G41" s="100">
        <f>ROUND($G$8+VaBenefits[[#This Row],[timeFromValuation]],0)</f>
        <v>72</v>
      </c>
      <c r="H41" s="21">
        <f>ROUND($H$8+VaBenefits[[#This Row],[timeFromValuation]],0)</f>
        <v>82</v>
      </c>
      <c r="I41" s="28" t="b">
        <f>VaBenefits[[#This Row],[Withdrawal Taken  ]]&gt;0</f>
        <v>0</v>
      </c>
      <c r="J41" s="45">
        <f>IF(AND(NOT(VaBenefits[[#This Row],[Is Activation]]),VaBenefits[[#This Row],[Assumed Contract Value ]]&gt;0),VaBenefits[[#This Row],[Withdrawal Taken  ]]/VaBenefits[[#This Row],[Assumed Contract Value ]],0)</f>
        <v>0</v>
      </c>
      <c r="K4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1" s="28" t="b">
        <f>AND(VaBenefits[[#This Row],[Is Activation]],SUMIFS($E$8:$E41,$C$8:$C41,TRUE)&gt;0)</f>
        <v>0</v>
      </c>
      <c r="M4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1" s="35" t="b">
        <f>IF(VaBenefits[[#This Row],[timeFromValuation]]=0,0, MOD(VaBenefits[[#This Row],[timeFromValuation]],1)=0)</f>
        <v>0</v>
      </c>
      <c r="O41" s="7">
        <f>IF(VaBenefits[[#This Row],[Is Anniversary?]]=TRUE,VaBenefits[[#This Row],[Assumed Contract Value ]],0)</f>
        <v>0</v>
      </c>
      <c r="P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1" s="7" t="b">
        <f>VaBenefits[[#This Row],[Assumed Contract Value ]]&lt;0.1</f>
        <v>1</v>
      </c>
      <c r="R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1" s="7">
        <f ca="1">IF(AND(VaBenefits[[#This Row],[Is Activation]]=FALSE,VaBenefits[[#This Row],[Is Anniversary?]]=TRUE),OFFSET( VaBenefits[[#This Row],[Income Credit Base]],-1,0)*ICP,0)</f>
        <v>0</v>
      </c>
      <c r="T41" s="5">
        <f>IF(VaBenefits[[#This Row],[Assumed Contract Value ]]&gt;0,VaBenefits[[#This Row],[Income Base]]*MAWA,0)</f>
        <v>0</v>
      </c>
      <c r="U41" s="99">
        <f>IF(AND(VaBenefits[[#This Row],[Has Income Credit]],VaBenefits[[#This Row],[Is Anniversary?]],VaBenefits[[#This Row],[Joint Mortality tPxy for the partial year]]),VaBenefits[[#This Row],[Income Base]]*PIP,0)</f>
        <v>0</v>
      </c>
      <c r="V41" s="9">
        <f>1/(1+InterestRate)^VaBenefits[[#This Row],[timeFromValuation]]</f>
        <v>0.44707106772997074</v>
      </c>
      <c r="W41" s="94">
        <f>VaBenefits[[#This Row],[timeFromValuation]]</f>
        <v>16.5</v>
      </c>
      <c r="X41" s="95">
        <f>IF(($G$8+VaBenefits[[#This Row],[timeFromValuation]])&lt;=120,VLOOKUP(G41,Table2[],Qx!L$6,FALSE),0)</f>
        <v>0.98917299999999997</v>
      </c>
      <c r="Y41" s="95">
        <f>IF(($H$8+VaBenefits[[#This Row],[timeFromValuation]])&lt;=120,VLOOKUP(H41,Table2[],Qx!M$6,FALSE),0)</f>
        <v>0.95773900000000001</v>
      </c>
      <c r="Z41" s="95">
        <f>PRODUCT($X$8:$X41)</f>
        <v>0.82878941129998662</v>
      </c>
      <c r="AA41" s="95">
        <f>PRODUCT($Y$8:$Y41)</f>
        <v>0.52051895291458317</v>
      </c>
      <c r="AB41" s="95">
        <f>VaBenefits[[#This Row],[Primary Annuitant Px]]+VaBenefits[[#This Row],[Secondary Annuitant Py]]-VaBenefits[[#This Row],[Primary Annuitant Px]]*VaBenefits[[#This Row],[Secondary Annuitant Py]]</f>
        <v>0.99954244015299998</v>
      </c>
      <c r="AC41" s="95">
        <f>PRODUCT($AB$8:$AB41)</f>
        <v>0.9956282197834232</v>
      </c>
      <c r="AD41" s="101">
        <f t="shared" si="16"/>
        <v>0</v>
      </c>
    </row>
    <row r="42" spans="1:30" x14ac:dyDescent="0.3">
      <c r="A42" s="35">
        <f t="shared" si="2"/>
        <v>34</v>
      </c>
      <c r="B42" s="33">
        <f t="shared" si="3"/>
        <v>17</v>
      </c>
      <c r="C42" s="30" t="b">
        <f>AND(VaBenefits[[#This Row],[timeFromValuation]]&gt;=ACT,VaBenefits[[#This Row],[Assumed Contract Value ]]&gt;0)</f>
        <v>0</v>
      </c>
      <c r="D42" s="34">
        <f t="shared" si="17"/>
        <v>0</v>
      </c>
      <c r="E42" s="34">
        <f>IF(Use_Base_Case, AP42,IF(VaBenefits[[#This Row],[Is Anniversary?]],WithAmt,0))</f>
        <v>0</v>
      </c>
      <c r="F42" s="34">
        <f t="shared" si="18"/>
        <v>0</v>
      </c>
      <c r="G42" s="100">
        <f>ROUND($G$8+VaBenefits[[#This Row],[timeFromValuation]],0)</f>
        <v>72</v>
      </c>
      <c r="H42" s="21">
        <f>ROUND($H$8+VaBenefits[[#This Row],[timeFromValuation]],0)</f>
        <v>82</v>
      </c>
      <c r="I42" s="28" t="b">
        <f>VaBenefits[[#This Row],[Withdrawal Taken  ]]&gt;0</f>
        <v>0</v>
      </c>
      <c r="J42" s="45">
        <f>IF(AND(NOT(VaBenefits[[#This Row],[Is Activation]]),VaBenefits[[#This Row],[Assumed Contract Value ]]&gt;0),VaBenefits[[#This Row],[Withdrawal Taken  ]]/VaBenefits[[#This Row],[Assumed Contract Value ]],0)</f>
        <v>0</v>
      </c>
      <c r="K4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2" s="28" t="b">
        <f>AND(VaBenefits[[#This Row],[Is Activation]],SUMIFS($E$8:$E42,$C$8:$C42,TRUE)&gt;0)</f>
        <v>0</v>
      </c>
      <c r="M4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2" s="35" t="b">
        <f>IF(VaBenefits[[#This Row],[timeFromValuation]]=0,0, MOD(VaBenefits[[#This Row],[timeFromValuation]],1)=0)</f>
        <v>1</v>
      </c>
      <c r="O42" s="7">
        <f>IF(VaBenefits[[#This Row],[Is Anniversary?]]=TRUE,VaBenefits[[#This Row],[Assumed Contract Value ]],0)</f>
        <v>0</v>
      </c>
      <c r="P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2" s="7" t="b">
        <f>VaBenefits[[#This Row],[Assumed Contract Value ]]&lt;0.1</f>
        <v>1</v>
      </c>
      <c r="R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2" s="7">
        <f ca="1">IF(AND(VaBenefits[[#This Row],[Is Activation]]=FALSE,VaBenefits[[#This Row],[Is Anniversary?]]=TRUE),OFFSET( VaBenefits[[#This Row],[Income Credit Base]],-1,0)*ICP,0)</f>
        <v>0</v>
      </c>
      <c r="T42" s="5">
        <f>IF(VaBenefits[[#This Row],[Assumed Contract Value ]]&gt;0,VaBenefits[[#This Row],[Income Base]]*MAWA,0)</f>
        <v>0</v>
      </c>
      <c r="U42" s="99">
        <f ca="1">IF(AND(VaBenefits[[#This Row],[Has Income Credit]],VaBenefits[[#This Row],[Is Anniversary?]],VaBenefits[[#This Row],[Joint Mortality tPxy for the partial year]]),VaBenefits[[#This Row],[Income Base]]*PIP,0)</f>
        <v>12026.006800536559</v>
      </c>
      <c r="V42" s="9">
        <f>1/(1+InterestRate)^VaBenefits[[#This Row],[timeFromValuation]]</f>
        <v>0.43629668761085727</v>
      </c>
      <c r="W42" s="94">
        <f>VaBenefits[[#This Row],[timeFromValuation]]</f>
        <v>17</v>
      </c>
      <c r="X42" s="95">
        <f>IF(($G$8+VaBenefits[[#This Row],[timeFromValuation]])&lt;=120,VLOOKUP(G42,Table2[],Qx!L$6,FALSE),0)</f>
        <v>0.98917299999999997</v>
      </c>
      <c r="Y42" s="95">
        <f>IF(($H$8+VaBenefits[[#This Row],[timeFromValuation]])&lt;=120,VLOOKUP(H42,Table2[],Qx!M$6,FALSE),0)</f>
        <v>0.95773900000000001</v>
      </c>
      <c r="Z42" s="95">
        <f>PRODUCT($X$8:$X42)</f>
        <v>0.81981610834384167</v>
      </c>
      <c r="AA42" s="95">
        <f>PRODUCT($Y$8:$Y42)</f>
        <v>0.49852130144545997</v>
      </c>
      <c r="AB42" s="95">
        <f>VaBenefits[[#This Row],[Primary Annuitant Px]]+VaBenefits[[#This Row],[Secondary Annuitant Py]]-VaBenefits[[#This Row],[Primary Annuitant Px]]*VaBenefits[[#This Row],[Secondary Annuitant Py]]</f>
        <v>0.99954244015299998</v>
      </c>
      <c r="AC42" s="95">
        <f>PRODUCT($AB$8:$AB42)</f>
        <v>0.99517266028751017</v>
      </c>
      <c r="AD42" s="101">
        <f t="shared" ca="1" si="16"/>
        <v>9778.1955788677587</v>
      </c>
    </row>
    <row r="43" spans="1:30" x14ac:dyDescent="0.3">
      <c r="A43" s="35">
        <f t="shared" si="2"/>
        <v>35</v>
      </c>
      <c r="B43" s="33">
        <f t="shared" si="3"/>
        <v>17.5</v>
      </c>
      <c r="C43" s="30" t="b">
        <f>AND(VaBenefits[[#This Row],[timeFromValuation]]&gt;=ACT,VaBenefits[[#This Row],[Assumed Contract Value ]]&gt;0)</f>
        <v>0</v>
      </c>
      <c r="D43" s="34">
        <f t="shared" si="17"/>
        <v>0</v>
      </c>
      <c r="E43" s="34">
        <f>IF(Use_Base_Case, AP43,IF(VaBenefits[[#This Row],[Is Anniversary?]],WithAmt,0))</f>
        <v>0</v>
      </c>
      <c r="F43" s="34">
        <f t="shared" si="18"/>
        <v>0</v>
      </c>
      <c r="G43" s="100">
        <f>ROUND($G$8+VaBenefits[[#This Row],[timeFromValuation]],0)</f>
        <v>73</v>
      </c>
      <c r="H43" s="21">
        <f>ROUND($H$8+VaBenefits[[#This Row],[timeFromValuation]],0)</f>
        <v>83</v>
      </c>
      <c r="I43" s="28" t="b">
        <f>VaBenefits[[#This Row],[Withdrawal Taken  ]]&gt;0</f>
        <v>0</v>
      </c>
      <c r="J43" s="45">
        <f>IF(AND(NOT(VaBenefits[[#This Row],[Is Activation]]),VaBenefits[[#This Row],[Assumed Contract Value ]]&gt;0),VaBenefits[[#This Row],[Withdrawal Taken  ]]/VaBenefits[[#This Row],[Assumed Contract Value ]],0)</f>
        <v>0</v>
      </c>
      <c r="K4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3" s="28" t="b">
        <f>AND(VaBenefits[[#This Row],[Is Activation]],SUMIFS($E$8:$E43,$C$8:$C43,TRUE)&gt;0)</f>
        <v>0</v>
      </c>
      <c r="M4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3" s="35" t="b">
        <f>IF(VaBenefits[[#This Row],[timeFromValuation]]=0,0, MOD(VaBenefits[[#This Row],[timeFromValuation]],1)=0)</f>
        <v>0</v>
      </c>
      <c r="O43" s="7">
        <f>IF(VaBenefits[[#This Row],[Is Anniversary?]]=TRUE,VaBenefits[[#This Row],[Assumed Contract Value ]],0)</f>
        <v>0</v>
      </c>
      <c r="P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3" s="7" t="b">
        <f>VaBenefits[[#This Row],[Assumed Contract Value ]]&lt;0.1</f>
        <v>1</v>
      </c>
      <c r="R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3" s="7">
        <f ca="1">IF(AND(VaBenefits[[#This Row],[Is Activation]]=FALSE,VaBenefits[[#This Row],[Is Anniversary?]]=TRUE),OFFSET( VaBenefits[[#This Row],[Income Credit Base]],-1,0)*ICP,0)</f>
        <v>0</v>
      </c>
      <c r="T43" s="5">
        <f>IF(VaBenefits[[#This Row],[Assumed Contract Value ]]&gt;0,VaBenefits[[#This Row],[Income Base]]*MAWA,0)</f>
        <v>0</v>
      </c>
      <c r="U43" s="99">
        <f>IF(AND(VaBenefits[[#This Row],[Has Income Credit]],VaBenefits[[#This Row],[Is Anniversary?]],VaBenefits[[#This Row],[Joint Mortality tPxy for the partial year]]),VaBenefits[[#This Row],[Income Base]]*PIP,0)</f>
        <v>0</v>
      </c>
      <c r="V43" s="9">
        <f>1/(1+InterestRate)^VaBenefits[[#This Row],[timeFromValuation]]</f>
        <v>0.42578196926663886</v>
      </c>
      <c r="W43" s="94">
        <f>VaBenefits[[#This Row],[timeFromValuation]]</f>
        <v>17.5</v>
      </c>
      <c r="X43" s="95">
        <f>IF(($G$8+VaBenefits[[#This Row],[timeFromValuation]])&lt;=120,VLOOKUP(G43,Table2[],Qx!L$6,FALSE),0)</f>
        <v>0.98816099999999996</v>
      </c>
      <c r="Y43" s="95">
        <f>IF(($H$8+VaBenefits[[#This Row],[timeFromValuation]])&lt;=120,VLOOKUP(H43,Table2[],Qx!M$6,FALSE),0)</f>
        <v>0.95255900000000004</v>
      </c>
      <c r="Z43" s="95">
        <f>PRODUCT($X$8:$X43)</f>
        <v>0.8101103054371589</v>
      </c>
      <c r="AA43" s="95">
        <f>PRODUCT($Y$8:$Y43)</f>
        <v>0.47487095238358595</v>
      </c>
      <c r="AB43" s="95">
        <f>VaBenefits[[#This Row],[Primary Annuitant Px]]+VaBenefits[[#This Row],[Secondary Annuitant Py]]-VaBenefits[[#This Row],[Primary Annuitant Px]]*VaBenefits[[#This Row],[Secondary Annuitant Py]]</f>
        <v>0.99943834600100001</v>
      </c>
      <c r="AC43" s="95">
        <f>PRODUCT($AB$8:$AB43)</f>
        <v>0.99461371758316419</v>
      </c>
      <c r="AD43" s="101">
        <f t="shared" si="16"/>
        <v>0</v>
      </c>
    </row>
    <row r="44" spans="1:30" x14ac:dyDescent="0.3">
      <c r="A44" s="35">
        <f t="shared" si="2"/>
        <v>36</v>
      </c>
      <c r="B44" s="33">
        <f t="shared" si="3"/>
        <v>18</v>
      </c>
      <c r="C44" s="30" t="b">
        <f>AND(VaBenefits[[#This Row],[timeFromValuation]]&gt;=ACT,VaBenefits[[#This Row],[Assumed Contract Value ]]&gt;0)</f>
        <v>0</v>
      </c>
      <c r="D44" s="34">
        <f t="shared" si="17"/>
        <v>0</v>
      </c>
      <c r="E44" s="34">
        <f>IF(Use_Base_Case, AP44,IF(VaBenefits[[#This Row],[Is Anniversary?]],WithAmt,0))</f>
        <v>0</v>
      </c>
      <c r="F44" s="34">
        <f t="shared" si="18"/>
        <v>0</v>
      </c>
      <c r="G44" s="100">
        <f>ROUND($G$8+VaBenefits[[#This Row],[timeFromValuation]],0)</f>
        <v>73</v>
      </c>
      <c r="H44" s="21">
        <f>ROUND($H$8+VaBenefits[[#This Row],[timeFromValuation]],0)</f>
        <v>83</v>
      </c>
      <c r="I44" s="28" t="b">
        <f>VaBenefits[[#This Row],[Withdrawal Taken  ]]&gt;0</f>
        <v>0</v>
      </c>
      <c r="J44" s="45">
        <f>IF(AND(NOT(VaBenefits[[#This Row],[Is Activation]]),VaBenefits[[#This Row],[Assumed Contract Value ]]&gt;0),VaBenefits[[#This Row],[Withdrawal Taken  ]]/VaBenefits[[#This Row],[Assumed Contract Value ]],0)</f>
        <v>0</v>
      </c>
      <c r="K4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4" s="28" t="b">
        <f>AND(VaBenefits[[#This Row],[Is Activation]],SUMIFS($E$8:$E44,$C$8:$C44,TRUE)&gt;0)</f>
        <v>0</v>
      </c>
      <c r="M4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4" s="35" t="b">
        <f>IF(VaBenefits[[#This Row],[timeFromValuation]]=0,0, MOD(VaBenefits[[#This Row],[timeFromValuation]],1)=0)</f>
        <v>1</v>
      </c>
      <c r="O44" s="7">
        <f>IF(VaBenefits[[#This Row],[Is Anniversary?]]=TRUE,VaBenefits[[#This Row],[Assumed Contract Value ]],0)</f>
        <v>0</v>
      </c>
      <c r="P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4" s="7" t="b">
        <f>VaBenefits[[#This Row],[Assumed Contract Value ]]&lt;0.1</f>
        <v>1</v>
      </c>
      <c r="R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4" s="7">
        <f ca="1">IF(AND(VaBenefits[[#This Row],[Is Activation]]=FALSE,VaBenefits[[#This Row],[Is Anniversary?]]=TRUE),OFFSET( VaBenefits[[#This Row],[Income Credit Base]],-1,0)*ICP,0)</f>
        <v>0</v>
      </c>
      <c r="T44" s="5">
        <f>IF(VaBenefits[[#This Row],[Assumed Contract Value ]]&gt;0,VaBenefits[[#This Row],[Income Base]]*MAWA,0)</f>
        <v>0</v>
      </c>
      <c r="U44" s="99">
        <f ca="1">IF(AND(VaBenefits[[#This Row],[Has Income Credit]],VaBenefits[[#This Row],[Is Anniversary?]],VaBenefits[[#This Row],[Joint Mortality tPxy for the partial year]]),VaBenefits[[#This Row],[Income Base]]*PIP,0)</f>
        <v>12026.006800536559</v>
      </c>
      <c r="V44" s="9">
        <f>1/(1+InterestRate)^VaBenefits[[#This Row],[timeFromValuation]]</f>
        <v>0.41552065486748313</v>
      </c>
      <c r="W44" s="94">
        <f>VaBenefits[[#This Row],[timeFromValuation]]</f>
        <v>18</v>
      </c>
      <c r="X44" s="95">
        <f>IF(($G$8+VaBenefits[[#This Row],[timeFromValuation]])&lt;=120,VLOOKUP(G44,Table2[],Qx!L$6,FALSE),0)</f>
        <v>0.98816099999999996</v>
      </c>
      <c r="Y44" s="95">
        <f>IF(($H$8+VaBenefits[[#This Row],[timeFromValuation]])&lt;=120,VLOOKUP(H44,Table2[],Qx!M$6,FALSE),0)</f>
        <v>0.95255900000000004</v>
      </c>
      <c r="Z44" s="95">
        <f>PRODUCT($X$8:$X44)</f>
        <v>0.80051940953108836</v>
      </c>
      <c r="AA44" s="95">
        <f>PRODUCT($Y$8:$Y44)</f>
        <v>0.45234259953155626</v>
      </c>
      <c r="AB44" s="95">
        <f>VaBenefits[[#This Row],[Primary Annuitant Px]]+VaBenefits[[#This Row],[Secondary Annuitant Py]]-VaBenefits[[#This Row],[Primary Annuitant Px]]*VaBenefits[[#This Row],[Secondary Annuitant Py]]</f>
        <v>0.99943834600100001</v>
      </c>
      <c r="AC44" s="95">
        <f>PRODUCT($AB$8:$AB44)</f>
        <v>0.9940550888112234</v>
      </c>
      <c r="AD44" s="101">
        <f t="shared" ca="1" si="16"/>
        <v>9493.3870438565355</v>
      </c>
    </row>
    <row r="45" spans="1:30" x14ac:dyDescent="0.3">
      <c r="A45" s="35">
        <f t="shared" si="2"/>
        <v>37</v>
      </c>
      <c r="B45" s="33">
        <f t="shared" si="3"/>
        <v>18.5</v>
      </c>
      <c r="C45" s="30" t="b">
        <f>AND(VaBenefits[[#This Row],[timeFromValuation]]&gt;=ACT,VaBenefits[[#This Row],[Assumed Contract Value ]]&gt;0)</f>
        <v>0</v>
      </c>
      <c r="D45" s="34">
        <f t="shared" si="17"/>
        <v>0</v>
      </c>
      <c r="E45" s="34">
        <f>IF(Use_Base_Case, AP45,IF(VaBenefits[[#This Row],[Is Anniversary?]],WithAmt,0))</f>
        <v>0</v>
      </c>
      <c r="F45" s="34">
        <f t="shared" si="18"/>
        <v>0</v>
      </c>
      <c r="G45" s="100">
        <f>ROUND($G$8+VaBenefits[[#This Row],[timeFromValuation]],0)</f>
        <v>74</v>
      </c>
      <c r="H45" s="21">
        <f>ROUND($H$8+VaBenefits[[#This Row],[timeFromValuation]],0)</f>
        <v>84</v>
      </c>
      <c r="I45" s="28" t="b">
        <f>VaBenefits[[#This Row],[Withdrawal Taken  ]]&gt;0</f>
        <v>0</v>
      </c>
      <c r="J45" s="45">
        <f>IF(AND(NOT(VaBenefits[[#This Row],[Is Activation]]),VaBenefits[[#This Row],[Assumed Contract Value ]]&gt;0),VaBenefits[[#This Row],[Withdrawal Taken  ]]/VaBenefits[[#This Row],[Assumed Contract Value ]],0)</f>
        <v>0</v>
      </c>
      <c r="K4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5" s="28" t="b">
        <f>AND(VaBenefits[[#This Row],[Is Activation]],SUMIFS($E$8:$E45,$C$8:$C45,TRUE)&gt;0)</f>
        <v>0</v>
      </c>
      <c r="M4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5" s="35" t="b">
        <f>IF(VaBenefits[[#This Row],[timeFromValuation]]=0,0, MOD(VaBenefits[[#This Row],[timeFromValuation]],1)=0)</f>
        <v>0</v>
      </c>
      <c r="O45" s="7">
        <f>IF(VaBenefits[[#This Row],[Is Anniversary?]]=TRUE,VaBenefits[[#This Row],[Assumed Contract Value ]],0)</f>
        <v>0</v>
      </c>
      <c r="P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5" s="7" t="b">
        <f>VaBenefits[[#This Row],[Assumed Contract Value ]]&lt;0.1</f>
        <v>1</v>
      </c>
      <c r="R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5" s="7">
        <f ca="1">IF(AND(VaBenefits[[#This Row],[Is Activation]]=FALSE,VaBenefits[[#This Row],[Is Anniversary?]]=TRUE),OFFSET( VaBenefits[[#This Row],[Income Credit Base]],-1,0)*ICP,0)</f>
        <v>0</v>
      </c>
      <c r="T45" s="5">
        <f>IF(VaBenefits[[#This Row],[Assumed Contract Value ]]&gt;0,VaBenefits[[#This Row],[Income Base]]*MAWA,0)</f>
        <v>0</v>
      </c>
      <c r="U45" s="99">
        <f>IF(AND(VaBenefits[[#This Row],[Has Income Credit]],VaBenefits[[#This Row],[Is Anniversary?]],VaBenefits[[#This Row],[Joint Mortality tPxy for the partial year]]),VaBenefits[[#This Row],[Income Base]]*PIP,0)</f>
        <v>0</v>
      </c>
      <c r="V45" s="9">
        <f>1/(1+InterestRate)^VaBenefits[[#This Row],[timeFromValuation]]</f>
        <v>0.40550663739679882</v>
      </c>
      <c r="W45" s="94">
        <f>VaBenefits[[#This Row],[timeFromValuation]]</f>
        <v>18.5</v>
      </c>
      <c r="X45" s="95">
        <f>IF(($G$8+VaBenefits[[#This Row],[timeFromValuation]])&lt;=120,VLOOKUP(G45,Table2[],Qx!L$6,FALSE),0)</f>
        <v>0.98702599999999996</v>
      </c>
      <c r="Y45" s="95">
        <f>IF(($H$8+VaBenefits[[#This Row],[timeFromValuation]])&lt;=120,VLOOKUP(H45,Table2[],Qx!M$6,FALSE),0)</f>
        <v>0.94676700000000003</v>
      </c>
      <c r="Z45" s="95">
        <f>PRODUCT($X$8:$X45)</f>
        <v>0.79013347071183193</v>
      </c>
      <c r="AA45" s="95">
        <f>PRODUCT($Y$8:$Y45)</f>
        <v>0.42826304593069292</v>
      </c>
      <c r="AB45" s="95">
        <f>VaBenefits[[#This Row],[Primary Annuitant Px]]+VaBenefits[[#This Row],[Secondary Annuitant Py]]-VaBenefits[[#This Row],[Primary Annuitant Px]]*VaBenefits[[#This Row],[Secondary Annuitant Py]]</f>
        <v>0.99930935505800011</v>
      </c>
      <c r="AC45" s="95">
        <f>PRODUCT($AB$8:$AB45)</f>
        <v>0.99336854969206667</v>
      </c>
      <c r="AD45" s="101">
        <f t="shared" si="16"/>
        <v>0</v>
      </c>
    </row>
    <row r="46" spans="1:30" x14ac:dyDescent="0.3">
      <c r="A46" s="35">
        <f t="shared" si="2"/>
        <v>38</v>
      </c>
      <c r="B46" s="33">
        <f t="shared" si="3"/>
        <v>19</v>
      </c>
      <c r="C46" s="30" t="b">
        <f>AND(VaBenefits[[#This Row],[timeFromValuation]]&gt;=ACT,VaBenefits[[#This Row],[Assumed Contract Value ]]&gt;0)</f>
        <v>0</v>
      </c>
      <c r="D46" s="34">
        <f t="shared" si="17"/>
        <v>0</v>
      </c>
      <c r="E46" s="34">
        <f>IF(Use_Base_Case, AP46,IF(VaBenefits[[#This Row],[Is Anniversary?]],WithAmt,0))</f>
        <v>0</v>
      </c>
      <c r="F46" s="34">
        <f t="shared" si="18"/>
        <v>0</v>
      </c>
      <c r="G46" s="100">
        <f>ROUND($G$8+VaBenefits[[#This Row],[timeFromValuation]],0)</f>
        <v>74</v>
      </c>
      <c r="H46" s="21">
        <f>ROUND($H$8+VaBenefits[[#This Row],[timeFromValuation]],0)</f>
        <v>84</v>
      </c>
      <c r="I46" s="28" t="b">
        <f>VaBenefits[[#This Row],[Withdrawal Taken  ]]&gt;0</f>
        <v>0</v>
      </c>
      <c r="J46" s="45">
        <f>IF(AND(NOT(VaBenefits[[#This Row],[Is Activation]]),VaBenefits[[#This Row],[Assumed Contract Value ]]&gt;0),VaBenefits[[#This Row],[Withdrawal Taken  ]]/VaBenefits[[#This Row],[Assumed Contract Value ]],0)</f>
        <v>0</v>
      </c>
      <c r="K4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6" s="28" t="b">
        <f>AND(VaBenefits[[#This Row],[Is Activation]],SUMIFS($E$8:$E46,$C$8:$C46,TRUE)&gt;0)</f>
        <v>0</v>
      </c>
      <c r="M4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6" s="35" t="b">
        <f>IF(VaBenefits[[#This Row],[timeFromValuation]]=0,0, MOD(VaBenefits[[#This Row],[timeFromValuation]],1)=0)</f>
        <v>1</v>
      </c>
      <c r="O46" s="7">
        <f>IF(VaBenefits[[#This Row],[Is Anniversary?]]=TRUE,VaBenefits[[#This Row],[Assumed Contract Value ]],0)</f>
        <v>0</v>
      </c>
      <c r="P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6" s="7" t="b">
        <f>VaBenefits[[#This Row],[Assumed Contract Value ]]&lt;0.1</f>
        <v>1</v>
      </c>
      <c r="R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6" s="7">
        <f ca="1">IF(AND(VaBenefits[[#This Row],[Is Activation]]=FALSE,VaBenefits[[#This Row],[Is Anniversary?]]=TRUE),OFFSET( VaBenefits[[#This Row],[Income Credit Base]],-1,0)*ICP,0)</f>
        <v>0</v>
      </c>
      <c r="T46" s="5">
        <f>IF(VaBenefits[[#This Row],[Assumed Contract Value ]]&gt;0,VaBenefits[[#This Row],[Income Base]]*MAWA,0)</f>
        <v>0</v>
      </c>
      <c r="U46" s="99">
        <f ca="1">IF(AND(VaBenefits[[#This Row],[Has Income Credit]],VaBenefits[[#This Row],[Is Anniversary?]],VaBenefits[[#This Row],[Joint Mortality tPxy for the partial year]]),VaBenefits[[#This Row],[Income Base]]*PIP,0)</f>
        <v>12026.006800536559</v>
      </c>
      <c r="V46" s="9">
        <f>1/(1+InterestRate)^VaBenefits[[#This Row],[timeFromValuation]]</f>
        <v>0.39573395701665059</v>
      </c>
      <c r="W46" s="94">
        <f>VaBenefits[[#This Row],[timeFromValuation]]</f>
        <v>19</v>
      </c>
      <c r="X46" s="95">
        <f>IF(($G$8+VaBenefits[[#This Row],[timeFromValuation]])&lt;=120,VLOOKUP(G46,Table2[],Qx!L$6,FALSE),0)</f>
        <v>0.98702599999999996</v>
      </c>
      <c r="Y46" s="95">
        <f>IF(($H$8+VaBenefits[[#This Row],[timeFromValuation]])&lt;=120,VLOOKUP(H46,Table2[],Qx!M$6,FALSE),0)</f>
        <v>0.94676700000000003</v>
      </c>
      <c r="Z46" s="95">
        <f>PRODUCT($X$8:$X46)</f>
        <v>0.7798822790628166</v>
      </c>
      <c r="AA46" s="95">
        <f>PRODUCT($Y$8:$Y46)</f>
        <v>0.40546531920666434</v>
      </c>
      <c r="AB46" s="95">
        <f>VaBenefits[[#This Row],[Primary Annuitant Px]]+VaBenefits[[#This Row],[Secondary Annuitant Py]]-VaBenefits[[#This Row],[Primary Annuitant Px]]*VaBenefits[[#This Row],[Secondary Annuitant Py]]</f>
        <v>0.99930935505800011</v>
      </c>
      <c r="AC46" s="95">
        <f>PRODUCT($AB$8:$AB46)</f>
        <v>0.99268248472768006</v>
      </c>
      <c r="AD46" s="101">
        <f t="shared" ca="1" si="16"/>
        <v>9216.8740988609734</v>
      </c>
    </row>
    <row r="47" spans="1:30" x14ac:dyDescent="0.3">
      <c r="A47" s="35">
        <f t="shared" si="2"/>
        <v>39</v>
      </c>
      <c r="B47" s="33">
        <f t="shared" si="3"/>
        <v>19.5</v>
      </c>
      <c r="C47" s="30" t="b">
        <f>AND(VaBenefits[[#This Row],[timeFromValuation]]&gt;=ACT,VaBenefits[[#This Row],[Assumed Contract Value ]]&gt;0)</f>
        <v>0</v>
      </c>
      <c r="D47" s="34">
        <f t="shared" si="17"/>
        <v>0</v>
      </c>
      <c r="E47" s="34">
        <f>IF(Use_Base_Case, AP47,IF(VaBenefits[[#This Row],[Is Anniversary?]],WithAmt,0))</f>
        <v>0</v>
      </c>
      <c r="F47" s="34">
        <f t="shared" si="18"/>
        <v>0</v>
      </c>
      <c r="G47" s="100">
        <f>ROUND($G$8+VaBenefits[[#This Row],[timeFromValuation]],0)</f>
        <v>75</v>
      </c>
      <c r="H47" s="21">
        <f>ROUND($H$8+VaBenefits[[#This Row],[timeFromValuation]],0)</f>
        <v>85</v>
      </c>
      <c r="I47" s="28" t="b">
        <f>VaBenefits[[#This Row],[Withdrawal Taken  ]]&gt;0</f>
        <v>0</v>
      </c>
      <c r="J47" s="45">
        <f>IF(AND(NOT(VaBenefits[[#This Row],[Is Activation]]),VaBenefits[[#This Row],[Assumed Contract Value ]]&gt;0),VaBenefits[[#This Row],[Withdrawal Taken  ]]/VaBenefits[[#This Row],[Assumed Contract Value ]],0)</f>
        <v>0</v>
      </c>
      <c r="K4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7" s="28" t="b">
        <f>AND(VaBenefits[[#This Row],[Is Activation]],SUMIFS($E$8:$E47,$C$8:$C47,TRUE)&gt;0)</f>
        <v>0</v>
      </c>
      <c r="M4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7" s="35" t="b">
        <f>IF(VaBenefits[[#This Row],[timeFromValuation]]=0,0, MOD(VaBenefits[[#This Row],[timeFromValuation]],1)=0)</f>
        <v>0</v>
      </c>
      <c r="O47" s="7">
        <f>IF(VaBenefits[[#This Row],[Is Anniversary?]]=TRUE,VaBenefits[[#This Row],[Assumed Contract Value ]],0)</f>
        <v>0</v>
      </c>
      <c r="P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7" s="7" t="b">
        <f>VaBenefits[[#This Row],[Assumed Contract Value ]]&lt;0.1</f>
        <v>1</v>
      </c>
      <c r="R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7" s="7">
        <f ca="1">IF(AND(VaBenefits[[#This Row],[Is Activation]]=FALSE,VaBenefits[[#This Row],[Is Anniversary?]]=TRUE),OFFSET( VaBenefits[[#This Row],[Income Credit Base]],-1,0)*ICP,0)</f>
        <v>0</v>
      </c>
      <c r="T47" s="5">
        <f>IF(VaBenefits[[#This Row],[Assumed Contract Value ]]&gt;0,VaBenefits[[#This Row],[Income Base]]*MAWA,0)</f>
        <v>0</v>
      </c>
      <c r="U47" s="99">
        <f>IF(AND(VaBenefits[[#This Row],[Has Income Credit]],VaBenefits[[#This Row],[Is Anniversary?]],VaBenefits[[#This Row],[Joint Mortality tPxy for the partial year]]),VaBenefits[[#This Row],[Income Base]]*PIP,0)</f>
        <v>0</v>
      </c>
      <c r="V47" s="9">
        <f>1/(1+InterestRate)^VaBenefits[[#This Row],[timeFromValuation]]</f>
        <v>0.3861967975207608</v>
      </c>
      <c r="W47" s="94">
        <f>VaBenefits[[#This Row],[timeFromValuation]]</f>
        <v>19.5</v>
      </c>
      <c r="X47" s="95">
        <f>IF(($G$8+VaBenefits[[#This Row],[timeFromValuation]])&lt;=120,VLOOKUP(G47,Table2[],Qx!L$6,FALSE),0)</f>
        <v>0.98571799999999998</v>
      </c>
      <c r="Y47" s="95">
        <f>IF(($H$8+VaBenefits[[#This Row],[timeFromValuation]])&lt;=120,VLOOKUP(H47,Table2[],Qx!M$6,FALSE),0)</f>
        <v>0.94014500000000001</v>
      </c>
      <c r="Z47" s="95">
        <f>PRODUCT($X$8:$X47)</f>
        <v>0.76874400035324142</v>
      </c>
      <c r="AA47" s="95">
        <f>PRODUCT($Y$8:$Y47)</f>
        <v>0.38119619252554943</v>
      </c>
      <c r="AB47" s="95">
        <f>VaBenefits[[#This Row],[Primary Annuitant Px]]+VaBenefits[[#This Row],[Secondary Annuitant Py]]-VaBenefits[[#This Row],[Primary Annuitant Px]]*VaBenefits[[#This Row],[Secondary Annuitant Py]]</f>
        <v>0.99914515089000011</v>
      </c>
      <c r="AC47" s="95">
        <f>PRODUCT($AB$8:$AB47)</f>
        <v>0.99183389098909813</v>
      </c>
      <c r="AD47" s="101">
        <f t="shared" si="16"/>
        <v>0</v>
      </c>
    </row>
    <row r="48" spans="1:30" x14ac:dyDescent="0.3">
      <c r="A48" s="35">
        <f t="shared" si="2"/>
        <v>40</v>
      </c>
      <c r="B48" s="33">
        <f t="shared" si="3"/>
        <v>20</v>
      </c>
      <c r="C48" s="30" t="b">
        <f>AND(VaBenefits[[#This Row],[timeFromValuation]]&gt;=ACT,VaBenefits[[#This Row],[Assumed Contract Value ]]&gt;0)</f>
        <v>0</v>
      </c>
      <c r="D48" s="34">
        <f t="shared" si="17"/>
        <v>0</v>
      </c>
      <c r="E48" s="34">
        <f>IF(Use_Base_Case, AP48,IF(VaBenefits[[#This Row],[Is Anniversary?]],WithAmt,0))</f>
        <v>0</v>
      </c>
      <c r="F48" s="34">
        <f t="shared" si="18"/>
        <v>0</v>
      </c>
      <c r="G48" s="100">
        <f>ROUND($G$8+VaBenefits[[#This Row],[timeFromValuation]],0)</f>
        <v>75</v>
      </c>
      <c r="H48" s="21">
        <f>ROUND($H$8+VaBenefits[[#This Row],[timeFromValuation]],0)</f>
        <v>85</v>
      </c>
      <c r="I48" s="28" t="b">
        <f>VaBenefits[[#This Row],[Withdrawal Taken  ]]&gt;0</f>
        <v>0</v>
      </c>
      <c r="J48" s="45">
        <f>IF(AND(NOT(VaBenefits[[#This Row],[Is Activation]]),VaBenefits[[#This Row],[Assumed Contract Value ]]&gt;0),VaBenefits[[#This Row],[Withdrawal Taken  ]]/VaBenefits[[#This Row],[Assumed Contract Value ]],0)</f>
        <v>0</v>
      </c>
      <c r="K4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8" s="28" t="b">
        <f>AND(VaBenefits[[#This Row],[Is Activation]],SUMIFS($E$8:$E48,$C$8:$C48,TRUE)&gt;0)</f>
        <v>0</v>
      </c>
      <c r="M4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8" s="35" t="b">
        <f>IF(VaBenefits[[#This Row],[timeFromValuation]]=0,0, MOD(VaBenefits[[#This Row],[timeFromValuation]],1)=0)</f>
        <v>1</v>
      </c>
      <c r="O48" s="7">
        <f>IF(VaBenefits[[#This Row],[Is Anniversary?]]=TRUE,VaBenefits[[#This Row],[Assumed Contract Value ]],0)</f>
        <v>0</v>
      </c>
      <c r="P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8" s="7" t="b">
        <f>VaBenefits[[#This Row],[Assumed Contract Value ]]&lt;0.1</f>
        <v>1</v>
      </c>
      <c r="R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8" s="7">
        <f ca="1">IF(AND(VaBenefits[[#This Row],[Is Activation]]=FALSE,VaBenefits[[#This Row],[Is Anniversary?]]=TRUE),OFFSET( VaBenefits[[#This Row],[Income Credit Base]],-1,0)*ICP,0)</f>
        <v>0</v>
      </c>
      <c r="T48" s="5">
        <f>IF(VaBenefits[[#This Row],[Assumed Contract Value ]]&gt;0,VaBenefits[[#This Row],[Income Base]]*MAWA,0)</f>
        <v>0</v>
      </c>
      <c r="U48" s="99">
        <f ca="1">IF(AND(VaBenefits[[#This Row],[Has Income Credit]],VaBenefits[[#This Row],[Is Anniversary?]],VaBenefits[[#This Row],[Joint Mortality tPxy for the partial year]]),VaBenefits[[#This Row],[Income Base]]*PIP,0)</f>
        <v>12026.006800536559</v>
      </c>
      <c r="V48" s="9">
        <f>1/(1+InterestRate)^VaBenefits[[#This Row],[timeFromValuation]]</f>
        <v>0.37688948287300061</v>
      </c>
      <c r="W48" s="94">
        <f>VaBenefits[[#This Row],[timeFromValuation]]</f>
        <v>20</v>
      </c>
      <c r="X48" s="95">
        <f>IF(($G$8+VaBenefits[[#This Row],[timeFromValuation]])&lt;=120,VLOOKUP(G48,Table2[],Qx!L$6,FALSE),0)</f>
        <v>0.98571799999999998</v>
      </c>
      <c r="Y48" s="95">
        <f>IF(($H$8+VaBenefits[[#This Row],[timeFromValuation]])&lt;=120,VLOOKUP(H48,Table2[],Qx!M$6,FALSE),0)</f>
        <v>0.94014500000000001</v>
      </c>
      <c r="Z48" s="95">
        <f>PRODUCT($X$8:$X48)</f>
        <v>0.7577647985401964</v>
      </c>
      <c r="AA48" s="95">
        <f>PRODUCT($Y$8:$Y48)</f>
        <v>0.35837969442193268</v>
      </c>
      <c r="AB48" s="95">
        <f>VaBenefits[[#This Row],[Primary Annuitant Px]]+VaBenefits[[#This Row],[Secondary Annuitant Py]]-VaBenefits[[#This Row],[Primary Annuitant Px]]*VaBenefits[[#This Row],[Secondary Annuitant Py]]</f>
        <v>0.99914515089000011</v>
      </c>
      <c r="AC48" s="95">
        <f>PRODUCT($AB$8:$AB48)</f>
        <v>0.99098602267011837</v>
      </c>
      <c r="AD48" s="101">
        <f t="shared" ca="1" si="16"/>
        <v>8948.4151190515877</v>
      </c>
    </row>
    <row r="49" spans="1:30" x14ac:dyDescent="0.3">
      <c r="A49" s="35">
        <f t="shared" si="2"/>
        <v>41</v>
      </c>
      <c r="B49" s="33">
        <f t="shared" si="3"/>
        <v>20.5</v>
      </c>
      <c r="C49" s="30" t="b">
        <f>AND(VaBenefits[[#This Row],[timeFromValuation]]&gt;=ACT,VaBenefits[[#This Row],[Assumed Contract Value ]]&gt;0)</f>
        <v>0</v>
      </c>
      <c r="D49" s="34">
        <f t="shared" si="17"/>
        <v>0</v>
      </c>
      <c r="E49" s="34">
        <f>IF(Use_Base_Case, AP49,IF(VaBenefits[[#This Row],[Is Anniversary?]],WithAmt,0))</f>
        <v>0</v>
      </c>
      <c r="F49" s="34">
        <f t="shared" si="18"/>
        <v>0</v>
      </c>
      <c r="G49" s="100">
        <f>ROUND($G$8+VaBenefits[[#This Row],[timeFromValuation]],0)</f>
        <v>76</v>
      </c>
      <c r="H49" s="21">
        <f>ROUND($H$8+VaBenefits[[#This Row],[timeFromValuation]],0)</f>
        <v>86</v>
      </c>
      <c r="I49" s="28" t="b">
        <f>VaBenefits[[#This Row],[Withdrawal Taken  ]]&gt;0</f>
        <v>0</v>
      </c>
      <c r="J49" s="45">
        <f>IF(AND(NOT(VaBenefits[[#This Row],[Is Activation]]),VaBenefits[[#This Row],[Assumed Contract Value ]]&gt;0),VaBenefits[[#This Row],[Withdrawal Taken  ]]/VaBenefits[[#This Row],[Assumed Contract Value ]],0)</f>
        <v>0</v>
      </c>
      <c r="K4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49" s="28" t="b">
        <f>AND(VaBenefits[[#This Row],[Is Activation]],SUMIFS($E$8:$E49,$C$8:$C49,TRUE)&gt;0)</f>
        <v>0</v>
      </c>
      <c r="M4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49" s="35" t="b">
        <f>IF(VaBenefits[[#This Row],[timeFromValuation]]=0,0, MOD(VaBenefits[[#This Row],[timeFromValuation]],1)=0)</f>
        <v>0</v>
      </c>
      <c r="O49" s="7">
        <f>IF(VaBenefits[[#This Row],[Is Anniversary?]]=TRUE,VaBenefits[[#This Row],[Assumed Contract Value ]],0)</f>
        <v>0</v>
      </c>
      <c r="P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49" s="7" t="b">
        <f>VaBenefits[[#This Row],[Assumed Contract Value ]]&lt;0.1</f>
        <v>1</v>
      </c>
      <c r="R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49" s="7">
        <f ca="1">IF(AND(VaBenefits[[#This Row],[Is Activation]]=FALSE,VaBenefits[[#This Row],[Is Anniversary?]]=TRUE),OFFSET( VaBenefits[[#This Row],[Income Credit Base]],-1,0)*ICP,0)</f>
        <v>0</v>
      </c>
      <c r="T49" s="5">
        <f>IF(VaBenefits[[#This Row],[Assumed Contract Value ]]&gt;0,VaBenefits[[#This Row],[Income Base]]*MAWA,0)</f>
        <v>0</v>
      </c>
      <c r="U49" s="99">
        <f>IF(AND(VaBenefits[[#This Row],[Has Income Credit]],VaBenefits[[#This Row],[Is Anniversary?]],VaBenefits[[#This Row],[Joint Mortality tPxy for the partial year]]),VaBenefits[[#This Row],[Income Base]]*PIP,0)</f>
        <v>0</v>
      </c>
      <c r="V49" s="9">
        <f>1/(1+InterestRate)^VaBenefits[[#This Row],[timeFromValuation]]</f>
        <v>0.36780647382929599</v>
      </c>
      <c r="W49" s="94">
        <f>VaBenefits[[#This Row],[timeFromValuation]]</f>
        <v>20.5</v>
      </c>
      <c r="X49" s="95">
        <f>IF(($G$8+VaBenefits[[#This Row],[timeFromValuation]])&lt;=120,VLOOKUP(G49,Table2[],Qx!L$6,FALSE),0)</f>
        <v>0.98420099999999999</v>
      </c>
      <c r="Y49" s="95">
        <f>IF(($H$8+VaBenefits[[#This Row],[timeFromValuation]])&lt;=120,VLOOKUP(H49,Table2[],Qx!M$6,FALSE),0)</f>
        <v>0.93248600000000004</v>
      </c>
      <c r="Z49" s="95">
        <f>PRODUCT($X$8:$X49)</f>
        <v>0.74579287248805981</v>
      </c>
      <c r="AA49" s="95">
        <f>PRODUCT($Y$8:$Y49)</f>
        <v>0.3341840477327303</v>
      </c>
      <c r="AB49" s="95">
        <f>VaBenefits[[#This Row],[Primary Annuitant Px]]+VaBenefits[[#This Row],[Secondary Annuitant Py]]-VaBenefits[[#This Row],[Primary Annuitant Px]]*VaBenefits[[#This Row],[Secondary Annuitant Py]]</f>
        <v>0.99893334631399999</v>
      </c>
      <c r="AC49" s="95">
        <f>PRODUCT($AB$8:$AB49)</f>
        <v>0.98992898377626282</v>
      </c>
      <c r="AD49" s="101">
        <f t="shared" si="16"/>
        <v>0</v>
      </c>
    </row>
    <row r="50" spans="1:30" x14ac:dyDescent="0.3">
      <c r="A50" s="35">
        <f t="shared" si="2"/>
        <v>42</v>
      </c>
      <c r="B50" s="33">
        <f t="shared" si="3"/>
        <v>21</v>
      </c>
      <c r="C50" s="30" t="b">
        <f>AND(VaBenefits[[#This Row],[timeFromValuation]]&gt;=ACT,VaBenefits[[#This Row],[Assumed Contract Value ]]&gt;0)</f>
        <v>0</v>
      </c>
      <c r="D50" s="34">
        <f t="shared" si="17"/>
        <v>0</v>
      </c>
      <c r="E50" s="34">
        <f>IF(Use_Base_Case, AP50,IF(VaBenefits[[#This Row],[Is Anniversary?]],WithAmt,0))</f>
        <v>0</v>
      </c>
      <c r="F50" s="34">
        <f t="shared" si="18"/>
        <v>0</v>
      </c>
      <c r="G50" s="100">
        <f>ROUND($G$8+VaBenefits[[#This Row],[timeFromValuation]],0)</f>
        <v>76</v>
      </c>
      <c r="H50" s="21">
        <f>ROUND($H$8+VaBenefits[[#This Row],[timeFromValuation]],0)</f>
        <v>86</v>
      </c>
      <c r="I50" s="28" t="b">
        <f>VaBenefits[[#This Row],[Withdrawal Taken  ]]&gt;0</f>
        <v>0</v>
      </c>
      <c r="J50" s="45">
        <f>IF(AND(NOT(VaBenefits[[#This Row],[Is Activation]]),VaBenefits[[#This Row],[Assumed Contract Value ]]&gt;0),VaBenefits[[#This Row],[Withdrawal Taken  ]]/VaBenefits[[#This Row],[Assumed Contract Value ]],0)</f>
        <v>0</v>
      </c>
      <c r="K5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0" s="28" t="b">
        <f>AND(VaBenefits[[#This Row],[Is Activation]],SUMIFS($E$8:$E50,$C$8:$C50,TRUE)&gt;0)</f>
        <v>0</v>
      </c>
      <c r="M5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0" s="35" t="b">
        <f>IF(VaBenefits[[#This Row],[timeFromValuation]]=0,0, MOD(VaBenefits[[#This Row],[timeFromValuation]],1)=0)</f>
        <v>1</v>
      </c>
      <c r="O50" s="7">
        <f>IF(VaBenefits[[#This Row],[Is Anniversary?]]=TRUE,VaBenefits[[#This Row],[Assumed Contract Value ]],0)</f>
        <v>0</v>
      </c>
      <c r="P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0" s="7" t="b">
        <f>VaBenefits[[#This Row],[Assumed Contract Value ]]&lt;0.1</f>
        <v>1</v>
      </c>
      <c r="R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0" s="7">
        <f ca="1">IF(AND(VaBenefits[[#This Row],[Is Activation]]=FALSE,VaBenefits[[#This Row],[Is Anniversary?]]=TRUE),OFFSET( VaBenefits[[#This Row],[Income Credit Base]],-1,0)*ICP,0)</f>
        <v>0</v>
      </c>
      <c r="T50" s="5">
        <f>IF(VaBenefits[[#This Row],[Assumed Contract Value ]]&gt;0,VaBenefits[[#This Row],[Income Base]]*MAWA,0)</f>
        <v>0</v>
      </c>
      <c r="U50" s="99">
        <f ca="1">IF(AND(VaBenefits[[#This Row],[Has Income Credit]],VaBenefits[[#This Row],[Is Anniversary?]],VaBenefits[[#This Row],[Joint Mortality tPxy for the partial year]]),VaBenefits[[#This Row],[Income Base]]*PIP,0)</f>
        <v>12026.006800536559</v>
      </c>
      <c r="V50" s="9">
        <f>1/(1+InterestRate)^VaBenefits[[#This Row],[timeFromValuation]]</f>
        <v>0.35894236464095297</v>
      </c>
      <c r="W50" s="94">
        <f>VaBenefits[[#This Row],[timeFromValuation]]</f>
        <v>21</v>
      </c>
      <c r="X50" s="95">
        <f>IF(($G$8+VaBenefits[[#This Row],[timeFromValuation]])&lt;=120,VLOOKUP(G50,Table2[],Qx!L$6,FALSE),0)</f>
        <v>0.98420099999999999</v>
      </c>
      <c r="Y50" s="95">
        <f>IF(($H$8+VaBenefits[[#This Row],[timeFromValuation]])&lt;=120,VLOOKUP(H50,Table2[],Qx!M$6,FALSE),0)</f>
        <v>0.93248600000000004</v>
      </c>
      <c r="Z50" s="95">
        <f>PRODUCT($X$8:$X50)</f>
        <v>0.73401009089562097</v>
      </c>
      <c r="AA50" s="95">
        <f>PRODUCT($Y$8:$Y50)</f>
        <v>0.31162194593410275</v>
      </c>
      <c r="AB50" s="95">
        <f>VaBenefits[[#This Row],[Primary Annuitant Px]]+VaBenefits[[#This Row],[Secondary Annuitant Py]]-VaBenefits[[#This Row],[Primary Annuitant Px]]*VaBenefits[[#This Row],[Secondary Annuitant Py]]</f>
        <v>0.99893334631399999</v>
      </c>
      <c r="AC50" s="95">
        <f>PRODUCT($AB$8:$AB50)</f>
        <v>0.98887307237683963</v>
      </c>
      <c r="AD50" s="101">
        <f t="shared" ca="1" si="16"/>
        <v>8687.7755173813912</v>
      </c>
    </row>
    <row r="51" spans="1:30" x14ac:dyDescent="0.3">
      <c r="A51" s="35">
        <f t="shared" si="2"/>
        <v>43</v>
      </c>
      <c r="B51" s="33">
        <f t="shared" si="3"/>
        <v>21.5</v>
      </c>
      <c r="C51" s="30" t="b">
        <f>AND(VaBenefits[[#This Row],[timeFromValuation]]&gt;=ACT,VaBenefits[[#This Row],[Assumed Contract Value ]]&gt;0)</f>
        <v>0</v>
      </c>
      <c r="D51" s="34">
        <f t="shared" si="17"/>
        <v>0</v>
      </c>
      <c r="E51" s="34">
        <f>IF(Use_Base_Case, AP51,IF(VaBenefits[[#This Row],[Is Anniversary?]],WithAmt,0))</f>
        <v>0</v>
      </c>
      <c r="F51" s="34">
        <f t="shared" si="18"/>
        <v>0</v>
      </c>
      <c r="G51" s="100">
        <f>ROUND($G$8+VaBenefits[[#This Row],[timeFromValuation]],0)</f>
        <v>77</v>
      </c>
      <c r="H51" s="21">
        <f>ROUND($H$8+VaBenefits[[#This Row],[timeFromValuation]],0)</f>
        <v>87</v>
      </c>
      <c r="I51" s="28" t="b">
        <f>VaBenefits[[#This Row],[Withdrawal Taken  ]]&gt;0</f>
        <v>0</v>
      </c>
      <c r="J51" s="45">
        <f>IF(AND(NOT(VaBenefits[[#This Row],[Is Activation]]),VaBenefits[[#This Row],[Assumed Contract Value ]]&gt;0),VaBenefits[[#This Row],[Withdrawal Taken  ]]/VaBenefits[[#This Row],[Assumed Contract Value ]],0)</f>
        <v>0</v>
      </c>
      <c r="K5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1" s="28" t="b">
        <f>AND(VaBenefits[[#This Row],[Is Activation]],SUMIFS($E$8:$E51,$C$8:$C51,TRUE)&gt;0)</f>
        <v>0</v>
      </c>
      <c r="M5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1" s="35" t="b">
        <f>IF(VaBenefits[[#This Row],[timeFromValuation]]=0,0, MOD(VaBenefits[[#This Row],[timeFromValuation]],1)=0)</f>
        <v>0</v>
      </c>
      <c r="O51" s="7">
        <f>IF(VaBenefits[[#This Row],[Is Anniversary?]]=TRUE,VaBenefits[[#This Row],[Assumed Contract Value ]],0)</f>
        <v>0</v>
      </c>
      <c r="P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1" s="7" t="b">
        <f>VaBenefits[[#This Row],[Assumed Contract Value ]]&lt;0.1</f>
        <v>1</v>
      </c>
      <c r="R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1" s="7">
        <f ca="1">IF(AND(VaBenefits[[#This Row],[Is Activation]]=FALSE,VaBenefits[[#This Row],[Is Anniversary?]]=TRUE),OFFSET( VaBenefits[[#This Row],[Income Credit Base]],-1,0)*ICP,0)</f>
        <v>0</v>
      </c>
      <c r="T51" s="5">
        <f>IF(VaBenefits[[#This Row],[Assumed Contract Value ]]&gt;0,VaBenefits[[#This Row],[Income Base]]*MAWA,0)</f>
        <v>0</v>
      </c>
      <c r="U51" s="99">
        <f>IF(AND(VaBenefits[[#This Row],[Has Income Credit]],VaBenefits[[#This Row],[Is Anniversary?]],VaBenefits[[#This Row],[Joint Mortality tPxy for the partial year]]),VaBenefits[[#This Row],[Income Base]]*PIP,0)</f>
        <v>0</v>
      </c>
      <c r="V51" s="9">
        <f>1/(1+InterestRate)^VaBenefits[[#This Row],[timeFromValuation]]</f>
        <v>0.35029187983742477</v>
      </c>
      <c r="W51" s="94">
        <f>VaBenefits[[#This Row],[timeFromValuation]]</f>
        <v>21.5</v>
      </c>
      <c r="X51" s="95">
        <f>IF(($G$8+VaBenefits[[#This Row],[timeFromValuation]])&lt;=120,VLOOKUP(G51,Table2[],Qx!L$6,FALSE),0)</f>
        <v>0.98245000000000005</v>
      </c>
      <c r="Y51" s="95">
        <f>IF(($H$8+VaBenefits[[#This Row],[timeFromValuation]])&lt;=120,VLOOKUP(H51,Table2[],Qx!M$6,FALSE),0)</f>
        <v>0.92366000000000004</v>
      </c>
      <c r="Z51" s="95">
        <f>PRODUCT($X$8:$X51)</f>
        <v>0.72112821380040282</v>
      </c>
      <c r="AA51" s="95">
        <f>PRODUCT($Y$8:$Y51)</f>
        <v>0.28783272658149334</v>
      </c>
      <c r="AB51" s="95">
        <f>VaBenefits[[#This Row],[Primary Annuitant Px]]+VaBenefits[[#This Row],[Secondary Annuitant Py]]-VaBenefits[[#This Row],[Primary Annuitant Px]]*VaBenefits[[#This Row],[Secondary Annuitant Py]]</f>
        <v>0.99866023299999984</v>
      </c>
      <c r="AC51" s="95">
        <f>PRODUCT($AB$8:$AB51)</f>
        <v>0.98754821286728034</v>
      </c>
      <c r="AD51" s="101">
        <f t="shared" si="16"/>
        <v>0</v>
      </c>
    </row>
    <row r="52" spans="1:30" x14ac:dyDescent="0.3">
      <c r="A52" s="35">
        <f t="shared" si="2"/>
        <v>44</v>
      </c>
      <c r="B52" s="33">
        <f t="shared" si="3"/>
        <v>22</v>
      </c>
      <c r="C52" s="30" t="b">
        <f>AND(VaBenefits[[#This Row],[timeFromValuation]]&gt;=ACT,VaBenefits[[#This Row],[Assumed Contract Value ]]&gt;0)</f>
        <v>0</v>
      </c>
      <c r="D52" s="34">
        <f t="shared" si="17"/>
        <v>0</v>
      </c>
      <c r="E52" s="34">
        <f>IF(Use_Base_Case, AP52,IF(VaBenefits[[#This Row],[Is Anniversary?]],WithAmt,0))</f>
        <v>0</v>
      </c>
      <c r="F52" s="34">
        <f t="shared" si="18"/>
        <v>0</v>
      </c>
      <c r="G52" s="100">
        <f>ROUND($G$8+VaBenefits[[#This Row],[timeFromValuation]],0)</f>
        <v>77</v>
      </c>
      <c r="H52" s="21">
        <f>ROUND($H$8+VaBenefits[[#This Row],[timeFromValuation]],0)</f>
        <v>87</v>
      </c>
      <c r="I52" s="28" t="b">
        <f>VaBenefits[[#This Row],[Withdrawal Taken  ]]&gt;0</f>
        <v>0</v>
      </c>
      <c r="J52" s="45">
        <f>IF(AND(NOT(VaBenefits[[#This Row],[Is Activation]]),VaBenefits[[#This Row],[Assumed Contract Value ]]&gt;0),VaBenefits[[#This Row],[Withdrawal Taken  ]]/VaBenefits[[#This Row],[Assumed Contract Value ]],0)</f>
        <v>0</v>
      </c>
      <c r="K5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2" s="28" t="b">
        <f>AND(VaBenefits[[#This Row],[Is Activation]],SUMIFS($E$8:$E52,$C$8:$C52,TRUE)&gt;0)</f>
        <v>0</v>
      </c>
      <c r="M5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2" s="35" t="b">
        <f>IF(VaBenefits[[#This Row],[timeFromValuation]]=0,0, MOD(VaBenefits[[#This Row],[timeFromValuation]],1)=0)</f>
        <v>1</v>
      </c>
      <c r="O52" s="7">
        <f>IF(VaBenefits[[#This Row],[Is Anniversary?]]=TRUE,VaBenefits[[#This Row],[Assumed Contract Value ]],0)</f>
        <v>0</v>
      </c>
      <c r="P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2" s="7" t="b">
        <f>VaBenefits[[#This Row],[Assumed Contract Value ]]&lt;0.1</f>
        <v>1</v>
      </c>
      <c r="R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2" s="7">
        <f ca="1">IF(AND(VaBenefits[[#This Row],[Is Activation]]=FALSE,VaBenefits[[#This Row],[Is Anniversary?]]=TRUE),OFFSET( VaBenefits[[#This Row],[Income Credit Base]],-1,0)*ICP,0)</f>
        <v>0</v>
      </c>
      <c r="T52" s="5">
        <f>IF(VaBenefits[[#This Row],[Assumed Contract Value ]]&gt;0,VaBenefits[[#This Row],[Income Base]]*MAWA,0)</f>
        <v>0</v>
      </c>
      <c r="U52" s="99">
        <f ca="1">IF(AND(VaBenefits[[#This Row],[Has Income Credit]],VaBenefits[[#This Row],[Is Anniversary?]],VaBenefits[[#This Row],[Joint Mortality tPxy for the partial year]]),VaBenefits[[#This Row],[Income Base]]*PIP,0)</f>
        <v>12026.006800536559</v>
      </c>
      <c r="V52" s="9">
        <f>1/(1+InterestRate)^VaBenefits[[#This Row],[timeFromValuation]]</f>
        <v>0.3418498710866219</v>
      </c>
      <c r="W52" s="94">
        <f>VaBenefits[[#This Row],[timeFromValuation]]</f>
        <v>22</v>
      </c>
      <c r="X52" s="95">
        <f>IF(($G$8+VaBenefits[[#This Row],[timeFromValuation]])&lt;=120,VLOOKUP(G52,Table2[],Qx!L$6,FALSE),0)</f>
        <v>0.98245000000000005</v>
      </c>
      <c r="Y52" s="95">
        <f>IF(($H$8+VaBenefits[[#This Row],[timeFromValuation]])&lt;=120,VLOOKUP(H52,Table2[],Qx!M$6,FALSE),0)</f>
        <v>0.92366000000000004</v>
      </c>
      <c r="Z52" s="95">
        <f>PRODUCT($X$8:$X52)</f>
        <v>0.70847241364820579</v>
      </c>
      <c r="AA52" s="95">
        <f>PRODUCT($Y$8:$Y52)</f>
        <v>0.26585957623426215</v>
      </c>
      <c r="AB52" s="95">
        <f>VaBenefits[[#This Row],[Primary Annuitant Px]]+VaBenefits[[#This Row],[Secondary Annuitant Py]]-VaBenefits[[#This Row],[Primary Annuitant Px]]*VaBenefits[[#This Row],[Secondary Annuitant Py]]</f>
        <v>0.99866023299999984</v>
      </c>
      <c r="AC52" s="95">
        <f>PRODUCT($AB$8:$AB52)</f>
        <v>0.98622512836077159</v>
      </c>
      <c r="AD52" s="101">
        <f t="shared" ca="1" si="16"/>
        <v>8434.7275395971028</v>
      </c>
    </row>
    <row r="53" spans="1:30" x14ac:dyDescent="0.3">
      <c r="A53" s="35">
        <f t="shared" si="2"/>
        <v>45</v>
      </c>
      <c r="B53" s="33">
        <f t="shared" si="3"/>
        <v>22.5</v>
      </c>
      <c r="C53" s="30" t="b">
        <f>AND(VaBenefits[[#This Row],[timeFromValuation]]&gt;=ACT,VaBenefits[[#This Row],[Assumed Contract Value ]]&gt;0)</f>
        <v>0</v>
      </c>
      <c r="D53" s="34">
        <f t="shared" si="17"/>
        <v>0</v>
      </c>
      <c r="E53" s="34">
        <f>IF(Use_Base_Case, AP53,IF(VaBenefits[[#This Row],[Is Anniversary?]],WithAmt,0))</f>
        <v>0</v>
      </c>
      <c r="F53" s="34">
        <f t="shared" si="18"/>
        <v>0</v>
      </c>
      <c r="G53" s="100">
        <f>ROUND($G$8+VaBenefits[[#This Row],[timeFromValuation]],0)</f>
        <v>78</v>
      </c>
      <c r="H53" s="21">
        <f>ROUND($H$8+VaBenefits[[#This Row],[timeFromValuation]],0)</f>
        <v>88</v>
      </c>
      <c r="I53" s="28" t="b">
        <f>VaBenefits[[#This Row],[Withdrawal Taken  ]]&gt;0</f>
        <v>0</v>
      </c>
      <c r="J53" s="45">
        <f>IF(AND(NOT(VaBenefits[[#This Row],[Is Activation]]),VaBenefits[[#This Row],[Assumed Contract Value ]]&gt;0),VaBenefits[[#This Row],[Withdrawal Taken  ]]/VaBenefits[[#This Row],[Assumed Contract Value ]],0)</f>
        <v>0</v>
      </c>
      <c r="K5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3" s="28" t="b">
        <f>AND(VaBenefits[[#This Row],[Is Activation]],SUMIFS($E$8:$E53,$C$8:$C53,TRUE)&gt;0)</f>
        <v>0</v>
      </c>
      <c r="M5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3" s="35" t="b">
        <f>IF(VaBenefits[[#This Row],[timeFromValuation]]=0,0, MOD(VaBenefits[[#This Row],[timeFromValuation]],1)=0)</f>
        <v>0</v>
      </c>
      <c r="O53" s="7">
        <f>IF(VaBenefits[[#This Row],[Is Anniversary?]]=TRUE,VaBenefits[[#This Row],[Assumed Contract Value ]],0)</f>
        <v>0</v>
      </c>
      <c r="P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3" s="7" t="b">
        <f>VaBenefits[[#This Row],[Assumed Contract Value ]]&lt;0.1</f>
        <v>1</v>
      </c>
      <c r="R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3" s="7">
        <f ca="1">IF(AND(VaBenefits[[#This Row],[Is Activation]]=FALSE,VaBenefits[[#This Row],[Is Anniversary?]]=TRUE),OFFSET( VaBenefits[[#This Row],[Income Credit Base]],-1,0)*ICP,0)</f>
        <v>0</v>
      </c>
      <c r="T53" s="5">
        <f>IF(VaBenefits[[#This Row],[Assumed Contract Value ]]&gt;0,VaBenefits[[#This Row],[Income Base]]*MAWA,0)</f>
        <v>0</v>
      </c>
      <c r="U53" s="99">
        <f>IF(AND(VaBenefits[[#This Row],[Has Income Credit]],VaBenefits[[#This Row],[Is Anniversary?]],VaBenefits[[#This Row],[Joint Mortality tPxy for the partial year]]),VaBenefits[[#This Row],[Income Base]]*PIP,0)</f>
        <v>0</v>
      </c>
      <c r="V53" s="9">
        <f>1/(1+InterestRate)^VaBenefits[[#This Row],[timeFromValuation]]</f>
        <v>0.33361131413088069</v>
      </c>
      <c r="W53" s="94">
        <f>VaBenefits[[#This Row],[timeFromValuation]]</f>
        <v>22.5</v>
      </c>
      <c r="X53" s="95">
        <f>IF(($G$8+VaBenefits[[#This Row],[timeFromValuation]])&lt;=120,VLOOKUP(G53,Table2[],Qx!L$6,FALSE),0)</f>
        <v>0.98041800000000001</v>
      </c>
      <c r="Y53" s="95">
        <f>IF(($H$8+VaBenefits[[#This Row],[timeFromValuation]])&lt;=120,VLOOKUP(H53,Table2[],Qx!M$6,FALSE),0)</f>
        <v>0.91361199999999998</v>
      </c>
      <c r="Z53" s="95">
        <f>PRODUCT($X$8:$X53)</f>
        <v>0.69459910684414661</v>
      </c>
      <c r="AA53" s="95">
        <f>PRODUCT($Y$8:$Y53)</f>
        <v>0.24289249916253672</v>
      </c>
      <c r="AB53" s="95">
        <f>VaBenefits[[#This Row],[Primary Annuitant Px]]+VaBenefits[[#This Row],[Secondary Annuitant Py]]-VaBenefits[[#This Row],[Primary Annuitant Px]]*VaBenefits[[#This Row],[Secondary Annuitant Py]]</f>
        <v>0.99830835018399988</v>
      </c>
      <c r="AC53" s="95">
        <f>PRODUCT($AB$8:$AB53)</f>
        <v>0.98455678080384534</v>
      </c>
      <c r="AD53" s="101">
        <f t="shared" si="16"/>
        <v>0</v>
      </c>
    </row>
    <row r="54" spans="1:30" x14ac:dyDescent="0.3">
      <c r="A54" s="35">
        <f t="shared" si="2"/>
        <v>46</v>
      </c>
      <c r="B54" s="33">
        <f t="shared" si="3"/>
        <v>23</v>
      </c>
      <c r="C54" s="30" t="b">
        <f>AND(VaBenefits[[#This Row],[timeFromValuation]]&gt;=ACT,VaBenefits[[#This Row],[Assumed Contract Value ]]&gt;0)</f>
        <v>0</v>
      </c>
      <c r="D54" s="34">
        <f t="shared" si="17"/>
        <v>0</v>
      </c>
      <c r="E54" s="34">
        <f>IF(Use_Base_Case, AP54,IF(VaBenefits[[#This Row],[Is Anniversary?]],WithAmt,0))</f>
        <v>0</v>
      </c>
      <c r="F54" s="34">
        <f t="shared" si="18"/>
        <v>0</v>
      </c>
      <c r="G54" s="100">
        <f>ROUND($G$8+VaBenefits[[#This Row],[timeFromValuation]],0)</f>
        <v>78</v>
      </c>
      <c r="H54" s="21">
        <f>ROUND($H$8+VaBenefits[[#This Row],[timeFromValuation]],0)</f>
        <v>88</v>
      </c>
      <c r="I54" s="28" t="b">
        <f>VaBenefits[[#This Row],[Withdrawal Taken  ]]&gt;0</f>
        <v>0</v>
      </c>
      <c r="J54" s="45">
        <f>IF(AND(NOT(VaBenefits[[#This Row],[Is Activation]]),VaBenefits[[#This Row],[Assumed Contract Value ]]&gt;0),VaBenefits[[#This Row],[Withdrawal Taken  ]]/VaBenefits[[#This Row],[Assumed Contract Value ]],0)</f>
        <v>0</v>
      </c>
      <c r="K5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4" s="28" t="b">
        <f>AND(VaBenefits[[#This Row],[Is Activation]],SUMIFS($E$8:$E54,$C$8:$C54,TRUE)&gt;0)</f>
        <v>0</v>
      </c>
      <c r="M5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4" s="35" t="b">
        <f>IF(VaBenefits[[#This Row],[timeFromValuation]]=0,0, MOD(VaBenefits[[#This Row],[timeFromValuation]],1)=0)</f>
        <v>1</v>
      </c>
      <c r="O54" s="7">
        <f>IF(VaBenefits[[#This Row],[Is Anniversary?]]=TRUE,VaBenefits[[#This Row],[Assumed Contract Value ]],0)</f>
        <v>0</v>
      </c>
      <c r="P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4" s="7" t="b">
        <f>VaBenefits[[#This Row],[Assumed Contract Value ]]&lt;0.1</f>
        <v>1</v>
      </c>
      <c r="R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4" s="7">
        <f ca="1">IF(AND(VaBenefits[[#This Row],[Is Activation]]=FALSE,VaBenefits[[#This Row],[Is Anniversary?]]=TRUE),OFFSET( VaBenefits[[#This Row],[Income Credit Base]],-1,0)*ICP,0)</f>
        <v>0</v>
      </c>
      <c r="T54" s="5">
        <f>IF(VaBenefits[[#This Row],[Assumed Contract Value ]]&gt;0,VaBenefits[[#This Row],[Income Base]]*MAWA,0)</f>
        <v>0</v>
      </c>
      <c r="U54" s="99">
        <f ca="1">IF(AND(VaBenefits[[#This Row],[Has Income Credit]],VaBenefits[[#This Row],[Is Anniversary?]],VaBenefits[[#This Row],[Joint Mortality tPxy for the partial year]]),VaBenefits[[#This Row],[Income Base]]*PIP,0)</f>
        <v>12026.006800536559</v>
      </c>
      <c r="V54" s="9">
        <f>1/(1+InterestRate)^VaBenefits[[#This Row],[timeFromValuation]]</f>
        <v>0.32557130579678267</v>
      </c>
      <c r="W54" s="94">
        <f>VaBenefits[[#This Row],[timeFromValuation]]</f>
        <v>23</v>
      </c>
      <c r="X54" s="95">
        <f>IF(($G$8+VaBenefits[[#This Row],[timeFromValuation]])&lt;=120,VLOOKUP(G54,Table2[],Qx!L$6,FALSE),0)</f>
        <v>0.98041800000000001</v>
      </c>
      <c r="Y54" s="95">
        <f>IF(($H$8+VaBenefits[[#This Row],[timeFromValuation]])&lt;=120,VLOOKUP(H54,Table2[],Qx!M$6,FALSE),0)</f>
        <v>0.91361199999999998</v>
      </c>
      <c r="Z54" s="95">
        <f>PRODUCT($X$8:$X54)</f>
        <v>0.68099746713392451</v>
      </c>
      <c r="AA54" s="95">
        <f>PRODUCT($Y$8:$Y54)</f>
        <v>0.22190950194488349</v>
      </c>
      <c r="AB54" s="95">
        <f>VaBenefits[[#This Row],[Primary Annuitant Px]]+VaBenefits[[#This Row],[Secondary Annuitant Py]]-VaBenefits[[#This Row],[Primary Annuitant Px]]*VaBenefits[[#This Row],[Secondary Annuitant Py]]</f>
        <v>0.99830835018399988</v>
      </c>
      <c r="AC54" s="95">
        <f>PRODUCT($AB$8:$AB54)</f>
        <v>0.98289125550675682</v>
      </c>
      <c r="AD54" s="101">
        <f t="shared" ca="1" si="16"/>
        <v>8189.0500652210349</v>
      </c>
    </row>
    <row r="55" spans="1:30" x14ac:dyDescent="0.3">
      <c r="A55" s="35">
        <f t="shared" si="2"/>
        <v>47</v>
      </c>
      <c r="B55" s="33">
        <f t="shared" si="3"/>
        <v>23.5</v>
      </c>
      <c r="C55" s="30" t="b">
        <f>AND(VaBenefits[[#This Row],[timeFromValuation]]&gt;=ACT,VaBenefits[[#This Row],[Assumed Contract Value ]]&gt;0)</f>
        <v>0</v>
      </c>
      <c r="D55" s="34">
        <f t="shared" si="17"/>
        <v>0</v>
      </c>
      <c r="E55" s="34">
        <f>IF(Use_Base_Case, AP55,IF(VaBenefits[[#This Row],[Is Anniversary?]],WithAmt,0))</f>
        <v>0</v>
      </c>
      <c r="F55" s="34">
        <f t="shared" si="18"/>
        <v>0</v>
      </c>
      <c r="G55" s="100">
        <f>ROUND($G$8+VaBenefits[[#This Row],[timeFromValuation]],0)</f>
        <v>79</v>
      </c>
      <c r="H55" s="21">
        <f>ROUND($H$8+VaBenefits[[#This Row],[timeFromValuation]],0)</f>
        <v>89</v>
      </c>
      <c r="I55" s="28" t="b">
        <f>VaBenefits[[#This Row],[Withdrawal Taken  ]]&gt;0</f>
        <v>0</v>
      </c>
      <c r="J55" s="45">
        <f>IF(AND(NOT(VaBenefits[[#This Row],[Is Activation]]),VaBenefits[[#This Row],[Assumed Contract Value ]]&gt;0),VaBenefits[[#This Row],[Withdrawal Taken  ]]/VaBenefits[[#This Row],[Assumed Contract Value ]],0)</f>
        <v>0</v>
      </c>
      <c r="K5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5" s="28" t="b">
        <f>AND(VaBenefits[[#This Row],[Is Activation]],SUMIFS($E$8:$E55,$C$8:$C55,TRUE)&gt;0)</f>
        <v>0</v>
      </c>
      <c r="M5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5" s="35" t="b">
        <f>IF(VaBenefits[[#This Row],[timeFromValuation]]=0,0, MOD(VaBenefits[[#This Row],[timeFromValuation]],1)=0)</f>
        <v>0</v>
      </c>
      <c r="O55" s="7">
        <f>IF(VaBenefits[[#This Row],[Is Anniversary?]]=TRUE,VaBenefits[[#This Row],[Assumed Contract Value ]],0)</f>
        <v>0</v>
      </c>
      <c r="P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5" s="7" t="b">
        <f>VaBenefits[[#This Row],[Assumed Contract Value ]]&lt;0.1</f>
        <v>1</v>
      </c>
      <c r="R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5" s="7">
        <f ca="1">IF(AND(VaBenefits[[#This Row],[Is Activation]]=FALSE,VaBenefits[[#This Row],[Is Anniversary?]]=TRUE),OFFSET( VaBenefits[[#This Row],[Income Credit Base]],-1,0)*ICP,0)</f>
        <v>0</v>
      </c>
      <c r="T55" s="5">
        <f>IF(VaBenefits[[#This Row],[Assumed Contract Value ]]&gt;0,VaBenefits[[#This Row],[Income Base]]*MAWA,0)</f>
        <v>0</v>
      </c>
      <c r="U55" s="99">
        <f>IF(AND(VaBenefits[[#This Row],[Has Income Credit]],VaBenefits[[#This Row],[Is Anniversary?]],VaBenefits[[#This Row],[Joint Mortality tPxy for the partial year]]),VaBenefits[[#This Row],[Income Base]]*PIP,0)</f>
        <v>0</v>
      </c>
      <c r="V55" s="9">
        <f>1/(1+InterestRate)^VaBenefits[[#This Row],[timeFromValuation]]</f>
        <v>0.31772506107702925</v>
      </c>
      <c r="W55" s="94">
        <f>VaBenefits[[#This Row],[timeFromValuation]]</f>
        <v>23.5</v>
      </c>
      <c r="X55" s="95">
        <f>IF(($G$8+VaBenefits[[#This Row],[timeFromValuation]])&lt;=120,VLOOKUP(G55,Table2[],Qx!L$6,FALSE),0)</f>
        <v>0.97802999999999995</v>
      </c>
      <c r="Y55" s="95">
        <f>IF(($H$8+VaBenefits[[#This Row],[timeFromValuation]])&lt;=120,VLOOKUP(H55,Table2[],Qx!M$6,FALSE),0)</f>
        <v>0.902366</v>
      </c>
      <c r="Z55" s="95">
        <f>PRODUCT($X$8:$X55)</f>
        <v>0.66603595278099215</v>
      </c>
      <c r="AA55" s="95">
        <f>PRODUCT($Y$8:$Y55)</f>
        <v>0.20024358963199673</v>
      </c>
      <c r="AB55" s="95">
        <f>VaBenefits[[#This Row],[Primary Annuitant Px]]+VaBenefits[[#This Row],[Secondary Annuitant Py]]-VaBenefits[[#This Row],[Primary Annuitant Px]]*VaBenefits[[#This Row],[Secondary Annuitant Py]]</f>
        <v>0.99785498102000003</v>
      </c>
      <c r="AC55" s="95">
        <f>PRODUCT($AB$8:$AB55)</f>
        <v>0.98078293510841885</v>
      </c>
      <c r="AD55" s="101">
        <f t="shared" si="16"/>
        <v>0</v>
      </c>
    </row>
    <row r="56" spans="1:30" x14ac:dyDescent="0.3">
      <c r="A56" s="35">
        <f t="shared" si="2"/>
        <v>48</v>
      </c>
      <c r="B56" s="33">
        <f t="shared" si="3"/>
        <v>24</v>
      </c>
      <c r="C56" s="30" t="b">
        <f>AND(VaBenefits[[#This Row],[timeFromValuation]]&gt;=ACT,VaBenefits[[#This Row],[Assumed Contract Value ]]&gt;0)</f>
        <v>0</v>
      </c>
      <c r="D56" s="34">
        <f t="shared" si="17"/>
        <v>0</v>
      </c>
      <c r="E56" s="34">
        <f>IF(Use_Base_Case, AP56,IF(VaBenefits[[#This Row],[Is Anniversary?]],WithAmt,0))</f>
        <v>0</v>
      </c>
      <c r="F56" s="34">
        <f t="shared" si="18"/>
        <v>0</v>
      </c>
      <c r="G56" s="100">
        <f>ROUND($G$8+VaBenefits[[#This Row],[timeFromValuation]],0)</f>
        <v>79</v>
      </c>
      <c r="H56" s="21">
        <f>ROUND($H$8+VaBenefits[[#This Row],[timeFromValuation]],0)</f>
        <v>89</v>
      </c>
      <c r="I56" s="28" t="b">
        <f>VaBenefits[[#This Row],[Withdrawal Taken  ]]&gt;0</f>
        <v>0</v>
      </c>
      <c r="J56" s="45">
        <f>IF(AND(NOT(VaBenefits[[#This Row],[Is Activation]]),VaBenefits[[#This Row],[Assumed Contract Value ]]&gt;0),VaBenefits[[#This Row],[Withdrawal Taken  ]]/VaBenefits[[#This Row],[Assumed Contract Value ]],0)</f>
        <v>0</v>
      </c>
      <c r="K5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6" s="28" t="b">
        <f>AND(VaBenefits[[#This Row],[Is Activation]],SUMIFS($E$8:$E56,$C$8:$C56,TRUE)&gt;0)</f>
        <v>0</v>
      </c>
      <c r="M5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6" s="35" t="b">
        <f>IF(VaBenefits[[#This Row],[timeFromValuation]]=0,0, MOD(VaBenefits[[#This Row],[timeFromValuation]],1)=0)</f>
        <v>1</v>
      </c>
      <c r="O56" s="7">
        <f>IF(VaBenefits[[#This Row],[Is Anniversary?]]=TRUE,VaBenefits[[#This Row],[Assumed Contract Value ]],0)</f>
        <v>0</v>
      </c>
      <c r="P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6" s="7" t="b">
        <f>VaBenefits[[#This Row],[Assumed Contract Value ]]&lt;0.1</f>
        <v>1</v>
      </c>
      <c r="R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6" s="7">
        <f ca="1">IF(AND(VaBenefits[[#This Row],[Is Activation]]=FALSE,VaBenefits[[#This Row],[Is Anniversary?]]=TRUE),OFFSET( VaBenefits[[#This Row],[Income Credit Base]],-1,0)*ICP,0)</f>
        <v>0</v>
      </c>
      <c r="T56" s="5">
        <f>IF(VaBenefits[[#This Row],[Assumed Contract Value ]]&gt;0,VaBenefits[[#This Row],[Income Base]]*MAWA,0)</f>
        <v>0</v>
      </c>
      <c r="U56" s="99">
        <f ca="1">IF(AND(VaBenefits[[#This Row],[Has Income Credit]],VaBenefits[[#This Row],[Is Anniversary?]],VaBenefits[[#This Row],[Joint Mortality tPxy for the partial year]]),VaBenefits[[#This Row],[Income Base]]*PIP,0)</f>
        <v>12026.006800536559</v>
      </c>
      <c r="V56" s="9">
        <f>1/(1+InterestRate)^VaBenefits[[#This Row],[timeFromValuation]]</f>
        <v>0.31006791028265024</v>
      </c>
      <c r="W56" s="94">
        <f>VaBenefits[[#This Row],[timeFromValuation]]</f>
        <v>24</v>
      </c>
      <c r="X56" s="95">
        <f>IF(($G$8+VaBenefits[[#This Row],[timeFromValuation]])&lt;=120,VLOOKUP(G56,Table2[],Qx!L$6,FALSE),0)</f>
        <v>0.97802999999999995</v>
      </c>
      <c r="Y56" s="95">
        <f>IF(($H$8+VaBenefits[[#This Row],[timeFromValuation]])&lt;=120,VLOOKUP(H56,Table2[],Qx!M$6,FALSE),0)</f>
        <v>0.902366</v>
      </c>
      <c r="Z56" s="95">
        <f>PRODUCT($X$8:$X56)</f>
        <v>0.65140314289839374</v>
      </c>
      <c r="AA56" s="95">
        <f>PRODUCT($Y$8:$Y56)</f>
        <v>0.18069300700186636</v>
      </c>
      <c r="AB56" s="95">
        <f>VaBenefits[[#This Row],[Primary Annuitant Px]]+VaBenefits[[#This Row],[Secondary Annuitant Py]]-VaBenefits[[#This Row],[Primary Annuitant Px]]*VaBenefits[[#This Row],[Secondary Annuitant Py]]</f>
        <v>0.99785498102000003</v>
      </c>
      <c r="AC56" s="95">
        <f>PRODUCT($AB$8:$AB56)</f>
        <v>0.97867913709735121</v>
      </c>
      <c r="AD56" s="101">
        <f t="shared" ca="1" si="16"/>
        <v>7950.528414329774</v>
      </c>
    </row>
    <row r="57" spans="1:30" x14ac:dyDescent="0.3">
      <c r="A57" s="35">
        <f t="shared" si="2"/>
        <v>49</v>
      </c>
      <c r="B57" s="33">
        <f t="shared" si="3"/>
        <v>24.5</v>
      </c>
      <c r="C57" s="30" t="b">
        <f>AND(VaBenefits[[#This Row],[timeFromValuation]]&gt;=ACT,VaBenefits[[#This Row],[Assumed Contract Value ]]&gt;0)</f>
        <v>0</v>
      </c>
      <c r="D57" s="34">
        <f t="shared" si="17"/>
        <v>0</v>
      </c>
      <c r="E57" s="34">
        <f>IF(Use_Base_Case, AP57,IF(VaBenefits[[#This Row],[Is Anniversary?]],WithAmt,0))</f>
        <v>0</v>
      </c>
      <c r="F57" s="34">
        <f t="shared" si="18"/>
        <v>0</v>
      </c>
      <c r="G57" s="100">
        <f>ROUND($G$8+VaBenefits[[#This Row],[timeFromValuation]],0)</f>
        <v>80</v>
      </c>
      <c r="H57" s="21">
        <f>ROUND($H$8+VaBenefits[[#This Row],[timeFromValuation]],0)</f>
        <v>90</v>
      </c>
      <c r="I57" s="28" t="b">
        <f>VaBenefits[[#This Row],[Withdrawal Taken  ]]&gt;0</f>
        <v>0</v>
      </c>
      <c r="J57" s="45">
        <f>IF(AND(NOT(VaBenefits[[#This Row],[Is Activation]]),VaBenefits[[#This Row],[Assumed Contract Value ]]&gt;0),VaBenefits[[#This Row],[Withdrawal Taken  ]]/VaBenefits[[#This Row],[Assumed Contract Value ]],0)</f>
        <v>0</v>
      </c>
      <c r="K5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7" s="28" t="b">
        <f>AND(VaBenefits[[#This Row],[Is Activation]],SUMIFS($E$8:$E57,$C$8:$C57,TRUE)&gt;0)</f>
        <v>0</v>
      </c>
      <c r="M5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7" s="35" t="b">
        <f>IF(VaBenefits[[#This Row],[timeFromValuation]]=0,0, MOD(VaBenefits[[#This Row],[timeFromValuation]],1)=0)</f>
        <v>0</v>
      </c>
      <c r="O57" s="7">
        <f>IF(VaBenefits[[#This Row],[Is Anniversary?]]=TRUE,VaBenefits[[#This Row],[Assumed Contract Value ]],0)</f>
        <v>0</v>
      </c>
      <c r="P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7" s="7" t="b">
        <f>VaBenefits[[#This Row],[Assumed Contract Value ]]&lt;0.1</f>
        <v>1</v>
      </c>
      <c r="R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7" s="7">
        <f ca="1">IF(AND(VaBenefits[[#This Row],[Is Activation]]=FALSE,VaBenefits[[#This Row],[Is Anniversary?]]=TRUE),OFFSET( VaBenefits[[#This Row],[Income Credit Base]],-1,0)*ICP,0)</f>
        <v>0</v>
      </c>
      <c r="T57" s="5">
        <f>IF(VaBenefits[[#This Row],[Assumed Contract Value ]]&gt;0,VaBenefits[[#This Row],[Income Base]]*MAWA,0)</f>
        <v>0</v>
      </c>
      <c r="U57" s="99">
        <f>IF(AND(VaBenefits[[#This Row],[Has Income Credit]],VaBenefits[[#This Row],[Is Anniversary?]],VaBenefits[[#This Row],[Joint Mortality tPxy for the partial year]]),VaBenefits[[#This Row],[Income Base]]*PIP,0)</f>
        <v>0</v>
      </c>
      <c r="V57" s="9">
        <f>1/(1+InterestRate)^VaBenefits[[#This Row],[timeFromValuation]]</f>
        <v>0.3025952962638373</v>
      </c>
      <c r="W57" s="94">
        <f>VaBenefits[[#This Row],[timeFromValuation]]</f>
        <v>24.5</v>
      </c>
      <c r="X57" s="95">
        <f>IF(($G$8+VaBenefits[[#This Row],[timeFromValuation]])&lt;=120,VLOOKUP(G57,Table2[],Qx!L$6,FALSE),0)</f>
        <v>0.97517900000000002</v>
      </c>
      <c r="Y57" s="95">
        <f>IF(($H$8+VaBenefits[[#This Row],[timeFromValuation]])&lt;=120,VLOOKUP(H57,Table2[],Qx!M$6,FALSE),0)</f>
        <v>0.89000699999999999</v>
      </c>
      <c r="Z57" s="95">
        <f>PRODUCT($X$8:$X57)</f>
        <v>0.63523466548851271</v>
      </c>
      <c r="AA57" s="95">
        <f>PRODUCT($Y$8:$Y57)</f>
        <v>0.16081804108271006</v>
      </c>
      <c r="AB57" s="95">
        <f>VaBenefits[[#This Row],[Primary Annuitant Px]]+VaBenefits[[#This Row],[Secondary Annuitant Py]]-VaBenefits[[#This Row],[Primary Annuitant Px]]*VaBenefits[[#This Row],[Secondary Annuitant Py]]</f>
        <v>0.997269863747</v>
      </c>
      <c r="AC57" s="95">
        <f>PRODUCT($AB$8:$AB57)</f>
        <v>0.97600720970510702</v>
      </c>
      <c r="AD57" s="101">
        <f t="shared" si="16"/>
        <v>0</v>
      </c>
    </row>
    <row r="58" spans="1:30" x14ac:dyDescent="0.3">
      <c r="A58" s="35">
        <f t="shared" si="2"/>
        <v>50</v>
      </c>
      <c r="B58" s="33">
        <f t="shared" si="3"/>
        <v>25</v>
      </c>
      <c r="C58" s="30" t="b">
        <f>AND(VaBenefits[[#This Row],[timeFromValuation]]&gt;=ACT,VaBenefits[[#This Row],[Assumed Contract Value ]]&gt;0)</f>
        <v>0</v>
      </c>
      <c r="D58" s="34">
        <f t="shared" si="17"/>
        <v>0</v>
      </c>
      <c r="E58" s="34">
        <f>IF(Use_Base_Case, AP58,IF(VaBenefits[[#This Row],[Is Anniversary?]],WithAmt,0))</f>
        <v>0</v>
      </c>
      <c r="F58" s="34">
        <f t="shared" si="18"/>
        <v>0</v>
      </c>
      <c r="G58" s="100">
        <f>ROUND($G$8+VaBenefits[[#This Row],[timeFromValuation]],0)</f>
        <v>80</v>
      </c>
      <c r="H58" s="21">
        <f>ROUND($H$8+VaBenefits[[#This Row],[timeFromValuation]],0)</f>
        <v>90</v>
      </c>
      <c r="I58" s="28" t="b">
        <f>VaBenefits[[#This Row],[Withdrawal Taken  ]]&gt;0</f>
        <v>0</v>
      </c>
      <c r="J58" s="45">
        <f>IF(AND(NOT(VaBenefits[[#This Row],[Is Activation]]),VaBenefits[[#This Row],[Assumed Contract Value ]]&gt;0),VaBenefits[[#This Row],[Withdrawal Taken  ]]/VaBenefits[[#This Row],[Assumed Contract Value ]],0)</f>
        <v>0</v>
      </c>
      <c r="K5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8" s="28" t="b">
        <f>AND(VaBenefits[[#This Row],[Is Activation]],SUMIFS($E$8:$E58,$C$8:$C58,TRUE)&gt;0)</f>
        <v>0</v>
      </c>
      <c r="M5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8" s="35" t="b">
        <f>IF(VaBenefits[[#This Row],[timeFromValuation]]=0,0, MOD(VaBenefits[[#This Row],[timeFromValuation]],1)=0)</f>
        <v>1</v>
      </c>
      <c r="O58" s="7">
        <f>IF(VaBenefits[[#This Row],[Is Anniversary?]]=TRUE,VaBenefits[[#This Row],[Assumed Contract Value ]],0)</f>
        <v>0</v>
      </c>
      <c r="P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8" s="7" t="b">
        <f>VaBenefits[[#This Row],[Assumed Contract Value ]]&lt;0.1</f>
        <v>1</v>
      </c>
      <c r="R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8" s="7">
        <f ca="1">IF(AND(VaBenefits[[#This Row],[Is Activation]]=FALSE,VaBenefits[[#This Row],[Is Anniversary?]]=TRUE),OFFSET( VaBenefits[[#This Row],[Income Credit Base]],-1,0)*ICP,0)</f>
        <v>0</v>
      </c>
      <c r="T58" s="5">
        <f>IF(VaBenefits[[#This Row],[Assumed Contract Value ]]&gt;0,VaBenefits[[#This Row],[Income Base]]*MAWA,0)</f>
        <v>0</v>
      </c>
      <c r="U58" s="99">
        <f ca="1">IF(AND(VaBenefits[[#This Row],[Has Income Credit]],VaBenefits[[#This Row],[Is Anniversary?]],VaBenefits[[#This Row],[Joint Mortality tPxy for the partial year]]),VaBenefits[[#This Row],[Income Base]]*PIP,0)</f>
        <v>12026.006800536559</v>
      </c>
      <c r="V58" s="9">
        <f>1/(1+InterestRate)^VaBenefits[[#This Row],[timeFromValuation]]</f>
        <v>0.29530277169776209</v>
      </c>
      <c r="W58" s="94">
        <f>VaBenefits[[#This Row],[timeFromValuation]]</f>
        <v>25</v>
      </c>
      <c r="X58" s="95">
        <f>IF(($G$8+VaBenefits[[#This Row],[timeFromValuation]])&lt;=120,VLOOKUP(G58,Table2[],Qx!L$6,FALSE),0)</f>
        <v>0.97517900000000002</v>
      </c>
      <c r="Y58" s="95">
        <f>IF(($H$8+VaBenefits[[#This Row],[timeFromValuation]])&lt;=120,VLOOKUP(H58,Table2[],Qx!M$6,FALSE),0)</f>
        <v>0.89000699999999999</v>
      </c>
      <c r="Z58" s="95">
        <f>PRODUCT($X$8:$X58)</f>
        <v>0.6194675058564223</v>
      </c>
      <c r="AA58" s="95">
        <f>PRODUCT($Y$8:$Y58)</f>
        <v>0.14312918228989951</v>
      </c>
      <c r="AB58" s="95">
        <f>VaBenefits[[#This Row],[Primary Annuitant Px]]+VaBenefits[[#This Row],[Secondary Annuitant Py]]-VaBenefits[[#This Row],[Primary Annuitant Px]]*VaBenefits[[#This Row],[Secondary Annuitant Py]]</f>
        <v>0.997269863747</v>
      </c>
      <c r="AC58" s="95">
        <f>PRODUCT($AB$8:$AB58)</f>
        <v>0.97334257703870175</v>
      </c>
      <c r="AD58" s="101">
        <f t="shared" ca="1" si="16"/>
        <v>7718.9541599607928</v>
      </c>
    </row>
    <row r="59" spans="1:30" x14ac:dyDescent="0.3">
      <c r="A59" s="35">
        <f t="shared" si="2"/>
        <v>51</v>
      </c>
      <c r="B59" s="33">
        <f t="shared" si="3"/>
        <v>25.5</v>
      </c>
      <c r="C59" s="30" t="b">
        <f>AND(VaBenefits[[#This Row],[timeFromValuation]]&gt;=ACT,VaBenefits[[#This Row],[Assumed Contract Value ]]&gt;0)</f>
        <v>0</v>
      </c>
      <c r="D59" s="34">
        <f t="shared" si="17"/>
        <v>0</v>
      </c>
      <c r="E59" s="34">
        <f>IF(Use_Base_Case, AP59,IF(VaBenefits[[#This Row],[Is Anniversary?]],WithAmt,0))</f>
        <v>0</v>
      </c>
      <c r="F59" s="34">
        <f t="shared" si="18"/>
        <v>0</v>
      </c>
      <c r="G59" s="100">
        <f>ROUND($G$8+VaBenefits[[#This Row],[timeFromValuation]],0)</f>
        <v>81</v>
      </c>
      <c r="H59" s="21">
        <f>ROUND($H$8+VaBenefits[[#This Row],[timeFromValuation]],0)</f>
        <v>91</v>
      </c>
      <c r="I59" s="28" t="b">
        <f>VaBenefits[[#This Row],[Withdrawal Taken  ]]&gt;0</f>
        <v>0</v>
      </c>
      <c r="J59" s="45">
        <f>IF(AND(NOT(VaBenefits[[#This Row],[Is Activation]]),VaBenefits[[#This Row],[Assumed Contract Value ]]&gt;0),VaBenefits[[#This Row],[Withdrawal Taken  ]]/VaBenefits[[#This Row],[Assumed Contract Value ]],0)</f>
        <v>0</v>
      </c>
      <c r="K5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59" s="28" t="b">
        <f>AND(VaBenefits[[#This Row],[Is Activation]],SUMIFS($E$8:$E59,$C$8:$C59,TRUE)&gt;0)</f>
        <v>0</v>
      </c>
      <c r="M5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59" s="35" t="b">
        <f>IF(VaBenefits[[#This Row],[timeFromValuation]]=0,0, MOD(VaBenefits[[#This Row],[timeFromValuation]],1)=0)</f>
        <v>0</v>
      </c>
      <c r="O59" s="7">
        <f>IF(VaBenefits[[#This Row],[Is Anniversary?]]=TRUE,VaBenefits[[#This Row],[Assumed Contract Value ]],0)</f>
        <v>0</v>
      </c>
      <c r="P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59" s="7" t="b">
        <f>VaBenefits[[#This Row],[Assumed Contract Value ]]&lt;0.1</f>
        <v>1</v>
      </c>
      <c r="R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59" s="7">
        <f ca="1">IF(AND(VaBenefits[[#This Row],[Is Activation]]=FALSE,VaBenefits[[#This Row],[Is Anniversary?]]=TRUE),OFFSET( VaBenefits[[#This Row],[Income Credit Base]],-1,0)*ICP,0)</f>
        <v>0</v>
      </c>
      <c r="T59" s="5">
        <f>IF(VaBenefits[[#This Row],[Assumed Contract Value ]]&gt;0,VaBenefits[[#This Row],[Income Base]]*MAWA,0)</f>
        <v>0</v>
      </c>
      <c r="U59" s="99">
        <f>IF(AND(VaBenefits[[#This Row],[Has Income Credit]],VaBenefits[[#This Row],[Is Anniversary?]],VaBenefits[[#This Row],[Joint Mortality tPxy for the partial year]]),VaBenefits[[#This Row],[Income Base]]*PIP,0)</f>
        <v>0</v>
      </c>
      <c r="V59" s="9">
        <f>1/(1+InterestRate)^VaBenefits[[#This Row],[timeFromValuation]]</f>
        <v>0.28818599644174986</v>
      </c>
      <c r="W59" s="94">
        <f>VaBenefits[[#This Row],[timeFromValuation]]</f>
        <v>25.5</v>
      </c>
      <c r="X59" s="95">
        <f>IF(($G$8+VaBenefits[[#This Row],[timeFromValuation]])&lt;=120,VLOOKUP(G59,Table2[],Qx!L$6,FALSE),0)</f>
        <v>0.97164899999999998</v>
      </c>
      <c r="Y59" s="95">
        <f>IF(($H$8+VaBenefits[[#This Row],[timeFromValuation]])&lt;=120,VLOOKUP(H59,Table2[],Qx!M$6,FALSE),0)</f>
        <v>0.87688100000000002</v>
      </c>
      <c r="Z59" s="95">
        <f>PRODUCT($X$8:$X59)</f>
        <v>0.60190498259788683</v>
      </c>
      <c r="AA59" s="95">
        <f>PRODUCT($Y$8:$Y59)</f>
        <v>0.12550726049554939</v>
      </c>
      <c r="AB59" s="95">
        <f>VaBenefits[[#This Row],[Primary Annuitant Px]]+VaBenefits[[#This Row],[Secondary Annuitant Py]]-VaBenefits[[#This Row],[Primary Annuitant Px]]*VaBenefits[[#This Row],[Secondary Annuitant Py]]</f>
        <v>0.99650945323100004</v>
      </c>
      <c r="AC59" s="95">
        <f>PRODUCT($AB$8:$AB59)</f>
        <v>0.96994507925128925</v>
      </c>
      <c r="AD59" s="101">
        <f t="shared" si="16"/>
        <v>0</v>
      </c>
    </row>
    <row r="60" spans="1:30" x14ac:dyDescent="0.3">
      <c r="A60" s="35">
        <f t="shared" si="2"/>
        <v>52</v>
      </c>
      <c r="B60" s="33">
        <f t="shared" si="3"/>
        <v>26</v>
      </c>
      <c r="C60" s="30" t="b">
        <f>AND(VaBenefits[[#This Row],[timeFromValuation]]&gt;=ACT,VaBenefits[[#This Row],[Assumed Contract Value ]]&gt;0)</f>
        <v>0</v>
      </c>
      <c r="D60" s="34">
        <f t="shared" si="17"/>
        <v>0</v>
      </c>
      <c r="E60" s="34">
        <f>IF(Use_Base_Case, AP60,IF(VaBenefits[[#This Row],[Is Anniversary?]],WithAmt,0))</f>
        <v>0</v>
      </c>
      <c r="F60" s="34">
        <f t="shared" si="18"/>
        <v>0</v>
      </c>
      <c r="G60" s="100">
        <f>ROUND($G$8+VaBenefits[[#This Row],[timeFromValuation]],0)</f>
        <v>81</v>
      </c>
      <c r="H60" s="21">
        <f>ROUND($H$8+VaBenefits[[#This Row],[timeFromValuation]],0)</f>
        <v>91</v>
      </c>
      <c r="I60" s="28" t="b">
        <f>VaBenefits[[#This Row],[Withdrawal Taken  ]]&gt;0</f>
        <v>0</v>
      </c>
      <c r="J60" s="45">
        <f>IF(AND(NOT(VaBenefits[[#This Row],[Is Activation]]),VaBenefits[[#This Row],[Assumed Contract Value ]]&gt;0),VaBenefits[[#This Row],[Withdrawal Taken  ]]/VaBenefits[[#This Row],[Assumed Contract Value ]],0)</f>
        <v>0</v>
      </c>
      <c r="K6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0" s="28" t="b">
        <f>AND(VaBenefits[[#This Row],[Is Activation]],SUMIFS($E$8:$E60,$C$8:$C60,TRUE)&gt;0)</f>
        <v>0</v>
      </c>
      <c r="M6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0" s="35" t="b">
        <f>IF(VaBenefits[[#This Row],[timeFromValuation]]=0,0, MOD(VaBenefits[[#This Row],[timeFromValuation]],1)=0)</f>
        <v>1</v>
      </c>
      <c r="O60" s="7">
        <f>IF(VaBenefits[[#This Row],[Is Anniversary?]]=TRUE,VaBenefits[[#This Row],[Assumed Contract Value ]],0)</f>
        <v>0</v>
      </c>
      <c r="P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0" s="7" t="b">
        <f>VaBenefits[[#This Row],[Assumed Contract Value ]]&lt;0.1</f>
        <v>1</v>
      </c>
      <c r="R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0" s="7">
        <f ca="1">IF(AND(VaBenefits[[#This Row],[Is Activation]]=FALSE,VaBenefits[[#This Row],[Is Anniversary?]]=TRUE),OFFSET( VaBenefits[[#This Row],[Income Credit Base]],-1,0)*ICP,0)</f>
        <v>0</v>
      </c>
      <c r="T60" s="5">
        <f>IF(VaBenefits[[#This Row],[Assumed Contract Value ]]&gt;0,VaBenefits[[#This Row],[Income Base]]*MAWA,0)</f>
        <v>0</v>
      </c>
      <c r="U60" s="99">
        <f ca="1">IF(AND(VaBenefits[[#This Row],[Has Income Credit]],VaBenefits[[#This Row],[Is Anniversary?]],VaBenefits[[#This Row],[Joint Mortality tPxy for the partial year]]),VaBenefits[[#This Row],[Income Base]]*PIP,0)</f>
        <v>12026.006800536559</v>
      </c>
      <c r="V60" s="9">
        <f>1/(1+InterestRate)^VaBenefits[[#This Row],[timeFromValuation]]</f>
        <v>0.28124073495024959</v>
      </c>
      <c r="W60" s="94">
        <f>VaBenefits[[#This Row],[timeFromValuation]]</f>
        <v>26</v>
      </c>
      <c r="X60" s="95">
        <f>IF(($G$8+VaBenefits[[#This Row],[timeFromValuation]])&lt;=120,VLOOKUP(G60,Table2[],Qx!L$6,FALSE),0)</f>
        <v>0.97164899999999998</v>
      </c>
      <c r="Y60" s="95">
        <f>IF(($H$8+VaBenefits[[#This Row],[timeFromValuation]])&lt;=120,VLOOKUP(H60,Table2[],Qx!M$6,FALSE),0)</f>
        <v>0.87688100000000002</v>
      </c>
      <c r="Z60" s="95">
        <f>PRODUCT($X$8:$X60)</f>
        <v>0.58484037443625414</v>
      </c>
      <c r="AA60" s="95">
        <f>PRODUCT($Y$8:$Y60)</f>
        <v>0.11005493209059784</v>
      </c>
      <c r="AB60" s="95">
        <f>VaBenefits[[#This Row],[Primary Annuitant Px]]+VaBenefits[[#This Row],[Secondary Annuitant Py]]-VaBenefits[[#This Row],[Primary Annuitant Px]]*VaBenefits[[#This Row],[Secondary Annuitant Py]]</f>
        <v>0.99650945323100004</v>
      </c>
      <c r="AC60" s="95">
        <f>PRODUCT($AB$8:$AB60)</f>
        <v>0.96655944058880128</v>
      </c>
      <c r="AD60" s="101">
        <f t="shared" ca="1" si="16"/>
        <v>7494.124945983076</v>
      </c>
    </row>
    <row r="61" spans="1:30" x14ac:dyDescent="0.3">
      <c r="A61" s="35">
        <f t="shared" si="2"/>
        <v>53</v>
      </c>
      <c r="B61" s="33">
        <f t="shared" si="3"/>
        <v>26.5</v>
      </c>
      <c r="C61" s="30" t="b">
        <f>AND(VaBenefits[[#This Row],[timeFromValuation]]&gt;=ACT,VaBenefits[[#This Row],[Assumed Contract Value ]]&gt;0)</f>
        <v>0</v>
      </c>
      <c r="D61" s="34">
        <f t="shared" si="17"/>
        <v>0</v>
      </c>
      <c r="E61" s="34">
        <f>IF(Use_Base_Case, AP61,IF(VaBenefits[[#This Row],[Is Anniversary?]],WithAmt,0))</f>
        <v>0</v>
      </c>
      <c r="F61" s="34">
        <f t="shared" si="18"/>
        <v>0</v>
      </c>
      <c r="G61" s="100">
        <f>ROUND($G$8+VaBenefits[[#This Row],[timeFromValuation]],0)</f>
        <v>82</v>
      </c>
      <c r="H61" s="21">
        <f>ROUND($H$8+VaBenefits[[#This Row],[timeFromValuation]],0)</f>
        <v>92</v>
      </c>
      <c r="I61" s="28" t="b">
        <f>VaBenefits[[#This Row],[Withdrawal Taken  ]]&gt;0</f>
        <v>0</v>
      </c>
      <c r="J61" s="45">
        <f>IF(AND(NOT(VaBenefits[[#This Row],[Is Activation]]),VaBenefits[[#This Row],[Assumed Contract Value ]]&gt;0),VaBenefits[[#This Row],[Withdrawal Taken  ]]/VaBenefits[[#This Row],[Assumed Contract Value ]],0)</f>
        <v>0</v>
      </c>
      <c r="K6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1" s="28" t="b">
        <f>AND(VaBenefits[[#This Row],[Is Activation]],SUMIFS($E$8:$E61,$C$8:$C61,TRUE)&gt;0)</f>
        <v>0</v>
      </c>
      <c r="M6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1" s="35" t="b">
        <f>IF(VaBenefits[[#This Row],[timeFromValuation]]=0,0, MOD(VaBenefits[[#This Row],[timeFromValuation]],1)=0)</f>
        <v>0</v>
      </c>
      <c r="O61" s="7">
        <f>IF(VaBenefits[[#This Row],[Is Anniversary?]]=TRUE,VaBenefits[[#This Row],[Assumed Contract Value ]],0)</f>
        <v>0</v>
      </c>
      <c r="P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1" s="7" t="b">
        <f>VaBenefits[[#This Row],[Assumed Contract Value ]]&lt;0.1</f>
        <v>1</v>
      </c>
      <c r="R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1" s="7">
        <f ca="1">IF(AND(VaBenefits[[#This Row],[Is Activation]]=FALSE,VaBenefits[[#This Row],[Is Anniversary?]]=TRUE),OFFSET( VaBenefits[[#This Row],[Income Credit Base]],-1,0)*ICP,0)</f>
        <v>0</v>
      </c>
      <c r="T61" s="5">
        <f>IF(VaBenefits[[#This Row],[Assumed Contract Value ]]&gt;0,VaBenefits[[#This Row],[Income Base]]*MAWA,0)</f>
        <v>0</v>
      </c>
      <c r="U61" s="99">
        <f>IF(AND(VaBenefits[[#This Row],[Has Income Credit]],VaBenefits[[#This Row],[Is Anniversary?]],VaBenefits[[#This Row],[Joint Mortality tPxy for the partial year]]),VaBenefits[[#This Row],[Income Base]]*PIP,0)</f>
        <v>0</v>
      </c>
      <c r="V61" s="9">
        <f>1/(1+InterestRate)^VaBenefits[[#This Row],[timeFromValuation]]</f>
        <v>0.27446285375404744</v>
      </c>
      <c r="W61" s="94">
        <f>VaBenefits[[#This Row],[timeFromValuation]]</f>
        <v>26.5</v>
      </c>
      <c r="X61" s="95">
        <f>IF(($G$8+VaBenefits[[#This Row],[timeFromValuation]])&lt;=120,VLOOKUP(G61,Table2[],Qx!L$6,FALSE),0)</f>
        <v>0.96749099999999999</v>
      </c>
      <c r="Y61" s="95">
        <f>IF(($H$8+VaBenefits[[#This Row],[timeFromValuation]])&lt;=120,VLOOKUP(H61,Table2[],Qx!M$6,FALSE),0)</f>
        <v>0.86283200000000004</v>
      </c>
      <c r="Z61" s="95">
        <f>PRODUCT($X$8:$X61)</f>
        <v>0.56582779870370592</v>
      </c>
      <c r="AA61" s="95">
        <f>PRODUCT($Y$8:$Y61)</f>
        <v>9.4958917165594722E-2</v>
      </c>
      <c r="AB61" s="95">
        <f>VaBenefits[[#This Row],[Primary Annuitant Px]]+VaBenefits[[#This Row],[Secondary Annuitant Py]]-VaBenefits[[#This Row],[Primary Annuitant Px]]*VaBenefits[[#This Row],[Secondary Annuitant Py]]</f>
        <v>0.99554080548799984</v>
      </c>
      <c r="AC61" s="95">
        <f>PRODUCT($AB$8:$AB61)</f>
        <v>0.96224936403580574</v>
      </c>
      <c r="AD61" s="101">
        <f t="shared" si="16"/>
        <v>0</v>
      </c>
    </row>
    <row r="62" spans="1:30" x14ac:dyDescent="0.3">
      <c r="A62" s="35">
        <f t="shared" si="2"/>
        <v>54</v>
      </c>
      <c r="B62" s="33">
        <f t="shared" si="3"/>
        <v>27</v>
      </c>
      <c r="C62" s="30" t="b">
        <f>AND(VaBenefits[[#This Row],[timeFromValuation]]&gt;=ACT,VaBenefits[[#This Row],[Assumed Contract Value ]]&gt;0)</f>
        <v>0</v>
      </c>
      <c r="D62" s="34">
        <f t="shared" si="17"/>
        <v>0</v>
      </c>
      <c r="E62" s="34">
        <f>IF(Use_Base_Case, AP62,IF(VaBenefits[[#This Row],[Is Anniversary?]],WithAmt,0))</f>
        <v>0</v>
      </c>
      <c r="F62" s="34">
        <f t="shared" si="18"/>
        <v>0</v>
      </c>
      <c r="G62" s="100">
        <f>ROUND($G$8+VaBenefits[[#This Row],[timeFromValuation]],0)</f>
        <v>82</v>
      </c>
      <c r="H62" s="21">
        <f>ROUND($H$8+VaBenefits[[#This Row],[timeFromValuation]],0)</f>
        <v>92</v>
      </c>
      <c r="I62" s="28" t="b">
        <f>VaBenefits[[#This Row],[Withdrawal Taken  ]]&gt;0</f>
        <v>0</v>
      </c>
      <c r="J62" s="45">
        <f>IF(AND(NOT(VaBenefits[[#This Row],[Is Activation]]),VaBenefits[[#This Row],[Assumed Contract Value ]]&gt;0),VaBenefits[[#This Row],[Withdrawal Taken  ]]/VaBenefits[[#This Row],[Assumed Contract Value ]],0)</f>
        <v>0</v>
      </c>
      <c r="K6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2" s="28" t="b">
        <f>AND(VaBenefits[[#This Row],[Is Activation]],SUMIFS($E$8:$E62,$C$8:$C62,TRUE)&gt;0)</f>
        <v>0</v>
      </c>
      <c r="M6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2" s="35" t="b">
        <f>IF(VaBenefits[[#This Row],[timeFromValuation]]=0,0, MOD(VaBenefits[[#This Row],[timeFromValuation]],1)=0)</f>
        <v>1</v>
      </c>
      <c r="O62" s="7">
        <f>IF(VaBenefits[[#This Row],[Is Anniversary?]]=TRUE,VaBenefits[[#This Row],[Assumed Contract Value ]],0)</f>
        <v>0</v>
      </c>
      <c r="P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2" s="7" t="b">
        <f>VaBenefits[[#This Row],[Assumed Contract Value ]]&lt;0.1</f>
        <v>1</v>
      </c>
      <c r="R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2" s="7">
        <f ca="1">IF(AND(VaBenefits[[#This Row],[Is Activation]]=FALSE,VaBenefits[[#This Row],[Is Anniversary?]]=TRUE),OFFSET( VaBenefits[[#This Row],[Income Credit Base]],-1,0)*ICP,0)</f>
        <v>0</v>
      </c>
      <c r="T62" s="5">
        <f>IF(VaBenefits[[#This Row],[Assumed Contract Value ]]&gt;0,VaBenefits[[#This Row],[Income Base]]*MAWA,0)</f>
        <v>0</v>
      </c>
      <c r="U62" s="99">
        <f ca="1">IF(AND(VaBenefits[[#This Row],[Has Income Credit]],VaBenefits[[#This Row],[Is Anniversary?]],VaBenefits[[#This Row],[Joint Mortality tPxy for the partial year]]),VaBenefits[[#This Row],[Income Base]]*PIP,0)</f>
        <v>12026.006800536559</v>
      </c>
      <c r="V62" s="9">
        <f>1/(1+InterestRate)^VaBenefits[[#This Row],[timeFromValuation]]</f>
        <v>0.2678483190002377</v>
      </c>
      <c r="W62" s="94">
        <f>VaBenefits[[#This Row],[timeFromValuation]]</f>
        <v>27</v>
      </c>
      <c r="X62" s="95">
        <f>IF(($G$8+VaBenefits[[#This Row],[timeFromValuation]])&lt;=120,VLOOKUP(G62,Table2[],Qx!L$6,FALSE),0)</f>
        <v>0.96749099999999999</v>
      </c>
      <c r="Y62" s="95">
        <f>IF(($H$8+VaBenefits[[#This Row],[timeFromValuation]])&lt;=120,VLOOKUP(H62,Table2[],Qx!M$6,FALSE),0)</f>
        <v>0.86283200000000004</v>
      </c>
      <c r="Z62" s="95">
        <f>PRODUCT($X$8:$X62)</f>
        <v>0.54743330279564717</v>
      </c>
      <c r="AA62" s="95">
        <f>PRODUCT($Y$8:$Y62)</f>
        <v>8.193359241582443E-2</v>
      </c>
      <c r="AB62" s="95">
        <f>VaBenefits[[#This Row],[Primary Annuitant Px]]+VaBenefits[[#This Row],[Secondary Annuitant Py]]-VaBenefits[[#This Row],[Primary Annuitant Px]]*VaBenefits[[#This Row],[Secondary Annuitant Py]]</f>
        <v>0.99554080548799984</v>
      </c>
      <c r="AC62" s="95">
        <f>PRODUCT($AB$8:$AB62)</f>
        <v>0.9579585069525216</v>
      </c>
      <c r="AD62" s="101">
        <f t="shared" ca="1" si="16"/>
        <v>7275.8443102726123</v>
      </c>
    </row>
    <row r="63" spans="1:30" x14ac:dyDescent="0.3">
      <c r="A63" s="35">
        <f t="shared" si="2"/>
        <v>55</v>
      </c>
      <c r="B63" s="33">
        <f t="shared" si="3"/>
        <v>27.5</v>
      </c>
      <c r="C63" s="30" t="b">
        <f>AND(VaBenefits[[#This Row],[timeFromValuation]]&gt;=ACT,VaBenefits[[#This Row],[Assumed Contract Value ]]&gt;0)</f>
        <v>0</v>
      </c>
      <c r="D63" s="34">
        <f t="shared" si="17"/>
        <v>0</v>
      </c>
      <c r="E63" s="34">
        <f>IF(Use_Base_Case, AP63,IF(VaBenefits[[#This Row],[Is Anniversary?]],WithAmt,0))</f>
        <v>0</v>
      </c>
      <c r="F63" s="34">
        <f t="shared" si="18"/>
        <v>0</v>
      </c>
      <c r="G63" s="100">
        <f>ROUND($G$8+VaBenefits[[#This Row],[timeFromValuation]],0)</f>
        <v>83</v>
      </c>
      <c r="H63" s="21">
        <f>ROUND($H$8+VaBenefits[[#This Row],[timeFromValuation]],0)</f>
        <v>93</v>
      </c>
      <c r="I63" s="28" t="b">
        <f>VaBenefits[[#This Row],[Withdrawal Taken  ]]&gt;0</f>
        <v>0</v>
      </c>
      <c r="J63" s="45">
        <f>IF(AND(NOT(VaBenefits[[#This Row],[Is Activation]]),VaBenefits[[#This Row],[Assumed Contract Value ]]&gt;0),VaBenefits[[#This Row],[Withdrawal Taken  ]]/VaBenefits[[#This Row],[Assumed Contract Value ]],0)</f>
        <v>0</v>
      </c>
      <c r="K6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3" s="28" t="b">
        <f>AND(VaBenefits[[#This Row],[Is Activation]],SUMIFS($E$8:$E63,$C$8:$C63,TRUE)&gt;0)</f>
        <v>0</v>
      </c>
      <c r="M6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3" s="35" t="b">
        <f>IF(VaBenefits[[#This Row],[timeFromValuation]]=0,0, MOD(VaBenefits[[#This Row],[timeFromValuation]],1)=0)</f>
        <v>0</v>
      </c>
      <c r="O63" s="7">
        <f>IF(VaBenefits[[#This Row],[Is Anniversary?]]=TRUE,VaBenefits[[#This Row],[Assumed Contract Value ]],0)</f>
        <v>0</v>
      </c>
      <c r="P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3" s="7" t="b">
        <f>VaBenefits[[#This Row],[Assumed Contract Value ]]&lt;0.1</f>
        <v>1</v>
      </c>
      <c r="R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3" s="7">
        <f ca="1">IF(AND(VaBenefits[[#This Row],[Is Activation]]=FALSE,VaBenefits[[#This Row],[Is Anniversary?]]=TRUE),OFFSET( VaBenefits[[#This Row],[Income Credit Base]],-1,0)*ICP,0)</f>
        <v>0</v>
      </c>
      <c r="T63" s="5">
        <f>IF(VaBenefits[[#This Row],[Assumed Contract Value ]]&gt;0,VaBenefits[[#This Row],[Income Base]]*MAWA,0)</f>
        <v>0</v>
      </c>
      <c r="U63" s="99">
        <f>IF(AND(VaBenefits[[#This Row],[Has Income Credit]],VaBenefits[[#This Row],[Is Anniversary?]],VaBenefits[[#This Row],[Joint Mortality tPxy for the partial year]]),VaBenefits[[#This Row],[Income Base]]*PIP,0)</f>
        <v>0</v>
      </c>
      <c r="V63" s="9">
        <f>1/(1+InterestRate)^VaBenefits[[#This Row],[timeFromValuation]]</f>
        <v>0.26139319405147377</v>
      </c>
      <c r="W63" s="94">
        <f>VaBenefits[[#This Row],[timeFromValuation]]</f>
        <v>27.5</v>
      </c>
      <c r="X63" s="95">
        <f>IF(($G$8+VaBenefits[[#This Row],[timeFromValuation]])&lt;=120,VLOOKUP(G63,Table2[],Qx!L$6,FALSE),0)</f>
        <v>0.96267100000000005</v>
      </c>
      <c r="Y63" s="95">
        <f>IF(($H$8+VaBenefits[[#This Row],[timeFromValuation]])&lt;=120,VLOOKUP(H63,Table2[],Qx!M$6,FALSE),0)</f>
        <v>0.84782899999999994</v>
      </c>
      <c r="Z63" s="95">
        <f>PRODUCT($X$8:$X63)</f>
        <v>0.5269981650355885</v>
      </c>
      <c r="AA63" s="95">
        <f>PRODUCT($Y$8:$Y63)</f>
        <v>6.9465675724316001E-2</v>
      </c>
      <c r="AB63" s="95">
        <f>VaBenefits[[#This Row],[Primary Annuitant Px]]+VaBenefits[[#This Row],[Secondary Annuitant Py]]-VaBenefits[[#This Row],[Primary Annuitant Px]]*VaBenefits[[#This Row],[Secondary Annuitant Py]]</f>
        <v>0.99431960874100001</v>
      </c>
      <c r="AC63" s="95">
        <f>PRODUCT($AB$8:$AB63)</f>
        <v>0.95251692782314379</v>
      </c>
      <c r="AD63" s="101">
        <f t="shared" si="16"/>
        <v>0</v>
      </c>
    </row>
    <row r="64" spans="1:30" x14ac:dyDescent="0.3">
      <c r="A64" s="35">
        <f t="shared" si="2"/>
        <v>56</v>
      </c>
      <c r="B64" s="33">
        <f t="shared" si="3"/>
        <v>28</v>
      </c>
      <c r="C64" s="30" t="b">
        <f>AND(VaBenefits[[#This Row],[timeFromValuation]]&gt;=ACT,VaBenefits[[#This Row],[Assumed Contract Value ]]&gt;0)</f>
        <v>0</v>
      </c>
      <c r="D64" s="34">
        <f t="shared" si="17"/>
        <v>0</v>
      </c>
      <c r="E64" s="34">
        <f>IF(Use_Base_Case, AP64,IF(VaBenefits[[#This Row],[Is Anniversary?]],WithAmt,0))</f>
        <v>0</v>
      </c>
      <c r="F64" s="34">
        <f t="shared" si="18"/>
        <v>0</v>
      </c>
      <c r="G64" s="100">
        <f>ROUND($G$8+VaBenefits[[#This Row],[timeFromValuation]],0)</f>
        <v>83</v>
      </c>
      <c r="H64" s="21">
        <f>ROUND($H$8+VaBenefits[[#This Row],[timeFromValuation]],0)</f>
        <v>93</v>
      </c>
      <c r="I64" s="28" t="b">
        <f>VaBenefits[[#This Row],[Withdrawal Taken  ]]&gt;0</f>
        <v>0</v>
      </c>
      <c r="J64" s="45">
        <f>IF(AND(NOT(VaBenefits[[#This Row],[Is Activation]]),VaBenefits[[#This Row],[Assumed Contract Value ]]&gt;0),VaBenefits[[#This Row],[Withdrawal Taken  ]]/VaBenefits[[#This Row],[Assumed Contract Value ]],0)</f>
        <v>0</v>
      </c>
      <c r="K6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4" s="28" t="b">
        <f>AND(VaBenefits[[#This Row],[Is Activation]],SUMIFS($E$8:$E64,$C$8:$C64,TRUE)&gt;0)</f>
        <v>0</v>
      </c>
      <c r="M6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4" s="35" t="b">
        <f>IF(VaBenefits[[#This Row],[timeFromValuation]]=0,0, MOD(VaBenefits[[#This Row],[timeFromValuation]],1)=0)</f>
        <v>1</v>
      </c>
      <c r="O64" s="7">
        <f>IF(VaBenefits[[#This Row],[Is Anniversary?]]=TRUE,VaBenefits[[#This Row],[Assumed Contract Value ]],0)</f>
        <v>0</v>
      </c>
      <c r="P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4" s="7" t="b">
        <f>VaBenefits[[#This Row],[Assumed Contract Value ]]&lt;0.1</f>
        <v>1</v>
      </c>
      <c r="R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4" s="7">
        <f ca="1">IF(AND(VaBenefits[[#This Row],[Is Activation]]=FALSE,VaBenefits[[#This Row],[Is Anniversary?]]=TRUE),OFFSET( VaBenefits[[#This Row],[Income Credit Base]],-1,0)*ICP,0)</f>
        <v>0</v>
      </c>
      <c r="T64" s="5">
        <f>IF(VaBenefits[[#This Row],[Assumed Contract Value ]]&gt;0,VaBenefits[[#This Row],[Income Base]]*MAWA,0)</f>
        <v>0</v>
      </c>
      <c r="U64" s="99">
        <f ca="1">IF(AND(VaBenefits[[#This Row],[Has Income Credit]],VaBenefits[[#This Row],[Is Anniversary?]],VaBenefits[[#This Row],[Joint Mortality tPxy for the partial year]]),VaBenefits[[#This Row],[Income Base]]*PIP,0)</f>
        <v>12026.006800536559</v>
      </c>
      <c r="V64" s="9">
        <f>1/(1+InterestRate)^VaBenefits[[#This Row],[timeFromValuation]]</f>
        <v>0.25509363714308358</v>
      </c>
      <c r="W64" s="94">
        <f>VaBenefits[[#This Row],[timeFromValuation]]</f>
        <v>28</v>
      </c>
      <c r="X64" s="95">
        <f>IF(($G$8+VaBenefits[[#This Row],[timeFromValuation]])&lt;=120,VLOOKUP(G64,Table2[],Qx!L$6,FALSE),0)</f>
        <v>0.96267100000000005</v>
      </c>
      <c r="Y64" s="95">
        <f>IF(($H$8+VaBenefits[[#This Row],[timeFromValuation]])&lt;=120,VLOOKUP(H64,Table2[],Qx!M$6,FALSE),0)</f>
        <v>0.84782899999999994</v>
      </c>
      <c r="Z64" s="95">
        <f>PRODUCT($X$8:$X64)</f>
        <v>0.50732585053297508</v>
      </c>
      <c r="AA64" s="95">
        <f>PRODUCT($Y$8:$Y64)</f>
        <v>5.8895014383671104E-2</v>
      </c>
      <c r="AB64" s="95">
        <f>VaBenefits[[#This Row],[Primary Annuitant Px]]+VaBenefits[[#This Row],[Secondary Annuitant Py]]-VaBenefits[[#This Row],[Primary Annuitant Px]]*VaBenefits[[#This Row],[Secondary Annuitant Py]]</f>
        <v>0.99431960874100001</v>
      </c>
      <c r="AC64" s="95">
        <f>PRODUCT($AB$8:$AB64)</f>
        <v>0.94710625899228762</v>
      </c>
      <c r="AD64" s="101">
        <f t="shared" ca="1" si="16"/>
        <v>7063.9215130382336</v>
      </c>
    </row>
    <row r="65" spans="1:30" x14ac:dyDescent="0.3">
      <c r="A65" s="35">
        <f t="shared" si="2"/>
        <v>57</v>
      </c>
      <c r="B65" s="33">
        <f t="shared" si="3"/>
        <v>28.5</v>
      </c>
      <c r="C65" s="30" t="b">
        <f>AND(VaBenefits[[#This Row],[timeFromValuation]]&gt;=ACT,VaBenefits[[#This Row],[Assumed Contract Value ]]&gt;0)</f>
        <v>0</v>
      </c>
      <c r="D65" s="34">
        <f t="shared" si="17"/>
        <v>0</v>
      </c>
      <c r="E65" s="34">
        <f>IF(Use_Base_Case, AP65,IF(VaBenefits[[#This Row],[Is Anniversary?]],WithAmt,0))</f>
        <v>0</v>
      </c>
      <c r="F65" s="34">
        <f t="shared" si="18"/>
        <v>0</v>
      </c>
      <c r="G65" s="100">
        <f>ROUND($G$8+VaBenefits[[#This Row],[timeFromValuation]],0)</f>
        <v>84</v>
      </c>
      <c r="H65" s="21">
        <f>ROUND($H$8+VaBenefits[[#This Row],[timeFromValuation]],0)</f>
        <v>94</v>
      </c>
      <c r="I65" s="28" t="b">
        <f>VaBenefits[[#This Row],[Withdrawal Taken  ]]&gt;0</f>
        <v>0</v>
      </c>
      <c r="J65" s="45">
        <f>IF(AND(NOT(VaBenefits[[#This Row],[Is Activation]]),VaBenefits[[#This Row],[Assumed Contract Value ]]&gt;0),VaBenefits[[#This Row],[Withdrawal Taken  ]]/VaBenefits[[#This Row],[Assumed Contract Value ]],0)</f>
        <v>0</v>
      </c>
      <c r="K6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5" s="28" t="b">
        <f>AND(VaBenefits[[#This Row],[Is Activation]],SUMIFS($E$8:$E65,$C$8:$C65,TRUE)&gt;0)</f>
        <v>0</v>
      </c>
      <c r="M6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5" s="35" t="b">
        <f>IF(VaBenefits[[#This Row],[timeFromValuation]]=0,0, MOD(VaBenefits[[#This Row],[timeFromValuation]],1)=0)</f>
        <v>0</v>
      </c>
      <c r="O65" s="7">
        <f>IF(VaBenefits[[#This Row],[Is Anniversary?]]=TRUE,VaBenefits[[#This Row],[Assumed Contract Value ]],0)</f>
        <v>0</v>
      </c>
      <c r="P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5" s="7" t="b">
        <f>VaBenefits[[#This Row],[Assumed Contract Value ]]&lt;0.1</f>
        <v>1</v>
      </c>
      <c r="R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5" s="7">
        <f ca="1">IF(AND(VaBenefits[[#This Row],[Is Activation]]=FALSE,VaBenefits[[#This Row],[Is Anniversary?]]=TRUE),OFFSET( VaBenefits[[#This Row],[Income Credit Base]],-1,0)*ICP,0)</f>
        <v>0</v>
      </c>
      <c r="T65" s="5">
        <f>IF(VaBenefits[[#This Row],[Assumed Contract Value ]]&gt;0,VaBenefits[[#This Row],[Income Base]]*MAWA,0)</f>
        <v>0</v>
      </c>
      <c r="U65" s="99">
        <f>IF(AND(VaBenefits[[#This Row],[Has Income Credit]],VaBenefits[[#This Row],[Is Anniversary?]],VaBenefits[[#This Row],[Joint Mortality tPxy for the partial year]]),VaBenefits[[#This Row],[Income Base]]*PIP,0)</f>
        <v>0</v>
      </c>
      <c r="V65" s="9">
        <f>1/(1+InterestRate)^VaBenefits[[#This Row],[timeFromValuation]]</f>
        <v>0.24894589909664167</v>
      </c>
      <c r="W65" s="94">
        <f>VaBenefits[[#This Row],[timeFromValuation]]</f>
        <v>28.5</v>
      </c>
      <c r="X65" s="95">
        <f>IF(($G$8+VaBenefits[[#This Row],[timeFromValuation]])&lt;=120,VLOOKUP(G65,Table2[],Qx!L$6,FALSE),0)</f>
        <v>0.95716999999999997</v>
      </c>
      <c r="Y65" s="95">
        <f>IF(($H$8+VaBenefits[[#This Row],[timeFromValuation]])&lt;=120,VLOOKUP(H65,Table2[],Qx!M$6,FALSE),0)</f>
        <v>0.83180600000000005</v>
      </c>
      <c r="Z65" s="95">
        <f>PRODUCT($X$8:$X65)</f>
        <v>0.48559708435464771</v>
      </c>
      <c r="AA65" s="95">
        <f>PRODUCT($Y$8:$Y65)</f>
        <v>4.898922633442393E-2</v>
      </c>
      <c r="AB65" s="95">
        <f>VaBenefits[[#This Row],[Primary Annuitant Px]]+VaBenefits[[#This Row],[Secondary Annuitant Py]]-VaBenefits[[#This Row],[Primary Annuitant Px]]*VaBenefits[[#This Row],[Secondary Annuitant Py]]</f>
        <v>0.99279625097999991</v>
      </c>
      <c r="AC65" s="95">
        <f>PRODUCT($AB$8:$AB65)</f>
        <v>0.94028354320723595</v>
      </c>
      <c r="AD65" s="101">
        <f t="shared" si="16"/>
        <v>0</v>
      </c>
    </row>
    <row r="66" spans="1:30" x14ac:dyDescent="0.3">
      <c r="A66" s="35">
        <f t="shared" si="2"/>
        <v>58</v>
      </c>
      <c r="B66" s="33">
        <f t="shared" si="3"/>
        <v>29</v>
      </c>
      <c r="C66" s="30" t="b">
        <f>AND(VaBenefits[[#This Row],[timeFromValuation]]&gt;=ACT,VaBenefits[[#This Row],[Assumed Contract Value ]]&gt;0)</f>
        <v>0</v>
      </c>
      <c r="D66" s="34">
        <f t="shared" si="17"/>
        <v>0</v>
      </c>
      <c r="E66" s="34">
        <f>IF(Use_Base_Case, AP66,IF(VaBenefits[[#This Row],[Is Anniversary?]],WithAmt,0))</f>
        <v>0</v>
      </c>
      <c r="F66" s="34">
        <f t="shared" si="18"/>
        <v>0</v>
      </c>
      <c r="G66" s="100">
        <f>ROUND($G$8+VaBenefits[[#This Row],[timeFromValuation]],0)</f>
        <v>84</v>
      </c>
      <c r="H66" s="21">
        <f>ROUND($H$8+VaBenefits[[#This Row],[timeFromValuation]],0)</f>
        <v>94</v>
      </c>
      <c r="I66" s="28" t="b">
        <f>VaBenefits[[#This Row],[Withdrawal Taken  ]]&gt;0</f>
        <v>0</v>
      </c>
      <c r="J66" s="45">
        <f>IF(AND(NOT(VaBenefits[[#This Row],[Is Activation]]),VaBenefits[[#This Row],[Assumed Contract Value ]]&gt;0),VaBenefits[[#This Row],[Withdrawal Taken  ]]/VaBenefits[[#This Row],[Assumed Contract Value ]],0)</f>
        <v>0</v>
      </c>
      <c r="K6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6" s="28" t="b">
        <f>AND(VaBenefits[[#This Row],[Is Activation]],SUMIFS($E$8:$E66,$C$8:$C66,TRUE)&gt;0)</f>
        <v>0</v>
      </c>
      <c r="M6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6" s="35" t="b">
        <f>IF(VaBenefits[[#This Row],[timeFromValuation]]=0,0, MOD(VaBenefits[[#This Row],[timeFromValuation]],1)=0)</f>
        <v>1</v>
      </c>
      <c r="O66" s="7">
        <f>IF(VaBenefits[[#This Row],[Is Anniversary?]]=TRUE,VaBenefits[[#This Row],[Assumed Contract Value ]],0)</f>
        <v>0</v>
      </c>
      <c r="P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6" s="7" t="b">
        <f>VaBenefits[[#This Row],[Assumed Contract Value ]]&lt;0.1</f>
        <v>1</v>
      </c>
      <c r="R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6" s="7">
        <f ca="1">IF(AND(VaBenefits[[#This Row],[Is Activation]]=FALSE,VaBenefits[[#This Row],[Is Anniversary?]]=TRUE),OFFSET( VaBenefits[[#This Row],[Income Credit Base]],-1,0)*ICP,0)</f>
        <v>0</v>
      </c>
      <c r="T66" s="5">
        <f>IF(VaBenefits[[#This Row],[Assumed Contract Value ]]&gt;0,VaBenefits[[#This Row],[Income Base]]*MAWA,0)</f>
        <v>0</v>
      </c>
      <c r="U66" s="99">
        <f ca="1">IF(AND(VaBenefits[[#This Row],[Has Income Credit]],VaBenefits[[#This Row],[Is Anniversary?]],VaBenefits[[#This Row],[Joint Mortality tPxy for the partial year]]),VaBenefits[[#This Row],[Income Base]]*PIP,0)</f>
        <v>12026.006800536559</v>
      </c>
      <c r="V66" s="9">
        <f>1/(1+InterestRate)^VaBenefits[[#This Row],[timeFromValuation]]</f>
        <v>0.24294632108865097</v>
      </c>
      <c r="W66" s="94">
        <f>VaBenefits[[#This Row],[timeFromValuation]]</f>
        <v>29</v>
      </c>
      <c r="X66" s="95">
        <f>IF(($G$8+VaBenefits[[#This Row],[timeFromValuation]])&lt;=120,VLOOKUP(G66,Table2[],Qx!L$6,FALSE),0)</f>
        <v>0.95716999999999997</v>
      </c>
      <c r="Y66" s="95">
        <f>IF(($H$8+VaBenefits[[#This Row],[timeFromValuation]])&lt;=120,VLOOKUP(H66,Table2[],Qx!M$6,FALSE),0)</f>
        <v>0.83180600000000005</v>
      </c>
      <c r="Z66" s="95">
        <f>PRODUCT($X$8:$X66)</f>
        <v>0.46479896123173814</v>
      </c>
      <c r="AA66" s="95">
        <f>PRODUCT($Y$8:$Y66)</f>
        <v>4.0749532400331835E-2</v>
      </c>
      <c r="AB66" s="95">
        <f>VaBenefits[[#This Row],[Primary Annuitant Px]]+VaBenefits[[#This Row],[Secondary Annuitant Py]]-VaBenefits[[#This Row],[Primary Annuitant Px]]*VaBenefits[[#This Row],[Secondary Annuitant Py]]</f>
        <v>0.99279625097999991</v>
      </c>
      <c r="AC66" s="95">
        <f>PRODUCT($AB$8:$AB66)</f>
        <v>0.93350997655433465</v>
      </c>
      <c r="AD66" s="101">
        <f t="shared" ca="1" si="16"/>
        <v>6858.1713701477966</v>
      </c>
    </row>
    <row r="67" spans="1:30" x14ac:dyDescent="0.3">
      <c r="A67" s="35">
        <f t="shared" si="2"/>
        <v>59</v>
      </c>
      <c r="B67" s="33">
        <f t="shared" si="3"/>
        <v>29.5</v>
      </c>
      <c r="C67" s="30" t="b">
        <f>AND(VaBenefits[[#This Row],[timeFromValuation]]&gt;=ACT,VaBenefits[[#This Row],[Assumed Contract Value ]]&gt;0)</f>
        <v>0</v>
      </c>
      <c r="D67" s="34">
        <f t="shared" si="17"/>
        <v>0</v>
      </c>
      <c r="E67" s="34">
        <f>IF(Use_Base_Case, AP67,IF(VaBenefits[[#This Row],[Is Anniversary?]],WithAmt,0))</f>
        <v>0</v>
      </c>
      <c r="F67" s="34">
        <f t="shared" si="18"/>
        <v>0</v>
      </c>
      <c r="G67" s="100">
        <f>ROUND($G$8+VaBenefits[[#This Row],[timeFromValuation]],0)</f>
        <v>85</v>
      </c>
      <c r="H67" s="21">
        <f>ROUND($H$8+VaBenefits[[#This Row],[timeFromValuation]],0)</f>
        <v>95</v>
      </c>
      <c r="I67" s="28" t="b">
        <f>VaBenefits[[#This Row],[Withdrawal Taken  ]]&gt;0</f>
        <v>0</v>
      </c>
      <c r="J67" s="45">
        <f>IF(AND(NOT(VaBenefits[[#This Row],[Is Activation]]),VaBenefits[[#This Row],[Assumed Contract Value ]]&gt;0),VaBenefits[[#This Row],[Withdrawal Taken  ]]/VaBenefits[[#This Row],[Assumed Contract Value ]],0)</f>
        <v>0</v>
      </c>
      <c r="K6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7" s="28" t="b">
        <f>AND(VaBenefits[[#This Row],[Is Activation]],SUMIFS($E$8:$E67,$C$8:$C67,TRUE)&gt;0)</f>
        <v>0</v>
      </c>
      <c r="M6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7" s="35" t="b">
        <f>IF(VaBenefits[[#This Row],[timeFromValuation]]=0,0, MOD(VaBenefits[[#This Row],[timeFromValuation]],1)=0)</f>
        <v>0</v>
      </c>
      <c r="O67" s="7">
        <f>IF(VaBenefits[[#This Row],[Is Anniversary?]]=TRUE,VaBenefits[[#This Row],[Assumed Contract Value ]],0)</f>
        <v>0</v>
      </c>
      <c r="P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7" s="7" t="b">
        <f>VaBenefits[[#This Row],[Assumed Contract Value ]]&lt;0.1</f>
        <v>1</v>
      </c>
      <c r="R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7" s="7">
        <f ca="1">IF(AND(VaBenefits[[#This Row],[Is Activation]]=FALSE,VaBenefits[[#This Row],[Is Anniversary?]]=TRUE),OFFSET( VaBenefits[[#This Row],[Income Credit Base]],-1,0)*ICP,0)</f>
        <v>0</v>
      </c>
      <c r="T67" s="5">
        <f>IF(VaBenefits[[#This Row],[Assumed Contract Value ]]&gt;0,VaBenefits[[#This Row],[Income Base]]*MAWA,0)</f>
        <v>0</v>
      </c>
      <c r="U67" s="99">
        <f>IF(AND(VaBenefits[[#This Row],[Has Income Credit]],VaBenefits[[#This Row],[Is Anniversary?]],VaBenefits[[#This Row],[Joint Mortality tPxy for the partial year]]),VaBenefits[[#This Row],[Income Base]]*PIP,0)</f>
        <v>0</v>
      </c>
      <c r="V67" s="9">
        <f>1/(1+InterestRate)^VaBenefits[[#This Row],[timeFromValuation]]</f>
        <v>0.23709133247299205</v>
      </c>
      <c r="W67" s="94">
        <f>VaBenefits[[#This Row],[timeFromValuation]]</f>
        <v>29.5</v>
      </c>
      <c r="X67" s="95">
        <f>IF(($G$8+VaBenefits[[#This Row],[timeFromValuation]])&lt;=120,VLOOKUP(G67,Table2[],Qx!L$6,FALSE),0)</f>
        <v>0.95100300000000004</v>
      </c>
      <c r="Y67" s="95">
        <f>IF(($H$8+VaBenefits[[#This Row],[timeFromValuation]])&lt;=120,VLOOKUP(H67,Table2[],Qx!M$6,FALSE),0)</f>
        <v>0.81474000000000002</v>
      </c>
      <c r="Z67" s="95">
        <f>PRODUCT($X$8:$X67)</f>
        <v>0.44202520652826671</v>
      </c>
      <c r="AA67" s="95">
        <f>PRODUCT($Y$8:$Y67)</f>
        <v>3.3200274027846359E-2</v>
      </c>
      <c r="AB67" s="95">
        <f>VaBenefits[[#This Row],[Primary Annuitant Px]]+VaBenefits[[#This Row],[Secondary Annuitant Py]]-VaBenefits[[#This Row],[Primary Annuitant Px]]*VaBenefits[[#This Row],[Secondary Annuitant Py]]</f>
        <v>0.99092281577999997</v>
      </c>
      <c r="AC67" s="95">
        <f>PRODUCT($AB$8:$AB67)</f>
        <v>0.92503633452594303</v>
      </c>
      <c r="AD67" s="101">
        <f t="shared" si="16"/>
        <v>0</v>
      </c>
    </row>
    <row r="68" spans="1:30" x14ac:dyDescent="0.3">
      <c r="A68" s="35">
        <f t="shared" si="2"/>
        <v>60</v>
      </c>
      <c r="B68" s="33">
        <f t="shared" si="3"/>
        <v>30</v>
      </c>
      <c r="C68" s="30" t="b">
        <f>AND(VaBenefits[[#This Row],[timeFromValuation]]&gt;=ACT,VaBenefits[[#This Row],[Assumed Contract Value ]]&gt;0)</f>
        <v>0</v>
      </c>
      <c r="D68" s="34">
        <f t="shared" si="17"/>
        <v>0</v>
      </c>
      <c r="E68" s="34">
        <f>IF(Use_Base_Case, AP68,IF(VaBenefits[[#This Row],[Is Anniversary?]],WithAmt,0))</f>
        <v>0</v>
      </c>
      <c r="F68" s="34">
        <f t="shared" si="18"/>
        <v>0</v>
      </c>
      <c r="G68" s="100">
        <f>ROUND($G$8+VaBenefits[[#This Row],[timeFromValuation]],0)</f>
        <v>85</v>
      </c>
      <c r="H68" s="21">
        <f>ROUND($H$8+VaBenefits[[#This Row],[timeFromValuation]],0)</f>
        <v>95</v>
      </c>
      <c r="I68" s="28" t="b">
        <f>VaBenefits[[#This Row],[Withdrawal Taken  ]]&gt;0</f>
        <v>0</v>
      </c>
      <c r="J68" s="45">
        <f>IF(AND(NOT(VaBenefits[[#This Row],[Is Activation]]),VaBenefits[[#This Row],[Assumed Contract Value ]]&gt;0),VaBenefits[[#This Row],[Withdrawal Taken  ]]/VaBenefits[[#This Row],[Assumed Contract Value ]],0)</f>
        <v>0</v>
      </c>
      <c r="K6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8" s="28" t="b">
        <f>AND(VaBenefits[[#This Row],[Is Activation]],SUMIFS($E$8:$E68,$C$8:$C68,TRUE)&gt;0)</f>
        <v>0</v>
      </c>
      <c r="M6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8" s="35" t="b">
        <f>IF(VaBenefits[[#This Row],[timeFromValuation]]=0,0, MOD(VaBenefits[[#This Row],[timeFromValuation]],1)=0)</f>
        <v>1</v>
      </c>
      <c r="O68" s="7">
        <f>IF(VaBenefits[[#This Row],[Is Anniversary?]]=TRUE,VaBenefits[[#This Row],[Assumed Contract Value ]],0)</f>
        <v>0</v>
      </c>
      <c r="P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8" s="7" t="b">
        <f>VaBenefits[[#This Row],[Assumed Contract Value ]]&lt;0.1</f>
        <v>1</v>
      </c>
      <c r="R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8" s="7">
        <f ca="1">IF(AND(VaBenefits[[#This Row],[Is Activation]]=FALSE,VaBenefits[[#This Row],[Is Anniversary?]]=TRUE),OFFSET( VaBenefits[[#This Row],[Income Credit Base]],-1,0)*ICP,0)</f>
        <v>0</v>
      </c>
      <c r="T68" s="5">
        <f>IF(VaBenefits[[#This Row],[Assumed Contract Value ]]&gt;0,VaBenefits[[#This Row],[Income Base]]*MAWA,0)</f>
        <v>0</v>
      </c>
      <c r="U68" s="99">
        <f ca="1">IF(AND(VaBenefits[[#This Row],[Has Income Credit]],VaBenefits[[#This Row],[Is Anniversary?]],VaBenefits[[#This Row],[Joint Mortality tPxy for the partial year]]),VaBenefits[[#This Row],[Income Base]]*PIP,0)</f>
        <v>12026.006800536559</v>
      </c>
      <c r="V68" s="9">
        <f>1/(1+InterestRate)^VaBenefits[[#This Row],[timeFromValuation]]</f>
        <v>0.23137744865585813</v>
      </c>
      <c r="W68" s="94">
        <f>VaBenefits[[#This Row],[timeFromValuation]]</f>
        <v>30</v>
      </c>
      <c r="X68" s="95">
        <f>IF(($G$8+VaBenefits[[#This Row],[timeFromValuation]])&lt;=120,VLOOKUP(G68,Table2[],Qx!L$6,FALSE),0)</f>
        <v>0.95100300000000004</v>
      </c>
      <c r="Y68" s="95">
        <f>IF(($H$8+VaBenefits[[#This Row],[timeFromValuation]])&lt;=120,VLOOKUP(H68,Table2[],Qx!M$6,FALSE),0)</f>
        <v>0.81474000000000002</v>
      </c>
      <c r="Z68" s="95">
        <f>PRODUCT($X$8:$X68)</f>
        <v>0.42036729748400126</v>
      </c>
      <c r="AA68" s="95">
        <f>PRODUCT($Y$8:$Y68)</f>
        <v>2.7049591261447542E-2</v>
      </c>
      <c r="AB68" s="95">
        <f>VaBenefits[[#This Row],[Primary Annuitant Px]]+VaBenefits[[#This Row],[Secondary Annuitant Py]]-VaBenefits[[#This Row],[Primary Annuitant Px]]*VaBenefits[[#This Row],[Secondary Annuitant Py]]</f>
        <v>0.99092281577999997</v>
      </c>
      <c r="AC68" s="95">
        <f>PRODUCT($AB$8:$AB68)</f>
        <v>0.91663960930725752</v>
      </c>
      <c r="AD68" s="101">
        <f t="shared" ca="1" si="16"/>
        <v>6658.4140913090487</v>
      </c>
    </row>
    <row r="69" spans="1:30" x14ac:dyDescent="0.3">
      <c r="A69" s="35">
        <f t="shared" si="2"/>
        <v>61</v>
      </c>
      <c r="B69" s="33">
        <f t="shared" si="3"/>
        <v>30.5</v>
      </c>
      <c r="C69" s="30" t="b">
        <f>AND(VaBenefits[[#This Row],[timeFromValuation]]&gt;=ACT,VaBenefits[[#This Row],[Assumed Contract Value ]]&gt;0)</f>
        <v>0</v>
      </c>
      <c r="D69" s="34">
        <f t="shared" si="17"/>
        <v>0</v>
      </c>
      <c r="E69" s="34">
        <f>IF(Use_Base_Case, AP69,IF(VaBenefits[[#This Row],[Is Anniversary?]],WithAmt,0))</f>
        <v>0</v>
      </c>
      <c r="F69" s="34">
        <f t="shared" si="18"/>
        <v>0</v>
      </c>
      <c r="G69" s="100">
        <f>ROUND($G$8+VaBenefits[[#This Row],[timeFromValuation]],0)</f>
        <v>86</v>
      </c>
      <c r="H69" s="21">
        <f>ROUND($H$8+VaBenefits[[#This Row],[timeFromValuation]],0)</f>
        <v>96</v>
      </c>
      <c r="I69" s="28" t="b">
        <f>VaBenefits[[#This Row],[Withdrawal Taken  ]]&gt;0</f>
        <v>0</v>
      </c>
      <c r="J69" s="45">
        <f>IF(AND(NOT(VaBenefits[[#This Row],[Is Activation]]),VaBenefits[[#This Row],[Assumed Contract Value ]]&gt;0),VaBenefits[[#This Row],[Withdrawal Taken  ]]/VaBenefits[[#This Row],[Assumed Contract Value ]],0)</f>
        <v>0</v>
      </c>
      <c r="K6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69" s="28" t="b">
        <f>AND(VaBenefits[[#This Row],[Is Activation]],SUMIFS($E$8:$E69,$C$8:$C69,TRUE)&gt;0)</f>
        <v>0</v>
      </c>
      <c r="M6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69" s="35" t="b">
        <f>IF(VaBenefits[[#This Row],[timeFromValuation]]=0,0, MOD(VaBenefits[[#This Row],[timeFromValuation]],1)=0)</f>
        <v>0</v>
      </c>
      <c r="O69" s="7">
        <f>IF(VaBenefits[[#This Row],[Is Anniversary?]]=TRUE,VaBenefits[[#This Row],[Assumed Contract Value ]],0)</f>
        <v>0</v>
      </c>
      <c r="P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69" s="7" t="b">
        <f>VaBenefits[[#This Row],[Assumed Contract Value ]]&lt;0.1</f>
        <v>1</v>
      </c>
      <c r="R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69" s="7">
        <f ca="1">IF(AND(VaBenefits[[#This Row],[Is Activation]]=FALSE,VaBenefits[[#This Row],[Is Anniversary?]]=TRUE),OFFSET( VaBenefits[[#This Row],[Income Credit Base]],-1,0)*ICP,0)</f>
        <v>0</v>
      </c>
      <c r="T69" s="5">
        <f>IF(VaBenefits[[#This Row],[Assumed Contract Value ]]&gt;0,VaBenefits[[#This Row],[Income Base]]*MAWA,0)</f>
        <v>0</v>
      </c>
      <c r="U69" s="99">
        <f>IF(AND(VaBenefits[[#This Row],[Has Income Credit]],VaBenefits[[#This Row],[Is Anniversary?]],VaBenefits[[#This Row],[Joint Mortality tPxy for the partial year]]),VaBenefits[[#This Row],[Income Base]]*PIP,0)</f>
        <v>0</v>
      </c>
      <c r="V69" s="9">
        <f>1/(1+InterestRate)^VaBenefits[[#This Row],[timeFromValuation]]</f>
        <v>0.22580126902189715</v>
      </c>
      <c r="W69" s="94">
        <f>VaBenefits[[#This Row],[timeFromValuation]]</f>
        <v>30.5</v>
      </c>
      <c r="X69" s="95">
        <f>IF(($G$8+VaBenefits[[#This Row],[timeFromValuation]])&lt;=120,VLOOKUP(G69,Table2[],Qx!L$6,FALSE),0)</f>
        <v>0.94422600000000001</v>
      </c>
      <c r="Y69" s="95">
        <f>IF(($H$8+VaBenefits[[#This Row],[timeFromValuation]])&lt;=120,VLOOKUP(H69,Table2[],Qx!M$6,FALSE),0)</f>
        <v>0.802678</v>
      </c>
      <c r="Z69" s="95">
        <f>PRODUCT($X$8:$X69)</f>
        <v>0.3969217318341286</v>
      </c>
      <c r="AA69" s="95">
        <f>PRODUCT($Y$8:$Y69)</f>
        <v>2.1712111814556189E-2</v>
      </c>
      <c r="AB69" s="95">
        <f>VaBenefits[[#This Row],[Primary Annuitant Px]]+VaBenefits[[#This Row],[Secondary Annuitant Py]]-VaBenefits[[#This Row],[Primary Annuitant Px]]*VaBenefits[[#This Row],[Secondary Annuitant Py]]</f>
        <v>0.98899456277200004</v>
      </c>
      <c r="AC69" s="95">
        <f>PRODUCT($AB$8:$AB69)</f>
        <v>0.90655158962632809</v>
      </c>
      <c r="AD69" s="101">
        <f t="shared" si="16"/>
        <v>0</v>
      </c>
    </row>
    <row r="70" spans="1:30" x14ac:dyDescent="0.3">
      <c r="A70" s="35">
        <f t="shared" si="2"/>
        <v>62</v>
      </c>
      <c r="B70" s="33">
        <f t="shared" si="3"/>
        <v>31</v>
      </c>
      <c r="C70" s="30" t="b">
        <f>AND(VaBenefits[[#This Row],[timeFromValuation]]&gt;=ACT,VaBenefits[[#This Row],[Assumed Contract Value ]]&gt;0)</f>
        <v>0</v>
      </c>
      <c r="D70" s="34">
        <f t="shared" si="17"/>
        <v>0</v>
      </c>
      <c r="E70" s="34">
        <f>IF(Use_Base_Case, AP70,IF(VaBenefits[[#This Row],[Is Anniversary?]],WithAmt,0))</f>
        <v>0</v>
      </c>
      <c r="F70" s="34">
        <f t="shared" si="18"/>
        <v>0</v>
      </c>
      <c r="G70" s="100">
        <f>ROUND($G$8+VaBenefits[[#This Row],[timeFromValuation]],0)</f>
        <v>86</v>
      </c>
      <c r="H70" s="21">
        <f>ROUND($H$8+VaBenefits[[#This Row],[timeFromValuation]],0)</f>
        <v>96</v>
      </c>
      <c r="I70" s="28" t="b">
        <f>VaBenefits[[#This Row],[Withdrawal Taken  ]]&gt;0</f>
        <v>0</v>
      </c>
      <c r="J70" s="45">
        <f>IF(AND(NOT(VaBenefits[[#This Row],[Is Activation]]),VaBenefits[[#This Row],[Assumed Contract Value ]]&gt;0),VaBenefits[[#This Row],[Withdrawal Taken  ]]/VaBenefits[[#This Row],[Assumed Contract Value ]],0)</f>
        <v>0</v>
      </c>
      <c r="K7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0" s="28" t="b">
        <f>AND(VaBenefits[[#This Row],[Is Activation]],SUMIFS($E$8:$E70,$C$8:$C70,TRUE)&gt;0)</f>
        <v>0</v>
      </c>
      <c r="M7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0" s="35" t="b">
        <f>IF(VaBenefits[[#This Row],[timeFromValuation]]=0,0, MOD(VaBenefits[[#This Row],[timeFromValuation]],1)=0)</f>
        <v>1</v>
      </c>
      <c r="O70" s="7">
        <f>IF(VaBenefits[[#This Row],[Is Anniversary?]]=TRUE,VaBenefits[[#This Row],[Assumed Contract Value ]],0)</f>
        <v>0</v>
      </c>
      <c r="P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0" s="7" t="b">
        <f>VaBenefits[[#This Row],[Assumed Contract Value ]]&lt;0.1</f>
        <v>1</v>
      </c>
      <c r="R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0" s="7">
        <f ca="1">IF(AND(VaBenefits[[#This Row],[Is Activation]]=FALSE,VaBenefits[[#This Row],[Is Anniversary?]]=TRUE),OFFSET( VaBenefits[[#This Row],[Income Credit Base]],-1,0)*ICP,0)</f>
        <v>0</v>
      </c>
      <c r="T70" s="5">
        <f>IF(VaBenefits[[#This Row],[Assumed Contract Value ]]&gt;0,VaBenefits[[#This Row],[Income Base]]*MAWA,0)</f>
        <v>0</v>
      </c>
      <c r="U70" s="99">
        <f ca="1">IF(AND(VaBenefits[[#This Row],[Has Income Credit]],VaBenefits[[#This Row],[Is Anniversary?]],VaBenefits[[#This Row],[Joint Mortality tPxy for the partial year]]),VaBenefits[[#This Row],[Income Base]]*PIP,0)</f>
        <v>12026.006800536559</v>
      </c>
      <c r="V70" s="9">
        <f>1/(1+InterestRate)^VaBenefits[[#This Row],[timeFromValuation]]</f>
        <v>0.220359474910341</v>
      </c>
      <c r="W70" s="94">
        <f>VaBenefits[[#This Row],[timeFromValuation]]</f>
        <v>31</v>
      </c>
      <c r="X70" s="95">
        <f>IF(($G$8+VaBenefits[[#This Row],[timeFromValuation]])&lt;=120,VLOOKUP(G70,Table2[],Qx!L$6,FALSE),0)</f>
        <v>0.94422600000000001</v>
      </c>
      <c r="Y70" s="95">
        <f>IF(($H$8+VaBenefits[[#This Row],[timeFromValuation]])&lt;=120,VLOOKUP(H70,Table2[],Qx!M$6,FALSE),0)</f>
        <v>0.802678</v>
      </c>
      <c r="Z70" s="95">
        <f>PRODUCT($X$8:$X70)</f>
        <v>0.37478381916281189</v>
      </c>
      <c r="AA70" s="95">
        <f>PRODUCT($Y$8:$Y70)</f>
        <v>1.7427834487084334E-2</v>
      </c>
      <c r="AB70" s="95">
        <f>VaBenefits[[#This Row],[Primary Annuitant Px]]+VaBenefits[[#This Row],[Secondary Annuitant Py]]-VaBenefits[[#This Row],[Primary Annuitant Px]]*VaBenefits[[#This Row],[Secondary Annuitant Py]]</f>
        <v>0.98899456277200004</v>
      </c>
      <c r="AC70" s="95">
        <f>PRODUCT($AB$8:$AB70)</f>
        <v>0.896574593012752</v>
      </c>
      <c r="AD70" s="101">
        <f t="shared" ca="1" si="16"/>
        <v>6464.4751229637859</v>
      </c>
    </row>
    <row r="71" spans="1:30" x14ac:dyDescent="0.3">
      <c r="A71" s="35">
        <f t="shared" si="2"/>
        <v>63</v>
      </c>
      <c r="B71" s="33">
        <f t="shared" si="3"/>
        <v>31.5</v>
      </c>
      <c r="C71" s="30" t="b">
        <f>AND(VaBenefits[[#This Row],[timeFromValuation]]&gt;=ACT,VaBenefits[[#This Row],[Assumed Contract Value ]]&gt;0)</f>
        <v>0</v>
      </c>
      <c r="D71" s="34">
        <f t="shared" si="17"/>
        <v>0</v>
      </c>
      <c r="E71" s="34">
        <f>IF(Use_Base_Case, AP71,IF(VaBenefits[[#This Row],[Is Anniversary?]],WithAmt,0))</f>
        <v>0</v>
      </c>
      <c r="F71" s="34">
        <f t="shared" si="18"/>
        <v>0</v>
      </c>
      <c r="G71" s="100">
        <f>ROUND($G$8+VaBenefits[[#This Row],[timeFromValuation]],0)</f>
        <v>87</v>
      </c>
      <c r="H71" s="21">
        <f>ROUND($H$8+VaBenefits[[#This Row],[timeFromValuation]],0)</f>
        <v>97</v>
      </c>
      <c r="I71" s="28" t="b">
        <f>VaBenefits[[#This Row],[Withdrawal Taken  ]]&gt;0</f>
        <v>0</v>
      </c>
      <c r="J71" s="45">
        <f>IF(AND(NOT(VaBenefits[[#This Row],[Is Activation]]),VaBenefits[[#This Row],[Assumed Contract Value ]]&gt;0),VaBenefits[[#This Row],[Withdrawal Taken  ]]/VaBenefits[[#This Row],[Assumed Contract Value ]],0)</f>
        <v>0</v>
      </c>
      <c r="K7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1" s="28" t="b">
        <f>AND(VaBenefits[[#This Row],[Is Activation]],SUMIFS($E$8:$E71,$C$8:$C71,TRUE)&gt;0)</f>
        <v>0</v>
      </c>
      <c r="M7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1" s="35" t="b">
        <f>IF(VaBenefits[[#This Row],[timeFromValuation]]=0,0, MOD(VaBenefits[[#This Row],[timeFromValuation]],1)=0)</f>
        <v>0</v>
      </c>
      <c r="O71" s="7">
        <f>IF(VaBenefits[[#This Row],[Is Anniversary?]]=TRUE,VaBenefits[[#This Row],[Assumed Contract Value ]],0)</f>
        <v>0</v>
      </c>
      <c r="P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1" s="7" t="b">
        <f>VaBenefits[[#This Row],[Assumed Contract Value ]]&lt;0.1</f>
        <v>1</v>
      </c>
      <c r="R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1" s="7">
        <f ca="1">IF(AND(VaBenefits[[#This Row],[Is Activation]]=FALSE,VaBenefits[[#This Row],[Is Anniversary?]]=TRUE),OFFSET( VaBenefits[[#This Row],[Income Credit Base]],-1,0)*ICP,0)</f>
        <v>0</v>
      </c>
      <c r="T71" s="5">
        <f>IF(VaBenefits[[#This Row],[Assumed Contract Value ]]&gt;0,VaBenefits[[#This Row],[Income Base]]*MAWA,0)</f>
        <v>0</v>
      </c>
      <c r="U71" s="99">
        <f>IF(AND(VaBenefits[[#This Row],[Has Income Credit]],VaBenefits[[#This Row],[Is Anniversary?]],VaBenefits[[#This Row],[Joint Mortality tPxy for the partial year]]),VaBenefits[[#This Row],[Income Base]]*PIP,0)</f>
        <v>0</v>
      </c>
      <c r="V71" s="9">
        <f>1/(1+InterestRate)^VaBenefits[[#This Row],[timeFromValuation]]</f>
        <v>0.21504882763990207</v>
      </c>
      <c r="W71" s="94">
        <f>VaBenefits[[#This Row],[timeFromValuation]]</f>
        <v>31.5</v>
      </c>
      <c r="X71" s="95">
        <f>IF(($G$8+VaBenefits[[#This Row],[timeFromValuation]])&lt;=120,VLOOKUP(G71,Table2[],Qx!L$6,FALSE),0)</f>
        <v>0.93686000000000003</v>
      </c>
      <c r="Y71" s="95">
        <f>IF(($H$8+VaBenefits[[#This Row],[timeFromValuation]])&lt;=120,VLOOKUP(H71,Table2[],Qx!M$6,FALSE),0)</f>
        <v>0.78524899999999997</v>
      </c>
      <c r="Z71" s="95">
        <f>PRODUCT($X$8:$X71)</f>
        <v>0.35111996882087199</v>
      </c>
      <c r="AA71" s="95">
        <f>PRODUCT($Y$8:$Y71)</f>
        <v>1.3685189603148486E-2</v>
      </c>
      <c r="AB71" s="95">
        <f>VaBenefits[[#This Row],[Primary Annuitant Px]]+VaBenefits[[#This Row],[Secondary Annuitant Py]]-VaBenefits[[#This Row],[Primary Annuitant Px]]*VaBenefits[[#This Row],[Secondary Annuitant Py]]</f>
        <v>0.98644062186000014</v>
      </c>
      <c r="AC71" s="95">
        <f>PRODUCT($AB$8:$AB71)</f>
        <v>0.88441759907537565</v>
      </c>
      <c r="AD71" s="101">
        <f t="shared" si="16"/>
        <v>0</v>
      </c>
    </row>
    <row r="72" spans="1:30" x14ac:dyDescent="0.3">
      <c r="A72" s="35">
        <f t="shared" si="2"/>
        <v>64</v>
      </c>
      <c r="B72" s="33">
        <f t="shared" si="3"/>
        <v>32</v>
      </c>
      <c r="C72" s="30" t="b">
        <f>AND(VaBenefits[[#This Row],[timeFromValuation]]&gt;=ACT,VaBenefits[[#This Row],[Assumed Contract Value ]]&gt;0)</f>
        <v>0</v>
      </c>
      <c r="D72" s="34">
        <f t="shared" ref="D72:D103" si="19">IF(Is_Issued, 0,AO72)</f>
        <v>0</v>
      </c>
      <c r="E72" s="34">
        <f>IF(Use_Base_Case, AP72,IF(VaBenefits[[#This Row],[Is Anniversary?]],WithAmt,0))</f>
        <v>0</v>
      </c>
      <c r="F72" s="34">
        <f t="shared" si="18"/>
        <v>0</v>
      </c>
      <c r="G72" s="100">
        <f>ROUND($G$8+VaBenefits[[#This Row],[timeFromValuation]],0)</f>
        <v>87</v>
      </c>
      <c r="H72" s="21">
        <f>ROUND($H$8+VaBenefits[[#This Row],[timeFromValuation]],0)</f>
        <v>97</v>
      </c>
      <c r="I72" s="28" t="b">
        <f>VaBenefits[[#This Row],[Withdrawal Taken  ]]&gt;0</f>
        <v>0</v>
      </c>
      <c r="J72" s="45">
        <f>IF(AND(NOT(VaBenefits[[#This Row],[Is Activation]]),VaBenefits[[#This Row],[Assumed Contract Value ]]&gt;0),VaBenefits[[#This Row],[Withdrawal Taken  ]]/VaBenefits[[#This Row],[Assumed Contract Value ]],0)</f>
        <v>0</v>
      </c>
      <c r="K7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2" s="28" t="b">
        <f>AND(VaBenefits[[#This Row],[Is Activation]],SUMIFS($E$8:$E72,$C$8:$C72,TRUE)&gt;0)</f>
        <v>0</v>
      </c>
      <c r="M7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2" s="35" t="b">
        <f>IF(VaBenefits[[#This Row],[timeFromValuation]]=0,0, MOD(VaBenefits[[#This Row],[timeFromValuation]],1)=0)</f>
        <v>1</v>
      </c>
      <c r="O72" s="7">
        <f>IF(VaBenefits[[#This Row],[Is Anniversary?]]=TRUE,VaBenefits[[#This Row],[Assumed Contract Value ]],0)</f>
        <v>0</v>
      </c>
      <c r="P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2" s="7" t="b">
        <f>VaBenefits[[#This Row],[Assumed Contract Value ]]&lt;0.1</f>
        <v>1</v>
      </c>
      <c r="R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2" s="7">
        <f ca="1">IF(AND(VaBenefits[[#This Row],[Is Activation]]=FALSE,VaBenefits[[#This Row],[Is Anniversary?]]=TRUE),OFFSET( VaBenefits[[#This Row],[Income Credit Base]],-1,0)*ICP,0)</f>
        <v>0</v>
      </c>
      <c r="T72" s="5">
        <f>IF(VaBenefits[[#This Row],[Assumed Contract Value ]]&gt;0,VaBenefits[[#This Row],[Income Base]]*MAWA,0)</f>
        <v>0</v>
      </c>
      <c r="U72" s="99">
        <f ca="1">IF(AND(VaBenefits[[#This Row],[Has Income Credit]],VaBenefits[[#This Row],[Is Anniversary?]],VaBenefits[[#This Row],[Joint Mortality tPxy for the partial year]]),VaBenefits[[#This Row],[Income Base]]*PIP,0)</f>
        <v>12026.006800536559</v>
      </c>
      <c r="V72" s="9">
        <f>1/(1+InterestRate)^VaBenefits[[#This Row],[timeFromValuation]]</f>
        <v>0.20986616658127716</v>
      </c>
      <c r="W72" s="94">
        <f>VaBenefits[[#This Row],[timeFromValuation]]</f>
        <v>32</v>
      </c>
      <c r="X72" s="95">
        <f>IF(($G$8+VaBenefits[[#This Row],[timeFromValuation]])&lt;=120,VLOOKUP(G72,Table2[],Qx!L$6,FALSE),0)</f>
        <v>0.93686000000000003</v>
      </c>
      <c r="Y72" s="95">
        <f>IF(($H$8+VaBenefits[[#This Row],[timeFromValuation]])&lt;=120,VLOOKUP(H72,Table2[],Qx!M$6,FALSE),0)</f>
        <v>0.78524899999999997</v>
      </c>
      <c r="Z72" s="95">
        <f>PRODUCT($X$8:$X72)</f>
        <v>0.32895025398952216</v>
      </c>
      <c r="AA72" s="95">
        <f>PRODUCT($Y$8:$Y72)</f>
        <v>1.0746281450682746E-2</v>
      </c>
      <c r="AB72" s="95">
        <f>VaBenefits[[#This Row],[Primary Annuitant Px]]+VaBenefits[[#This Row],[Secondary Annuitant Py]]-VaBenefits[[#This Row],[Primary Annuitant Px]]*VaBenefits[[#This Row],[Secondary Annuitant Py]]</f>
        <v>0.98644062186000014</v>
      </c>
      <c r="AC72" s="95">
        <f>PRODUCT($AB$8:$AB72)</f>
        <v>0.87242544641584185</v>
      </c>
      <c r="AD72" s="101">
        <f t="shared" ca="1" si="16"/>
        <v>6276.1849957580262</v>
      </c>
    </row>
    <row r="73" spans="1:30" x14ac:dyDescent="0.3">
      <c r="A73" s="35">
        <f t="shared" si="2"/>
        <v>65</v>
      </c>
      <c r="B73" s="33">
        <f t="shared" si="3"/>
        <v>32.5</v>
      </c>
      <c r="C73" s="30" t="b">
        <f>AND(VaBenefits[[#This Row],[timeFromValuation]]&gt;=ACT,VaBenefits[[#This Row],[Assumed Contract Value ]]&gt;0)</f>
        <v>0</v>
      </c>
      <c r="D73" s="34">
        <f t="shared" si="19"/>
        <v>0</v>
      </c>
      <c r="E73" s="34">
        <f>IF(Use_Base_Case, AP73,IF(VaBenefits[[#This Row],[Is Anniversary?]],WithAmt,0))</f>
        <v>0</v>
      </c>
      <c r="F73" s="34">
        <f t="shared" ref="F73:F104" si="20">AQ73</f>
        <v>0</v>
      </c>
      <c r="G73" s="100">
        <f>ROUND($G$8+VaBenefits[[#This Row],[timeFromValuation]],0)</f>
        <v>88</v>
      </c>
      <c r="H73" s="21">
        <f>ROUND($H$8+VaBenefits[[#This Row],[timeFromValuation]],0)</f>
        <v>98</v>
      </c>
      <c r="I73" s="28" t="b">
        <f>VaBenefits[[#This Row],[Withdrawal Taken  ]]&gt;0</f>
        <v>0</v>
      </c>
      <c r="J73" s="45">
        <f>IF(AND(NOT(VaBenefits[[#This Row],[Is Activation]]),VaBenefits[[#This Row],[Assumed Contract Value ]]&gt;0),VaBenefits[[#This Row],[Withdrawal Taken  ]]/VaBenefits[[#This Row],[Assumed Contract Value ]],0)</f>
        <v>0</v>
      </c>
      <c r="K7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3" s="28" t="b">
        <f>AND(VaBenefits[[#This Row],[Is Activation]],SUMIFS($E$8:$E73,$C$8:$C73,TRUE)&gt;0)</f>
        <v>0</v>
      </c>
      <c r="M7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3" s="35" t="b">
        <f>IF(VaBenefits[[#This Row],[timeFromValuation]]=0,0, MOD(VaBenefits[[#This Row],[timeFromValuation]],1)=0)</f>
        <v>0</v>
      </c>
      <c r="O73" s="7">
        <f>IF(VaBenefits[[#This Row],[Is Anniversary?]]=TRUE,VaBenefits[[#This Row],[Assumed Contract Value ]],0)</f>
        <v>0</v>
      </c>
      <c r="P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3" s="7" t="b">
        <f>VaBenefits[[#This Row],[Assumed Contract Value ]]&lt;0.1</f>
        <v>1</v>
      </c>
      <c r="R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3" s="7">
        <f ca="1">IF(AND(VaBenefits[[#This Row],[Is Activation]]=FALSE,VaBenefits[[#This Row],[Is Anniversary?]]=TRUE),OFFSET( VaBenefits[[#This Row],[Income Credit Base]],-1,0)*ICP,0)</f>
        <v>0</v>
      </c>
      <c r="T73" s="5">
        <f>IF(VaBenefits[[#This Row],[Assumed Contract Value ]]&gt;0,VaBenefits[[#This Row],[Income Base]]*MAWA,0)</f>
        <v>0</v>
      </c>
      <c r="U73" s="99">
        <f>IF(AND(VaBenefits[[#This Row],[Has Income Credit]],VaBenefits[[#This Row],[Is Anniversary?]],VaBenefits[[#This Row],[Joint Mortality tPxy for the partial year]]),VaBenefits[[#This Row],[Income Base]]*PIP,0)</f>
        <v>0</v>
      </c>
      <c r="V73" s="9">
        <f>1/(1+InterestRate)^VaBenefits[[#This Row],[timeFromValuation]]</f>
        <v>0.20480840727609717</v>
      </c>
      <c r="W73" s="94">
        <f>VaBenefits[[#This Row],[timeFromValuation]]</f>
        <v>32.5</v>
      </c>
      <c r="X73" s="95">
        <f>IF(($G$8+VaBenefits[[#This Row],[timeFromValuation]])&lt;=120,VLOOKUP(G73,Table2[],Qx!L$6,FALSE),0)</f>
        <v>0.92893400000000004</v>
      </c>
      <c r="Y73" s="95">
        <f>IF(($H$8+VaBenefits[[#This Row],[timeFromValuation]])&lt;=120,VLOOKUP(H73,Table2[],Qx!M$6,FALSE),0)</f>
        <v>0.76749299999999998</v>
      </c>
      <c r="Z73" s="94">
        <f>PRODUCT($X$8:$X73)</f>
        <v>0.30557307523950278</v>
      </c>
      <c r="AA73" s="94">
        <f>PRODUCT($Y$8:$Y73)</f>
        <v>8.2476957894288532E-3</v>
      </c>
      <c r="AB73" s="95">
        <f>VaBenefits[[#This Row],[Primary Annuitant Px]]+VaBenefits[[#This Row],[Secondary Annuitant Py]]-VaBenefits[[#This Row],[Primary Annuitant Px]]*VaBenefits[[#This Row],[Secondary Annuitant Py]]</f>
        <v>0.98347665753799984</v>
      </c>
      <c r="AC73" s="95">
        <f>PRODUCT($AB$8:$AB73)</f>
        <v>0.85801006199214958</v>
      </c>
      <c r="AD73" s="101">
        <f t="shared" si="16"/>
        <v>0</v>
      </c>
    </row>
    <row r="74" spans="1:30" x14ac:dyDescent="0.3">
      <c r="A74" s="35">
        <f t="shared" ref="A74:A137" si="21">A73+1</f>
        <v>66</v>
      </c>
      <c r="B74" s="33">
        <f t="shared" ref="B74:B137" si="22">B73+0.5</f>
        <v>33</v>
      </c>
      <c r="C74" s="30" t="b">
        <f>AND(VaBenefits[[#This Row],[timeFromValuation]]&gt;=ACT,VaBenefits[[#This Row],[Assumed Contract Value ]]&gt;0)</f>
        <v>0</v>
      </c>
      <c r="D74" s="34">
        <f t="shared" si="19"/>
        <v>0</v>
      </c>
      <c r="E74" s="34">
        <f>IF(Use_Base_Case, AP74,IF(VaBenefits[[#This Row],[Is Anniversary?]],WithAmt,0))</f>
        <v>0</v>
      </c>
      <c r="F74" s="34">
        <f t="shared" si="20"/>
        <v>0</v>
      </c>
      <c r="G74" s="100">
        <f>ROUND($G$8+VaBenefits[[#This Row],[timeFromValuation]],0)</f>
        <v>88</v>
      </c>
      <c r="H74" s="21">
        <f>ROUND($H$8+VaBenefits[[#This Row],[timeFromValuation]],0)</f>
        <v>98</v>
      </c>
      <c r="I74" s="28" t="b">
        <f>VaBenefits[[#This Row],[Withdrawal Taken  ]]&gt;0</f>
        <v>0</v>
      </c>
      <c r="J74" s="45">
        <f>IF(AND(NOT(VaBenefits[[#This Row],[Is Activation]]),VaBenefits[[#This Row],[Assumed Contract Value ]]&gt;0),VaBenefits[[#This Row],[Withdrawal Taken  ]]/VaBenefits[[#This Row],[Assumed Contract Value ]],0)</f>
        <v>0</v>
      </c>
      <c r="K7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4" s="28" t="b">
        <f>AND(VaBenefits[[#This Row],[Is Activation]],SUMIFS($E$8:$E74,$C$8:$C74,TRUE)&gt;0)</f>
        <v>0</v>
      </c>
      <c r="M7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4" s="35" t="b">
        <f>IF(VaBenefits[[#This Row],[timeFromValuation]]=0,0, MOD(VaBenefits[[#This Row],[timeFromValuation]],1)=0)</f>
        <v>1</v>
      </c>
      <c r="O74" s="7">
        <f>IF(VaBenefits[[#This Row],[Is Anniversary?]]=TRUE,VaBenefits[[#This Row],[Assumed Contract Value ]],0)</f>
        <v>0</v>
      </c>
      <c r="P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4" s="7" t="b">
        <f>VaBenefits[[#This Row],[Assumed Contract Value ]]&lt;0.1</f>
        <v>1</v>
      </c>
      <c r="R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4" s="7">
        <f ca="1">IF(AND(VaBenefits[[#This Row],[Is Activation]]=FALSE,VaBenefits[[#This Row],[Is Anniversary?]]=TRUE),OFFSET( VaBenefits[[#This Row],[Income Credit Base]],-1,0)*ICP,0)</f>
        <v>0</v>
      </c>
      <c r="T74" s="5">
        <f>IF(VaBenefits[[#This Row],[Assumed Contract Value ]]&gt;0,VaBenefits[[#This Row],[Income Base]]*MAWA,0)</f>
        <v>0</v>
      </c>
      <c r="U74" s="99">
        <f ca="1">IF(AND(VaBenefits[[#This Row],[Has Income Credit]],VaBenefits[[#This Row],[Is Anniversary?]],VaBenefits[[#This Row],[Joint Mortality tPxy for the partial year]]),VaBenefits[[#This Row],[Income Base]]*PIP,0)</f>
        <v>12026.006800536559</v>
      </c>
      <c r="V74" s="9">
        <f>1/(1+InterestRate)^VaBenefits[[#This Row],[timeFromValuation]]</f>
        <v>0.19987253960121634</v>
      </c>
      <c r="W74" s="94">
        <f>VaBenefits[[#This Row],[timeFromValuation]]</f>
        <v>33</v>
      </c>
      <c r="X74" s="95">
        <f>IF(($G$8+VaBenefits[[#This Row],[timeFromValuation]])&lt;=120,VLOOKUP(G74,Table2[],Qx!L$6,FALSE),0)</f>
        <v>0.92893400000000004</v>
      </c>
      <c r="Y74" s="95">
        <f>IF(($H$8+VaBenefits[[#This Row],[timeFromValuation]])&lt;=120,VLOOKUP(H74,Table2[],Qx!M$6,FALSE),0)</f>
        <v>0.76749299999999998</v>
      </c>
      <c r="Z74" s="94">
        <f>PRODUCT($X$8:$X74)</f>
        <v>0.28385721907453226</v>
      </c>
      <c r="AA74" s="94">
        <f>PRODUCT($Y$8:$Y74)</f>
        <v>6.3300487845161183E-3</v>
      </c>
      <c r="AB74" s="95">
        <f>VaBenefits[[#This Row],[Primary Annuitant Px]]+VaBenefits[[#This Row],[Secondary Annuitant Py]]-VaBenefits[[#This Row],[Primary Annuitant Px]]*VaBenefits[[#This Row],[Secondary Annuitant Py]]</f>
        <v>0.98347665753799984</v>
      </c>
      <c r="AC74" s="95">
        <f>PRODUCT($AB$8:$AB74)</f>
        <v>0.84383286790201129</v>
      </c>
      <c r="AD74" s="101">
        <f t="shared" ca="1" si="16"/>
        <v>6093.379176454886</v>
      </c>
    </row>
    <row r="75" spans="1:30" x14ac:dyDescent="0.3">
      <c r="A75" s="35">
        <f t="shared" si="21"/>
        <v>67</v>
      </c>
      <c r="B75" s="33">
        <f t="shared" si="22"/>
        <v>33.5</v>
      </c>
      <c r="C75" s="30" t="b">
        <f>AND(VaBenefits[[#This Row],[timeFromValuation]]&gt;=ACT,VaBenefits[[#This Row],[Assumed Contract Value ]]&gt;0)</f>
        <v>0</v>
      </c>
      <c r="D75" s="34">
        <f t="shared" si="19"/>
        <v>0</v>
      </c>
      <c r="E75" s="34">
        <f>IF(Use_Base_Case, AP75,IF(VaBenefits[[#This Row],[Is Anniversary?]],WithAmt,0))</f>
        <v>0</v>
      </c>
      <c r="F75" s="34">
        <f t="shared" si="20"/>
        <v>0</v>
      </c>
      <c r="G75" s="100">
        <f>ROUND($G$8+VaBenefits[[#This Row],[timeFromValuation]],0)</f>
        <v>89</v>
      </c>
      <c r="H75" s="21">
        <f>ROUND($H$8+VaBenefits[[#This Row],[timeFromValuation]],0)</f>
        <v>99</v>
      </c>
      <c r="I75" s="28" t="b">
        <f>VaBenefits[[#This Row],[Withdrawal Taken  ]]&gt;0</f>
        <v>0</v>
      </c>
      <c r="J75" s="45">
        <f>IF(AND(NOT(VaBenefits[[#This Row],[Is Activation]]),VaBenefits[[#This Row],[Assumed Contract Value ]]&gt;0),VaBenefits[[#This Row],[Withdrawal Taken  ]]/VaBenefits[[#This Row],[Assumed Contract Value ]],0)</f>
        <v>0</v>
      </c>
      <c r="K7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5" s="28" t="b">
        <f>AND(VaBenefits[[#This Row],[Is Activation]],SUMIFS($E$8:$E75,$C$8:$C75,TRUE)&gt;0)</f>
        <v>0</v>
      </c>
      <c r="M7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5" s="35" t="b">
        <f>IF(VaBenefits[[#This Row],[timeFromValuation]]=0,0, MOD(VaBenefits[[#This Row],[timeFromValuation]],1)=0)</f>
        <v>0</v>
      </c>
      <c r="O75" s="7">
        <f>IF(VaBenefits[[#This Row],[Is Anniversary?]]=TRUE,VaBenefits[[#This Row],[Assumed Contract Value ]],0)</f>
        <v>0</v>
      </c>
      <c r="P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5" s="7" t="b">
        <f>VaBenefits[[#This Row],[Assumed Contract Value ]]&lt;0.1</f>
        <v>1</v>
      </c>
      <c r="R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5" s="7">
        <f ca="1">IF(AND(VaBenefits[[#This Row],[Is Activation]]=FALSE,VaBenefits[[#This Row],[Is Anniversary?]]=TRUE),OFFSET( VaBenefits[[#This Row],[Income Credit Base]],-1,0)*ICP,0)</f>
        <v>0</v>
      </c>
      <c r="T75" s="5">
        <f>IF(VaBenefits[[#This Row],[Assumed Contract Value ]]&gt;0,VaBenefits[[#This Row],[Income Base]]*MAWA,0)</f>
        <v>0</v>
      </c>
      <c r="U75" s="99">
        <f>IF(AND(VaBenefits[[#This Row],[Has Income Credit]],VaBenefits[[#This Row],[Is Anniversary?]],VaBenefits[[#This Row],[Joint Mortality tPxy for the partial year]]),VaBenefits[[#This Row],[Income Base]]*PIP,0)</f>
        <v>0</v>
      </c>
      <c r="V75" s="9">
        <f>1/(1+InterestRate)^VaBenefits[[#This Row],[timeFromValuation]]</f>
        <v>0.19505562597723539</v>
      </c>
      <c r="W75" s="94">
        <f>VaBenefits[[#This Row],[timeFromValuation]]</f>
        <v>33.5</v>
      </c>
      <c r="X75" s="95">
        <f>IF(($G$8+VaBenefits[[#This Row],[timeFromValuation]])&lt;=120,VLOOKUP(G75,Table2[],Qx!L$6,FALSE),0)</f>
        <v>0.92049800000000004</v>
      </c>
      <c r="Y75" s="95">
        <f>IF(($H$8+VaBenefits[[#This Row],[timeFromValuation]])&lt;=120,VLOOKUP(H75,Table2[],Qx!M$6,FALSE),0)</f>
        <v>0.74960300000000002</v>
      </c>
      <c r="Z75" s="94">
        <f>PRODUCT($X$8:$X75)</f>
        <v>0.26129000244366879</v>
      </c>
      <c r="AA75" s="94">
        <f>PRODUCT($Y$8:$Y75)</f>
        <v>4.7450235590196363E-3</v>
      </c>
      <c r="AB75" s="95">
        <f>VaBenefits[[#This Row],[Primary Annuitant Px]]+VaBenefits[[#This Row],[Secondary Annuitant Py]]-VaBenefits[[#This Row],[Primary Annuitant Px]]*VaBenefits[[#This Row],[Secondary Annuitant Py]]</f>
        <v>0.98009293770600003</v>
      </c>
      <c r="AC75" s="95">
        <f>PRODUCT($AB$8:$AB75)</f>
        <v>0.82703463443496128</v>
      </c>
      <c r="AD75" s="101">
        <f t="shared" si="16"/>
        <v>0</v>
      </c>
    </row>
    <row r="76" spans="1:30" x14ac:dyDescent="0.3">
      <c r="A76" s="35">
        <f t="shared" si="21"/>
        <v>68</v>
      </c>
      <c r="B76" s="33">
        <f t="shared" si="22"/>
        <v>34</v>
      </c>
      <c r="C76" s="30" t="b">
        <f>AND(VaBenefits[[#This Row],[timeFromValuation]]&gt;=ACT,VaBenefits[[#This Row],[Assumed Contract Value ]]&gt;0)</f>
        <v>0</v>
      </c>
      <c r="D76" s="34">
        <f t="shared" si="19"/>
        <v>0</v>
      </c>
      <c r="E76" s="34">
        <f>IF(Use_Base_Case, AP76,IF(VaBenefits[[#This Row],[Is Anniversary?]],WithAmt,0))</f>
        <v>0</v>
      </c>
      <c r="F76" s="34">
        <f t="shared" si="20"/>
        <v>0</v>
      </c>
      <c r="G76" s="100">
        <f>ROUND($G$8+VaBenefits[[#This Row],[timeFromValuation]],0)</f>
        <v>89</v>
      </c>
      <c r="H76" s="21">
        <f>ROUND($H$8+VaBenefits[[#This Row],[timeFromValuation]],0)</f>
        <v>99</v>
      </c>
      <c r="I76" s="28" t="b">
        <f>VaBenefits[[#This Row],[Withdrawal Taken  ]]&gt;0</f>
        <v>0</v>
      </c>
      <c r="J76" s="45">
        <f>IF(AND(NOT(VaBenefits[[#This Row],[Is Activation]]),VaBenefits[[#This Row],[Assumed Contract Value ]]&gt;0),VaBenefits[[#This Row],[Withdrawal Taken  ]]/VaBenefits[[#This Row],[Assumed Contract Value ]],0)</f>
        <v>0</v>
      </c>
      <c r="K7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6" s="28" t="b">
        <f>AND(VaBenefits[[#This Row],[Is Activation]],SUMIFS($E$8:$E76,$C$8:$C76,TRUE)&gt;0)</f>
        <v>0</v>
      </c>
      <c r="M7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6" s="35" t="b">
        <f>IF(VaBenefits[[#This Row],[timeFromValuation]]=0,0, MOD(VaBenefits[[#This Row],[timeFromValuation]],1)=0)</f>
        <v>1</v>
      </c>
      <c r="O76" s="7">
        <f>IF(VaBenefits[[#This Row],[Is Anniversary?]]=TRUE,VaBenefits[[#This Row],[Assumed Contract Value ]],0)</f>
        <v>0</v>
      </c>
      <c r="P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6" s="7" t="b">
        <f>VaBenefits[[#This Row],[Assumed Contract Value ]]&lt;0.1</f>
        <v>1</v>
      </c>
      <c r="R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6" s="7">
        <f ca="1">IF(AND(VaBenefits[[#This Row],[Is Activation]]=FALSE,VaBenefits[[#This Row],[Is Anniversary?]]=TRUE),OFFSET( VaBenefits[[#This Row],[Income Credit Base]],-1,0)*ICP,0)</f>
        <v>0</v>
      </c>
      <c r="T76" s="5">
        <f>IF(VaBenefits[[#This Row],[Assumed Contract Value ]]&gt;0,VaBenefits[[#This Row],[Income Base]]*MAWA,0)</f>
        <v>0</v>
      </c>
      <c r="U76" s="99">
        <f ca="1">IF(AND(VaBenefits[[#This Row],[Has Income Credit]],VaBenefits[[#This Row],[Is Anniversary?]],VaBenefits[[#This Row],[Joint Mortality tPxy for the partial year]]),VaBenefits[[#This Row],[Income Base]]*PIP,0)</f>
        <v>12026.006800536559</v>
      </c>
      <c r="V76" s="9">
        <f>1/(1+InterestRate)^VaBenefits[[#This Row],[timeFromValuation]]</f>
        <v>0.19035479962020604</v>
      </c>
      <c r="W76" s="94">
        <f>VaBenefits[[#This Row],[timeFromValuation]]</f>
        <v>34</v>
      </c>
      <c r="X76" s="95">
        <f>IF(($G$8+VaBenefits[[#This Row],[timeFromValuation]])&lt;=120,VLOOKUP(G76,Table2[],Qx!L$6,FALSE),0)</f>
        <v>0.92049800000000004</v>
      </c>
      <c r="Y76" s="95">
        <f>IF(($H$8+VaBenefits[[#This Row],[timeFromValuation]])&lt;=120,VLOOKUP(H76,Table2[],Qx!M$6,FALSE),0)</f>
        <v>0.74960300000000002</v>
      </c>
      <c r="Z76" s="94">
        <f>PRODUCT($X$8:$X76)</f>
        <v>0.24051692466939226</v>
      </c>
      <c r="AA76" s="94">
        <f>PRODUCT($Y$8:$Y76)</f>
        <v>3.5568838949117964E-3</v>
      </c>
      <c r="AB76" s="95">
        <f>VaBenefits[[#This Row],[Primary Annuitant Px]]+VaBenefits[[#This Row],[Secondary Annuitant Py]]-VaBenefits[[#This Row],[Primary Annuitant Px]]*VaBenefits[[#This Row],[Secondary Annuitant Py]]</f>
        <v>0.98009293770600003</v>
      </c>
      <c r="AC76" s="95">
        <f>PRODUCT($AB$8:$AB76)</f>
        <v>0.81057080444796903</v>
      </c>
      <c r="AD76" s="101">
        <f t="shared" ca="1" si="16"/>
        <v>5915.8979241607931</v>
      </c>
    </row>
    <row r="77" spans="1:30" x14ac:dyDescent="0.3">
      <c r="A77" s="35">
        <f t="shared" si="21"/>
        <v>69</v>
      </c>
      <c r="B77" s="33">
        <f t="shared" si="22"/>
        <v>34.5</v>
      </c>
      <c r="C77" s="30" t="b">
        <f>AND(VaBenefits[[#This Row],[timeFromValuation]]&gt;=ACT,VaBenefits[[#This Row],[Assumed Contract Value ]]&gt;0)</f>
        <v>0</v>
      </c>
      <c r="D77" s="34">
        <f t="shared" si="19"/>
        <v>0</v>
      </c>
      <c r="E77" s="34">
        <f>IF(Use_Base_Case, AP77,IF(VaBenefits[[#This Row],[Is Anniversary?]],WithAmt,0))</f>
        <v>0</v>
      </c>
      <c r="F77" s="34">
        <f t="shared" si="20"/>
        <v>0</v>
      </c>
      <c r="G77" s="100">
        <f>ROUND($G$8+VaBenefits[[#This Row],[timeFromValuation]],0)</f>
        <v>90</v>
      </c>
      <c r="H77" s="21">
        <f>ROUND($H$8+VaBenefits[[#This Row],[timeFromValuation]],0)</f>
        <v>100</v>
      </c>
      <c r="I77" s="28" t="b">
        <f>VaBenefits[[#This Row],[Withdrawal Taken  ]]&gt;0</f>
        <v>0</v>
      </c>
      <c r="J77" s="45">
        <f>IF(AND(NOT(VaBenefits[[#This Row],[Is Activation]]),VaBenefits[[#This Row],[Assumed Contract Value ]]&gt;0),VaBenefits[[#This Row],[Withdrawal Taken  ]]/VaBenefits[[#This Row],[Assumed Contract Value ]],0)</f>
        <v>0</v>
      </c>
      <c r="K7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7" s="28" t="b">
        <f>AND(VaBenefits[[#This Row],[Is Activation]],SUMIFS($E$8:$E77,$C$8:$C77,TRUE)&gt;0)</f>
        <v>0</v>
      </c>
      <c r="M7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7" s="35" t="b">
        <f>IF(VaBenefits[[#This Row],[timeFromValuation]]=0,0, MOD(VaBenefits[[#This Row],[timeFromValuation]],1)=0)</f>
        <v>0</v>
      </c>
      <c r="O77" s="7">
        <f>IF(VaBenefits[[#This Row],[Is Anniversary?]]=TRUE,VaBenefits[[#This Row],[Assumed Contract Value ]],0)</f>
        <v>0</v>
      </c>
      <c r="P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7" s="7" t="b">
        <f>VaBenefits[[#This Row],[Assumed Contract Value ]]&lt;0.1</f>
        <v>1</v>
      </c>
      <c r="R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7" s="7">
        <f ca="1">IF(AND(VaBenefits[[#This Row],[Is Activation]]=FALSE,VaBenefits[[#This Row],[Is Anniversary?]]=TRUE),OFFSET( VaBenefits[[#This Row],[Income Credit Base]],-1,0)*ICP,0)</f>
        <v>0</v>
      </c>
      <c r="T77" s="5">
        <f>IF(VaBenefits[[#This Row],[Assumed Contract Value ]]&gt;0,VaBenefits[[#This Row],[Income Base]]*MAWA,0)</f>
        <v>0</v>
      </c>
      <c r="U77" s="99">
        <f>IF(AND(VaBenefits[[#This Row],[Has Income Credit]],VaBenefits[[#This Row],[Is Anniversary?]],VaBenefits[[#This Row],[Joint Mortality tPxy for the partial year]]),VaBenefits[[#This Row],[Income Base]]*PIP,0)</f>
        <v>0</v>
      </c>
      <c r="V77" s="9">
        <f>1/(1+InterestRate)^VaBenefits[[#This Row],[timeFromValuation]]</f>
        <v>0.18576726283546227</v>
      </c>
      <c r="W77" s="94">
        <f>VaBenefits[[#This Row],[timeFromValuation]]</f>
        <v>34.5</v>
      </c>
      <c r="X77" s="95">
        <f>IF(($G$8+VaBenefits[[#This Row],[timeFromValuation]])&lt;=120,VLOOKUP(G77,Table2[],Qx!L$6,FALSE),0)</f>
        <v>0.91162299999999996</v>
      </c>
      <c r="Y77" s="95">
        <f>IF(($H$8+VaBenefits[[#This Row],[timeFromValuation]])&lt;=120,VLOOKUP(H77,Table2[],Qx!M$6,FALSE),0)</f>
        <v>0.73139299999999996</v>
      </c>
      <c r="Z77" s="94">
        <f>PRODUCT($X$8:$X77)</f>
        <v>0.21926076041788536</v>
      </c>
      <c r="AA77" s="94">
        <f>PRODUCT($Y$8:$Y77)</f>
        <v>2.6014799825512234E-3</v>
      </c>
      <c r="AB77" s="95">
        <f>VaBenefits[[#This Row],[Primary Annuitant Px]]+VaBenefits[[#This Row],[Secondary Annuitant Py]]-VaBenefits[[#This Row],[Primary Annuitant Px]]*VaBenefits[[#This Row],[Secondary Annuitant Py]]</f>
        <v>0.9762613191609999</v>
      </c>
      <c r="AC77" s="95">
        <f>PRODUCT($AB$8:$AB77)</f>
        <v>0.7913289228237671</v>
      </c>
      <c r="AD77" s="101">
        <f t="shared" si="16"/>
        <v>0</v>
      </c>
    </row>
    <row r="78" spans="1:30" x14ac:dyDescent="0.3">
      <c r="A78" s="35">
        <f t="shared" si="21"/>
        <v>70</v>
      </c>
      <c r="B78" s="33">
        <f t="shared" si="22"/>
        <v>35</v>
      </c>
      <c r="C78" s="30" t="b">
        <f>AND(VaBenefits[[#This Row],[timeFromValuation]]&gt;=ACT,VaBenefits[[#This Row],[Assumed Contract Value ]]&gt;0)</f>
        <v>0</v>
      </c>
      <c r="D78" s="34">
        <f t="shared" si="19"/>
        <v>0</v>
      </c>
      <c r="E78" s="34">
        <f>IF(Use_Base_Case, AP78,IF(VaBenefits[[#This Row],[Is Anniversary?]],WithAmt,0))</f>
        <v>0</v>
      </c>
      <c r="F78" s="34">
        <f t="shared" si="20"/>
        <v>0</v>
      </c>
      <c r="G78" s="100">
        <f>ROUND($G$8+VaBenefits[[#This Row],[timeFromValuation]],0)</f>
        <v>90</v>
      </c>
      <c r="H78" s="21">
        <f>ROUND($H$8+VaBenefits[[#This Row],[timeFromValuation]],0)</f>
        <v>100</v>
      </c>
      <c r="I78" s="28" t="b">
        <f>VaBenefits[[#This Row],[Withdrawal Taken  ]]&gt;0</f>
        <v>0</v>
      </c>
      <c r="J78" s="45">
        <f>IF(AND(NOT(VaBenefits[[#This Row],[Is Activation]]),VaBenefits[[#This Row],[Assumed Contract Value ]]&gt;0),VaBenefits[[#This Row],[Withdrawal Taken  ]]/VaBenefits[[#This Row],[Assumed Contract Value ]],0)</f>
        <v>0</v>
      </c>
      <c r="K7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8" s="28" t="b">
        <f>AND(VaBenefits[[#This Row],[Is Activation]],SUMIFS($E$8:$E78,$C$8:$C78,TRUE)&gt;0)</f>
        <v>0</v>
      </c>
      <c r="M7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8" s="35" t="b">
        <f>IF(VaBenefits[[#This Row],[timeFromValuation]]=0,0, MOD(VaBenefits[[#This Row],[timeFromValuation]],1)=0)</f>
        <v>1</v>
      </c>
      <c r="O78" s="7">
        <f>IF(VaBenefits[[#This Row],[Is Anniversary?]]=TRUE,VaBenefits[[#This Row],[Assumed Contract Value ]],0)</f>
        <v>0</v>
      </c>
      <c r="P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8" s="7" t="b">
        <f>VaBenefits[[#This Row],[Assumed Contract Value ]]&lt;0.1</f>
        <v>1</v>
      </c>
      <c r="R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8" s="7">
        <f ca="1">IF(AND(VaBenefits[[#This Row],[Is Activation]]=FALSE,VaBenefits[[#This Row],[Is Anniversary?]]=TRUE),OFFSET( VaBenefits[[#This Row],[Income Credit Base]],-1,0)*ICP,0)</f>
        <v>0</v>
      </c>
      <c r="T78" s="5">
        <f>IF(VaBenefits[[#This Row],[Assumed Contract Value ]]&gt;0,VaBenefits[[#This Row],[Income Base]]*MAWA,0)</f>
        <v>0</v>
      </c>
      <c r="U78" s="99">
        <f ca="1">IF(AND(VaBenefits[[#This Row],[Has Income Credit]],VaBenefits[[#This Row],[Is Anniversary?]],VaBenefits[[#This Row],[Joint Mortality tPxy for the partial year]]),VaBenefits[[#This Row],[Income Base]]*PIP,0)</f>
        <v>12026.006800536559</v>
      </c>
      <c r="V78" s="9">
        <f>1/(1+InterestRate)^VaBenefits[[#This Row],[timeFromValuation]]</f>
        <v>0.18129028535257716</v>
      </c>
      <c r="W78" s="94">
        <f>VaBenefits[[#This Row],[timeFromValuation]]</f>
        <v>35</v>
      </c>
      <c r="X78" s="95">
        <f>IF(($G$8+VaBenefits[[#This Row],[timeFromValuation]])&lt;=120,VLOOKUP(G78,Table2[],Qx!L$6,FALSE),0)</f>
        <v>0.91162299999999996</v>
      </c>
      <c r="Y78" s="95">
        <f>IF(($H$8+VaBenefits[[#This Row],[timeFromValuation]])&lt;=120,VLOOKUP(H78,Table2[],Qx!M$6,FALSE),0)</f>
        <v>0.73139299999999996</v>
      </c>
      <c r="Z78" s="94">
        <f>PRODUCT($X$8:$X78)</f>
        <v>0.19988315219443389</v>
      </c>
      <c r="AA78" s="94">
        <f>PRODUCT($Y$8:$Y78)</f>
        <v>1.9027042488780868E-3</v>
      </c>
      <c r="AB78" s="95">
        <f>VaBenefits[[#This Row],[Primary Annuitant Px]]+VaBenefits[[#This Row],[Secondary Annuitant Py]]-VaBenefits[[#This Row],[Primary Annuitant Px]]*VaBenefits[[#This Row],[Secondary Annuitant Py]]</f>
        <v>0.9762613191609999</v>
      </c>
      <c r="AC78" s="95">
        <f>PRODUCT($AB$8:$AB78)</f>
        <v>0.772543818086184</v>
      </c>
      <c r="AD78" s="101">
        <f t="shared" ca="1" si="16"/>
        <v>5743.5861507393747</v>
      </c>
    </row>
    <row r="79" spans="1:30" x14ac:dyDescent="0.3">
      <c r="A79" s="35">
        <f t="shared" si="21"/>
        <v>71</v>
      </c>
      <c r="B79" s="33">
        <f t="shared" si="22"/>
        <v>35.5</v>
      </c>
      <c r="C79" s="30" t="b">
        <f>AND(VaBenefits[[#This Row],[timeFromValuation]]&gt;=ACT,VaBenefits[[#This Row],[Assumed Contract Value ]]&gt;0)</f>
        <v>0</v>
      </c>
      <c r="D79" s="34">
        <f t="shared" si="19"/>
        <v>0</v>
      </c>
      <c r="E79" s="34">
        <f>IF(Use_Base_Case, AP79,IF(VaBenefits[[#This Row],[Is Anniversary?]],WithAmt,0))</f>
        <v>0</v>
      </c>
      <c r="F79" s="34">
        <f t="shared" si="20"/>
        <v>0</v>
      </c>
      <c r="G79" s="100">
        <f>ROUND($G$8+VaBenefits[[#This Row],[timeFromValuation]],0)</f>
        <v>91</v>
      </c>
      <c r="H79" s="21">
        <f>ROUND($H$8+VaBenefits[[#This Row],[timeFromValuation]],0)</f>
        <v>101</v>
      </c>
      <c r="I79" s="28" t="b">
        <f>VaBenefits[[#This Row],[Withdrawal Taken  ]]&gt;0</f>
        <v>0</v>
      </c>
      <c r="J79" s="45">
        <f>IF(AND(NOT(VaBenefits[[#This Row],[Is Activation]]),VaBenefits[[#This Row],[Assumed Contract Value ]]&gt;0),VaBenefits[[#This Row],[Withdrawal Taken  ]]/VaBenefits[[#This Row],[Assumed Contract Value ]],0)</f>
        <v>0</v>
      </c>
      <c r="K7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79" s="28" t="b">
        <f>AND(VaBenefits[[#This Row],[Is Activation]],SUMIFS($E$8:$E79,$C$8:$C79,TRUE)&gt;0)</f>
        <v>0</v>
      </c>
      <c r="M7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79" s="35" t="b">
        <f>IF(VaBenefits[[#This Row],[timeFromValuation]]=0,0, MOD(VaBenefits[[#This Row],[timeFromValuation]],1)=0)</f>
        <v>0</v>
      </c>
      <c r="O79" s="7">
        <f>IF(VaBenefits[[#This Row],[Is Anniversary?]]=TRUE,VaBenefits[[#This Row],[Assumed Contract Value ]],0)</f>
        <v>0</v>
      </c>
      <c r="P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79" s="7" t="b">
        <f>VaBenefits[[#This Row],[Assumed Contract Value ]]&lt;0.1</f>
        <v>1</v>
      </c>
      <c r="R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79" s="7">
        <f ca="1">IF(AND(VaBenefits[[#This Row],[Is Activation]]=FALSE,VaBenefits[[#This Row],[Is Anniversary?]]=TRUE),OFFSET( VaBenefits[[#This Row],[Income Credit Base]],-1,0)*ICP,0)</f>
        <v>0</v>
      </c>
      <c r="T79" s="5">
        <f>IF(VaBenefits[[#This Row],[Assumed Contract Value ]]&gt;0,VaBenefits[[#This Row],[Income Base]]*MAWA,0)</f>
        <v>0</v>
      </c>
      <c r="U79" s="99">
        <f>IF(AND(VaBenefits[[#This Row],[Has Income Credit]],VaBenefits[[#This Row],[Is Anniversary?]],VaBenefits[[#This Row],[Joint Mortality tPxy for the partial year]]),VaBenefits[[#This Row],[Income Base]]*PIP,0)</f>
        <v>0</v>
      </c>
      <c r="V79" s="9">
        <f>1/(1+InterestRate)^VaBenefits[[#This Row],[timeFromValuation]]</f>
        <v>0.17692120270044026</v>
      </c>
      <c r="W79" s="94">
        <f>VaBenefits[[#This Row],[timeFromValuation]]</f>
        <v>35.5</v>
      </c>
      <c r="X79" s="95">
        <f>IF(($G$8+VaBenefits[[#This Row],[timeFromValuation]])&lt;=120,VLOOKUP(G79,Table2[],Qx!L$6,FALSE),0)</f>
        <v>0.90250900000000001</v>
      </c>
      <c r="Y79" s="95">
        <f>IF(($H$8+VaBenefits[[#This Row],[timeFromValuation]])&lt;=120,VLOOKUP(H79,Table2[],Qx!M$6,FALSE),0)</f>
        <v>0.70998399999999995</v>
      </c>
      <c r="Z79" s="94">
        <f>PRODUCT($X$8:$X79)</f>
        <v>0.18039634380384634</v>
      </c>
      <c r="AA79" s="94">
        <f>PRODUCT($Y$8:$Y79)</f>
        <v>1.3508895734354596E-3</v>
      </c>
      <c r="AB79" s="95">
        <f>VaBenefits[[#This Row],[Primary Annuitant Px]]+VaBenefits[[#This Row],[Secondary Annuitant Py]]-VaBenefits[[#This Row],[Primary Annuitant Px]]*VaBenefits[[#This Row],[Secondary Annuitant Py]]</f>
        <v>0.97172605014400004</v>
      </c>
      <c r="AC79" s="95">
        <f>PRODUCT($AB$8:$AB79)</f>
        <v>0.75070095291205252</v>
      </c>
      <c r="AD79" s="101">
        <f t="shared" si="16"/>
        <v>0</v>
      </c>
    </row>
    <row r="80" spans="1:30" x14ac:dyDescent="0.3">
      <c r="A80" s="35">
        <f t="shared" si="21"/>
        <v>72</v>
      </c>
      <c r="B80" s="33">
        <f t="shared" si="22"/>
        <v>36</v>
      </c>
      <c r="C80" s="30" t="b">
        <f>AND(VaBenefits[[#This Row],[timeFromValuation]]&gt;=ACT,VaBenefits[[#This Row],[Assumed Contract Value ]]&gt;0)</f>
        <v>0</v>
      </c>
      <c r="D80" s="34">
        <f t="shared" si="19"/>
        <v>0</v>
      </c>
      <c r="E80" s="34">
        <f>IF(Use_Base_Case, AP80,IF(VaBenefits[[#This Row],[Is Anniversary?]],WithAmt,0))</f>
        <v>0</v>
      </c>
      <c r="F80" s="34">
        <f t="shared" si="20"/>
        <v>0</v>
      </c>
      <c r="G80" s="100">
        <f>ROUND($G$8+VaBenefits[[#This Row],[timeFromValuation]],0)</f>
        <v>91</v>
      </c>
      <c r="H80" s="21">
        <f>ROUND($H$8+VaBenefits[[#This Row],[timeFromValuation]],0)</f>
        <v>101</v>
      </c>
      <c r="I80" s="28" t="b">
        <f>VaBenefits[[#This Row],[Withdrawal Taken  ]]&gt;0</f>
        <v>0</v>
      </c>
      <c r="J80" s="45">
        <f>IF(AND(NOT(VaBenefits[[#This Row],[Is Activation]]),VaBenefits[[#This Row],[Assumed Contract Value ]]&gt;0),VaBenefits[[#This Row],[Withdrawal Taken  ]]/VaBenefits[[#This Row],[Assumed Contract Value ]],0)</f>
        <v>0</v>
      </c>
      <c r="K8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0" s="28" t="b">
        <f>AND(VaBenefits[[#This Row],[Is Activation]],SUMIFS($E$8:$E80,$C$8:$C80,TRUE)&gt;0)</f>
        <v>0</v>
      </c>
      <c r="M8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0" s="35" t="b">
        <f>IF(VaBenefits[[#This Row],[timeFromValuation]]=0,0, MOD(VaBenefits[[#This Row],[timeFromValuation]],1)=0)</f>
        <v>1</v>
      </c>
      <c r="O80" s="7">
        <f>IF(VaBenefits[[#This Row],[Is Anniversary?]]=TRUE,VaBenefits[[#This Row],[Assumed Contract Value ]],0)</f>
        <v>0</v>
      </c>
      <c r="P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0" s="7" t="b">
        <f>VaBenefits[[#This Row],[Assumed Contract Value ]]&lt;0.1</f>
        <v>1</v>
      </c>
      <c r="R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0" s="7">
        <f ca="1">IF(AND(VaBenefits[[#This Row],[Is Activation]]=FALSE,VaBenefits[[#This Row],[Is Anniversary?]]=TRUE),OFFSET( VaBenefits[[#This Row],[Income Credit Base]],-1,0)*ICP,0)</f>
        <v>0</v>
      </c>
      <c r="T80" s="5">
        <f>IF(VaBenefits[[#This Row],[Assumed Contract Value ]]&gt;0,VaBenefits[[#This Row],[Income Base]]*MAWA,0)</f>
        <v>0</v>
      </c>
      <c r="U80" s="99">
        <f ca="1">IF(AND(VaBenefits[[#This Row],[Has Income Credit]],VaBenefits[[#This Row],[Is Anniversary?]],VaBenefits[[#This Row],[Joint Mortality tPxy for the partial year]]),VaBenefits[[#This Row],[Income Base]]*PIP,0)</f>
        <v>12026.006800536559</v>
      </c>
      <c r="V80" s="9">
        <f>1/(1+InterestRate)^VaBenefits[[#This Row],[timeFromValuation]]</f>
        <v>0.17265741462150208</v>
      </c>
      <c r="W80" s="94">
        <f>VaBenefits[[#This Row],[timeFromValuation]]</f>
        <v>36</v>
      </c>
      <c r="X80" s="95">
        <f>IF(($G$8+VaBenefits[[#This Row],[timeFromValuation]])&lt;=120,VLOOKUP(G80,Table2[],Qx!L$6,FALSE),0)</f>
        <v>0.90250900000000001</v>
      </c>
      <c r="Y80" s="95">
        <f>IF(($H$8+VaBenefits[[#This Row],[timeFromValuation]])&lt;=120,VLOOKUP(H80,Table2[],Qx!M$6,FALSE),0)</f>
        <v>0.70998399999999995</v>
      </c>
      <c r="Z80" s="94">
        <f>PRODUCT($X$8:$X80)</f>
        <v>0.16280932385006555</v>
      </c>
      <c r="AA80" s="94">
        <f>PRODUCT($Y$8:$Y80)</f>
        <v>9.5910998290600125E-4</v>
      </c>
      <c r="AB80" s="95">
        <f>VaBenefits[[#This Row],[Primary Annuitant Px]]+VaBenefits[[#This Row],[Secondary Annuitant Py]]-VaBenefits[[#This Row],[Primary Annuitant Px]]*VaBenefits[[#This Row],[Secondary Annuitant Py]]</f>
        <v>0.97172605014400004</v>
      </c>
      <c r="AC80" s="95">
        <f>PRODUCT($AB$8:$AB80)</f>
        <v>0.72947567181256578</v>
      </c>
      <c r="AD80" s="101">
        <f t="shared" ca="1" si="16"/>
        <v>5576.2932852910599</v>
      </c>
    </row>
    <row r="81" spans="1:30" x14ac:dyDescent="0.3">
      <c r="A81" s="35">
        <f t="shared" si="21"/>
        <v>73</v>
      </c>
      <c r="B81" s="33">
        <f t="shared" si="22"/>
        <v>36.5</v>
      </c>
      <c r="C81" s="30" t="b">
        <f>AND(VaBenefits[[#This Row],[timeFromValuation]]&gt;=ACT,VaBenefits[[#This Row],[Assumed Contract Value ]]&gt;0)</f>
        <v>0</v>
      </c>
      <c r="D81" s="34">
        <f t="shared" si="19"/>
        <v>0</v>
      </c>
      <c r="E81" s="34">
        <f>IF(Use_Base_Case, AP81,IF(VaBenefits[[#This Row],[Is Anniversary?]],WithAmt,0))</f>
        <v>0</v>
      </c>
      <c r="F81" s="34">
        <f t="shared" si="20"/>
        <v>0</v>
      </c>
      <c r="G81" s="100">
        <f>ROUND($G$8+VaBenefits[[#This Row],[timeFromValuation]],0)</f>
        <v>92</v>
      </c>
      <c r="H81" s="21">
        <f>ROUND($H$8+VaBenefits[[#This Row],[timeFromValuation]],0)</f>
        <v>102</v>
      </c>
      <c r="I81" s="28" t="b">
        <f>VaBenefits[[#This Row],[Withdrawal Taken  ]]&gt;0</f>
        <v>0</v>
      </c>
      <c r="J81" s="45">
        <f>IF(AND(NOT(VaBenefits[[#This Row],[Is Activation]]),VaBenefits[[#This Row],[Assumed Contract Value ]]&gt;0),VaBenefits[[#This Row],[Withdrawal Taken  ]]/VaBenefits[[#This Row],[Assumed Contract Value ]],0)</f>
        <v>0</v>
      </c>
      <c r="K8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1" s="28" t="b">
        <f>AND(VaBenefits[[#This Row],[Is Activation]],SUMIFS($E$8:$E81,$C$8:$C81,TRUE)&gt;0)</f>
        <v>0</v>
      </c>
      <c r="M8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1" s="35" t="b">
        <f>IF(VaBenefits[[#This Row],[timeFromValuation]]=0,0, MOD(VaBenefits[[#This Row],[timeFromValuation]],1)=0)</f>
        <v>0</v>
      </c>
      <c r="O81" s="7">
        <f>IF(VaBenefits[[#This Row],[Is Anniversary?]]=TRUE,VaBenefits[[#This Row],[Assumed Contract Value ]],0)</f>
        <v>0</v>
      </c>
      <c r="P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1" s="7" t="b">
        <f>VaBenefits[[#This Row],[Assumed Contract Value ]]&lt;0.1</f>
        <v>1</v>
      </c>
      <c r="R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1" s="7">
        <f ca="1">IF(AND(VaBenefits[[#This Row],[Is Activation]]=FALSE,VaBenefits[[#This Row],[Is Anniversary?]]=TRUE),OFFSET( VaBenefits[[#This Row],[Income Credit Base]],-1,0)*ICP,0)</f>
        <v>0</v>
      </c>
      <c r="T81" s="5">
        <f>IF(VaBenefits[[#This Row],[Assumed Contract Value ]]&gt;0,VaBenefits[[#This Row],[Income Base]]*MAWA,0)</f>
        <v>0</v>
      </c>
      <c r="U81" s="99">
        <f>IF(AND(VaBenefits[[#This Row],[Has Income Credit]],VaBenefits[[#This Row],[Is Anniversary?]],VaBenefits[[#This Row],[Joint Mortality tPxy for the partial year]]),VaBenefits[[#This Row],[Income Base]]*PIP,0)</f>
        <v>0</v>
      </c>
      <c r="V81" s="9">
        <f>1/(1+InterestRate)^VaBenefits[[#This Row],[timeFromValuation]]</f>
        <v>0.1684963835242288</v>
      </c>
      <c r="W81" s="94">
        <f>VaBenefits[[#This Row],[timeFromValuation]]</f>
        <v>36.5</v>
      </c>
      <c r="X81" s="95">
        <f>IF(($G$8+VaBenefits[[#This Row],[timeFromValuation]])&lt;=120,VLOOKUP(G81,Table2[],Qx!L$6,FALSE),0)</f>
        <v>0.89273099999999994</v>
      </c>
      <c r="Y81" s="95">
        <f>IF(($H$8+VaBenefits[[#This Row],[timeFromValuation]])&lt;=120,VLOOKUP(H81,Table2[],Qx!M$6,FALSE),0)</f>
        <v>0.68815099999999996</v>
      </c>
      <c r="Z81" s="94">
        <f>PRODUCT($X$8:$X81)</f>
        <v>0.14534493048999286</v>
      </c>
      <c r="AA81" s="94">
        <f>PRODUCT($Y$8:$Y81)</f>
        <v>6.6001249384674764E-4</v>
      </c>
      <c r="AB81" s="95">
        <f>VaBenefits[[#This Row],[Primary Annuitant Px]]+VaBenefits[[#This Row],[Secondary Annuitant Py]]-VaBenefits[[#This Row],[Primary Annuitant Px]]*VaBenefits[[#This Row],[Secondary Annuitant Py]]</f>
        <v>0.96654826961899998</v>
      </c>
      <c r="AC81" s="95">
        <f>PRODUCT($AB$8:$AB81)</f>
        <v>0.70507344831959295</v>
      </c>
      <c r="AD81" s="101">
        <f t="shared" si="16"/>
        <v>0</v>
      </c>
    </row>
    <row r="82" spans="1:30" x14ac:dyDescent="0.3">
      <c r="A82" s="35">
        <f t="shared" si="21"/>
        <v>74</v>
      </c>
      <c r="B82" s="33">
        <f t="shared" si="22"/>
        <v>37</v>
      </c>
      <c r="C82" s="30" t="b">
        <f>AND(VaBenefits[[#This Row],[timeFromValuation]]&gt;=ACT,VaBenefits[[#This Row],[Assumed Contract Value ]]&gt;0)</f>
        <v>0</v>
      </c>
      <c r="D82" s="34">
        <f t="shared" si="19"/>
        <v>0</v>
      </c>
      <c r="E82" s="34">
        <f>IF(Use_Base_Case, AP82,IF(VaBenefits[[#This Row],[Is Anniversary?]],WithAmt,0))</f>
        <v>0</v>
      </c>
      <c r="F82" s="34">
        <f t="shared" si="20"/>
        <v>0</v>
      </c>
      <c r="G82" s="100">
        <f>ROUND($G$8+VaBenefits[[#This Row],[timeFromValuation]],0)</f>
        <v>92</v>
      </c>
      <c r="H82" s="21">
        <f>ROUND($H$8+VaBenefits[[#This Row],[timeFromValuation]],0)</f>
        <v>102</v>
      </c>
      <c r="I82" s="28" t="b">
        <f>VaBenefits[[#This Row],[Withdrawal Taken  ]]&gt;0</f>
        <v>0</v>
      </c>
      <c r="J82" s="45">
        <f>IF(AND(NOT(VaBenefits[[#This Row],[Is Activation]]),VaBenefits[[#This Row],[Assumed Contract Value ]]&gt;0),VaBenefits[[#This Row],[Withdrawal Taken  ]]/VaBenefits[[#This Row],[Assumed Contract Value ]],0)</f>
        <v>0</v>
      </c>
      <c r="K8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2" s="28" t="b">
        <f>AND(VaBenefits[[#This Row],[Is Activation]],SUMIFS($E$8:$E82,$C$8:$C82,TRUE)&gt;0)</f>
        <v>0</v>
      </c>
      <c r="M8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2" s="35" t="b">
        <f>IF(VaBenefits[[#This Row],[timeFromValuation]]=0,0, MOD(VaBenefits[[#This Row],[timeFromValuation]],1)=0)</f>
        <v>1</v>
      </c>
      <c r="O82" s="7">
        <f>IF(VaBenefits[[#This Row],[Is Anniversary?]]=TRUE,VaBenefits[[#This Row],[Assumed Contract Value ]],0)</f>
        <v>0</v>
      </c>
      <c r="P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2" s="7" t="b">
        <f>VaBenefits[[#This Row],[Assumed Contract Value ]]&lt;0.1</f>
        <v>1</v>
      </c>
      <c r="R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2" s="7">
        <f ca="1">IF(AND(VaBenefits[[#This Row],[Is Activation]]=FALSE,VaBenefits[[#This Row],[Is Anniversary?]]=TRUE),OFFSET( VaBenefits[[#This Row],[Income Credit Base]],-1,0)*ICP,0)</f>
        <v>0</v>
      </c>
      <c r="T82" s="5">
        <f>IF(VaBenefits[[#This Row],[Assumed Contract Value ]]&gt;0,VaBenefits[[#This Row],[Income Base]]*MAWA,0)</f>
        <v>0</v>
      </c>
      <c r="U82" s="99">
        <f ca="1">IF(AND(VaBenefits[[#This Row],[Has Income Credit]],VaBenefits[[#This Row],[Is Anniversary?]],VaBenefits[[#This Row],[Joint Mortality tPxy for the partial year]]),VaBenefits[[#This Row],[Income Base]]*PIP,0)</f>
        <v>12026.006800536559</v>
      </c>
      <c r="V82" s="9">
        <f>1/(1+InterestRate)^VaBenefits[[#This Row],[timeFromValuation]]</f>
        <v>0.1644356329728591</v>
      </c>
      <c r="W82" s="94">
        <f>VaBenefits[[#This Row],[timeFromValuation]]</f>
        <v>37</v>
      </c>
      <c r="X82" s="95">
        <f>IF(($G$8+VaBenefits[[#This Row],[timeFromValuation]])&lt;=120,VLOOKUP(G82,Table2[],Qx!L$6,FALSE),0)</f>
        <v>0.89273099999999994</v>
      </c>
      <c r="Y82" s="95">
        <f>IF(($H$8+VaBenefits[[#This Row],[timeFromValuation]])&lt;=120,VLOOKUP(H82,Table2[],Qx!M$6,FALSE),0)</f>
        <v>0.68815099999999996</v>
      </c>
      <c r="Z82" s="94">
        <f>PRODUCT($X$8:$X82)</f>
        <v>0.1297539251412618</v>
      </c>
      <c r="AA82" s="94">
        <f>PRODUCT($Y$8:$Y82)</f>
        <v>4.5418825765313321E-4</v>
      </c>
      <c r="AB82" s="95">
        <f>VaBenefits[[#This Row],[Primary Annuitant Px]]+VaBenefits[[#This Row],[Secondary Annuitant Py]]-VaBenefits[[#This Row],[Primary Annuitant Px]]*VaBenefits[[#This Row],[Secondary Annuitant Py]]</f>
        <v>0.96654826961899998</v>
      </c>
      <c r="AC82" s="95">
        <f>PRODUCT($AB$8:$AB82)</f>
        <v>0.68148752142760394</v>
      </c>
      <c r="AD82" s="101">
        <f t="shared" ca="1" si="16"/>
        <v>5413.8731425799679</v>
      </c>
    </row>
    <row r="83" spans="1:30" x14ac:dyDescent="0.3">
      <c r="A83" s="35">
        <f t="shared" si="21"/>
        <v>75</v>
      </c>
      <c r="B83" s="33">
        <f t="shared" si="22"/>
        <v>37.5</v>
      </c>
      <c r="C83" s="30" t="b">
        <f>AND(VaBenefits[[#This Row],[timeFromValuation]]&gt;=ACT,VaBenefits[[#This Row],[Assumed Contract Value ]]&gt;0)</f>
        <v>0</v>
      </c>
      <c r="D83" s="34">
        <f t="shared" si="19"/>
        <v>0</v>
      </c>
      <c r="E83" s="34">
        <f>IF(Use_Base_Case, AP83,IF(VaBenefits[[#This Row],[Is Anniversary?]],WithAmt,0))</f>
        <v>0</v>
      </c>
      <c r="F83" s="34">
        <f t="shared" si="20"/>
        <v>0</v>
      </c>
      <c r="G83" s="100">
        <f>ROUND($G$8+VaBenefits[[#This Row],[timeFromValuation]],0)</f>
        <v>93</v>
      </c>
      <c r="H83" s="21">
        <f>ROUND($H$8+VaBenefits[[#This Row],[timeFromValuation]],0)</f>
        <v>103</v>
      </c>
      <c r="I83" s="28" t="b">
        <f>VaBenefits[[#This Row],[Withdrawal Taken  ]]&gt;0</f>
        <v>0</v>
      </c>
      <c r="J83" s="45">
        <f>IF(AND(NOT(VaBenefits[[#This Row],[Is Activation]]),VaBenefits[[#This Row],[Assumed Contract Value ]]&gt;0),VaBenefits[[#This Row],[Withdrawal Taken  ]]/VaBenefits[[#This Row],[Assumed Contract Value ]],0)</f>
        <v>0</v>
      </c>
      <c r="K8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3" s="28" t="b">
        <f>AND(VaBenefits[[#This Row],[Is Activation]],SUMIFS($E$8:$E83,$C$8:$C83,TRUE)&gt;0)</f>
        <v>0</v>
      </c>
      <c r="M8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3" s="35" t="b">
        <f>IF(VaBenefits[[#This Row],[timeFromValuation]]=0,0, MOD(VaBenefits[[#This Row],[timeFromValuation]],1)=0)</f>
        <v>0</v>
      </c>
      <c r="O83" s="7">
        <f>IF(VaBenefits[[#This Row],[Is Anniversary?]]=TRUE,VaBenefits[[#This Row],[Assumed Contract Value ]],0)</f>
        <v>0</v>
      </c>
      <c r="P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3" s="7" t="b">
        <f>VaBenefits[[#This Row],[Assumed Contract Value ]]&lt;0.1</f>
        <v>1</v>
      </c>
      <c r="R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3" s="7">
        <f ca="1">IF(AND(VaBenefits[[#This Row],[Is Activation]]=FALSE,VaBenefits[[#This Row],[Is Anniversary?]]=TRUE),OFFSET( VaBenefits[[#This Row],[Income Credit Base]],-1,0)*ICP,0)</f>
        <v>0</v>
      </c>
      <c r="T83" s="5">
        <f>IF(VaBenefits[[#This Row],[Assumed Contract Value ]]&gt;0,VaBenefits[[#This Row],[Income Base]]*MAWA,0)</f>
        <v>0</v>
      </c>
      <c r="U83" s="99">
        <f>IF(AND(VaBenefits[[#This Row],[Has Income Credit]],VaBenefits[[#This Row],[Is Anniversary?]],VaBenefits[[#This Row],[Joint Mortality tPxy for the partial year]]),VaBenefits[[#This Row],[Income Base]]*PIP,0)</f>
        <v>0</v>
      </c>
      <c r="V83" s="9">
        <f>1/(1+InterestRate)^VaBenefits[[#This Row],[timeFromValuation]]</f>
        <v>0.16047274621355123</v>
      </c>
      <c r="W83" s="94">
        <f>VaBenefits[[#This Row],[timeFromValuation]]</f>
        <v>37.5</v>
      </c>
      <c r="X83" s="95">
        <f>IF(($G$8+VaBenefits[[#This Row],[timeFromValuation]])&lt;=120,VLOOKUP(G83,Table2[],Qx!L$6,FALSE),0)</f>
        <v>0.881799</v>
      </c>
      <c r="Y83" s="95">
        <f>IF(($H$8+VaBenefits[[#This Row],[timeFromValuation]])&lt;=120,VLOOKUP(H83,Table2[],Qx!M$6,FALSE),0)</f>
        <v>0.66603800000000002</v>
      </c>
      <c r="Z83" s="94">
        <f>PRODUCT($X$8:$X83)</f>
        <v>0.11441688143563951</v>
      </c>
      <c r="AA83" s="94">
        <f>PRODUCT($Y$8:$Y83)</f>
        <v>3.0250663875077755E-4</v>
      </c>
      <c r="AB83" s="95">
        <f>VaBenefits[[#This Row],[Primary Annuitant Px]]+VaBenefits[[#This Row],[Secondary Annuitant Py]]-VaBenefits[[#This Row],[Primary Annuitant Px]]*VaBenefits[[#This Row],[Secondary Annuitant Py]]</f>
        <v>0.96052535763799984</v>
      </c>
      <c r="AC83" s="95">
        <f>PRODUCT($AB$8:$AB83)</f>
        <v>0.65458604524508335</v>
      </c>
      <c r="AD83" s="101">
        <f t="shared" si="16"/>
        <v>0</v>
      </c>
    </row>
    <row r="84" spans="1:30" x14ac:dyDescent="0.3">
      <c r="A84" s="35">
        <f t="shared" si="21"/>
        <v>76</v>
      </c>
      <c r="B84" s="33">
        <f t="shared" si="22"/>
        <v>38</v>
      </c>
      <c r="C84" s="30" t="b">
        <f>AND(VaBenefits[[#This Row],[timeFromValuation]]&gt;=ACT,VaBenefits[[#This Row],[Assumed Contract Value ]]&gt;0)</f>
        <v>0</v>
      </c>
      <c r="D84" s="34">
        <f t="shared" si="19"/>
        <v>0</v>
      </c>
      <c r="E84" s="34">
        <f>IF(Use_Base_Case, AP84,IF(VaBenefits[[#This Row],[Is Anniversary?]],WithAmt,0))</f>
        <v>0</v>
      </c>
      <c r="F84" s="34">
        <f t="shared" si="20"/>
        <v>0</v>
      </c>
      <c r="G84" s="100">
        <f>ROUND($G$8+VaBenefits[[#This Row],[timeFromValuation]],0)</f>
        <v>93</v>
      </c>
      <c r="H84" s="21">
        <f>ROUND($H$8+VaBenefits[[#This Row],[timeFromValuation]],0)</f>
        <v>103</v>
      </c>
      <c r="I84" s="28" t="b">
        <f>VaBenefits[[#This Row],[Withdrawal Taken  ]]&gt;0</f>
        <v>0</v>
      </c>
      <c r="J84" s="45">
        <f>IF(AND(NOT(VaBenefits[[#This Row],[Is Activation]]),VaBenefits[[#This Row],[Assumed Contract Value ]]&gt;0),VaBenefits[[#This Row],[Withdrawal Taken  ]]/VaBenefits[[#This Row],[Assumed Contract Value ]],0)</f>
        <v>0</v>
      </c>
      <c r="K8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4" s="28" t="b">
        <f>AND(VaBenefits[[#This Row],[Is Activation]],SUMIFS($E$8:$E84,$C$8:$C84,TRUE)&gt;0)</f>
        <v>0</v>
      </c>
      <c r="M8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4" s="35" t="b">
        <f>IF(VaBenefits[[#This Row],[timeFromValuation]]=0,0, MOD(VaBenefits[[#This Row],[timeFromValuation]],1)=0)</f>
        <v>1</v>
      </c>
      <c r="O84" s="7">
        <f>IF(VaBenefits[[#This Row],[Is Anniversary?]]=TRUE,VaBenefits[[#This Row],[Assumed Contract Value ]],0)</f>
        <v>0</v>
      </c>
      <c r="P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4" s="7" t="b">
        <f>VaBenefits[[#This Row],[Assumed Contract Value ]]&lt;0.1</f>
        <v>1</v>
      </c>
      <c r="R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4" s="7">
        <f ca="1">IF(AND(VaBenefits[[#This Row],[Is Activation]]=FALSE,VaBenefits[[#This Row],[Is Anniversary?]]=TRUE),OFFSET( VaBenefits[[#This Row],[Income Credit Base]],-1,0)*ICP,0)</f>
        <v>0</v>
      </c>
      <c r="T84" s="5">
        <f>IF(VaBenefits[[#This Row],[Assumed Contract Value ]]&gt;0,VaBenefits[[#This Row],[Income Base]]*MAWA,0)</f>
        <v>0</v>
      </c>
      <c r="U84" s="99">
        <f ca="1">IF(AND(VaBenefits[[#This Row],[Has Income Credit]],VaBenefits[[#This Row],[Is Anniversary?]],VaBenefits[[#This Row],[Joint Mortality tPxy for the partial year]]),VaBenefits[[#This Row],[Income Base]]*PIP,0)</f>
        <v>12026.006800536559</v>
      </c>
      <c r="V84" s="9">
        <f>1/(1+InterestRate)^VaBenefits[[#This Row],[timeFromValuation]]</f>
        <v>0.15660536473605632</v>
      </c>
      <c r="W84" s="94">
        <f>VaBenefits[[#This Row],[timeFromValuation]]</f>
        <v>38</v>
      </c>
      <c r="X84" s="95">
        <f>IF(($G$8+VaBenefits[[#This Row],[timeFromValuation]])&lt;=120,VLOOKUP(G84,Table2[],Qx!L$6,FALSE),0)</f>
        <v>0.881799</v>
      </c>
      <c r="Y84" s="95">
        <f>IF(($H$8+VaBenefits[[#This Row],[timeFromValuation]])&lt;=120,VLOOKUP(H84,Table2[],Qx!M$6,FALSE),0)</f>
        <v>0.66603800000000002</v>
      </c>
      <c r="Z84" s="94">
        <f>PRODUCT($X$8:$X84)</f>
        <v>0.10089269163306548</v>
      </c>
      <c r="AA84" s="94">
        <f>PRODUCT($Y$8:$Y84)</f>
        <v>2.0148091666029037E-4</v>
      </c>
      <c r="AB84" s="95">
        <f>VaBenefits[[#This Row],[Primary Annuitant Px]]+VaBenefits[[#This Row],[Secondary Annuitant Py]]-VaBenefits[[#This Row],[Primary Annuitant Px]]*VaBenefits[[#This Row],[Secondary Annuitant Py]]</f>
        <v>0.96052535763799984</v>
      </c>
      <c r="AC84" s="95">
        <f>PRODUCT($AB$8:$AB84)</f>
        <v>0.6287464952138776</v>
      </c>
      <c r="AD84" s="101">
        <f t="shared" ca="1" si="16"/>
        <v>5256.1837952931191</v>
      </c>
    </row>
    <row r="85" spans="1:30" x14ac:dyDescent="0.3">
      <c r="A85" s="35">
        <f t="shared" si="21"/>
        <v>77</v>
      </c>
      <c r="B85" s="33">
        <f t="shared" si="22"/>
        <v>38.5</v>
      </c>
      <c r="C85" s="30" t="b">
        <f>AND(VaBenefits[[#This Row],[timeFromValuation]]&gt;=ACT,VaBenefits[[#This Row],[Assumed Contract Value ]]&gt;0)</f>
        <v>0</v>
      </c>
      <c r="D85" s="34">
        <f t="shared" si="19"/>
        <v>0</v>
      </c>
      <c r="E85" s="34">
        <f>IF(Use_Base_Case, AP85,IF(VaBenefits[[#This Row],[Is Anniversary?]],WithAmt,0))</f>
        <v>0</v>
      </c>
      <c r="F85" s="34">
        <f t="shared" si="20"/>
        <v>0</v>
      </c>
      <c r="G85" s="100">
        <f>ROUND($G$8+VaBenefits[[#This Row],[timeFromValuation]],0)</f>
        <v>94</v>
      </c>
      <c r="H85" s="21">
        <f>ROUND($H$8+VaBenefits[[#This Row],[timeFromValuation]],0)</f>
        <v>104</v>
      </c>
      <c r="I85" s="28" t="b">
        <f>VaBenefits[[#This Row],[Withdrawal Taken  ]]&gt;0</f>
        <v>0</v>
      </c>
      <c r="J85" s="45">
        <f>IF(AND(NOT(VaBenefits[[#This Row],[Is Activation]]),VaBenefits[[#This Row],[Assumed Contract Value ]]&gt;0),VaBenefits[[#This Row],[Withdrawal Taken  ]]/VaBenefits[[#This Row],[Assumed Contract Value ]],0)</f>
        <v>0</v>
      </c>
      <c r="K8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5" s="28" t="b">
        <f>AND(VaBenefits[[#This Row],[Is Activation]],SUMIFS($E$8:$E85,$C$8:$C85,TRUE)&gt;0)</f>
        <v>0</v>
      </c>
      <c r="M8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5" s="35" t="b">
        <f>IF(VaBenefits[[#This Row],[timeFromValuation]]=0,0, MOD(VaBenefits[[#This Row],[timeFromValuation]],1)=0)</f>
        <v>0</v>
      </c>
      <c r="O85" s="7">
        <f>IF(VaBenefits[[#This Row],[Is Anniversary?]]=TRUE,VaBenefits[[#This Row],[Assumed Contract Value ]],0)</f>
        <v>0</v>
      </c>
      <c r="P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5" s="7" t="b">
        <f>VaBenefits[[#This Row],[Assumed Contract Value ]]&lt;0.1</f>
        <v>1</v>
      </c>
      <c r="R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5" s="7">
        <f ca="1">IF(AND(VaBenefits[[#This Row],[Is Activation]]=FALSE,VaBenefits[[#This Row],[Is Anniversary?]]=TRUE),OFFSET( VaBenefits[[#This Row],[Income Credit Base]],-1,0)*ICP,0)</f>
        <v>0</v>
      </c>
      <c r="T85" s="5">
        <f>IF(VaBenefits[[#This Row],[Assumed Contract Value ]]&gt;0,VaBenefits[[#This Row],[Income Base]]*MAWA,0)</f>
        <v>0</v>
      </c>
      <c r="U85" s="99">
        <f>IF(AND(VaBenefits[[#This Row],[Has Income Credit]],VaBenefits[[#This Row],[Is Anniversary?]],VaBenefits[[#This Row],[Joint Mortality tPxy for the partial year]]),VaBenefits[[#This Row],[Income Base]]*PIP,0)</f>
        <v>0</v>
      </c>
      <c r="V85" s="9">
        <f>1/(1+InterestRate)^VaBenefits[[#This Row],[timeFromValuation]]</f>
        <v>0.15283118687004879</v>
      </c>
      <c r="W85" s="94">
        <f>VaBenefits[[#This Row],[timeFromValuation]]</f>
        <v>38.5</v>
      </c>
      <c r="X85" s="95">
        <f>IF(($G$8+VaBenefits[[#This Row],[timeFromValuation]])&lt;=120,VLOOKUP(G85,Table2[],Qx!L$6,FALSE),0)</f>
        <v>0.869031</v>
      </c>
      <c r="Y85" s="95">
        <f>IF(($H$8+VaBenefits[[#This Row],[timeFromValuation]])&lt;=120,VLOOKUP(H85,Table2[],Qx!M$6,FALSE),0)</f>
        <v>0.64379300000000006</v>
      </c>
      <c r="Z85" s="94">
        <f>PRODUCT($X$8:$X85)</f>
        <v>8.7678876702574529E-2</v>
      </c>
      <c r="AA85" s="94">
        <f>PRODUCT($Y$8:$Y85)</f>
        <v>1.2971200377947834E-4</v>
      </c>
      <c r="AB85" s="95">
        <f>VaBenefits[[#This Row],[Primary Annuitant Px]]+VaBenefits[[#This Row],[Secondary Annuitant Py]]-VaBenefits[[#This Row],[Primary Annuitant Px]]*VaBenefits[[#This Row],[Secondary Annuitant Py]]</f>
        <v>0.95334792541700009</v>
      </c>
      <c r="AC85" s="95">
        <f>PRODUCT($AB$8:$AB85)</f>
        <v>0.59941416682535997</v>
      </c>
      <c r="AD85" s="101">
        <f t="shared" si="16"/>
        <v>0</v>
      </c>
    </row>
    <row r="86" spans="1:30" x14ac:dyDescent="0.3">
      <c r="A86" s="35">
        <f t="shared" si="21"/>
        <v>78</v>
      </c>
      <c r="B86" s="33">
        <f t="shared" si="22"/>
        <v>39</v>
      </c>
      <c r="C86" s="30" t="b">
        <f>AND(VaBenefits[[#This Row],[timeFromValuation]]&gt;=ACT,VaBenefits[[#This Row],[Assumed Contract Value ]]&gt;0)</f>
        <v>0</v>
      </c>
      <c r="D86" s="34">
        <f t="shared" si="19"/>
        <v>0</v>
      </c>
      <c r="E86" s="34">
        <f>IF(Use_Base_Case, AP86,IF(VaBenefits[[#This Row],[Is Anniversary?]],WithAmt,0))</f>
        <v>0</v>
      </c>
      <c r="F86" s="34">
        <f t="shared" si="20"/>
        <v>0</v>
      </c>
      <c r="G86" s="100">
        <f>ROUND($G$8+VaBenefits[[#This Row],[timeFromValuation]],0)</f>
        <v>94</v>
      </c>
      <c r="H86" s="21">
        <f>ROUND($H$8+VaBenefits[[#This Row],[timeFromValuation]],0)</f>
        <v>104</v>
      </c>
      <c r="I86" s="28" t="b">
        <f>VaBenefits[[#This Row],[Withdrawal Taken  ]]&gt;0</f>
        <v>0</v>
      </c>
      <c r="J86" s="45">
        <f>IF(AND(NOT(VaBenefits[[#This Row],[Is Activation]]),VaBenefits[[#This Row],[Assumed Contract Value ]]&gt;0),VaBenefits[[#This Row],[Withdrawal Taken  ]]/VaBenefits[[#This Row],[Assumed Contract Value ]],0)</f>
        <v>0</v>
      </c>
      <c r="K8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6" s="28" t="b">
        <f>AND(VaBenefits[[#This Row],[Is Activation]],SUMIFS($E$8:$E86,$C$8:$C86,TRUE)&gt;0)</f>
        <v>0</v>
      </c>
      <c r="M8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6" s="35" t="b">
        <f>IF(VaBenefits[[#This Row],[timeFromValuation]]=0,0, MOD(VaBenefits[[#This Row],[timeFromValuation]],1)=0)</f>
        <v>1</v>
      </c>
      <c r="O86" s="7">
        <f>IF(VaBenefits[[#This Row],[Is Anniversary?]]=TRUE,VaBenefits[[#This Row],[Assumed Contract Value ]],0)</f>
        <v>0</v>
      </c>
      <c r="P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6" s="7" t="b">
        <f>VaBenefits[[#This Row],[Assumed Contract Value ]]&lt;0.1</f>
        <v>1</v>
      </c>
      <c r="R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6" s="7">
        <f ca="1">IF(AND(VaBenefits[[#This Row],[Is Activation]]=FALSE,VaBenefits[[#This Row],[Is Anniversary?]]=TRUE),OFFSET( VaBenefits[[#This Row],[Income Credit Base]],-1,0)*ICP,0)</f>
        <v>0</v>
      </c>
      <c r="T86" s="5">
        <f>IF(VaBenefits[[#This Row],[Assumed Contract Value ]]&gt;0,VaBenefits[[#This Row],[Income Base]]*MAWA,0)</f>
        <v>0</v>
      </c>
      <c r="U86" s="99">
        <f ca="1">IF(AND(VaBenefits[[#This Row],[Has Income Credit]],VaBenefits[[#This Row],[Is Anniversary?]],VaBenefits[[#This Row],[Joint Mortality tPxy for the partial year]]),VaBenefits[[#This Row],[Income Base]]*PIP,0)</f>
        <v>12026.006800536559</v>
      </c>
      <c r="V86" s="9">
        <f>1/(1+InterestRate)^VaBenefits[[#This Row],[timeFromValuation]]</f>
        <v>0.14914796641529171</v>
      </c>
      <c r="W86" s="94">
        <f>VaBenefits[[#This Row],[timeFromValuation]]</f>
        <v>39</v>
      </c>
      <c r="X86" s="95">
        <f>IF(($G$8+VaBenefits[[#This Row],[timeFromValuation]])&lt;=120,VLOOKUP(G86,Table2[],Qx!L$6,FALSE),0)</f>
        <v>0.869031</v>
      </c>
      <c r="Y86" s="95">
        <f>IF(($H$8+VaBenefits[[#This Row],[timeFromValuation]])&lt;=120,VLOOKUP(H86,Table2[],Qx!M$6,FALSE),0)</f>
        <v>0.64379300000000006</v>
      </c>
      <c r="Z86" s="94">
        <f>PRODUCT($X$8:$X86)</f>
        <v>7.619566189971505E-2</v>
      </c>
      <c r="AA86" s="94">
        <f>PRODUCT($Y$8:$Y86)</f>
        <v>8.350768004920171E-5</v>
      </c>
      <c r="AB86" s="95">
        <f>VaBenefits[[#This Row],[Primary Annuitant Px]]+VaBenefits[[#This Row],[Secondary Annuitant Py]]-VaBenefits[[#This Row],[Primary Annuitant Px]]*VaBenefits[[#This Row],[Secondary Annuitant Py]]</f>
        <v>0.95334792541700009</v>
      </c>
      <c r="AC86" s="95">
        <f>PRODUCT($AB$8:$AB86)</f>
        <v>0.57145025240851655</v>
      </c>
      <c r="AD86" s="101">
        <f t="shared" ca="1" si="16"/>
        <v>5103.0874500203336</v>
      </c>
    </row>
    <row r="87" spans="1:30" x14ac:dyDescent="0.3">
      <c r="A87" s="35">
        <f t="shared" si="21"/>
        <v>79</v>
      </c>
      <c r="B87" s="33">
        <f t="shared" si="22"/>
        <v>39.5</v>
      </c>
      <c r="C87" s="30" t="b">
        <f>AND(VaBenefits[[#This Row],[timeFromValuation]]&gt;=ACT,VaBenefits[[#This Row],[Assumed Contract Value ]]&gt;0)</f>
        <v>0</v>
      </c>
      <c r="D87" s="34">
        <f t="shared" si="19"/>
        <v>0</v>
      </c>
      <c r="E87" s="34">
        <f>IF(Use_Base_Case, AP87,IF(VaBenefits[[#This Row],[Is Anniversary?]],WithAmt,0))</f>
        <v>0</v>
      </c>
      <c r="F87" s="34">
        <f t="shared" si="20"/>
        <v>0</v>
      </c>
      <c r="G87" s="100">
        <f>ROUND($G$8+VaBenefits[[#This Row],[timeFromValuation]],0)</f>
        <v>95</v>
      </c>
      <c r="H87" s="21">
        <f>ROUND($H$8+VaBenefits[[#This Row],[timeFromValuation]],0)</f>
        <v>105</v>
      </c>
      <c r="I87" s="28" t="b">
        <f>VaBenefits[[#This Row],[Withdrawal Taken  ]]&gt;0</f>
        <v>0</v>
      </c>
      <c r="J87" s="45">
        <f>IF(AND(NOT(VaBenefits[[#This Row],[Is Activation]]),VaBenefits[[#This Row],[Assumed Contract Value ]]&gt;0),VaBenefits[[#This Row],[Withdrawal Taken  ]]/VaBenefits[[#This Row],[Assumed Contract Value ]],0)</f>
        <v>0</v>
      </c>
      <c r="K8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7" s="28" t="b">
        <f>AND(VaBenefits[[#This Row],[Is Activation]],SUMIFS($E$8:$E87,$C$8:$C87,TRUE)&gt;0)</f>
        <v>0</v>
      </c>
      <c r="M8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7" s="35" t="b">
        <f>IF(VaBenefits[[#This Row],[timeFromValuation]]=0,0, MOD(VaBenefits[[#This Row],[timeFromValuation]],1)=0)</f>
        <v>0</v>
      </c>
      <c r="O87" s="7">
        <f>IF(VaBenefits[[#This Row],[Is Anniversary?]]=TRUE,VaBenefits[[#This Row],[Assumed Contract Value ]],0)</f>
        <v>0</v>
      </c>
      <c r="P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7" s="7" t="b">
        <f>VaBenefits[[#This Row],[Assumed Contract Value ]]&lt;0.1</f>
        <v>1</v>
      </c>
      <c r="R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7" s="7">
        <f ca="1">IF(AND(VaBenefits[[#This Row],[Is Activation]]=FALSE,VaBenefits[[#This Row],[Is Anniversary?]]=TRUE),OFFSET( VaBenefits[[#This Row],[Income Credit Base]],-1,0)*ICP,0)</f>
        <v>0</v>
      </c>
      <c r="T87" s="5">
        <f>IF(VaBenefits[[#This Row],[Assumed Contract Value ]]&gt;0,VaBenefits[[#This Row],[Income Base]]*MAWA,0)</f>
        <v>0</v>
      </c>
      <c r="U87" s="99">
        <f>IF(AND(VaBenefits[[#This Row],[Has Income Credit]],VaBenefits[[#This Row],[Is Anniversary?]],VaBenefits[[#This Row],[Joint Mortality tPxy for the partial year]]),VaBenefits[[#This Row],[Income Base]]*PIP,0)</f>
        <v>0</v>
      </c>
      <c r="V87" s="9">
        <f>1/(1+InterestRate)^VaBenefits[[#This Row],[timeFromValuation]]</f>
        <v>0.14555351130480837</v>
      </c>
      <c r="W87" s="94">
        <f>VaBenefits[[#This Row],[timeFromValuation]]</f>
        <v>39.5</v>
      </c>
      <c r="X87" s="95">
        <f>IF(($G$8+VaBenefits[[#This Row],[timeFromValuation]])&lt;=120,VLOOKUP(G87,Table2[],Qx!L$6,FALSE),0)</f>
        <v>0.85355099999999995</v>
      </c>
      <c r="Y87" s="95">
        <f>IF(($H$8+VaBenefits[[#This Row],[timeFromValuation]])&lt;=120,VLOOKUP(H87,Table2[],Qx!M$6,FALSE),0)</f>
        <v>0.62</v>
      </c>
      <c r="Z87" s="94">
        <f>PRODUCT($X$8:$X87)</f>
        <v>6.5036883410163671E-2</v>
      </c>
      <c r="AA87" s="94">
        <f>PRODUCT($Y$8:$Y87)</f>
        <v>5.1774761630505059E-5</v>
      </c>
      <c r="AB87" s="95">
        <f>VaBenefits[[#This Row],[Primary Annuitant Px]]+VaBenefits[[#This Row],[Secondary Annuitant Py]]-VaBenefits[[#This Row],[Primary Annuitant Px]]*VaBenefits[[#This Row],[Secondary Annuitant Py]]</f>
        <v>0.94434938000000013</v>
      </c>
      <c r="AC87" s="95">
        <f>PRODUCT($AB$8:$AB87)</f>
        <v>0.53964869156282613</v>
      </c>
      <c r="AD87" s="101">
        <f t="shared" si="16"/>
        <v>0</v>
      </c>
    </row>
    <row r="88" spans="1:30" x14ac:dyDescent="0.3">
      <c r="A88" s="35">
        <f t="shared" si="21"/>
        <v>80</v>
      </c>
      <c r="B88" s="33">
        <f t="shared" si="22"/>
        <v>40</v>
      </c>
      <c r="C88" s="30" t="b">
        <f>AND(VaBenefits[[#This Row],[timeFromValuation]]&gt;=ACT,VaBenefits[[#This Row],[Assumed Contract Value ]]&gt;0)</f>
        <v>0</v>
      </c>
      <c r="D88" s="34">
        <f t="shared" si="19"/>
        <v>0</v>
      </c>
      <c r="E88" s="34">
        <f>IF(Use_Base_Case, AP88,IF(VaBenefits[[#This Row],[Is Anniversary?]],WithAmt,0))</f>
        <v>0</v>
      </c>
      <c r="F88" s="34">
        <f t="shared" si="20"/>
        <v>0</v>
      </c>
      <c r="G88" s="100">
        <f>ROUND($G$8+VaBenefits[[#This Row],[timeFromValuation]],0)</f>
        <v>95</v>
      </c>
      <c r="H88" s="21">
        <f>ROUND($H$8+VaBenefits[[#This Row],[timeFromValuation]],0)</f>
        <v>105</v>
      </c>
      <c r="I88" s="28" t="b">
        <f>VaBenefits[[#This Row],[Withdrawal Taken  ]]&gt;0</f>
        <v>0</v>
      </c>
      <c r="J88" s="45">
        <f>IF(AND(NOT(VaBenefits[[#This Row],[Is Activation]]),VaBenefits[[#This Row],[Assumed Contract Value ]]&gt;0),VaBenefits[[#This Row],[Withdrawal Taken  ]]/VaBenefits[[#This Row],[Assumed Contract Value ]],0)</f>
        <v>0</v>
      </c>
      <c r="K8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8" s="28" t="b">
        <f>AND(VaBenefits[[#This Row],[Is Activation]],SUMIFS($E$8:$E88,$C$8:$C88,TRUE)&gt;0)</f>
        <v>0</v>
      </c>
      <c r="M8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8" s="35" t="b">
        <f>IF(VaBenefits[[#This Row],[timeFromValuation]]=0,0, MOD(VaBenefits[[#This Row],[timeFromValuation]],1)=0)</f>
        <v>1</v>
      </c>
      <c r="O88" s="7">
        <f>IF(VaBenefits[[#This Row],[Is Anniversary?]]=TRUE,VaBenefits[[#This Row],[Assumed Contract Value ]],0)</f>
        <v>0</v>
      </c>
      <c r="P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8" s="7" t="b">
        <f>VaBenefits[[#This Row],[Assumed Contract Value ]]&lt;0.1</f>
        <v>1</v>
      </c>
      <c r="R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8" s="7">
        <f ca="1">IF(AND(VaBenefits[[#This Row],[Is Activation]]=FALSE,VaBenefits[[#This Row],[Is Anniversary?]]=TRUE),OFFSET( VaBenefits[[#This Row],[Income Credit Base]],-1,0)*ICP,0)</f>
        <v>0</v>
      </c>
      <c r="T88" s="5">
        <f>IF(VaBenefits[[#This Row],[Assumed Contract Value ]]&gt;0,VaBenefits[[#This Row],[Income Base]]*MAWA,0)</f>
        <v>0</v>
      </c>
      <c r="U88" s="99">
        <f ca="1">IF(AND(VaBenefits[[#This Row],[Has Income Credit]],VaBenefits[[#This Row],[Is Anniversary?]],VaBenefits[[#This Row],[Joint Mortality tPxy for the partial year]]),VaBenefits[[#This Row],[Income Base]]*PIP,0)</f>
        <v>12026.006800536559</v>
      </c>
      <c r="V88" s="9">
        <f>1/(1+InterestRate)^VaBenefits[[#This Row],[timeFromValuation]]</f>
        <v>0.14204568230027784</v>
      </c>
      <c r="W88" s="94">
        <f>VaBenefits[[#This Row],[timeFromValuation]]</f>
        <v>40</v>
      </c>
      <c r="X88" s="95">
        <f>IF(($G$8+VaBenefits[[#This Row],[timeFromValuation]])&lt;=120,VLOOKUP(G88,Table2[],Qx!L$6,FALSE),0)</f>
        <v>0.85355099999999995</v>
      </c>
      <c r="Y88" s="95">
        <f>IF(($H$8+VaBenefits[[#This Row],[timeFromValuation]])&lt;=120,VLOOKUP(H88,Table2[],Qx!M$6,FALSE),0)</f>
        <v>0.62</v>
      </c>
      <c r="Z88" s="94">
        <f>PRODUCT($X$8:$X88)</f>
        <v>5.5512296871628605E-2</v>
      </c>
      <c r="AA88" s="94">
        <f>PRODUCT($Y$8:$Y88)</f>
        <v>3.2100352210913139E-5</v>
      </c>
      <c r="AB88" s="95">
        <f>VaBenefits[[#This Row],[Primary Annuitant Px]]+VaBenefits[[#This Row],[Secondary Annuitant Py]]-VaBenefits[[#This Row],[Primary Annuitant Px]]*VaBenefits[[#This Row],[Secondary Annuitant Py]]</f>
        <v>0.94434938000000013</v>
      </c>
      <c r="AC88" s="95">
        <f>PRODUCT($AB$8:$AB88)</f>
        <v>0.50961690729516618</v>
      </c>
      <c r="AD88" s="101">
        <f t="shared" ca="1" si="16"/>
        <v>4954.4503268464541</v>
      </c>
    </row>
    <row r="89" spans="1:30" x14ac:dyDescent="0.3">
      <c r="A89" s="35">
        <f t="shared" si="21"/>
        <v>81</v>
      </c>
      <c r="B89" s="33">
        <f t="shared" si="22"/>
        <v>40.5</v>
      </c>
      <c r="C89" s="30" t="b">
        <f>AND(VaBenefits[[#This Row],[timeFromValuation]]&gt;=ACT,VaBenefits[[#This Row],[Assumed Contract Value ]]&gt;0)</f>
        <v>0</v>
      </c>
      <c r="D89" s="34">
        <f t="shared" si="19"/>
        <v>0</v>
      </c>
      <c r="E89" s="34">
        <f>IF(Use_Base_Case, AP89,IF(VaBenefits[[#This Row],[Is Anniversary?]],WithAmt,0))</f>
        <v>0</v>
      </c>
      <c r="F89" s="34">
        <f t="shared" si="20"/>
        <v>0</v>
      </c>
      <c r="G89" s="100">
        <f>ROUND($G$8+VaBenefits[[#This Row],[timeFromValuation]],0)</f>
        <v>96</v>
      </c>
      <c r="H89" s="21">
        <f>ROUND($H$8+VaBenefits[[#This Row],[timeFromValuation]],0)</f>
        <v>106</v>
      </c>
      <c r="I89" s="28" t="b">
        <f>VaBenefits[[#This Row],[Withdrawal Taken  ]]&gt;0</f>
        <v>0</v>
      </c>
      <c r="J89" s="45">
        <f>IF(AND(NOT(VaBenefits[[#This Row],[Is Activation]]),VaBenefits[[#This Row],[Assumed Contract Value ]]&gt;0),VaBenefits[[#This Row],[Withdrawal Taken  ]]/VaBenefits[[#This Row],[Assumed Contract Value ]],0)</f>
        <v>0</v>
      </c>
      <c r="K8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89" s="28" t="b">
        <f>AND(VaBenefits[[#This Row],[Is Activation]],SUMIFS($E$8:$E89,$C$8:$C89,TRUE)&gt;0)</f>
        <v>0</v>
      </c>
      <c r="M8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89" s="35" t="b">
        <f>IF(VaBenefits[[#This Row],[timeFromValuation]]=0,0, MOD(VaBenefits[[#This Row],[timeFromValuation]],1)=0)</f>
        <v>0</v>
      </c>
      <c r="O89" s="7">
        <f>IF(VaBenefits[[#This Row],[Is Anniversary?]]=TRUE,VaBenefits[[#This Row],[Assumed Contract Value ]],0)</f>
        <v>0</v>
      </c>
      <c r="P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89" s="7" t="b">
        <f>VaBenefits[[#This Row],[Assumed Contract Value ]]&lt;0.1</f>
        <v>1</v>
      </c>
      <c r="R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89" s="7">
        <f ca="1">IF(AND(VaBenefits[[#This Row],[Is Activation]]=FALSE,VaBenefits[[#This Row],[Is Anniversary?]]=TRUE),OFFSET( VaBenefits[[#This Row],[Income Credit Base]],-1,0)*ICP,0)</f>
        <v>0</v>
      </c>
      <c r="T89" s="5">
        <f>IF(VaBenefits[[#This Row],[Assumed Contract Value ]]&gt;0,VaBenefits[[#This Row],[Income Base]]*MAWA,0)</f>
        <v>0</v>
      </c>
      <c r="U89" s="99">
        <f>IF(AND(VaBenefits[[#This Row],[Has Income Credit]],VaBenefits[[#This Row],[Is Anniversary?]],VaBenefits[[#This Row],[Joint Mortality tPxy for the partial year]]),VaBenefits[[#This Row],[Income Base]]*PIP,0)</f>
        <v>0</v>
      </c>
      <c r="V89" s="9">
        <f>1/(1+InterestRate)^VaBenefits[[#This Row],[timeFromValuation]]</f>
        <v>0.13862239171886509</v>
      </c>
      <c r="W89" s="94">
        <f>VaBenefits[[#This Row],[timeFromValuation]]</f>
        <v>40.5</v>
      </c>
      <c r="X89" s="95">
        <f>IF(($G$8+VaBenefits[[#This Row],[timeFromValuation]])&lt;=120,VLOOKUP(G89,Table2[],Qx!L$6,FALSE),0)</f>
        <v>0.83609200000000006</v>
      </c>
      <c r="Y89" s="95">
        <f>IF(($H$8+VaBenefits[[#This Row],[timeFromValuation]])&lt;=120,VLOOKUP(H89,Table2[],Qx!M$6,FALSE),0)</f>
        <v>0.6</v>
      </c>
      <c r="Z89" s="94">
        <f>PRODUCT($X$8:$X89)</f>
        <v>4.6413387315993704E-2</v>
      </c>
      <c r="AA89" s="94">
        <f>PRODUCT($Y$8:$Y89)</f>
        <v>1.9260211326547883E-5</v>
      </c>
      <c r="AB89" s="95">
        <f>VaBenefits[[#This Row],[Primary Annuitant Px]]+VaBenefits[[#This Row],[Secondary Annuitant Py]]-VaBenefits[[#This Row],[Primary Annuitant Px]]*VaBenefits[[#This Row],[Secondary Annuitant Py]]</f>
        <v>0.93443679999999996</v>
      </c>
      <c r="AC89" s="95">
        <f>PRODUCT($AB$8:$AB89)</f>
        <v>0.47620479207879174</v>
      </c>
      <c r="AD89" s="101">
        <f t="shared" si="16"/>
        <v>0</v>
      </c>
    </row>
    <row r="90" spans="1:30" x14ac:dyDescent="0.3">
      <c r="A90" s="35">
        <f t="shared" si="21"/>
        <v>82</v>
      </c>
      <c r="B90" s="33">
        <f t="shared" si="22"/>
        <v>41</v>
      </c>
      <c r="C90" s="30" t="b">
        <f>AND(VaBenefits[[#This Row],[timeFromValuation]]&gt;=ACT,VaBenefits[[#This Row],[Assumed Contract Value ]]&gt;0)</f>
        <v>0</v>
      </c>
      <c r="D90" s="34">
        <f t="shared" si="19"/>
        <v>0</v>
      </c>
      <c r="E90" s="34">
        <f>IF(Use_Base_Case, AP90,IF(VaBenefits[[#This Row],[Is Anniversary?]],WithAmt,0))</f>
        <v>0</v>
      </c>
      <c r="F90" s="34">
        <f t="shared" si="20"/>
        <v>0</v>
      </c>
      <c r="G90" s="100">
        <f>ROUND($G$8+VaBenefits[[#This Row],[timeFromValuation]],0)</f>
        <v>96</v>
      </c>
      <c r="H90" s="21">
        <f>ROUND($H$8+VaBenefits[[#This Row],[timeFromValuation]],0)</f>
        <v>106</v>
      </c>
      <c r="I90" s="28" t="b">
        <f>VaBenefits[[#This Row],[Withdrawal Taken  ]]&gt;0</f>
        <v>0</v>
      </c>
      <c r="J90" s="45">
        <f>IF(AND(NOT(VaBenefits[[#This Row],[Is Activation]]),VaBenefits[[#This Row],[Assumed Contract Value ]]&gt;0),VaBenefits[[#This Row],[Withdrawal Taken  ]]/VaBenefits[[#This Row],[Assumed Contract Value ]],0)</f>
        <v>0</v>
      </c>
      <c r="K9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0" s="28" t="b">
        <f>AND(VaBenefits[[#This Row],[Is Activation]],SUMIFS($E$8:$E90,$C$8:$C90,TRUE)&gt;0)</f>
        <v>0</v>
      </c>
      <c r="M9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0" s="35" t="b">
        <f>IF(VaBenefits[[#This Row],[timeFromValuation]]=0,0, MOD(VaBenefits[[#This Row],[timeFromValuation]],1)=0)</f>
        <v>1</v>
      </c>
      <c r="O90" s="7">
        <f>IF(VaBenefits[[#This Row],[Is Anniversary?]]=TRUE,VaBenefits[[#This Row],[Assumed Contract Value ]],0)</f>
        <v>0</v>
      </c>
      <c r="P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0" s="7" t="b">
        <f>VaBenefits[[#This Row],[Assumed Contract Value ]]&lt;0.1</f>
        <v>1</v>
      </c>
      <c r="R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0" s="7">
        <f ca="1">IF(AND(VaBenefits[[#This Row],[Is Activation]]=FALSE,VaBenefits[[#This Row],[Is Anniversary?]]=TRUE),OFFSET( VaBenefits[[#This Row],[Income Credit Base]],-1,0)*ICP,0)</f>
        <v>0</v>
      </c>
      <c r="T90" s="5">
        <f>IF(VaBenefits[[#This Row],[Assumed Contract Value ]]&gt;0,VaBenefits[[#This Row],[Income Base]]*MAWA,0)</f>
        <v>0</v>
      </c>
      <c r="U90" s="99">
        <f ca="1">IF(AND(VaBenefits[[#This Row],[Has Income Credit]],VaBenefits[[#This Row],[Is Anniversary?]],VaBenefits[[#This Row],[Joint Mortality tPxy for the partial year]]),VaBenefits[[#This Row],[Income Base]]*PIP,0)</f>
        <v>12026.006800536559</v>
      </c>
      <c r="V90" s="9">
        <f>1/(1+InterestRate)^VaBenefits[[#This Row],[timeFromValuation]]</f>
        <v>0.13528160219074079</v>
      </c>
      <c r="W90" s="94">
        <f>VaBenefits[[#This Row],[timeFromValuation]]</f>
        <v>41</v>
      </c>
      <c r="X90" s="95">
        <f>IF(($G$8+VaBenefits[[#This Row],[timeFromValuation]])&lt;=120,VLOOKUP(G90,Table2[],Qx!L$6,FALSE),0)</f>
        <v>0.83609200000000006</v>
      </c>
      <c r="Y90" s="95">
        <f>IF(($H$8+VaBenefits[[#This Row],[timeFromValuation]])&lt;=120,VLOOKUP(H90,Table2[],Qx!M$6,FALSE),0)</f>
        <v>0.6</v>
      </c>
      <c r="Z90" s="94">
        <f>PRODUCT($X$8:$X90)</f>
        <v>3.8805861827803809E-2</v>
      </c>
      <c r="AA90" s="94">
        <f>PRODUCT($Y$8:$Y90)</f>
        <v>1.1556126795928729E-5</v>
      </c>
      <c r="AB90" s="95">
        <f>VaBenefits[[#This Row],[Primary Annuitant Px]]+VaBenefits[[#This Row],[Secondary Annuitant Py]]-VaBenefits[[#This Row],[Primary Annuitant Px]]*VaBenefits[[#This Row],[Secondary Annuitant Py]]</f>
        <v>0.93443679999999996</v>
      </c>
      <c r="AC90" s="95">
        <f>PRODUCT($AB$8:$AB90)</f>
        <v>0.4449832820547715</v>
      </c>
      <c r="AD90" s="101">
        <f t="shared" ca="1" si="16"/>
        <v>4810.1425424506742</v>
      </c>
    </row>
    <row r="91" spans="1:30" x14ac:dyDescent="0.3">
      <c r="A91" s="35">
        <f t="shared" si="21"/>
        <v>83</v>
      </c>
      <c r="B91" s="33">
        <f t="shared" si="22"/>
        <v>41.5</v>
      </c>
      <c r="C91" s="30" t="b">
        <f>AND(VaBenefits[[#This Row],[timeFromValuation]]&gt;=ACT,VaBenefits[[#This Row],[Assumed Contract Value ]]&gt;0)</f>
        <v>0</v>
      </c>
      <c r="D91" s="34">
        <f t="shared" si="19"/>
        <v>0</v>
      </c>
      <c r="E91" s="34">
        <f>IF(Use_Base_Case, AP91,IF(VaBenefits[[#This Row],[Is Anniversary?]],WithAmt,0))</f>
        <v>0</v>
      </c>
      <c r="F91" s="34">
        <f t="shared" si="20"/>
        <v>0</v>
      </c>
      <c r="G91" s="100">
        <f>ROUND($G$8+VaBenefits[[#This Row],[timeFromValuation]],0)</f>
        <v>97</v>
      </c>
      <c r="H91" s="21">
        <f>ROUND($H$8+VaBenefits[[#This Row],[timeFromValuation]],0)</f>
        <v>107</v>
      </c>
      <c r="I91" s="28" t="b">
        <f>VaBenefits[[#This Row],[Withdrawal Taken  ]]&gt;0</f>
        <v>0</v>
      </c>
      <c r="J91" s="45">
        <f>IF(AND(NOT(VaBenefits[[#This Row],[Is Activation]]),VaBenefits[[#This Row],[Assumed Contract Value ]]&gt;0),VaBenefits[[#This Row],[Withdrawal Taken  ]]/VaBenefits[[#This Row],[Assumed Contract Value ]],0)</f>
        <v>0</v>
      </c>
      <c r="K9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1" s="28" t="b">
        <f>AND(VaBenefits[[#This Row],[Is Activation]],SUMIFS($E$8:$E91,$C$8:$C91,TRUE)&gt;0)</f>
        <v>0</v>
      </c>
      <c r="M9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1" s="35" t="b">
        <f>IF(VaBenefits[[#This Row],[timeFromValuation]]=0,0, MOD(VaBenefits[[#This Row],[timeFromValuation]],1)=0)</f>
        <v>0</v>
      </c>
      <c r="O91" s="7">
        <f>IF(VaBenefits[[#This Row],[Is Anniversary?]]=TRUE,VaBenefits[[#This Row],[Assumed Contract Value ]],0)</f>
        <v>0</v>
      </c>
      <c r="P9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1" s="7" t="b">
        <f>VaBenefits[[#This Row],[Assumed Contract Value ]]&lt;0.1</f>
        <v>1</v>
      </c>
      <c r="R9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1" s="7">
        <f ca="1">IF(AND(VaBenefits[[#This Row],[Is Activation]]=FALSE,VaBenefits[[#This Row],[Is Anniversary?]]=TRUE),OFFSET( VaBenefits[[#This Row],[Income Credit Base]],-1,0)*ICP,0)</f>
        <v>0</v>
      </c>
      <c r="T91" s="5">
        <f>IF(VaBenefits[[#This Row],[Assumed Contract Value ]]&gt;0,VaBenefits[[#This Row],[Income Base]]*MAWA,0)</f>
        <v>0</v>
      </c>
      <c r="U91" s="99">
        <f>IF(AND(VaBenefits[[#This Row],[Has Income Credit]],VaBenefits[[#This Row],[Is Anniversary?]],VaBenefits[[#This Row],[Joint Mortality tPxy for the partial year]]),VaBenefits[[#This Row],[Income Base]]*PIP,0)</f>
        <v>0</v>
      </c>
      <c r="V91" s="9">
        <f>1/(1+InterestRate)^VaBenefits[[#This Row],[timeFromValuation]]</f>
        <v>0.13202132544653816</v>
      </c>
      <c r="W91" s="94">
        <f>VaBenefits[[#This Row],[timeFromValuation]]</f>
        <v>41.5</v>
      </c>
      <c r="X91" s="95">
        <f>IF(($G$8+VaBenefits[[#This Row],[timeFromValuation]])&lt;=120,VLOOKUP(G91,Table2[],Qx!L$6,FALSE),0)</f>
        <v>0.82030500000000006</v>
      </c>
      <c r="Y91" s="95">
        <f>IF(($H$8+VaBenefits[[#This Row],[timeFromValuation]])&lt;=120,VLOOKUP(H91,Table2[],Qx!M$6,FALSE),0)</f>
        <v>0.6</v>
      </c>
      <c r="Z91" s="94">
        <f>PRODUCT($X$8:$X91)</f>
        <v>3.1832642486656605E-2</v>
      </c>
      <c r="AA91" s="94">
        <f>PRODUCT($Y$8:$Y91)</f>
        <v>6.9336760775572373E-6</v>
      </c>
      <c r="AB91" s="95">
        <f>VaBenefits[[#This Row],[Primary Annuitant Px]]+VaBenefits[[#This Row],[Secondary Annuitant Py]]-VaBenefits[[#This Row],[Primary Annuitant Px]]*VaBenefits[[#This Row],[Secondary Annuitant Py]]</f>
        <v>0.92812199999999989</v>
      </c>
      <c r="AC91" s="95">
        <f>PRODUCT($AB$8:$AB91)</f>
        <v>0.41299877370723859</v>
      </c>
      <c r="AD91" s="101">
        <f t="shared" si="16"/>
        <v>0</v>
      </c>
    </row>
    <row r="92" spans="1:30" x14ac:dyDescent="0.3">
      <c r="A92" s="35">
        <f t="shared" si="21"/>
        <v>84</v>
      </c>
      <c r="B92" s="33">
        <f t="shared" si="22"/>
        <v>42</v>
      </c>
      <c r="C92" s="30" t="b">
        <f>AND(VaBenefits[[#This Row],[timeFromValuation]]&gt;=ACT,VaBenefits[[#This Row],[Assumed Contract Value ]]&gt;0)</f>
        <v>0</v>
      </c>
      <c r="D92" s="34">
        <f t="shared" si="19"/>
        <v>0</v>
      </c>
      <c r="E92" s="34">
        <f>IF(Use_Base_Case, AP92,IF(VaBenefits[[#This Row],[Is Anniversary?]],WithAmt,0))</f>
        <v>0</v>
      </c>
      <c r="F92" s="34">
        <f t="shared" si="20"/>
        <v>0</v>
      </c>
      <c r="G92" s="100">
        <f>ROUND($G$8+VaBenefits[[#This Row],[timeFromValuation]],0)</f>
        <v>97</v>
      </c>
      <c r="H92" s="21">
        <f>ROUND($H$8+VaBenefits[[#This Row],[timeFromValuation]],0)</f>
        <v>107</v>
      </c>
      <c r="I92" s="28" t="b">
        <f>VaBenefits[[#This Row],[Withdrawal Taken  ]]&gt;0</f>
        <v>0</v>
      </c>
      <c r="J92" s="45">
        <f>IF(AND(NOT(VaBenefits[[#This Row],[Is Activation]]),VaBenefits[[#This Row],[Assumed Contract Value ]]&gt;0),VaBenefits[[#This Row],[Withdrawal Taken  ]]/VaBenefits[[#This Row],[Assumed Contract Value ]],0)</f>
        <v>0</v>
      </c>
      <c r="K9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2" s="28" t="b">
        <f>AND(VaBenefits[[#This Row],[Is Activation]],SUMIFS($E$8:$E92,$C$8:$C92,TRUE)&gt;0)</f>
        <v>0</v>
      </c>
      <c r="M9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2" s="35" t="b">
        <f>IF(VaBenefits[[#This Row],[timeFromValuation]]=0,0, MOD(VaBenefits[[#This Row],[timeFromValuation]],1)=0)</f>
        <v>1</v>
      </c>
      <c r="O92" s="7">
        <f>IF(VaBenefits[[#This Row],[Is Anniversary?]]=TRUE,VaBenefits[[#This Row],[Assumed Contract Value ]],0)</f>
        <v>0</v>
      </c>
      <c r="P9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2" s="7" t="b">
        <f>VaBenefits[[#This Row],[Assumed Contract Value ]]&lt;0.1</f>
        <v>1</v>
      </c>
      <c r="R9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2" s="7">
        <f ca="1">IF(AND(VaBenefits[[#This Row],[Is Activation]]=FALSE,VaBenefits[[#This Row],[Is Anniversary?]]=TRUE),OFFSET( VaBenefits[[#This Row],[Income Credit Base]],-1,0)*ICP,0)</f>
        <v>0</v>
      </c>
      <c r="T92" s="5">
        <f>IF(VaBenefits[[#This Row],[Assumed Contract Value ]]&gt;0,VaBenefits[[#This Row],[Income Base]]*MAWA,0)</f>
        <v>0</v>
      </c>
      <c r="U92" s="99">
        <f ca="1">IF(AND(VaBenefits[[#This Row],[Has Income Credit]],VaBenefits[[#This Row],[Is Anniversary?]],VaBenefits[[#This Row],[Joint Mortality tPxy for the partial year]]),VaBenefits[[#This Row],[Income Base]]*PIP,0)</f>
        <v>12026.006800536559</v>
      </c>
      <c r="V92" s="9">
        <f>1/(1+InterestRate)^VaBenefits[[#This Row],[timeFromValuation]]</f>
        <v>0.12883962113403885</v>
      </c>
      <c r="W92" s="94">
        <f>VaBenefits[[#This Row],[timeFromValuation]]</f>
        <v>42</v>
      </c>
      <c r="X92" s="95">
        <f>IF(($G$8+VaBenefits[[#This Row],[timeFromValuation]])&lt;=120,VLOOKUP(G92,Table2[],Qx!L$6,FALSE),0)</f>
        <v>0.82030500000000006</v>
      </c>
      <c r="Y92" s="95">
        <f>IF(($H$8+VaBenefits[[#This Row],[timeFromValuation]])&lt;=120,VLOOKUP(H92,Table2[],Qx!M$6,FALSE),0)</f>
        <v>0.6</v>
      </c>
      <c r="Z92" s="94">
        <f>PRODUCT($X$8:$X92)</f>
        <v>2.6112475795016847E-2</v>
      </c>
      <c r="AA92" s="94">
        <f>PRODUCT($Y$8:$Y92)</f>
        <v>4.1602056465343422E-6</v>
      </c>
      <c r="AB92" s="95">
        <f>VaBenefits[[#This Row],[Primary Annuitant Px]]+VaBenefits[[#This Row],[Secondary Annuitant Py]]-VaBenefits[[#This Row],[Primary Annuitant Px]]*VaBenefits[[#This Row],[Secondary Annuitant Py]]</f>
        <v>0.92812199999999989</v>
      </c>
      <c r="AC92" s="95">
        <f>PRODUCT($AB$8:$AB92)</f>
        <v>0.38331324785070964</v>
      </c>
      <c r="AD92" s="101">
        <f t="shared" ca="1" si="16"/>
        <v>4670.0379966108203</v>
      </c>
    </row>
    <row r="93" spans="1:30" x14ac:dyDescent="0.3">
      <c r="A93" s="35">
        <f t="shared" si="21"/>
        <v>85</v>
      </c>
      <c r="B93" s="33">
        <f t="shared" si="22"/>
        <v>42.5</v>
      </c>
      <c r="C93" s="30" t="b">
        <f>AND(VaBenefits[[#This Row],[timeFromValuation]]&gt;=ACT,VaBenefits[[#This Row],[Assumed Contract Value ]]&gt;0)</f>
        <v>0</v>
      </c>
      <c r="D93" s="34">
        <f t="shared" si="19"/>
        <v>0</v>
      </c>
      <c r="E93" s="34">
        <f>IF(Use_Base_Case, AP93,IF(VaBenefits[[#This Row],[Is Anniversary?]],WithAmt,0))</f>
        <v>0</v>
      </c>
      <c r="F93" s="34">
        <f t="shared" si="20"/>
        <v>0</v>
      </c>
      <c r="G93" s="100">
        <f>ROUND($G$8+VaBenefits[[#This Row],[timeFromValuation]],0)</f>
        <v>98</v>
      </c>
      <c r="H93" s="21">
        <f>ROUND($H$8+VaBenefits[[#This Row],[timeFromValuation]],0)</f>
        <v>108</v>
      </c>
      <c r="I93" s="28" t="b">
        <f>VaBenefits[[#This Row],[Withdrawal Taken  ]]&gt;0</f>
        <v>0</v>
      </c>
      <c r="J93" s="45">
        <f>IF(AND(NOT(VaBenefits[[#This Row],[Is Activation]]),VaBenefits[[#This Row],[Assumed Contract Value ]]&gt;0),VaBenefits[[#This Row],[Withdrawal Taken  ]]/VaBenefits[[#This Row],[Assumed Contract Value ]],0)</f>
        <v>0</v>
      </c>
      <c r="K9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3" s="28" t="b">
        <f>AND(VaBenefits[[#This Row],[Is Activation]],SUMIFS($E$8:$E93,$C$8:$C93,TRUE)&gt;0)</f>
        <v>0</v>
      </c>
      <c r="M9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3" s="35" t="b">
        <f>IF(VaBenefits[[#This Row],[timeFromValuation]]=0,0, MOD(VaBenefits[[#This Row],[timeFromValuation]],1)=0)</f>
        <v>0</v>
      </c>
      <c r="O93" s="7">
        <f>IF(VaBenefits[[#This Row],[Is Anniversary?]]=TRUE,VaBenefits[[#This Row],[Assumed Contract Value ]],0)</f>
        <v>0</v>
      </c>
      <c r="P9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3" s="7" t="b">
        <f>VaBenefits[[#This Row],[Assumed Contract Value ]]&lt;0.1</f>
        <v>1</v>
      </c>
      <c r="R9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3" s="7">
        <f ca="1">IF(AND(VaBenefits[[#This Row],[Is Activation]]=FALSE,VaBenefits[[#This Row],[Is Anniversary?]]=TRUE),OFFSET( VaBenefits[[#This Row],[Income Credit Base]],-1,0)*ICP,0)</f>
        <v>0</v>
      </c>
      <c r="T93" s="5">
        <f>IF(VaBenefits[[#This Row],[Assumed Contract Value ]]&gt;0,VaBenefits[[#This Row],[Income Base]]*MAWA,0)</f>
        <v>0</v>
      </c>
      <c r="U93" s="99">
        <f>IF(AND(VaBenefits[[#This Row],[Has Income Credit]],VaBenefits[[#This Row],[Is Anniversary?]],VaBenefits[[#This Row],[Joint Mortality tPxy for the partial year]]),VaBenefits[[#This Row],[Income Base]]*PIP,0)</f>
        <v>0</v>
      </c>
      <c r="V93" s="9">
        <f>1/(1+InterestRate)^VaBenefits[[#This Row],[timeFromValuation]]</f>
        <v>0.12573459566336972</v>
      </c>
      <c r="W93" s="94">
        <f>VaBenefits[[#This Row],[timeFromValuation]]</f>
        <v>42.5</v>
      </c>
      <c r="X93" s="95">
        <f>IF(($G$8+VaBenefits[[#This Row],[timeFromValuation]])&lt;=120,VLOOKUP(G93,Table2[],Qx!L$6,FALSE),0)</f>
        <v>0.80384900000000004</v>
      </c>
      <c r="Y93" s="95">
        <f>IF(($H$8+VaBenefits[[#This Row],[timeFromValuation]])&lt;=120,VLOOKUP(H93,Table2[],Qx!M$6,FALSE),0)</f>
        <v>0.6</v>
      </c>
      <c r="Z93" s="94">
        <f>PRODUCT($X$8:$X93)</f>
        <v>2.0990487555348498E-2</v>
      </c>
      <c r="AA93" s="94">
        <f>PRODUCT($Y$8:$Y93)</f>
        <v>2.4961233879206053E-6</v>
      </c>
      <c r="AB93" s="95">
        <f>VaBenefits[[#This Row],[Primary Annuitant Px]]+VaBenefits[[#This Row],[Secondary Annuitant Py]]-VaBenefits[[#This Row],[Primary Annuitant Px]]*VaBenefits[[#This Row],[Secondary Annuitant Py]]</f>
        <v>0.92153960000000013</v>
      </c>
      <c r="AC93" s="95">
        <f>PRODUCT($AB$8:$AB93)</f>
        <v>0.35323833709904384</v>
      </c>
      <c r="AD93" s="101">
        <f t="shared" si="16"/>
        <v>0</v>
      </c>
    </row>
    <row r="94" spans="1:30" x14ac:dyDescent="0.3">
      <c r="A94" s="35">
        <f t="shared" si="21"/>
        <v>86</v>
      </c>
      <c r="B94" s="33">
        <f t="shared" si="22"/>
        <v>43</v>
      </c>
      <c r="C94" s="30" t="b">
        <f>AND(VaBenefits[[#This Row],[timeFromValuation]]&gt;=ACT,VaBenefits[[#This Row],[Assumed Contract Value ]]&gt;0)</f>
        <v>0</v>
      </c>
      <c r="D94" s="34">
        <f t="shared" si="19"/>
        <v>0</v>
      </c>
      <c r="E94" s="34">
        <f>IF(Use_Base_Case, AP94,IF(VaBenefits[[#This Row],[Is Anniversary?]],WithAmt,0))</f>
        <v>0</v>
      </c>
      <c r="F94" s="34">
        <f t="shared" si="20"/>
        <v>0</v>
      </c>
      <c r="G94" s="100">
        <f>ROUND($G$8+VaBenefits[[#This Row],[timeFromValuation]],0)</f>
        <v>98</v>
      </c>
      <c r="H94" s="21">
        <f>ROUND($H$8+VaBenefits[[#This Row],[timeFromValuation]],0)</f>
        <v>108</v>
      </c>
      <c r="I94" s="28" t="b">
        <f>VaBenefits[[#This Row],[Withdrawal Taken  ]]&gt;0</f>
        <v>0</v>
      </c>
      <c r="J94" s="45">
        <f>IF(AND(NOT(VaBenefits[[#This Row],[Is Activation]]),VaBenefits[[#This Row],[Assumed Contract Value ]]&gt;0),VaBenefits[[#This Row],[Withdrawal Taken  ]]/VaBenefits[[#This Row],[Assumed Contract Value ]],0)</f>
        <v>0</v>
      </c>
      <c r="K9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4" s="28" t="b">
        <f>AND(VaBenefits[[#This Row],[Is Activation]],SUMIFS($E$8:$E94,$C$8:$C94,TRUE)&gt;0)</f>
        <v>0</v>
      </c>
      <c r="M9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4" s="35" t="b">
        <f>IF(VaBenefits[[#This Row],[timeFromValuation]]=0,0, MOD(VaBenefits[[#This Row],[timeFromValuation]],1)=0)</f>
        <v>1</v>
      </c>
      <c r="O94" s="7">
        <f>IF(VaBenefits[[#This Row],[Is Anniversary?]]=TRUE,VaBenefits[[#This Row],[Assumed Contract Value ]],0)</f>
        <v>0</v>
      </c>
      <c r="P9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4" s="7" t="b">
        <f>VaBenefits[[#This Row],[Assumed Contract Value ]]&lt;0.1</f>
        <v>1</v>
      </c>
      <c r="R9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4" s="7">
        <f ca="1">IF(AND(VaBenefits[[#This Row],[Is Activation]]=FALSE,VaBenefits[[#This Row],[Is Anniversary?]]=TRUE),OFFSET( VaBenefits[[#This Row],[Income Credit Base]],-1,0)*ICP,0)</f>
        <v>0</v>
      </c>
      <c r="T94" s="5">
        <f>IF(VaBenefits[[#This Row],[Assumed Contract Value ]]&gt;0,VaBenefits[[#This Row],[Income Base]]*MAWA,0)</f>
        <v>0</v>
      </c>
      <c r="U94" s="99">
        <f ca="1">IF(AND(VaBenefits[[#This Row],[Has Income Credit]],VaBenefits[[#This Row],[Is Anniversary?]],VaBenefits[[#This Row],[Joint Mortality tPxy for the partial year]]),VaBenefits[[#This Row],[Income Base]]*PIP,0)</f>
        <v>12026.006800536559</v>
      </c>
      <c r="V94" s="9">
        <f>1/(1+InterestRate)^VaBenefits[[#This Row],[timeFromValuation]]</f>
        <v>0.12270440108003698</v>
      </c>
      <c r="W94" s="94">
        <f>VaBenefits[[#This Row],[timeFromValuation]]</f>
        <v>43</v>
      </c>
      <c r="X94" s="95">
        <f>IF(($G$8+VaBenefits[[#This Row],[timeFromValuation]])&lt;=120,VLOOKUP(G94,Table2[],Qx!L$6,FALSE),0)</f>
        <v>0.80384900000000004</v>
      </c>
      <c r="Y94" s="95">
        <f>IF(($H$8+VaBenefits[[#This Row],[timeFromValuation]])&lt;=120,VLOOKUP(H94,Table2[],Qx!M$6,FALSE),0)</f>
        <v>0.6</v>
      </c>
      <c r="Z94" s="94">
        <f>PRODUCT($X$8:$X94)</f>
        <v>1.6873182430879336E-2</v>
      </c>
      <c r="AA94" s="94">
        <f>PRODUCT($Y$8:$Y94)</f>
        <v>1.4976740327523631E-6</v>
      </c>
      <c r="AB94" s="95">
        <f>VaBenefits[[#This Row],[Primary Annuitant Px]]+VaBenefits[[#This Row],[Secondary Annuitant Py]]-VaBenefits[[#This Row],[Primary Annuitant Px]]*VaBenefits[[#This Row],[Secondary Annuitant Py]]</f>
        <v>0.92153960000000013</v>
      </c>
      <c r="AC94" s="95">
        <f>PRODUCT($AB$8:$AB94)</f>
        <v>0.32552311587491806</v>
      </c>
      <c r="AD94" s="101">
        <f t="shared" ca="1" si="16"/>
        <v>4534.0142620134102</v>
      </c>
    </row>
    <row r="95" spans="1:30" x14ac:dyDescent="0.3">
      <c r="A95" s="35">
        <f t="shared" si="21"/>
        <v>87</v>
      </c>
      <c r="B95" s="33">
        <f t="shared" si="22"/>
        <v>43.5</v>
      </c>
      <c r="C95" s="30" t="b">
        <f>AND(VaBenefits[[#This Row],[timeFromValuation]]&gt;=ACT,VaBenefits[[#This Row],[Assumed Contract Value ]]&gt;0)</f>
        <v>0</v>
      </c>
      <c r="D95" s="34">
        <f t="shared" si="19"/>
        <v>0</v>
      </c>
      <c r="E95" s="34">
        <f>IF(Use_Base_Case, AP95,IF(VaBenefits[[#This Row],[Is Anniversary?]],WithAmt,0))</f>
        <v>0</v>
      </c>
      <c r="F95" s="34">
        <f t="shared" si="20"/>
        <v>0</v>
      </c>
      <c r="G95" s="100">
        <f>ROUND($G$8+VaBenefits[[#This Row],[timeFromValuation]],0)</f>
        <v>99</v>
      </c>
      <c r="H95" s="21">
        <f>ROUND($H$8+VaBenefits[[#This Row],[timeFromValuation]],0)</f>
        <v>109</v>
      </c>
      <c r="I95" s="28" t="b">
        <f>VaBenefits[[#This Row],[Withdrawal Taken  ]]&gt;0</f>
        <v>0</v>
      </c>
      <c r="J95" s="45">
        <f>IF(AND(NOT(VaBenefits[[#This Row],[Is Activation]]),VaBenefits[[#This Row],[Assumed Contract Value ]]&gt;0),VaBenefits[[#This Row],[Withdrawal Taken  ]]/VaBenefits[[#This Row],[Assumed Contract Value ]],0)</f>
        <v>0</v>
      </c>
      <c r="K9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5" s="28" t="b">
        <f>AND(VaBenefits[[#This Row],[Is Activation]],SUMIFS($E$8:$E95,$C$8:$C95,TRUE)&gt;0)</f>
        <v>0</v>
      </c>
      <c r="M9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5" s="35" t="b">
        <f>IF(VaBenefits[[#This Row],[timeFromValuation]]=0,0, MOD(VaBenefits[[#This Row],[timeFromValuation]],1)=0)</f>
        <v>0</v>
      </c>
      <c r="O95" s="7">
        <f>IF(VaBenefits[[#This Row],[Is Anniversary?]]=TRUE,VaBenefits[[#This Row],[Assumed Contract Value ]],0)</f>
        <v>0</v>
      </c>
      <c r="P9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5" s="7" t="b">
        <f>VaBenefits[[#This Row],[Assumed Contract Value ]]&lt;0.1</f>
        <v>1</v>
      </c>
      <c r="R9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5" s="7">
        <f ca="1">IF(AND(VaBenefits[[#This Row],[Is Activation]]=FALSE,VaBenefits[[#This Row],[Is Anniversary?]]=TRUE),OFFSET( VaBenefits[[#This Row],[Income Credit Base]],-1,0)*ICP,0)</f>
        <v>0</v>
      </c>
      <c r="T95" s="5">
        <f>IF(VaBenefits[[#This Row],[Assumed Contract Value ]]&gt;0,VaBenefits[[#This Row],[Income Base]]*MAWA,0)</f>
        <v>0</v>
      </c>
      <c r="U95" s="99">
        <f>IF(AND(VaBenefits[[#This Row],[Has Income Credit]],VaBenefits[[#This Row],[Is Anniversary?]],VaBenefits[[#This Row],[Joint Mortality tPxy for the partial year]]),VaBenefits[[#This Row],[Income Base]]*PIP,0)</f>
        <v>0</v>
      </c>
      <c r="V95" s="9">
        <f>1/(1+InterestRate)^VaBenefits[[#This Row],[timeFromValuation]]</f>
        <v>0.119747233965114</v>
      </c>
      <c r="W95" s="94">
        <f>VaBenefits[[#This Row],[timeFromValuation]]</f>
        <v>43.5</v>
      </c>
      <c r="X95" s="95">
        <f>IF(($G$8+VaBenefits[[#This Row],[timeFromValuation]])&lt;=120,VLOOKUP(G95,Table2[],Qx!L$6,FALSE),0)</f>
        <v>0.78685000000000005</v>
      </c>
      <c r="Y95" s="95">
        <f>IF(($H$8+VaBenefits[[#This Row],[timeFromValuation]])&lt;=120,VLOOKUP(H95,Table2[],Qx!M$6,FALSE),0)</f>
        <v>0.6</v>
      </c>
      <c r="Z95" s="94">
        <f>PRODUCT($X$8:$X95)</f>
        <v>1.3276663595737407E-2</v>
      </c>
      <c r="AA95" s="94">
        <f>PRODUCT($Y$8:$Y95)</f>
        <v>8.9860441965141789E-7</v>
      </c>
      <c r="AB95" s="95">
        <f>VaBenefits[[#This Row],[Primary Annuitant Px]]+VaBenefits[[#This Row],[Secondary Annuitant Py]]-VaBenefits[[#This Row],[Primary Annuitant Px]]*VaBenefits[[#This Row],[Secondary Annuitant Py]]</f>
        <v>0.91473999999999989</v>
      </c>
      <c r="AC95" s="95">
        <f>PRODUCT($AB$8:$AB95)</f>
        <v>0.29776901501542252</v>
      </c>
      <c r="AD95" s="101">
        <f t="shared" si="16"/>
        <v>0</v>
      </c>
    </row>
    <row r="96" spans="1:30" x14ac:dyDescent="0.3">
      <c r="A96" s="35">
        <f t="shared" si="21"/>
        <v>88</v>
      </c>
      <c r="B96" s="33">
        <f t="shared" si="22"/>
        <v>44</v>
      </c>
      <c r="C96" s="30" t="b">
        <f>AND(VaBenefits[[#This Row],[timeFromValuation]]&gt;=ACT,VaBenefits[[#This Row],[Assumed Contract Value ]]&gt;0)</f>
        <v>0</v>
      </c>
      <c r="D96" s="34">
        <f t="shared" si="19"/>
        <v>0</v>
      </c>
      <c r="E96" s="34">
        <f>IF(Use_Base_Case, AP96,IF(VaBenefits[[#This Row],[Is Anniversary?]],WithAmt,0))</f>
        <v>0</v>
      </c>
      <c r="F96" s="34">
        <f t="shared" si="20"/>
        <v>0</v>
      </c>
      <c r="G96" s="100">
        <f>ROUND($G$8+VaBenefits[[#This Row],[timeFromValuation]],0)</f>
        <v>99</v>
      </c>
      <c r="H96" s="21">
        <f>ROUND($H$8+VaBenefits[[#This Row],[timeFromValuation]],0)</f>
        <v>109</v>
      </c>
      <c r="I96" s="28" t="b">
        <f>VaBenefits[[#This Row],[Withdrawal Taken  ]]&gt;0</f>
        <v>0</v>
      </c>
      <c r="J96" s="45">
        <f>IF(AND(NOT(VaBenefits[[#This Row],[Is Activation]]),VaBenefits[[#This Row],[Assumed Contract Value ]]&gt;0),VaBenefits[[#This Row],[Withdrawal Taken  ]]/VaBenefits[[#This Row],[Assumed Contract Value ]],0)</f>
        <v>0</v>
      </c>
      <c r="K9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6" s="28" t="b">
        <f>AND(VaBenefits[[#This Row],[Is Activation]],SUMIFS($E$8:$E96,$C$8:$C96,TRUE)&gt;0)</f>
        <v>0</v>
      </c>
      <c r="M9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6" s="35" t="b">
        <f>IF(VaBenefits[[#This Row],[timeFromValuation]]=0,0, MOD(VaBenefits[[#This Row],[timeFromValuation]],1)=0)</f>
        <v>1</v>
      </c>
      <c r="O96" s="7">
        <f>IF(VaBenefits[[#This Row],[Is Anniversary?]]=TRUE,VaBenefits[[#This Row],[Assumed Contract Value ]],0)</f>
        <v>0</v>
      </c>
      <c r="P9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6" s="7" t="b">
        <f>VaBenefits[[#This Row],[Assumed Contract Value ]]&lt;0.1</f>
        <v>1</v>
      </c>
      <c r="R9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6" s="7">
        <f ca="1">IF(AND(VaBenefits[[#This Row],[Is Activation]]=FALSE,VaBenefits[[#This Row],[Is Anniversary?]]=TRUE),OFFSET( VaBenefits[[#This Row],[Income Credit Base]],-1,0)*ICP,0)</f>
        <v>0</v>
      </c>
      <c r="T96" s="5">
        <f>IF(VaBenefits[[#This Row],[Assumed Contract Value ]]&gt;0,VaBenefits[[#This Row],[Income Base]]*MAWA,0)</f>
        <v>0</v>
      </c>
      <c r="U96" s="99">
        <f ca="1">IF(AND(VaBenefits[[#This Row],[Has Income Credit]],VaBenefits[[#This Row],[Is Anniversary?]],VaBenefits[[#This Row],[Joint Mortality tPxy for the partial year]]),VaBenefits[[#This Row],[Income Base]]*PIP,0)</f>
        <v>12026.006800536559</v>
      </c>
      <c r="V96" s="9">
        <f>1/(1+InterestRate)^VaBenefits[[#This Row],[timeFromValuation]]</f>
        <v>0.11686133436193999</v>
      </c>
      <c r="W96" s="94">
        <f>VaBenefits[[#This Row],[timeFromValuation]]</f>
        <v>44</v>
      </c>
      <c r="X96" s="95">
        <f>IF(($G$8+VaBenefits[[#This Row],[timeFromValuation]])&lt;=120,VLOOKUP(G96,Table2[],Qx!L$6,FALSE),0)</f>
        <v>0.78685000000000005</v>
      </c>
      <c r="Y96" s="95">
        <f>IF(($H$8+VaBenefits[[#This Row],[timeFromValuation]])&lt;=120,VLOOKUP(H96,Table2[],Qx!M$6,FALSE),0)</f>
        <v>0.6</v>
      </c>
      <c r="Z96" s="94">
        <f>PRODUCT($X$8:$X96)</f>
        <v>1.0446742750305979E-2</v>
      </c>
      <c r="AA96" s="94">
        <f>PRODUCT($Y$8:$Y96)</f>
        <v>5.3916265179085073E-7</v>
      </c>
      <c r="AB96" s="95">
        <f>VaBenefits[[#This Row],[Primary Annuitant Px]]+VaBenefits[[#This Row],[Secondary Annuitant Py]]-VaBenefits[[#This Row],[Primary Annuitant Px]]*VaBenefits[[#This Row],[Secondary Annuitant Py]]</f>
        <v>0.91473999999999989</v>
      </c>
      <c r="AC96" s="95">
        <f>PRODUCT($AB$8:$AB96)</f>
        <v>0.27238122879520754</v>
      </c>
      <c r="AD96" s="101">
        <f t="shared" ca="1" si="16"/>
        <v>4401.9524772732075</v>
      </c>
    </row>
    <row r="97" spans="1:30" x14ac:dyDescent="0.3">
      <c r="A97" s="35">
        <f t="shared" si="21"/>
        <v>89</v>
      </c>
      <c r="B97" s="33">
        <f t="shared" si="22"/>
        <v>44.5</v>
      </c>
      <c r="C97" s="30" t="b">
        <f>AND(VaBenefits[[#This Row],[timeFromValuation]]&gt;=ACT,VaBenefits[[#This Row],[Assumed Contract Value ]]&gt;0)</f>
        <v>0</v>
      </c>
      <c r="D97" s="34">
        <f t="shared" si="19"/>
        <v>0</v>
      </c>
      <c r="E97" s="34">
        <f>IF(Use_Base_Case, AP97,IF(VaBenefits[[#This Row],[Is Anniversary?]],WithAmt,0))</f>
        <v>0</v>
      </c>
      <c r="F97" s="34">
        <f t="shared" si="20"/>
        <v>0</v>
      </c>
      <c r="G97" s="100">
        <f>ROUND($G$8+VaBenefits[[#This Row],[timeFromValuation]],0)</f>
        <v>100</v>
      </c>
      <c r="H97" s="21">
        <f>ROUND($H$8+VaBenefits[[#This Row],[timeFromValuation]],0)</f>
        <v>110</v>
      </c>
      <c r="I97" s="28" t="b">
        <f>VaBenefits[[#This Row],[Withdrawal Taken  ]]&gt;0</f>
        <v>0</v>
      </c>
      <c r="J97" s="45">
        <f>IF(AND(NOT(VaBenefits[[#This Row],[Is Activation]]),VaBenefits[[#This Row],[Assumed Contract Value ]]&gt;0),VaBenefits[[#This Row],[Withdrawal Taken  ]]/VaBenefits[[#This Row],[Assumed Contract Value ]],0)</f>
        <v>0</v>
      </c>
      <c r="K9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7" s="28" t="b">
        <f>AND(VaBenefits[[#This Row],[Is Activation]],SUMIFS($E$8:$E97,$C$8:$C97,TRUE)&gt;0)</f>
        <v>0</v>
      </c>
      <c r="M9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7" s="35" t="b">
        <f>IF(VaBenefits[[#This Row],[timeFromValuation]]=0,0, MOD(VaBenefits[[#This Row],[timeFromValuation]],1)=0)</f>
        <v>0</v>
      </c>
      <c r="O97" s="7">
        <f>IF(VaBenefits[[#This Row],[Is Anniversary?]]=TRUE,VaBenefits[[#This Row],[Assumed Contract Value ]],0)</f>
        <v>0</v>
      </c>
      <c r="P9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7" s="7" t="b">
        <f>VaBenefits[[#This Row],[Assumed Contract Value ]]&lt;0.1</f>
        <v>1</v>
      </c>
      <c r="R9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7" s="7">
        <f ca="1">IF(AND(VaBenefits[[#This Row],[Is Activation]]=FALSE,VaBenefits[[#This Row],[Is Anniversary?]]=TRUE),OFFSET( VaBenefits[[#This Row],[Income Credit Base]],-1,0)*ICP,0)</f>
        <v>0</v>
      </c>
      <c r="T97" s="5">
        <f>IF(VaBenefits[[#This Row],[Assumed Contract Value ]]&gt;0,VaBenefits[[#This Row],[Income Base]]*MAWA,0)</f>
        <v>0</v>
      </c>
      <c r="U97" s="99">
        <f>IF(AND(VaBenefits[[#This Row],[Has Income Credit]],VaBenefits[[#This Row],[Is Anniversary?]],VaBenefits[[#This Row],[Joint Mortality tPxy for the partial year]]),VaBenefits[[#This Row],[Income Base]]*PIP,0)</f>
        <v>0</v>
      </c>
      <c r="V97" s="9">
        <f>1/(1+InterestRate)^VaBenefits[[#This Row],[timeFromValuation]]</f>
        <v>0.11404498472867998</v>
      </c>
      <c r="W97" s="94">
        <f>VaBenefits[[#This Row],[timeFromValuation]]</f>
        <v>44.5</v>
      </c>
      <c r="X97" s="95">
        <f>IF(($G$8+VaBenefits[[#This Row],[timeFromValuation]])&lt;=120,VLOOKUP(G97,Table2[],Qx!L$6,FALSE),0)</f>
        <v>0.76927800000000002</v>
      </c>
      <c r="Y97" s="95">
        <f>IF(($H$8+VaBenefits[[#This Row],[timeFromValuation]])&lt;=120,VLOOKUP(H97,Table2[],Qx!M$6,FALSE),0)</f>
        <v>0.6</v>
      </c>
      <c r="Z97" s="94">
        <f>PRODUCT($X$8:$X97)</f>
        <v>8.0364493694698828E-3</v>
      </c>
      <c r="AA97" s="94">
        <f>PRODUCT($Y$8:$Y97)</f>
        <v>3.2349759107451042E-7</v>
      </c>
      <c r="AB97" s="95">
        <f>VaBenefits[[#This Row],[Primary Annuitant Px]]+VaBenefits[[#This Row],[Secondary Annuitant Py]]-VaBenefits[[#This Row],[Primary Annuitant Px]]*VaBenefits[[#This Row],[Secondary Annuitant Py]]</f>
        <v>0.90771120000000005</v>
      </c>
      <c r="AC97" s="95">
        <f>PRODUCT($AB$8:$AB97)</f>
        <v>0.24724349204717241</v>
      </c>
      <c r="AD97" s="101">
        <f t="shared" ref="AD97:AD118" si="23">PV(1.03,20,-AD95)</f>
        <v>0</v>
      </c>
    </row>
    <row r="98" spans="1:30" x14ac:dyDescent="0.3">
      <c r="A98" s="35">
        <f t="shared" si="21"/>
        <v>90</v>
      </c>
      <c r="B98" s="33">
        <f t="shared" si="22"/>
        <v>45</v>
      </c>
      <c r="C98" s="30" t="b">
        <f>AND(VaBenefits[[#This Row],[timeFromValuation]]&gt;=ACT,VaBenefits[[#This Row],[Assumed Contract Value ]]&gt;0)</f>
        <v>0</v>
      </c>
      <c r="D98" s="34">
        <f t="shared" si="19"/>
        <v>0</v>
      </c>
      <c r="E98" s="34">
        <f>IF(Use_Base_Case, AP98,IF(VaBenefits[[#This Row],[Is Anniversary?]],WithAmt,0))</f>
        <v>0</v>
      </c>
      <c r="F98" s="34">
        <f t="shared" si="20"/>
        <v>0</v>
      </c>
      <c r="G98" s="100">
        <f>ROUND($G$8+VaBenefits[[#This Row],[timeFromValuation]],0)</f>
        <v>100</v>
      </c>
      <c r="H98" s="21">
        <f>ROUND($H$8+VaBenefits[[#This Row],[timeFromValuation]],0)</f>
        <v>110</v>
      </c>
      <c r="I98" s="28" t="b">
        <f>VaBenefits[[#This Row],[Withdrawal Taken  ]]&gt;0</f>
        <v>0</v>
      </c>
      <c r="J98" s="45">
        <f>IF(AND(NOT(VaBenefits[[#This Row],[Is Activation]]),VaBenefits[[#This Row],[Assumed Contract Value ]]&gt;0),VaBenefits[[#This Row],[Withdrawal Taken  ]]/VaBenefits[[#This Row],[Assumed Contract Value ]],0)</f>
        <v>0</v>
      </c>
      <c r="K9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8" s="28" t="b">
        <f>AND(VaBenefits[[#This Row],[Is Activation]],SUMIFS($E$8:$E98,$C$8:$C98,TRUE)&gt;0)</f>
        <v>0</v>
      </c>
      <c r="M9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8" s="35" t="b">
        <f>IF(VaBenefits[[#This Row],[timeFromValuation]]=0,0, MOD(VaBenefits[[#This Row],[timeFromValuation]],1)=0)</f>
        <v>1</v>
      </c>
      <c r="O98" s="7">
        <f>IF(VaBenefits[[#This Row],[Is Anniversary?]]=TRUE,VaBenefits[[#This Row],[Assumed Contract Value ]],0)</f>
        <v>0</v>
      </c>
      <c r="P9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8" s="7" t="b">
        <f>VaBenefits[[#This Row],[Assumed Contract Value ]]&lt;0.1</f>
        <v>1</v>
      </c>
      <c r="R9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8" s="7">
        <f ca="1">IF(AND(VaBenefits[[#This Row],[Is Activation]]=FALSE,VaBenefits[[#This Row],[Is Anniversary?]]=TRUE),OFFSET( VaBenefits[[#This Row],[Income Credit Base]],-1,0)*ICP,0)</f>
        <v>0</v>
      </c>
      <c r="T98" s="5">
        <f>IF(VaBenefits[[#This Row],[Assumed Contract Value ]]&gt;0,VaBenefits[[#This Row],[Income Base]]*MAWA,0)</f>
        <v>0</v>
      </c>
      <c r="U98" s="99">
        <f ca="1">IF(AND(VaBenefits[[#This Row],[Has Income Credit]],VaBenefits[[#This Row],[Is Anniversary?]],VaBenefits[[#This Row],[Joint Mortality tPxy for the partial year]]),VaBenefits[[#This Row],[Income Base]]*PIP,0)</f>
        <v>12026.006800536559</v>
      </c>
      <c r="V98" s="9">
        <f>1/(1+InterestRate)^VaBenefits[[#This Row],[timeFromValuation]]</f>
        <v>0.1112965089161333</v>
      </c>
      <c r="W98" s="94">
        <f>VaBenefits[[#This Row],[timeFromValuation]]</f>
        <v>45</v>
      </c>
      <c r="X98" s="95">
        <f>IF(($G$8+VaBenefits[[#This Row],[timeFromValuation]])&lt;=120,VLOOKUP(G98,Table2[],Qx!L$6,FALSE),0)</f>
        <v>0.76927800000000002</v>
      </c>
      <c r="Y98" s="95">
        <f>IF(($H$8+VaBenefits[[#This Row],[timeFromValuation]])&lt;=120,VLOOKUP(H98,Table2[],Qx!M$6,FALSE),0)</f>
        <v>0.6</v>
      </c>
      <c r="Z98" s="94">
        <f>PRODUCT($X$8:$X98)</f>
        <v>6.1822636980470528E-3</v>
      </c>
      <c r="AA98" s="94">
        <f>PRODUCT($Y$8:$Y98)</f>
        <v>1.9409855464470626E-7</v>
      </c>
      <c r="AB98" s="95">
        <f>VaBenefits[[#This Row],[Primary Annuitant Px]]+VaBenefits[[#This Row],[Secondary Annuitant Py]]-VaBenefits[[#This Row],[Primary Annuitant Px]]*VaBenefits[[#This Row],[Secondary Annuitant Py]]</f>
        <v>0.90771120000000005</v>
      </c>
      <c r="AC98" s="95">
        <f>PRODUCT($AB$8:$AB98)</f>
        <v>0.22442568685832934</v>
      </c>
      <c r="AD98" s="101">
        <f t="shared" ca="1" si="23"/>
        <v>4273.7372430687819</v>
      </c>
    </row>
    <row r="99" spans="1:30" x14ac:dyDescent="0.3">
      <c r="A99" s="35">
        <f t="shared" si="21"/>
        <v>91</v>
      </c>
      <c r="B99" s="33">
        <f t="shared" si="22"/>
        <v>45.5</v>
      </c>
      <c r="C99" s="30" t="b">
        <f>AND(VaBenefits[[#This Row],[timeFromValuation]]&gt;=ACT,VaBenefits[[#This Row],[Assumed Contract Value ]]&gt;0)</f>
        <v>0</v>
      </c>
      <c r="D99" s="34">
        <f t="shared" si="19"/>
        <v>0</v>
      </c>
      <c r="E99" s="34">
        <f>IF(Use_Base_Case, AP99,IF(VaBenefits[[#This Row],[Is Anniversary?]],WithAmt,0))</f>
        <v>0</v>
      </c>
      <c r="F99" s="34">
        <f t="shared" si="20"/>
        <v>0</v>
      </c>
      <c r="G99" s="100">
        <f>ROUND($G$8+VaBenefits[[#This Row],[timeFromValuation]],0)</f>
        <v>101</v>
      </c>
      <c r="H99" s="21">
        <f>ROUND($H$8+VaBenefits[[#This Row],[timeFromValuation]],0)</f>
        <v>111</v>
      </c>
      <c r="I99" s="28" t="b">
        <f>VaBenefits[[#This Row],[Withdrawal Taken  ]]&gt;0</f>
        <v>0</v>
      </c>
      <c r="J99" s="45">
        <f>IF(AND(NOT(VaBenefits[[#This Row],[Is Activation]]),VaBenefits[[#This Row],[Assumed Contract Value ]]&gt;0),VaBenefits[[#This Row],[Withdrawal Taken  ]]/VaBenefits[[#This Row],[Assumed Contract Value ]],0)</f>
        <v>0</v>
      </c>
      <c r="K9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99" s="28" t="b">
        <f>AND(VaBenefits[[#This Row],[Is Activation]],SUMIFS($E$8:$E99,$C$8:$C99,TRUE)&gt;0)</f>
        <v>0</v>
      </c>
      <c r="M9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99" s="35" t="b">
        <f>IF(VaBenefits[[#This Row],[timeFromValuation]]=0,0, MOD(VaBenefits[[#This Row],[timeFromValuation]],1)=0)</f>
        <v>0</v>
      </c>
      <c r="O99" s="7">
        <f>IF(VaBenefits[[#This Row],[Is Anniversary?]]=TRUE,VaBenefits[[#This Row],[Assumed Contract Value ]],0)</f>
        <v>0</v>
      </c>
      <c r="P9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99" s="7" t="b">
        <f>VaBenefits[[#This Row],[Assumed Contract Value ]]&lt;0.1</f>
        <v>1</v>
      </c>
      <c r="R9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99" s="7">
        <f ca="1">IF(AND(VaBenefits[[#This Row],[Is Activation]]=FALSE,VaBenefits[[#This Row],[Is Anniversary?]]=TRUE),OFFSET( VaBenefits[[#This Row],[Income Credit Base]],-1,0)*ICP,0)</f>
        <v>0</v>
      </c>
      <c r="T99" s="5">
        <f>IF(VaBenefits[[#This Row],[Assumed Contract Value ]]&gt;0,VaBenefits[[#This Row],[Income Base]]*MAWA,0)</f>
        <v>0</v>
      </c>
      <c r="U99" s="99">
        <f>IF(AND(VaBenefits[[#This Row],[Has Income Credit]],VaBenefits[[#This Row],[Is Anniversary?]],VaBenefits[[#This Row],[Joint Mortality tPxy for the partial year]]),VaBenefits[[#This Row],[Income Base]]*PIP,0)</f>
        <v>0</v>
      </c>
      <c r="V99" s="9">
        <f>1/(1+InterestRate)^VaBenefits[[#This Row],[timeFromValuation]]</f>
        <v>0.1086142711701714</v>
      </c>
      <c r="W99" s="94">
        <f>VaBenefits[[#This Row],[timeFromValuation]]</f>
        <v>45.5</v>
      </c>
      <c r="X99" s="95">
        <f>IF(($G$8+VaBenefits[[#This Row],[timeFromValuation]])&lt;=120,VLOOKUP(G99,Table2[],Qx!L$6,FALSE),0)</f>
        <v>0.74849500000000002</v>
      </c>
      <c r="Y99" s="95">
        <f>IF(($H$8+VaBenefits[[#This Row],[timeFromValuation]])&lt;=120,VLOOKUP(H99,Table2[],Qx!M$6,FALSE),0)</f>
        <v>0.6</v>
      </c>
      <c r="Z99" s="94">
        <f>PRODUCT($X$8:$X99)</f>
        <v>4.6273934666697285E-3</v>
      </c>
      <c r="AA99" s="94">
        <f>PRODUCT($Y$8:$Y99)</f>
        <v>1.1645913278682375E-7</v>
      </c>
      <c r="AB99" s="95">
        <f>VaBenefits[[#This Row],[Primary Annuitant Px]]+VaBenefits[[#This Row],[Secondary Annuitant Py]]-VaBenefits[[#This Row],[Primary Annuitant Px]]*VaBenefits[[#This Row],[Secondary Annuitant Py]]</f>
        <v>0.89939799999999992</v>
      </c>
      <c r="AC99" s="95">
        <f>PRODUCT($AB$8:$AB99)</f>
        <v>0.20184801390900767</v>
      </c>
      <c r="AD99" s="101">
        <f t="shared" si="23"/>
        <v>0</v>
      </c>
    </row>
    <row r="100" spans="1:30" x14ac:dyDescent="0.3">
      <c r="A100" s="35">
        <f t="shared" si="21"/>
        <v>92</v>
      </c>
      <c r="B100" s="33">
        <f t="shared" si="22"/>
        <v>46</v>
      </c>
      <c r="C100" s="30" t="b">
        <f>AND(VaBenefits[[#This Row],[timeFromValuation]]&gt;=ACT,VaBenefits[[#This Row],[Assumed Contract Value ]]&gt;0)</f>
        <v>0</v>
      </c>
      <c r="D100" s="34">
        <f t="shared" si="19"/>
        <v>0</v>
      </c>
      <c r="E100" s="34">
        <f>IF(Use_Base_Case, AP100,IF(VaBenefits[[#This Row],[Is Anniversary?]],WithAmt,0))</f>
        <v>0</v>
      </c>
      <c r="F100" s="34">
        <f t="shared" si="20"/>
        <v>0</v>
      </c>
      <c r="G100" s="100">
        <f>ROUND($G$8+VaBenefits[[#This Row],[timeFromValuation]],0)</f>
        <v>101</v>
      </c>
      <c r="H100" s="21">
        <f>ROUND($H$8+VaBenefits[[#This Row],[timeFromValuation]],0)</f>
        <v>111</v>
      </c>
      <c r="I100" s="28" t="b">
        <f>VaBenefits[[#This Row],[Withdrawal Taken  ]]&gt;0</f>
        <v>0</v>
      </c>
      <c r="J100" s="45">
        <f>IF(AND(NOT(VaBenefits[[#This Row],[Is Activation]]),VaBenefits[[#This Row],[Assumed Contract Value ]]&gt;0),VaBenefits[[#This Row],[Withdrawal Taken  ]]/VaBenefits[[#This Row],[Assumed Contract Value ]],0)</f>
        <v>0</v>
      </c>
      <c r="K10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0" s="28" t="b">
        <f>AND(VaBenefits[[#This Row],[Is Activation]],SUMIFS($E$8:$E100,$C$8:$C100,TRUE)&gt;0)</f>
        <v>0</v>
      </c>
      <c r="M10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0" s="35" t="b">
        <f>IF(VaBenefits[[#This Row],[timeFromValuation]]=0,0, MOD(VaBenefits[[#This Row],[timeFromValuation]],1)=0)</f>
        <v>1</v>
      </c>
      <c r="O100" s="7">
        <f>IF(VaBenefits[[#This Row],[Is Anniversary?]]=TRUE,VaBenefits[[#This Row],[Assumed Contract Value ]],0)</f>
        <v>0</v>
      </c>
      <c r="P10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0" s="7" t="b">
        <f>VaBenefits[[#This Row],[Assumed Contract Value ]]&lt;0.1</f>
        <v>1</v>
      </c>
      <c r="R10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0" s="7">
        <f ca="1">IF(AND(VaBenefits[[#This Row],[Is Activation]]=FALSE,VaBenefits[[#This Row],[Is Anniversary?]]=TRUE),OFFSET( VaBenefits[[#This Row],[Income Credit Base]],-1,0)*ICP,0)</f>
        <v>0</v>
      </c>
      <c r="T100" s="5">
        <f>IF(VaBenefits[[#This Row],[Assumed Contract Value ]]&gt;0,VaBenefits[[#This Row],[Income Base]]*MAWA,0)</f>
        <v>0</v>
      </c>
      <c r="U100" s="99">
        <f ca="1">IF(AND(VaBenefits[[#This Row],[Has Income Credit]],VaBenefits[[#This Row],[Is Anniversary?]],VaBenefits[[#This Row],[Joint Mortality tPxy for the partial year]]),VaBenefits[[#This Row],[Income Base]]*PIP,0)</f>
        <v>12026.006800536559</v>
      </c>
      <c r="V100" s="9">
        <f>1/(1+InterestRate)^VaBenefits[[#This Row],[timeFromValuation]]</f>
        <v>0.10599667515822221</v>
      </c>
      <c r="W100" s="94">
        <f>VaBenefits[[#This Row],[timeFromValuation]]</f>
        <v>46</v>
      </c>
      <c r="X100" s="95">
        <f>IF(($G$8+VaBenefits[[#This Row],[timeFromValuation]])&lt;=120,VLOOKUP(G100,Table2[],Qx!L$6,FALSE),0)</f>
        <v>0.74849500000000002</v>
      </c>
      <c r="Y100" s="95">
        <f>IF(($H$8+VaBenefits[[#This Row],[timeFromValuation]])&lt;=120,VLOOKUP(H100,Table2[],Qx!M$6,FALSE),0)</f>
        <v>0.6</v>
      </c>
      <c r="Z100" s="94">
        <f>PRODUCT($X$8:$X100)</f>
        <v>3.4635808728349583E-3</v>
      </c>
      <c r="AA100" s="94">
        <f>PRODUCT($Y$8:$Y100)</f>
        <v>6.9875479672094252E-8</v>
      </c>
      <c r="AB100" s="95">
        <f>VaBenefits[[#This Row],[Primary Annuitant Px]]+VaBenefits[[#This Row],[Secondary Annuitant Py]]-VaBenefits[[#This Row],[Primary Annuitant Px]]*VaBenefits[[#This Row],[Secondary Annuitant Py]]</f>
        <v>0.89939799999999992</v>
      </c>
      <c r="AC100" s="95">
        <f>PRODUCT($AB$8:$AB100)</f>
        <v>0.18154170001373365</v>
      </c>
      <c r="AD100" s="101">
        <f t="shared" ca="1" si="23"/>
        <v>4149.2565213033186</v>
      </c>
    </row>
    <row r="101" spans="1:30" x14ac:dyDescent="0.3">
      <c r="A101" s="35">
        <f t="shared" si="21"/>
        <v>93</v>
      </c>
      <c r="B101" s="33">
        <f t="shared" si="22"/>
        <v>46.5</v>
      </c>
      <c r="C101" s="30" t="b">
        <f>AND(VaBenefits[[#This Row],[timeFromValuation]]&gt;=ACT,VaBenefits[[#This Row],[Assumed Contract Value ]]&gt;0)</f>
        <v>0</v>
      </c>
      <c r="D101" s="34">
        <f t="shared" si="19"/>
        <v>0</v>
      </c>
      <c r="E101" s="34">
        <f>IF(Use_Base_Case, AP101,IF(VaBenefits[[#This Row],[Is Anniversary?]],WithAmt,0))</f>
        <v>0</v>
      </c>
      <c r="F101" s="34">
        <f t="shared" si="20"/>
        <v>0</v>
      </c>
      <c r="G101" s="100">
        <f>ROUND($G$8+VaBenefits[[#This Row],[timeFromValuation]],0)</f>
        <v>102</v>
      </c>
      <c r="H101" s="21">
        <f>ROUND($H$8+VaBenefits[[#This Row],[timeFromValuation]],0)</f>
        <v>112</v>
      </c>
      <c r="I101" s="28" t="b">
        <f>VaBenefits[[#This Row],[Withdrawal Taken  ]]&gt;0</f>
        <v>0</v>
      </c>
      <c r="J101" s="45">
        <f>IF(AND(NOT(VaBenefits[[#This Row],[Is Activation]]),VaBenefits[[#This Row],[Assumed Contract Value ]]&gt;0),VaBenefits[[#This Row],[Withdrawal Taken  ]]/VaBenefits[[#This Row],[Assumed Contract Value ]],0)</f>
        <v>0</v>
      </c>
      <c r="K10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1" s="28" t="b">
        <f>AND(VaBenefits[[#This Row],[Is Activation]],SUMIFS($E$8:$E101,$C$8:$C101,TRUE)&gt;0)</f>
        <v>0</v>
      </c>
      <c r="M10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1" s="35" t="b">
        <f>IF(VaBenefits[[#This Row],[timeFromValuation]]=0,0, MOD(VaBenefits[[#This Row],[timeFromValuation]],1)=0)</f>
        <v>0</v>
      </c>
      <c r="O101" s="7">
        <f>IF(VaBenefits[[#This Row],[Is Anniversary?]]=TRUE,VaBenefits[[#This Row],[Assumed Contract Value ]],0)</f>
        <v>0</v>
      </c>
      <c r="P10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1" s="7" t="b">
        <f>VaBenefits[[#This Row],[Assumed Contract Value ]]&lt;0.1</f>
        <v>1</v>
      </c>
      <c r="R10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1" s="7">
        <f ca="1">IF(AND(VaBenefits[[#This Row],[Is Activation]]=FALSE,VaBenefits[[#This Row],[Is Anniversary?]]=TRUE),OFFSET( VaBenefits[[#This Row],[Income Credit Base]],-1,0)*ICP,0)</f>
        <v>0</v>
      </c>
      <c r="T101" s="5">
        <f>IF(VaBenefits[[#This Row],[Assumed Contract Value ]]&gt;0,VaBenefits[[#This Row],[Income Base]]*MAWA,0)</f>
        <v>0</v>
      </c>
      <c r="U101" s="99">
        <f>IF(AND(VaBenefits[[#This Row],[Has Income Credit]],VaBenefits[[#This Row],[Is Anniversary?]],VaBenefits[[#This Row],[Joint Mortality tPxy for the partial year]]),VaBenefits[[#This Row],[Income Base]]*PIP,0)</f>
        <v>0</v>
      </c>
      <c r="V101" s="9">
        <f>1/(1+InterestRate)^VaBenefits[[#This Row],[timeFromValuation]]</f>
        <v>0.10344216301921087</v>
      </c>
      <c r="W101" s="94">
        <f>VaBenefits[[#This Row],[timeFromValuation]]</f>
        <v>46.5</v>
      </c>
      <c r="X101" s="95">
        <f>IF(($G$8+VaBenefits[[#This Row],[timeFromValuation]])&lt;=120,VLOOKUP(G101,Table2[],Qx!L$6,FALSE),0)</f>
        <v>0.726993</v>
      </c>
      <c r="Y101" s="95">
        <f>IF(($H$8+VaBenefits[[#This Row],[timeFromValuation]])&lt;=120,VLOOKUP(H101,Table2[],Qx!M$6,FALSE),0)</f>
        <v>0.6</v>
      </c>
      <c r="Z101" s="94">
        <f>PRODUCT($X$8:$X101)</f>
        <v>2.5179990494849048E-3</v>
      </c>
      <c r="AA101" s="94">
        <f>PRODUCT($Y$8:$Y101)</f>
        <v>4.1925287803256553E-8</v>
      </c>
      <c r="AB101" s="95">
        <f>VaBenefits[[#This Row],[Primary Annuitant Px]]+VaBenefits[[#This Row],[Secondary Annuitant Py]]-VaBenefits[[#This Row],[Primary Annuitant Px]]*VaBenefits[[#This Row],[Secondary Annuitant Py]]</f>
        <v>0.89079719999999996</v>
      </c>
      <c r="AC101" s="95">
        <f>PRODUCT($AB$8:$AB101)</f>
        <v>0.1617168380554739</v>
      </c>
      <c r="AD101" s="101">
        <f t="shared" si="23"/>
        <v>0</v>
      </c>
    </row>
    <row r="102" spans="1:30" x14ac:dyDescent="0.3">
      <c r="A102" s="35">
        <f t="shared" si="21"/>
        <v>94</v>
      </c>
      <c r="B102" s="33">
        <f t="shared" si="22"/>
        <v>47</v>
      </c>
      <c r="C102" s="30" t="b">
        <f>AND(VaBenefits[[#This Row],[timeFromValuation]]&gt;=ACT,VaBenefits[[#This Row],[Assumed Contract Value ]]&gt;0)</f>
        <v>0</v>
      </c>
      <c r="D102" s="34">
        <f t="shared" si="19"/>
        <v>0</v>
      </c>
      <c r="E102" s="34">
        <f>IF(Use_Base_Case, AP102,IF(VaBenefits[[#This Row],[Is Anniversary?]],WithAmt,0))</f>
        <v>0</v>
      </c>
      <c r="F102" s="34">
        <f t="shared" si="20"/>
        <v>0</v>
      </c>
      <c r="G102" s="100">
        <f>ROUND($G$8+VaBenefits[[#This Row],[timeFromValuation]],0)</f>
        <v>102</v>
      </c>
      <c r="H102" s="21">
        <f>ROUND($H$8+VaBenefits[[#This Row],[timeFromValuation]],0)</f>
        <v>112</v>
      </c>
      <c r="I102" s="28" t="b">
        <f>VaBenefits[[#This Row],[Withdrawal Taken  ]]&gt;0</f>
        <v>0</v>
      </c>
      <c r="J102" s="45">
        <f>IF(AND(NOT(VaBenefits[[#This Row],[Is Activation]]),VaBenefits[[#This Row],[Assumed Contract Value ]]&gt;0),VaBenefits[[#This Row],[Withdrawal Taken  ]]/VaBenefits[[#This Row],[Assumed Contract Value ]],0)</f>
        <v>0</v>
      </c>
      <c r="K10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2" s="28" t="b">
        <f>AND(VaBenefits[[#This Row],[Is Activation]],SUMIFS($E$8:$E102,$C$8:$C102,TRUE)&gt;0)</f>
        <v>0</v>
      </c>
      <c r="M10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2" s="35" t="b">
        <f>IF(VaBenefits[[#This Row],[timeFromValuation]]=0,0, MOD(VaBenefits[[#This Row],[timeFromValuation]],1)=0)</f>
        <v>1</v>
      </c>
      <c r="O102" s="7">
        <f>IF(VaBenefits[[#This Row],[Is Anniversary?]]=TRUE,VaBenefits[[#This Row],[Assumed Contract Value ]],0)</f>
        <v>0</v>
      </c>
      <c r="P10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2" s="7" t="b">
        <f>VaBenefits[[#This Row],[Assumed Contract Value ]]&lt;0.1</f>
        <v>1</v>
      </c>
      <c r="R10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2" s="7">
        <f ca="1">IF(AND(VaBenefits[[#This Row],[Is Activation]]=FALSE,VaBenefits[[#This Row],[Is Anniversary?]]=TRUE),OFFSET( VaBenefits[[#This Row],[Income Credit Base]],-1,0)*ICP,0)</f>
        <v>0</v>
      </c>
      <c r="T102" s="5">
        <f>IF(VaBenefits[[#This Row],[Assumed Contract Value ]]&gt;0,VaBenefits[[#This Row],[Income Base]]*MAWA,0)</f>
        <v>0</v>
      </c>
      <c r="U102" s="99">
        <f ca="1">IF(AND(VaBenefits[[#This Row],[Has Income Credit]],VaBenefits[[#This Row],[Is Anniversary?]],VaBenefits[[#This Row],[Joint Mortality tPxy for the partial year]]),VaBenefits[[#This Row],[Income Base]]*PIP,0)</f>
        <v>12026.006800536559</v>
      </c>
      <c r="V102" s="9">
        <f>1/(1+InterestRate)^VaBenefits[[#This Row],[timeFromValuation]]</f>
        <v>0.10094921443640208</v>
      </c>
      <c r="W102" s="94">
        <f>VaBenefits[[#This Row],[timeFromValuation]]</f>
        <v>47</v>
      </c>
      <c r="X102" s="95">
        <f>IF(($G$8+VaBenefits[[#This Row],[timeFromValuation]])&lt;=120,VLOOKUP(G102,Table2[],Qx!L$6,FALSE),0)</f>
        <v>0.726993</v>
      </c>
      <c r="Y102" s="95">
        <f>IF(($H$8+VaBenefits[[#This Row],[timeFromValuation]])&lt;=120,VLOOKUP(H102,Table2[],Qx!M$6,FALSE),0)</f>
        <v>0.6</v>
      </c>
      <c r="Z102" s="94">
        <f>PRODUCT($X$8:$X102)</f>
        <v>1.8305676829821795E-3</v>
      </c>
      <c r="AA102" s="94">
        <f>PRODUCT($Y$8:$Y102)</f>
        <v>2.515517268195393E-8</v>
      </c>
      <c r="AB102" s="95">
        <f>VaBenefits[[#This Row],[Primary Annuitant Px]]+VaBenefits[[#This Row],[Secondary Annuitant Py]]-VaBenefits[[#This Row],[Primary Annuitant Px]]*VaBenefits[[#This Row],[Secondary Annuitant Py]]</f>
        <v>0.89079719999999996</v>
      </c>
      <c r="AC102" s="95">
        <f>PRODUCT($AB$8:$AB102)</f>
        <v>0.14405690653266959</v>
      </c>
      <c r="AD102" s="101">
        <f t="shared" ca="1" si="23"/>
        <v>4028.401537202561</v>
      </c>
    </row>
    <row r="103" spans="1:30" x14ac:dyDescent="0.3">
      <c r="A103" s="35">
        <f t="shared" si="21"/>
        <v>95</v>
      </c>
      <c r="B103" s="33">
        <f t="shared" si="22"/>
        <v>47.5</v>
      </c>
      <c r="C103" s="30" t="b">
        <f>AND(VaBenefits[[#This Row],[timeFromValuation]]&gt;=ACT,VaBenefits[[#This Row],[Assumed Contract Value ]]&gt;0)</f>
        <v>0</v>
      </c>
      <c r="D103" s="34">
        <f t="shared" si="19"/>
        <v>0</v>
      </c>
      <c r="E103" s="34">
        <f>IF(Use_Base_Case, AP103,IF(VaBenefits[[#This Row],[Is Anniversary?]],WithAmt,0))</f>
        <v>0</v>
      </c>
      <c r="F103" s="34">
        <f t="shared" si="20"/>
        <v>0</v>
      </c>
      <c r="G103" s="100">
        <f>ROUND($G$8+VaBenefits[[#This Row],[timeFromValuation]],0)</f>
        <v>103</v>
      </c>
      <c r="H103" s="21">
        <f>ROUND($H$8+VaBenefits[[#This Row],[timeFromValuation]],0)</f>
        <v>113</v>
      </c>
      <c r="I103" s="28" t="b">
        <f>VaBenefits[[#This Row],[Withdrawal Taken  ]]&gt;0</f>
        <v>0</v>
      </c>
      <c r="J103" s="45">
        <f>IF(AND(NOT(VaBenefits[[#This Row],[Is Activation]]),VaBenefits[[#This Row],[Assumed Contract Value ]]&gt;0),VaBenefits[[#This Row],[Withdrawal Taken  ]]/VaBenefits[[#This Row],[Assumed Contract Value ]],0)</f>
        <v>0</v>
      </c>
      <c r="K10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3" s="28" t="b">
        <f>AND(VaBenefits[[#This Row],[Is Activation]],SUMIFS($E$8:$E103,$C$8:$C103,TRUE)&gt;0)</f>
        <v>0</v>
      </c>
      <c r="M10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3" s="35" t="b">
        <f>IF(VaBenefits[[#This Row],[timeFromValuation]]=0,0, MOD(VaBenefits[[#This Row],[timeFromValuation]],1)=0)</f>
        <v>0</v>
      </c>
      <c r="O103" s="7">
        <f>IF(VaBenefits[[#This Row],[Is Anniversary?]]=TRUE,VaBenefits[[#This Row],[Assumed Contract Value ]],0)</f>
        <v>0</v>
      </c>
      <c r="P10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3" s="7" t="b">
        <f>VaBenefits[[#This Row],[Assumed Contract Value ]]&lt;0.1</f>
        <v>1</v>
      </c>
      <c r="R10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3" s="7">
        <f ca="1">IF(AND(VaBenefits[[#This Row],[Is Activation]]=FALSE,VaBenefits[[#This Row],[Is Anniversary?]]=TRUE),OFFSET( VaBenefits[[#This Row],[Income Credit Base]],-1,0)*ICP,0)</f>
        <v>0</v>
      </c>
      <c r="T103" s="5">
        <f>IF(VaBenefits[[#This Row],[Assumed Contract Value ]]&gt;0,VaBenefits[[#This Row],[Income Base]]*MAWA,0)</f>
        <v>0</v>
      </c>
      <c r="U103" s="99">
        <f>IF(AND(VaBenefits[[#This Row],[Has Income Credit]],VaBenefits[[#This Row],[Is Anniversary?]],VaBenefits[[#This Row],[Joint Mortality tPxy for the partial year]]),VaBenefits[[#This Row],[Income Base]]*PIP,0)</f>
        <v>0</v>
      </c>
      <c r="V103" s="9">
        <f>1/(1+InterestRate)^VaBenefits[[#This Row],[timeFromValuation]]</f>
        <v>9.8516345732581778E-2</v>
      </c>
      <c r="W103" s="94">
        <f>VaBenefits[[#This Row],[timeFromValuation]]</f>
        <v>47.5</v>
      </c>
      <c r="X103" s="95">
        <f>IF(($G$8+VaBenefits[[#This Row],[timeFromValuation]])&lt;=120,VLOOKUP(G103,Table2[],Qx!L$6,FALSE),0)</f>
        <v>0.70491400000000004</v>
      </c>
      <c r="Y103" s="95">
        <f>IF(($H$8+VaBenefits[[#This Row],[timeFromValuation]])&lt;=120,VLOOKUP(H103,Table2[],Qx!M$6,FALSE),0)</f>
        <v>0.6</v>
      </c>
      <c r="Z103" s="94">
        <f>PRODUCT($X$8:$X103)</f>
        <v>1.2903927876817E-3</v>
      </c>
      <c r="AA103" s="94">
        <f>PRODUCT($Y$8:$Y103)</f>
        <v>1.5093103609172356E-8</v>
      </c>
      <c r="AB103" s="95">
        <f>VaBenefits[[#This Row],[Primary Annuitant Px]]+VaBenefits[[#This Row],[Secondary Annuitant Py]]-VaBenefits[[#This Row],[Primary Annuitant Px]]*VaBenefits[[#This Row],[Secondary Annuitant Py]]</f>
        <v>0.88196560000000013</v>
      </c>
      <c r="AC103" s="95">
        <f>PRODUCT($AB$8:$AB103)</f>
        <v>0.12705323600422988</v>
      </c>
      <c r="AD103" s="101">
        <f t="shared" si="23"/>
        <v>0</v>
      </c>
    </row>
    <row r="104" spans="1:30" x14ac:dyDescent="0.3">
      <c r="A104" s="35">
        <f t="shared" si="21"/>
        <v>96</v>
      </c>
      <c r="B104" s="33">
        <f t="shared" si="22"/>
        <v>48</v>
      </c>
      <c r="C104" s="30" t="b">
        <f>AND(VaBenefits[[#This Row],[timeFromValuation]]&gt;=ACT,VaBenefits[[#This Row],[Assumed Contract Value ]]&gt;0)</f>
        <v>0</v>
      </c>
      <c r="D104" s="34">
        <f t="shared" ref="D104:D135" si="24">IF(Is_Issued, 0,AO104)</f>
        <v>0</v>
      </c>
      <c r="E104" s="34">
        <f>IF(Use_Base_Case, AP104,IF(VaBenefits[[#This Row],[Is Anniversary?]],WithAmt,0))</f>
        <v>0</v>
      </c>
      <c r="F104" s="34">
        <f t="shared" si="20"/>
        <v>0</v>
      </c>
      <c r="G104" s="100">
        <f>ROUND($G$8+VaBenefits[[#This Row],[timeFromValuation]],0)</f>
        <v>103</v>
      </c>
      <c r="H104" s="21">
        <f>ROUND($H$8+VaBenefits[[#This Row],[timeFromValuation]],0)</f>
        <v>113</v>
      </c>
      <c r="I104" s="28" t="b">
        <f>VaBenefits[[#This Row],[Withdrawal Taken  ]]&gt;0</f>
        <v>0</v>
      </c>
      <c r="J104" s="45">
        <f>IF(AND(NOT(VaBenefits[[#This Row],[Is Activation]]),VaBenefits[[#This Row],[Assumed Contract Value ]]&gt;0),VaBenefits[[#This Row],[Withdrawal Taken  ]]/VaBenefits[[#This Row],[Assumed Contract Value ]],0)</f>
        <v>0</v>
      </c>
      <c r="K10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4" s="28" t="b">
        <f>AND(VaBenefits[[#This Row],[Is Activation]],SUMIFS($E$8:$E104,$C$8:$C104,TRUE)&gt;0)</f>
        <v>0</v>
      </c>
      <c r="M10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4" s="35" t="b">
        <f>IF(VaBenefits[[#This Row],[timeFromValuation]]=0,0, MOD(VaBenefits[[#This Row],[timeFromValuation]],1)=0)</f>
        <v>1</v>
      </c>
      <c r="O104" s="7">
        <f>IF(VaBenefits[[#This Row],[Is Anniversary?]]=TRUE,VaBenefits[[#This Row],[Assumed Contract Value ]],0)</f>
        <v>0</v>
      </c>
      <c r="P10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4" s="7" t="b">
        <f>VaBenefits[[#This Row],[Assumed Contract Value ]]&lt;0.1</f>
        <v>1</v>
      </c>
      <c r="R10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4" s="7">
        <f ca="1">IF(AND(VaBenefits[[#This Row],[Is Activation]]=FALSE,VaBenefits[[#This Row],[Is Anniversary?]]=TRUE),OFFSET( VaBenefits[[#This Row],[Income Credit Base]],-1,0)*ICP,0)</f>
        <v>0</v>
      </c>
      <c r="T104" s="5">
        <f>IF(VaBenefits[[#This Row],[Assumed Contract Value ]]&gt;0,VaBenefits[[#This Row],[Income Base]]*MAWA,0)</f>
        <v>0</v>
      </c>
      <c r="U104" s="99">
        <f ca="1">IF(AND(VaBenefits[[#This Row],[Has Income Credit]],VaBenefits[[#This Row],[Is Anniversary?]],VaBenefits[[#This Row],[Joint Mortality tPxy for the partial year]]),VaBenefits[[#This Row],[Income Base]]*PIP,0)</f>
        <v>12026.006800536559</v>
      </c>
      <c r="V104" s="9">
        <f>1/(1+InterestRate)^VaBenefits[[#This Row],[timeFromValuation]]</f>
        <v>9.6142108987049613E-2</v>
      </c>
      <c r="W104" s="94">
        <f>VaBenefits[[#This Row],[timeFromValuation]]</f>
        <v>48</v>
      </c>
      <c r="X104" s="95">
        <f>IF(($G$8+VaBenefits[[#This Row],[timeFromValuation]])&lt;=120,VLOOKUP(G104,Table2[],Qx!L$6,FALSE),0)</f>
        <v>0.70491400000000004</v>
      </c>
      <c r="Y104" s="95">
        <f>IF(($H$8+VaBenefits[[#This Row],[timeFromValuation]])&lt;=120,VLOOKUP(H104,Table2[],Qx!M$6,FALSE),0)</f>
        <v>0.6</v>
      </c>
      <c r="Z104" s="94">
        <f>PRODUCT($X$8:$X104)</f>
        <v>9.0961594153585797E-4</v>
      </c>
      <c r="AA104" s="94">
        <f>PRODUCT($Y$8:$Y104)</f>
        <v>9.0558621655034128E-9</v>
      </c>
      <c r="AB104" s="95">
        <f>VaBenefits[[#This Row],[Primary Annuitant Px]]+VaBenefits[[#This Row],[Secondary Annuitant Py]]-VaBenefits[[#This Row],[Primary Annuitant Px]]*VaBenefits[[#This Row],[Secondary Annuitant Py]]</f>
        <v>0.88196560000000013</v>
      </c>
      <c r="AC104" s="95">
        <f>PRODUCT($AB$8:$AB104)</f>
        <v>0.11205658352441222</v>
      </c>
      <c r="AD104" s="101">
        <f t="shared" ca="1" si="23"/>
        <v>3911.0666842643391</v>
      </c>
    </row>
    <row r="105" spans="1:30" x14ac:dyDescent="0.3">
      <c r="A105" s="35">
        <f t="shared" si="21"/>
        <v>97</v>
      </c>
      <c r="B105" s="33">
        <f t="shared" si="22"/>
        <v>48.5</v>
      </c>
      <c r="C105" s="30" t="b">
        <f>AND(VaBenefits[[#This Row],[timeFromValuation]]&gt;=ACT,VaBenefits[[#This Row],[Assumed Contract Value ]]&gt;0)</f>
        <v>0</v>
      </c>
      <c r="D105" s="34">
        <f t="shared" si="24"/>
        <v>0</v>
      </c>
      <c r="E105" s="34">
        <f>IF(Use_Base_Case, AP105,IF(VaBenefits[[#This Row],[Is Anniversary?]],WithAmt,0))</f>
        <v>0</v>
      </c>
      <c r="F105" s="34">
        <f t="shared" ref="F105:F136" si="25">AQ105</f>
        <v>0</v>
      </c>
      <c r="G105" s="100">
        <f>ROUND($G$8+VaBenefits[[#This Row],[timeFromValuation]],0)</f>
        <v>104</v>
      </c>
      <c r="H105" s="21">
        <f>ROUND($H$8+VaBenefits[[#This Row],[timeFromValuation]],0)</f>
        <v>114</v>
      </c>
      <c r="I105" s="28" t="b">
        <f>VaBenefits[[#This Row],[Withdrawal Taken  ]]&gt;0</f>
        <v>0</v>
      </c>
      <c r="J105" s="45">
        <f>IF(AND(NOT(VaBenefits[[#This Row],[Is Activation]]),VaBenefits[[#This Row],[Assumed Contract Value ]]&gt;0),VaBenefits[[#This Row],[Withdrawal Taken  ]]/VaBenefits[[#This Row],[Assumed Contract Value ]],0)</f>
        <v>0</v>
      </c>
      <c r="K10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5" s="28" t="b">
        <f>AND(VaBenefits[[#This Row],[Is Activation]],SUMIFS($E$8:$E105,$C$8:$C105,TRUE)&gt;0)</f>
        <v>0</v>
      </c>
      <c r="M10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5" s="35" t="b">
        <f>IF(VaBenefits[[#This Row],[timeFromValuation]]=0,0, MOD(VaBenefits[[#This Row],[timeFromValuation]],1)=0)</f>
        <v>0</v>
      </c>
      <c r="O105" s="7">
        <f>IF(VaBenefits[[#This Row],[Is Anniversary?]]=TRUE,VaBenefits[[#This Row],[Assumed Contract Value ]],0)</f>
        <v>0</v>
      </c>
      <c r="P10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5" s="7" t="b">
        <f>VaBenefits[[#This Row],[Assumed Contract Value ]]&lt;0.1</f>
        <v>1</v>
      </c>
      <c r="R10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5" s="7">
        <f ca="1">IF(AND(VaBenefits[[#This Row],[Is Activation]]=FALSE,VaBenefits[[#This Row],[Is Anniversary?]]=TRUE),OFFSET( VaBenefits[[#This Row],[Income Credit Base]],-1,0)*ICP,0)</f>
        <v>0</v>
      </c>
      <c r="T105" s="5">
        <f>IF(VaBenefits[[#This Row],[Assumed Contract Value ]]&gt;0,VaBenefits[[#This Row],[Income Base]]*MAWA,0)</f>
        <v>0</v>
      </c>
      <c r="U105" s="99">
        <f>IF(AND(VaBenefits[[#This Row],[Has Income Credit]],VaBenefits[[#This Row],[Is Anniversary?]],VaBenefits[[#This Row],[Joint Mortality tPxy for the partial year]]),VaBenefits[[#This Row],[Income Base]]*PIP,0)</f>
        <v>0</v>
      </c>
      <c r="V105" s="9">
        <f>1/(1+InterestRate)^VaBenefits[[#This Row],[timeFromValuation]]</f>
        <v>9.382509117388739E-2</v>
      </c>
      <c r="W105" s="94">
        <f>VaBenefits[[#This Row],[timeFromValuation]]</f>
        <v>48.5</v>
      </c>
      <c r="X105" s="95">
        <f>IF(($G$8+VaBenefits[[#This Row],[timeFromValuation]])&lt;=120,VLOOKUP(G105,Table2[],Qx!L$6,FALSE),0)</f>
        <v>0.68240900000000004</v>
      </c>
      <c r="Y105" s="95">
        <f>IF(($H$8+VaBenefits[[#This Row],[timeFromValuation]])&lt;=120,VLOOKUP(H105,Table2[],Qx!M$6,FALSE),0)</f>
        <v>0.6</v>
      </c>
      <c r="Z105" s="94">
        <f>PRODUCT($X$8:$X105)</f>
        <v>6.2073010504754336E-4</v>
      </c>
      <c r="AA105" s="94">
        <f>PRODUCT($Y$8:$Y105)</f>
        <v>5.4335172993020474E-9</v>
      </c>
      <c r="AB105" s="95">
        <f>VaBenefits[[#This Row],[Primary Annuitant Px]]+VaBenefits[[#This Row],[Secondary Annuitant Py]]-VaBenefits[[#This Row],[Primary Annuitant Px]]*VaBenefits[[#This Row],[Secondary Annuitant Py]]</f>
        <v>0.87296359999999984</v>
      </c>
      <c r="AC105" s="95">
        <f>PRODUCT($AB$8:$AB105)</f>
        <v>9.7821318557171563E-2</v>
      </c>
      <c r="AD105" s="101">
        <f t="shared" si="23"/>
        <v>0</v>
      </c>
    </row>
    <row r="106" spans="1:30" x14ac:dyDescent="0.3">
      <c r="A106" s="35">
        <f t="shared" si="21"/>
        <v>98</v>
      </c>
      <c r="B106" s="33">
        <f t="shared" si="22"/>
        <v>49</v>
      </c>
      <c r="C106" s="30" t="b">
        <f>AND(VaBenefits[[#This Row],[timeFromValuation]]&gt;=ACT,VaBenefits[[#This Row],[Assumed Contract Value ]]&gt;0)</f>
        <v>0</v>
      </c>
      <c r="D106" s="34">
        <f t="shared" si="24"/>
        <v>0</v>
      </c>
      <c r="E106" s="34">
        <f>IF(Use_Base_Case, AP106,IF(VaBenefits[[#This Row],[Is Anniversary?]],WithAmt,0))</f>
        <v>0</v>
      </c>
      <c r="F106" s="34">
        <f t="shared" si="25"/>
        <v>0</v>
      </c>
      <c r="G106" s="100">
        <f>ROUND($G$8+VaBenefits[[#This Row],[timeFromValuation]],0)</f>
        <v>104</v>
      </c>
      <c r="H106" s="21">
        <f>ROUND($H$8+VaBenefits[[#This Row],[timeFromValuation]],0)</f>
        <v>114</v>
      </c>
      <c r="I106" s="28" t="b">
        <f>VaBenefits[[#This Row],[Withdrawal Taken  ]]&gt;0</f>
        <v>0</v>
      </c>
      <c r="J106" s="45">
        <f>IF(AND(NOT(VaBenefits[[#This Row],[Is Activation]]),VaBenefits[[#This Row],[Assumed Contract Value ]]&gt;0),VaBenefits[[#This Row],[Withdrawal Taken  ]]/VaBenefits[[#This Row],[Assumed Contract Value ]],0)</f>
        <v>0</v>
      </c>
      <c r="K10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6" s="28" t="b">
        <f>AND(VaBenefits[[#This Row],[Is Activation]],SUMIFS($E$8:$E106,$C$8:$C106,TRUE)&gt;0)</f>
        <v>0</v>
      </c>
      <c r="M10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6" s="35" t="b">
        <f>IF(VaBenefits[[#This Row],[timeFromValuation]]=0,0, MOD(VaBenefits[[#This Row],[timeFromValuation]],1)=0)</f>
        <v>1</v>
      </c>
      <c r="O106" s="7">
        <f>IF(VaBenefits[[#This Row],[Is Anniversary?]]=TRUE,VaBenefits[[#This Row],[Assumed Contract Value ]],0)</f>
        <v>0</v>
      </c>
      <c r="P10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6" s="7" t="b">
        <f>VaBenefits[[#This Row],[Assumed Contract Value ]]&lt;0.1</f>
        <v>1</v>
      </c>
      <c r="R10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6" s="7">
        <f ca="1">IF(AND(VaBenefits[[#This Row],[Is Activation]]=FALSE,VaBenefits[[#This Row],[Is Anniversary?]]=TRUE),OFFSET( VaBenefits[[#This Row],[Income Credit Base]],-1,0)*ICP,0)</f>
        <v>0</v>
      </c>
      <c r="T106" s="5">
        <f>IF(VaBenefits[[#This Row],[Assumed Contract Value ]]&gt;0,VaBenefits[[#This Row],[Income Base]]*MAWA,0)</f>
        <v>0</v>
      </c>
      <c r="U106" s="99">
        <f ca="1">IF(AND(VaBenefits[[#This Row],[Has Income Credit]],VaBenefits[[#This Row],[Is Anniversary?]],VaBenefits[[#This Row],[Joint Mortality tPxy for the partial year]]),VaBenefits[[#This Row],[Income Base]]*PIP,0)</f>
        <v>12026.006800536559</v>
      </c>
      <c r="V106" s="9">
        <f>1/(1+InterestRate)^VaBenefits[[#This Row],[timeFromValuation]]</f>
        <v>9.1563913320999626E-2</v>
      </c>
      <c r="W106" s="94">
        <f>VaBenefits[[#This Row],[timeFromValuation]]</f>
        <v>49</v>
      </c>
      <c r="X106" s="95">
        <f>IF(($G$8+VaBenefits[[#This Row],[timeFromValuation]])&lt;=120,VLOOKUP(G106,Table2[],Qx!L$6,FALSE),0)</f>
        <v>0.68240900000000004</v>
      </c>
      <c r="Y106" s="95">
        <f>IF(($H$8+VaBenefits[[#This Row],[timeFromValuation]])&lt;=120,VLOOKUP(H106,Table2[],Qx!M$6,FALSE),0)</f>
        <v>0.6</v>
      </c>
      <c r="Z106" s="94">
        <f>PRODUCT($X$8:$X106)</f>
        <v>4.2359181025538906E-4</v>
      </c>
      <c r="AA106" s="94">
        <f>PRODUCT($Y$8:$Y106)</f>
        <v>3.2601103795812285E-9</v>
      </c>
      <c r="AB106" s="95">
        <f>VaBenefits[[#This Row],[Primary Annuitant Px]]+VaBenefits[[#This Row],[Secondary Annuitant Py]]-VaBenefits[[#This Row],[Primary Annuitant Px]]*VaBenefits[[#This Row],[Secondary Annuitant Py]]</f>
        <v>0.87296359999999984</v>
      </c>
      <c r="AC106" s="95">
        <f>PRODUCT($AB$8:$AB106)</f>
        <v>8.5394450404415276E-2</v>
      </c>
      <c r="AD106" s="101">
        <f t="shared" ca="1" si="23"/>
        <v>3797.1494319766207</v>
      </c>
    </row>
    <row r="107" spans="1:30" x14ac:dyDescent="0.3">
      <c r="A107" s="35">
        <f t="shared" si="21"/>
        <v>99</v>
      </c>
      <c r="B107" s="33">
        <f t="shared" si="22"/>
        <v>49.5</v>
      </c>
      <c r="C107" s="30" t="b">
        <f>AND(VaBenefits[[#This Row],[timeFromValuation]]&gt;=ACT,VaBenefits[[#This Row],[Assumed Contract Value ]]&gt;0)</f>
        <v>0</v>
      </c>
      <c r="D107" s="34">
        <f t="shared" si="24"/>
        <v>0</v>
      </c>
      <c r="E107" s="34">
        <f>IF(Use_Base_Case, AP107,IF(VaBenefits[[#This Row],[Is Anniversary?]],WithAmt,0))</f>
        <v>0</v>
      </c>
      <c r="F107" s="34">
        <f t="shared" si="25"/>
        <v>0</v>
      </c>
      <c r="G107" s="100">
        <f>ROUND($G$8+VaBenefits[[#This Row],[timeFromValuation]],0)</f>
        <v>105</v>
      </c>
      <c r="H107" s="21">
        <f>ROUND($H$8+VaBenefits[[#This Row],[timeFromValuation]],0)</f>
        <v>115</v>
      </c>
      <c r="I107" s="28" t="b">
        <f>VaBenefits[[#This Row],[Withdrawal Taken  ]]&gt;0</f>
        <v>0</v>
      </c>
      <c r="J107" s="45">
        <f>IF(AND(NOT(VaBenefits[[#This Row],[Is Activation]]),VaBenefits[[#This Row],[Assumed Contract Value ]]&gt;0),VaBenefits[[#This Row],[Withdrawal Taken  ]]/VaBenefits[[#This Row],[Assumed Contract Value ]],0)</f>
        <v>0</v>
      </c>
      <c r="K10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7" s="28" t="b">
        <f>AND(VaBenefits[[#This Row],[Is Activation]],SUMIFS($E$8:$E107,$C$8:$C107,TRUE)&gt;0)</f>
        <v>0</v>
      </c>
      <c r="M10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7" s="35" t="b">
        <f>IF(VaBenefits[[#This Row],[timeFromValuation]]=0,0, MOD(VaBenefits[[#This Row],[timeFromValuation]],1)=0)</f>
        <v>0</v>
      </c>
      <c r="O107" s="7">
        <f>IF(VaBenefits[[#This Row],[Is Anniversary?]]=TRUE,VaBenefits[[#This Row],[Assumed Contract Value ]],0)</f>
        <v>0</v>
      </c>
      <c r="P10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7" s="7" t="b">
        <f>VaBenefits[[#This Row],[Assumed Contract Value ]]&lt;0.1</f>
        <v>1</v>
      </c>
      <c r="R10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7" s="7">
        <f ca="1">IF(AND(VaBenefits[[#This Row],[Is Activation]]=FALSE,VaBenefits[[#This Row],[Is Anniversary?]]=TRUE),OFFSET( VaBenefits[[#This Row],[Income Credit Base]],-1,0)*ICP,0)</f>
        <v>0</v>
      </c>
      <c r="T107" s="5">
        <f>IF(VaBenefits[[#This Row],[Assumed Contract Value ]]&gt;0,VaBenefits[[#This Row],[Income Base]]*MAWA,0)</f>
        <v>0</v>
      </c>
      <c r="U107" s="99">
        <f>IF(AND(VaBenefits[[#This Row],[Has Income Credit]],VaBenefits[[#This Row],[Is Anniversary?]],VaBenefits[[#This Row],[Joint Mortality tPxy for the partial year]]),VaBenefits[[#This Row],[Income Base]]*PIP,0)</f>
        <v>0</v>
      </c>
      <c r="V107" s="9">
        <f>1/(1+InterestRate)^VaBenefits[[#This Row],[timeFromValuation]]</f>
        <v>8.9357229689416548E-2</v>
      </c>
      <c r="W107" s="94">
        <f>VaBenefits[[#This Row],[timeFromValuation]]</f>
        <v>49.5</v>
      </c>
      <c r="X107" s="95">
        <f>IF(($G$8+VaBenefits[[#This Row],[timeFromValuation]])&lt;=120,VLOOKUP(G107,Table2[],Qx!L$6,FALSE),0)</f>
        <v>0.65963799999999995</v>
      </c>
      <c r="Y107" s="95">
        <f>IF(($H$8+VaBenefits[[#This Row],[timeFromValuation]])&lt;=120,VLOOKUP(H107,Table2[],Qx!M$6,FALSE),0)</f>
        <v>0.6</v>
      </c>
      <c r="Z107" s="94">
        <f>PRODUCT($X$8:$X107)</f>
        <v>2.7941725453324432E-4</v>
      </c>
      <c r="AA107" s="94">
        <f>PRODUCT($Y$8:$Y107)</f>
        <v>1.9560662277487372E-9</v>
      </c>
      <c r="AB107" s="95">
        <f>VaBenefits[[#This Row],[Primary Annuitant Px]]+VaBenefits[[#This Row],[Secondary Annuitant Py]]-VaBenefits[[#This Row],[Primary Annuitant Px]]*VaBenefits[[#This Row],[Secondary Annuitant Py]]</f>
        <v>0.86385519999999993</v>
      </c>
      <c r="AC107" s="95">
        <f>PRODUCT($AB$8:$AB107)</f>
        <v>7.3768440032996235E-2</v>
      </c>
      <c r="AD107" s="101">
        <f t="shared" si="23"/>
        <v>0</v>
      </c>
    </row>
    <row r="108" spans="1:30" x14ac:dyDescent="0.3">
      <c r="A108" s="35">
        <f t="shared" si="21"/>
        <v>100</v>
      </c>
      <c r="B108" s="33">
        <f t="shared" si="22"/>
        <v>50</v>
      </c>
      <c r="C108" s="30" t="b">
        <f>AND(VaBenefits[[#This Row],[timeFromValuation]]&gt;=ACT,VaBenefits[[#This Row],[Assumed Contract Value ]]&gt;0)</f>
        <v>0</v>
      </c>
      <c r="D108" s="34">
        <f t="shared" si="24"/>
        <v>0</v>
      </c>
      <c r="E108" s="34">
        <f>IF(Use_Base_Case, AP108,IF(VaBenefits[[#This Row],[Is Anniversary?]],WithAmt,0))</f>
        <v>0</v>
      </c>
      <c r="F108" s="34">
        <f t="shared" si="25"/>
        <v>0</v>
      </c>
      <c r="G108" s="100">
        <f>ROUND($G$8+VaBenefits[[#This Row],[timeFromValuation]],0)</f>
        <v>105</v>
      </c>
      <c r="H108" s="21">
        <f>ROUND($H$8+VaBenefits[[#This Row],[timeFromValuation]],0)</f>
        <v>115</v>
      </c>
      <c r="I108" s="28" t="b">
        <f>VaBenefits[[#This Row],[Withdrawal Taken  ]]&gt;0</f>
        <v>0</v>
      </c>
      <c r="J108" s="45">
        <f>IF(AND(NOT(VaBenefits[[#This Row],[Is Activation]]),VaBenefits[[#This Row],[Assumed Contract Value ]]&gt;0),VaBenefits[[#This Row],[Withdrawal Taken  ]]/VaBenefits[[#This Row],[Assumed Contract Value ]],0)</f>
        <v>0</v>
      </c>
      <c r="K10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8" s="28" t="b">
        <f>AND(VaBenefits[[#This Row],[Is Activation]],SUMIFS($E$8:$E108,$C$8:$C108,TRUE)&gt;0)</f>
        <v>0</v>
      </c>
      <c r="M10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8" s="35" t="b">
        <f>IF(VaBenefits[[#This Row],[timeFromValuation]]=0,0, MOD(VaBenefits[[#This Row],[timeFromValuation]],1)=0)</f>
        <v>1</v>
      </c>
      <c r="O108" s="7">
        <f>IF(VaBenefits[[#This Row],[Is Anniversary?]]=TRUE,VaBenefits[[#This Row],[Assumed Contract Value ]],0)</f>
        <v>0</v>
      </c>
      <c r="P10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8" s="7" t="b">
        <f>VaBenefits[[#This Row],[Assumed Contract Value ]]&lt;0.1</f>
        <v>1</v>
      </c>
      <c r="R10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8" s="7">
        <f ca="1">IF(AND(VaBenefits[[#This Row],[Is Activation]]=FALSE,VaBenefits[[#This Row],[Is Anniversary?]]=TRUE),OFFSET( VaBenefits[[#This Row],[Income Credit Base]],-1,0)*ICP,0)</f>
        <v>0</v>
      </c>
      <c r="T108" s="5">
        <f>IF(VaBenefits[[#This Row],[Assumed Contract Value ]]&gt;0,VaBenefits[[#This Row],[Income Base]]*MAWA,0)</f>
        <v>0</v>
      </c>
      <c r="U108" s="99">
        <f ca="1">IF(AND(VaBenefits[[#This Row],[Has Income Credit]],VaBenefits[[#This Row],[Is Anniversary?]],VaBenefits[[#This Row],[Joint Mortality tPxy for the partial year]]),VaBenefits[[#This Row],[Income Base]]*PIP,0)</f>
        <v>12026.006800536559</v>
      </c>
      <c r="V108" s="9">
        <f>1/(1+InterestRate)^VaBenefits[[#This Row],[timeFromValuation]]</f>
        <v>8.7203726972380588E-2</v>
      </c>
      <c r="W108" s="94">
        <f>VaBenefits[[#This Row],[timeFromValuation]]</f>
        <v>50</v>
      </c>
      <c r="X108" s="95">
        <f>IF(($G$8+VaBenefits[[#This Row],[timeFromValuation]])&lt;=120,VLOOKUP(G108,Table2[],Qx!L$6,FALSE),0)</f>
        <v>0.65963799999999995</v>
      </c>
      <c r="Y108" s="95">
        <f>IF(($H$8+VaBenefits[[#This Row],[timeFromValuation]])&lt;=120,VLOOKUP(H108,Table2[],Qx!M$6,FALSE),0)</f>
        <v>0.6</v>
      </c>
      <c r="Z108" s="94">
        <f>PRODUCT($X$8:$X108)</f>
        <v>1.843142389458002E-4</v>
      </c>
      <c r="AA108" s="94">
        <f>PRODUCT($Y$8:$Y108)</f>
        <v>1.1736397366492423E-9</v>
      </c>
      <c r="AB108" s="95">
        <f>VaBenefits[[#This Row],[Primary Annuitant Px]]+VaBenefits[[#This Row],[Secondary Annuitant Py]]-VaBenefits[[#This Row],[Primary Annuitant Px]]*VaBenefits[[#This Row],[Secondary Annuitant Py]]</f>
        <v>0.86385519999999993</v>
      </c>
      <c r="AC108" s="95">
        <f>PRODUCT($AB$8:$AB108)</f>
        <v>6.3725250518391965E-2</v>
      </c>
      <c r="AD108" s="101">
        <f t="shared" ca="1" si="23"/>
        <v>3686.5502362234524</v>
      </c>
    </row>
    <row r="109" spans="1:30" x14ac:dyDescent="0.3">
      <c r="A109" s="35">
        <f t="shared" si="21"/>
        <v>101</v>
      </c>
      <c r="B109" s="33">
        <f t="shared" si="22"/>
        <v>50.5</v>
      </c>
      <c r="C109" s="30" t="b">
        <f>AND(VaBenefits[[#This Row],[timeFromValuation]]&gt;=ACT,VaBenefits[[#This Row],[Assumed Contract Value ]]&gt;0)</f>
        <v>0</v>
      </c>
      <c r="D109" s="34">
        <f t="shared" si="24"/>
        <v>0</v>
      </c>
      <c r="E109" s="34">
        <f>IF(Use_Base_Case, AP109,IF(VaBenefits[[#This Row],[Is Anniversary?]],WithAmt,0))</f>
        <v>0</v>
      </c>
      <c r="F109" s="34">
        <f t="shared" si="25"/>
        <v>0</v>
      </c>
      <c r="G109" s="100">
        <f>ROUND($G$8+VaBenefits[[#This Row],[timeFromValuation]],0)</f>
        <v>106</v>
      </c>
      <c r="H109" s="21">
        <f>ROUND($H$8+VaBenefits[[#This Row],[timeFromValuation]],0)</f>
        <v>116</v>
      </c>
      <c r="I109" s="28" t="b">
        <f>VaBenefits[[#This Row],[Withdrawal Taken  ]]&gt;0</f>
        <v>0</v>
      </c>
      <c r="J109" s="45">
        <f>IF(AND(NOT(VaBenefits[[#This Row],[Is Activation]]),VaBenefits[[#This Row],[Assumed Contract Value ]]&gt;0),VaBenefits[[#This Row],[Withdrawal Taken  ]]/VaBenefits[[#This Row],[Assumed Contract Value ]],0)</f>
        <v>0</v>
      </c>
      <c r="K10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09" s="28" t="b">
        <f>AND(VaBenefits[[#This Row],[Is Activation]],SUMIFS($E$8:$E109,$C$8:$C109,TRUE)&gt;0)</f>
        <v>0</v>
      </c>
      <c r="M10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09" s="35" t="b">
        <f>IF(VaBenefits[[#This Row],[timeFromValuation]]=0,0, MOD(VaBenefits[[#This Row],[timeFromValuation]],1)=0)</f>
        <v>0</v>
      </c>
      <c r="O109" s="7">
        <f>IF(VaBenefits[[#This Row],[Is Anniversary?]]=TRUE,VaBenefits[[#This Row],[Assumed Contract Value ]],0)</f>
        <v>0</v>
      </c>
      <c r="P10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09" s="7" t="b">
        <f>VaBenefits[[#This Row],[Assumed Contract Value ]]&lt;0.1</f>
        <v>1</v>
      </c>
      <c r="R10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09" s="7">
        <f ca="1">IF(AND(VaBenefits[[#This Row],[Is Activation]]=FALSE,VaBenefits[[#This Row],[Is Anniversary?]]=TRUE),OFFSET( VaBenefits[[#This Row],[Income Credit Base]],-1,0)*ICP,0)</f>
        <v>0</v>
      </c>
      <c r="T109" s="5">
        <f>IF(VaBenefits[[#This Row],[Assumed Contract Value ]]&gt;0,VaBenefits[[#This Row],[Income Base]]*MAWA,0)</f>
        <v>0</v>
      </c>
      <c r="U109" s="99">
        <f>IF(AND(VaBenefits[[#This Row],[Has Income Credit]],VaBenefits[[#This Row],[Is Anniversary?]],VaBenefits[[#This Row],[Joint Mortality tPxy for the partial year]]),VaBenefits[[#This Row],[Income Base]]*PIP,0)</f>
        <v>0</v>
      </c>
      <c r="V109" s="9">
        <f>1/(1+InterestRate)^VaBenefits[[#This Row],[timeFromValuation]]</f>
        <v>8.5102123513730074E-2</v>
      </c>
      <c r="W109" s="94">
        <f>VaBenefits[[#This Row],[timeFromValuation]]</f>
        <v>50.5</v>
      </c>
      <c r="X109" s="95">
        <f>IF(($G$8+VaBenefits[[#This Row],[timeFromValuation]])&lt;=120,VLOOKUP(G109,Table2[],Qx!L$6,FALSE),0)</f>
        <v>0.637629</v>
      </c>
      <c r="Y109" s="95">
        <f>IF(($H$8+VaBenefits[[#This Row],[timeFromValuation]])&lt;=120,VLOOKUP(H109,Table2[],Qx!M$6,FALSE),0)</f>
        <v>0.6</v>
      </c>
      <c r="Z109" s="94">
        <f>PRODUCT($X$8:$X109)</f>
        <v>1.1752410386477164E-4</v>
      </c>
      <c r="AA109" s="94">
        <f>PRODUCT($Y$8:$Y109)</f>
        <v>7.0418384198954534E-10</v>
      </c>
      <c r="AB109" s="95">
        <f>VaBenefits[[#This Row],[Primary Annuitant Px]]+VaBenefits[[#This Row],[Secondary Annuitant Py]]-VaBenefits[[#This Row],[Primary Annuitant Px]]*VaBenefits[[#This Row],[Secondary Annuitant Py]]</f>
        <v>0.85505160000000013</v>
      </c>
      <c r="AC109" s="95">
        <f>PRODUCT($AB$8:$AB109)</f>
        <v>5.4488377416151888E-2</v>
      </c>
      <c r="AD109" s="101">
        <f t="shared" si="23"/>
        <v>0</v>
      </c>
    </row>
    <row r="110" spans="1:30" x14ac:dyDescent="0.3">
      <c r="A110" s="35">
        <f t="shared" si="21"/>
        <v>102</v>
      </c>
      <c r="B110" s="33">
        <f t="shared" si="22"/>
        <v>51</v>
      </c>
      <c r="C110" s="30" t="b">
        <f>AND(VaBenefits[[#This Row],[timeFromValuation]]&gt;=ACT,VaBenefits[[#This Row],[Assumed Contract Value ]]&gt;0)</f>
        <v>0</v>
      </c>
      <c r="D110" s="34">
        <f t="shared" si="24"/>
        <v>0</v>
      </c>
      <c r="E110" s="34">
        <f>IF(Use_Base_Case, AP110,IF(VaBenefits[[#This Row],[Is Anniversary?]],WithAmt,0))</f>
        <v>0</v>
      </c>
      <c r="F110" s="34">
        <f t="shared" si="25"/>
        <v>0</v>
      </c>
      <c r="G110" s="100">
        <f>ROUND($G$8+VaBenefits[[#This Row],[timeFromValuation]],0)</f>
        <v>106</v>
      </c>
      <c r="H110" s="21">
        <f>ROUND($H$8+VaBenefits[[#This Row],[timeFromValuation]],0)</f>
        <v>116</v>
      </c>
      <c r="I110" s="28" t="b">
        <f>VaBenefits[[#This Row],[Withdrawal Taken  ]]&gt;0</f>
        <v>0</v>
      </c>
      <c r="J110" s="45">
        <f>IF(AND(NOT(VaBenefits[[#This Row],[Is Activation]]),VaBenefits[[#This Row],[Assumed Contract Value ]]&gt;0),VaBenefits[[#This Row],[Withdrawal Taken  ]]/VaBenefits[[#This Row],[Assumed Contract Value ]],0)</f>
        <v>0</v>
      </c>
      <c r="K11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0" s="28" t="b">
        <f>AND(VaBenefits[[#This Row],[Is Activation]],SUMIFS($E$8:$E110,$C$8:$C110,TRUE)&gt;0)</f>
        <v>0</v>
      </c>
      <c r="M11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0" s="35" t="b">
        <f>IF(VaBenefits[[#This Row],[timeFromValuation]]=0,0, MOD(VaBenefits[[#This Row],[timeFromValuation]],1)=0)</f>
        <v>1</v>
      </c>
      <c r="O110" s="7">
        <f>IF(VaBenefits[[#This Row],[Is Anniversary?]]=TRUE,VaBenefits[[#This Row],[Assumed Contract Value ]],0)</f>
        <v>0</v>
      </c>
      <c r="P11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0" s="7" t="b">
        <f>VaBenefits[[#This Row],[Assumed Contract Value ]]&lt;0.1</f>
        <v>1</v>
      </c>
      <c r="R11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0" s="7">
        <f ca="1">IF(AND(VaBenefits[[#This Row],[Is Activation]]=FALSE,VaBenefits[[#This Row],[Is Anniversary?]]=TRUE),OFFSET( VaBenefits[[#This Row],[Income Credit Base]],-1,0)*ICP,0)</f>
        <v>0</v>
      </c>
      <c r="T110" s="5">
        <f>IF(VaBenefits[[#This Row],[Assumed Contract Value ]]&gt;0,VaBenefits[[#This Row],[Income Base]]*MAWA,0)</f>
        <v>0</v>
      </c>
      <c r="U110" s="99">
        <f ca="1">IF(AND(VaBenefits[[#This Row],[Has Income Credit]],VaBenefits[[#This Row],[Is Anniversary?]],VaBenefits[[#This Row],[Joint Mortality tPxy for the partial year]]),VaBenefits[[#This Row],[Income Base]]*PIP,0)</f>
        <v>12026.006800536559</v>
      </c>
      <c r="V110" s="9">
        <f>1/(1+InterestRate)^VaBenefits[[#This Row],[timeFromValuation]]</f>
        <v>8.3051168545124371E-2</v>
      </c>
      <c r="W110" s="94">
        <f>VaBenefits[[#This Row],[timeFromValuation]]</f>
        <v>51</v>
      </c>
      <c r="X110" s="95">
        <f>IF(($G$8+VaBenefits[[#This Row],[timeFromValuation]])&lt;=120,VLOOKUP(G110,Table2[],Qx!L$6,FALSE),0)</f>
        <v>0.637629</v>
      </c>
      <c r="Y110" s="95">
        <f>IF(($H$8+VaBenefits[[#This Row],[timeFromValuation]])&lt;=120,VLOOKUP(H110,Table2[],Qx!M$6,FALSE),0)</f>
        <v>0.6</v>
      </c>
      <c r="Z110" s="94">
        <f>PRODUCT($X$8:$X110)</f>
        <v>7.4936776823190479E-5</v>
      </c>
      <c r="AA110" s="94">
        <f>PRODUCT($Y$8:$Y110)</f>
        <v>4.2251030519372718E-10</v>
      </c>
      <c r="AB110" s="95">
        <f>VaBenefits[[#This Row],[Primary Annuitant Px]]+VaBenefits[[#This Row],[Secondary Annuitant Py]]-VaBenefits[[#This Row],[Primary Annuitant Px]]*VaBenefits[[#This Row],[Secondary Annuitant Py]]</f>
        <v>0.85505160000000013</v>
      </c>
      <c r="AC110" s="95">
        <f>PRODUCT($AB$8:$AB110)</f>
        <v>4.6590374291084542E-2</v>
      </c>
      <c r="AD110" s="101">
        <f t="shared" ca="1" si="23"/>
        <v>3579.172452300495</v>
      </c>
    </row>
    <row r="111" spans="1:30" x14ac:dyDescent="0.3">
      <c r="A111" s="35">
        <f t="shared" si="21"/>
        <v>103</v>
      </c>
      <c r="B111" s="33">
        <f t="shared" si="22"/>
        <v>51.5</v>
      </c>
      <c r="C111" s="30" t="b">
        <f>AND(VaBenefits[[#This Row],[timeFromValuation]]&gt;=ACT,VaBenefits[[#This Row],[Assumed Contract Value ]]&gt;0)</f>
        <v>0</v>
      </c>
      <c r="D111" s="34">
        <f t="shared" si="24"/>
        <v>0</v>
      </c>
      <c r="E111" s="34">
        <f>IF(Use_Base_Case, AP111,IF(VaBenefits[[#This Row],[Is Anniversary?]],WithAmt,0))</f>
        <v>0</v>
      </c>
      <c r="F111" s="34">
        <f t="shared" si="25"/>
        <v>0</v>
      </c>
      <c r="G111" s="100">
        <f>ROUND($G$8+VaBenefits[[#This Row],[timeFromValuation]],0)</f>
        <v>107</v>
      </c>
      <c r="H111" s="21">
        <f>ROUND($H$8+VaBenefits[[#This Row],[timeFromValuation]],0)</f>
        <v>117</v>
      </c>
      <c r="I111" s="28" t="b">
        <f>VaBenefits[[#This Row],[Withdrawal Taken  ]]&gt;0</f>
        <v>0</v>
      </c>
      <c r="J111" s="45">
        <f>IF(AND(NOT(VaBenefits[[#This Row],[Is Activation]]),VaBenefits[[#This Row],[Assumed Contract Value ]]&gt;0),VaBenefits[[#This Row],[Withdrawal Taken  ]]/VaBenefits[[#This Row],[Assumed Contract Value ]],0)</f>
        <v>0</v>
      </c>
      <c r="K11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1" s="28" t="b">
        <f>AND(VaBenefits[[#This Row],[Is Activation]],SUMIFS($E$8:$E111,$C$8:$C111,TRUE)&gt;0)</f>
        <v>0</v>
      </c>
      <c r="M11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1" s="35" t="b">
        <f>IF(VaBenefits[[#This Row],[timeFromValuation]]=0,0, MOD(VaBenefits[[#This Row],[timeFromValuation]],1)=0)</f>
        <v>0</v>
      </c>
      <c r="O111" s="7">
        <f>IF(VaBenefits[[#This Row],[Is Anniversary?]]=TRUE,VaBenefits[[#This Row],[Assumed Contract Value ]],0)</f>
        <v>0</v>
      </c>
      <c r="P11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1" s="7" t="b">
        <f>VaBenefits[[#This Row],[Assumed Contract Value ]]&lt;0.1</f>
        <v>1</v>
      </c>
      <c r="R11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1" s="7">
        <f ca="1">IF(AND(VaBenefits[[#This Row],[Is Activation]]=FALSE,VaBenefits[[#This Row],[Is Anniversary?]]=TRUE),OFFSET( VaBenefits[[#This Row],[Income Credit Base]],-1,0)*ICP,0)</f>
        <v>0</v>
      </c>
      <c r="T111" s="5">
        <f>IF(VaBenefits[[#This Row],[Assumed Contract Value ]]&gt;0,VaBenefits[[#This Row],[Income Base]]*MAWA,0)</f>
        <v>0</v>
      </c>
      <c r="U111" s="99">
        <f>IF(AND(VaBenefits[[#This Row],[Has Income Credit]],VaBenefits[[#This Row],[Is Anniversary?]],VaBenefits[[#This Row],[Joint Mortality tPxy for the partial year]]),VaBenefits[[#This Row],[Income Base]]*PIP,0)</f>
        <v>0</v>
      </c>
      <c r="V111" s="9">
        <f>1/(1+InterestRate)^VaBenefits[[#This Row],[timeFromValuation]]</f>
        <v>8.1049641441647682E-2</v>
      </c>
      <c r="W111" s="94">
        <f>VaBenefits[[#This Row],[timeFromValuation]]</f>
        <v>51.5</v>
      </c>
      <c r="X111" s="95">
        <f>IF(($G$8+VaBenefits[[#This Row],[timeFromValuation]])&lt;=120,VLOOKUP(G111,Table2[],Qx!L$6,FALSE),0)</f>
        <v>0.61588700000000007</v>
      </c>
      <c r="Y111" s="95">
        <f>IF(($H$8+VaBenefits[[#This Row],[timeFromValuation]])&lt;=120,VLOOKUP(H111,Table2[],Qx!M$6,FALSE),0)</f>
        <v>0.6</v>
      </c>
      <c r="Z111" s="94">
        <f>PRODUCT($X$8:$X111)</f>
        <v>4.6152586667304317E-5</v>
      </c>
      <c r="AA111" s="94">
        <f>PRODUCT($Y$8:$Y111)</f>
        <v>2.5350618311623631E-10</v>
      </c>
      <c r="AB111" s="95">
        <f>VaBenefits[[#This Row],[Primary Annuitant Px]]+VaBenefits[[#This Row],[Secondary Annuitant Py]]-VaBenefits[[#This Row],[Primary Annuitant Px]]*VaBenefits[[#This Row],[Secondary Annuitant Py]]</f>
        <v>0.84635479999999985</v>
      </c>
      <c r="AC111" s="95">
        <f>PRODUCT($AB$8:$AB111)</f>
        <v>3.9431986915055992E-2</v>
      </c>
      <c r="AD111" s="101">
        <f t="shared" si="23"/>
        <v>0</v>
      </c>
    </row>
    <row r="112" spans="1:30" x14ac:dyDescent="0.3">
      <c r="A112" s="35">
        <f t="shared" si="21"/>
        <v>104</v>
      </c>
      <c r="B112" s="33">
        <f t="shared" si="22"/>
        <v>52</v>
      </c>
      <c r="C112" s="30" t="b">
        <f>AND(VaBenefits[[#This Row],[timeFromValuation]]&gt;=ACT,VaBenefits[[#This Row],[Assumed Contract Value ]]&gt;0)</f>
        <v>0</v>
      </c>
      <c r="D112" s="34">
        <f t="shared" si="24"/>
        <v>0</v>
      </c>
      <c r="E112" s="34">
        <f>IF(Use_Base_Case, AP112,IF(VaBenefits[[#This Row],[Is Anniversary?]],WithAmt,0))</f>
        <v>0</v>
      </c>
      <c r="F112" s="34">
        <f t="shared" si="25"/>
        <v>0</v>
      </c>
      <c r="G112" s="100">
        <f>ROUND($G$8+VaBenefits[[#This Row],[timeFromValuation]],0)</f>
        <v>107</v>
      </c>
      <c r="H112" s="21">
        <f>ROUND($H$8+VaBenefits[[#This Row],[timeFromValuation]],0)</f>
        <v>117</v>
      </c>
      <c r="I112" s="28" t="b">
        <f>VaBenefits[[#This Row],[Withdrawal Taken  ]]&gt;0</f>
        <v>0</v>
      </c>
      <c r="J112" s="45">
        <f>IF(AND(NOT(VaBenefits[[#This Row],[Is Activation]]),VaBenefits[[#This Row],[Assumed Contract Value ]]&gt;0),VaBenefits[[#This Row],[Withdrawal Taken  ]]/VaBenefits[[#This Row],[Assumed Contract Value ]],0)</f>
        <v>0</v>
      </c>
      <c r="K11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2" s="28" t="b">
        <f>AND(VaBenefits[[#This Row],[Is Activation]],SUMIFS($E$8:$E112,$C$8:$C112,TRUE)&gt;0)</f>
        <v>0</v>
      </c>
      <c r="M11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2" s="35" t="b">
        <f>IF(VaBenefits[[#This Row],[timeFromValuation]]=0,0, MOD(VaBenefits[[#This Row],[timeFromValuation]],1)=0)</f>
        <v>1</v>
      </c>
      <c r="O112" s="7">
        <f>IF(VaBenefits[[#This Row],[Is Anniversary?]]=TRUE,VaBenefits[[#This Row],[Assumed Contract Value ]],0)</f>
        <v>0</v>
      </c>
      <c r="P11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2" s="7" t="b">
        <f>VaBenefits[[#This Row],[Assumed Contract Value ]]&lt;0.1</f>
        <v>1</v>
      </c>
      <c r="R11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2" s="7">
        <f ca="1">IF(AND(VaBenefits[[#This Row],[Is Activation]]=FALSE,VaBenefits[[#This Row],[Is Anniversary?]]=TRUE),OFFSET( VaBenefits[[#This Row],[Income Credit Base]],-1,0)*ICP,0)</f>
        <v>0</v>
      </c>
      <c r="T112" s="5">
        <f>IF(VaBenefits[[#This Row],[Assumed Contract Value ]]&gt;0,VaBenefits[[#This Row],[Income Base]]*MAWA,0)</f>
        <v>0</v>
      </c>
      <c r="U112" s="99">
        <f ca="1">IF(AND(VaBenefits[[#This Row],[Has Income Credit]],VaBenefits[[#This Row],[Is Anniversary?]],VaBenefits[[#This Row],[Joint Mortality tPxy for the partial year]]),VaBenefits[[#This Row],[Income Base]]*PIP,0)</f>
        <v>12026.006800536559</v>
      </c>
      <c r="V112" s="9">
        <f>1/(1+InterestRate)^VaBenefits[[#This Row],[timeFromValuation]]</f>
        <v>7.9096350995356543E-2</v>
      </c>
      <c r="W112" s="94">
        <f>VaBenefits[[#This Row],[timeFromValuation]]</f>
        <v>52</v>
      </c>
      <c r="X112" s="95">
        <f>IF(($G$8+VaBenefits[[#This Row],[timeFromValuation]])&lt;=120,VLOOKUP(G112,Table2[],Qx!L$6,FALSE),0)</f>
        <v>0.61588700000000007</v>
      </c>
      <c r="Y112" s="95">
        <f>IF(($H$8+VaBenefits[[#This Row],[timeFromValuation]])&lt;=120,VLOOKUP(H112,Table2[],Qx!M$6,FALSE),0)</f>
        <v>0.6</v>
      </c>
      <c r="Z112" s="94">
        <f>PRODUCT($X$8:$X112)</f>
        <v>2.8424778144766058E-5</v>
      </c>
      <c r="AA112" s="94">
        <f>PRODUCT($Y$8:$Y112)</f>
        <v>1.5210370986974178E-10</v>
      </c>
      <c r="AB112" s="95">
        <f>VaBenefits[[#This Row],[Primary Annuitant Px]]+VaBenefits[[#This Row],[Secondary Annuitant Py]]-VaBenefits[[#This Row],[Primary Annuitant Px]]*VaBenefits[[#This Row],[Secondary Annuitant Py]]</f>
        <v>0.84635479999999985</v>
      </c>
      <c r="AC112" s="95">
        <f>PRODUCT($AB$8:$AB112)</f>
        <v>3.3373451399094825E-2</v>
      </c>
      <c r="AD112" s="101">
        <f t="shared" ca="1" si="23"/>
        <v>3474.9222504641489</v>
      </c>
    </row>
    <row r="113" spans="1:30" x14ac:dyDescent="0.3">
      <c r="A113" s="35">
        <f t="shared" si="21"/>
        <v>105</v>
      </c>
      <c r="B113" s="33">
        <f t="shared" si="22"/>
        <v>52.5</v>
      </c>
      <c r="C113" s="30" t="b">
        <f>AND(VaBenefits[[#This Row],[timeFromValuation]]&gt;=ACT,VaBenefits[[#This Row],[Assumed Contract Value ]]&gt;0)</f>
        <v>0</v>
      </c>
      <c r="D113" s="34">
        <f t="shared" si="24"/>
        <v>0</v>
      </c>
      <c r="E113" s="34">
        <f>IF(Use_Base_Case, AP113,IF(VaBenefits[[#This Row],[Is Anniversary?]],WithAmt,0))</f>
        <v>0</v>
      </c>
      <c r="F113" s="34">
        <f t="shared" si="25"/>
        <v>0</v>
      </c>
      <c r="G113" s="100">
        <f>ROUND($G$8+VaBenefits[[#This Row],[timeFromValuation]],0)</f>
        <v>108</v>
      </c>
      <c r="H113" s="21">
        <f>ROUND($H$8+VaBenefits[[#This Row],[timeFromValuation]],0)</f>
        <v>118</v>
      </c>
      <c r="I113" s="28" t="b">
        <f>VaBenefits[[#This Row],[Withdrawal Taken  ]]&gt;0</f>
        <v>0</v>
      </c>
      <c r="J113" s="45">
        <f>IF(AND(NOT(VaBenefits[[#This Row],[Is Activation]]),VaBenefits[[#This Row],[Assumed Contract Value ]]&gt;0),VaBenefits[[#This Row],[Withdrawal Taken  ]]/VaBenefits[[#This Row],[Assumed Contract Value ]],0)</f>
        <v>0</v>
      </c>
      <c r="K11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3" s="28" t="b">
        <f>AND(VaBenefits[[#This Row],[Is Activation]],SUMIFS($E$8:$E113,$C$8:$C113,TRUE)&gt;0)</f>
        <v>0</v>
      </c>
      <c r="M11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3" s="35" t="b">
        <f>IF(VaBenefits[[#This Row],[timeFromValuation]]=0,0, MOD(VaBenefits[[#This Row],[timeFromValuation]],1)=0)</f>
        <v>0</v>
      </c>
      <c r="O113" s="7">
        <f>IF(VaBenefits[[#This Row],[Is Anniversary?]]=TRUE,VaBenefits[[#This Row],[Assumed Contract Value ]],0)</f>
        <v>0</v>
      </c>
      <c r="P11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3" s="7" t="b">
        <f>VaBenefits[[#This Row],[Assumed Contract Value ]]&lt;0.1</f>
        <v>1</v>
      </c>
      <c r="R11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3" s="7">
        <f ca="1">IF(AND(VaBenefits[[#This Row],[Is Activation]]=FALSE,VaBenefits[[#This Row],[Is Anniversary?]]=TRUE),OFFSET( VaBenefits[[#This Row],[Income Credit Base]],-1,0)*ICP,0)</f>
        <v>0</v>
      </c>
      <c r="T113" s="5">
        <f>IF(VaBenefits[[#This Row],[Assumed Contract Value ]]&gt;0,VaBenefits[[#This Row],[Income Base]]*MAWA,0)</f>
        <v>0</v>
      </c>
      <c r="U113" s="99">
        <f>IF(AND(VaBenefits[[#This Row],[Has Income Credit]],VaBenefits[[#This Row],[Is Anniversary?]],VaBenefits[[#This Row],[Joint Mortality tPxy for the partial year]]),VaBenefits[[#This Row],[Income Base]]*PIP,0)</f>
        <v>0</v>
      </c>
      <c r="V113" s="9">
        <f>1/(1+InterestRate)^VaBenefits[[#This Row],[timeFromValuation]]</f>
        <v>7.7190134706331112E-2</v>
      </c>
      <c r="W113" s="94">
        <f>VaBenefits[[#This Row],[timeFromValuation]]</f>
        <v>52.5</v>
      </c>
      <c r="X113" s="95">
        <f>IF(($G$8+VaBenefits[[#This Row],[timeFromValuation]])&lt;=120,VLOOKUP(G113,Table2[],Qx!L$6,FALSE),0)</f>
        <v>0.6</v>
      </c>
      <c r="Y113" s="95">
        <f>IF(($H$8+VaBenefits[[#This Row],[timeFromValuation]])&lt;=120,VLOOKUP(H113,Table2[],Qx!M$6,FALSE),0)</f>
        <v>0.6</v>
      </c>
      <c r="Z113" s="94">
        <f>PRODUCT($X$8:$X113)</f>
        <v>1.7054866886859635E-5</v>
      </c>
      <c r="AA113" s="94">
        <f>PRODUCT($Y$8:$Y113)</f>
        <v>9.1262225921845064E-11</v>
      </c>
      <c r="AB113" s="95">
        <f>VaBenefits[[#This Row],[Primary Annuitant Px]]+VaBenefits[[#This Row],[Secondary Annuitant Py]]-VaBenefits[[#This Row],[Primary Annuitant Px]]*VaBenefits[[#This Row],[Secondary Annuitant Py]]</f>
        <v>0.84</v>
      </c>
      <c r="AC113" s="95">
        <f>PRODUCT($AB$8:$AB113)</f>
        <v>2.8033699175239651E-2</v>
      </c>
      <c r="AD113" s="101">
        <f t="shared" si="23"/>
        <v>0</v>
      </c>
    </row>
    <row r="114" spans="1:30" x14ac:dyDescent="0.3">
      <c r="A114" s="35">
        <f t="shared" si="21"/>
        <v>106</v>
      </c>
      <c r="B114" s="33">
        <f t="shared" si="22"/>
        <v>53</v>
      </c>
      <c r="C114" s="30" t="b">
        <f>AND(VaBenefits[[#This Row],[timeFromValuation]]&gt;=ACT,VaBenefits[[#This Row],[Assumed Contract Value ]]&gt;0)</f>
        <v>0</v>
      </c>
      <c r="D114" s="34">
        <f t="shared" si="24"/>
        <v>0</v>
      </c>
      <c r="E114" s="34">
        <f>IF(Use_Base_Case, AP114,IF(VaBenefits[[#This Row],[Is Anniversary?]],WithAmt,0))</f>
        <v>0</v>
      </c>
      <c r="F114" s="34">
        <f t="shared" si="25"/>
        <v>0</v>
      </c>
      <c r="G114" s="100">
        <f>ROUND($G$8+VaBenefits[[#This Row],[timeFromValuation]],0)</f>
        <v>108</v>
      </c>
      <c r="H114" s="21">
        <f>ROUND($H$8+VaBenefits[[#This Row],[timeFromValuation]],0)</f>
        <v>118</v>
      </c>
      <c r="I114" s="28" t="b">
        <f>VaBenefits[[#This Row],[Withdrawal Taken  ]]&gt;0</f>
        <v>0</v>
      </c>
      <c r="J114" s="45">
        <f>IF(AND(NOT(VaBenefits[[#This Row],[Is Activation]]),VaBenefits[[#This Row],[Assumed Contract Value ]]&gt;0),VaBenefits[[#This Row],[Withdrawal Taken  ]]/VaBenefits[[#This Row],[Assumed Contract Value ]],0)</f>
        <v>0</v>
      </c>
      <c r="K11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4" s="28" t="b">
        <f>AND(VaBenefits[[#This Row],[Is Activation]],SUMIFS($E$8:$E114,$C$8:$C114,TRUE)&gt;0)</f>
        <v>0</v>
      </c>
      <c r="M11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4" s="35" t="b">
        <f>IF(VaBenefits[[#This Row],[timeFromValuation]]=0,0, MOD(VaBenefits[[#This Row],[timeFromValuation]],1)=0)</f>
        <v>1</v>
      </c>
      <c r="O114" s="7">
        <f>IF(VaBenefits[[#This Row],[Is Anniversary?]]=TRUE,VaBenefits[[#This Row],[Assumed Contract Value ]],0)</f>
        <v>0</v>
      </c>
      <c r="P11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4" s="7" t="b">
        <f>VaBenefits[[#This Row],[Assumed Contract Value ]]&lt;0.1</f>
        <v>1</v>
      </c>
      <c r="R11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4" s="7">
        <f ca="1">IF(AND(VaBenefits[[#This Row],[Is Activation]]=FALSE,VaBenefits[[#This Row],[Is Anniversary?]]=TRUE),OFFSET( VaBenefits[[#This Row],[Income Credit Base]],-1,0)*ICP,0)</f>
        <v>0</v>
      </c>
      <c r="T114" s="5">
        <f>IF(VaBenefits[[#This Row],[Assumed Contract Value ]]&gt;0,VaBenefits[[#This Row],[Income Base]]*MAWA,0)</f>
        <v>0</v>
      </c>
      <c r="U114" s="99">
        <f ca="1">IF(AND(VaBenefits[[#This Row],[Has Income Credit]],VaBenefits[[#This Row],[Is Anniversary?]],VaBenefits[[#This Row],[Joint Mortality tPxy for the partial year]]),VaBenefits[[#This Row],[Income Base]]*PIP,0)</f>
        <v>12026.006800536559</v>
      </c>
      <c r="V114" s="9">
        <f>1/(1+InterestRate)^VaBenefits[[#This Row],[timeFromValuation]]</f>
        <v>7.5329858090815757E-2</v>
      </c>
      <c r="W114" s="94">
        <f>VaBenefits[[#This Row],[timeFromValuation]]</f>
        <v>53</v>
      </c>
      <c r="X114" s="95">
        <f>IF(($G$8+VaBenefits[[#This Row],[timeFromValuation]])&lt;=120,VLOOKUP(G114,Table2[],Qx!L$6,FALSE),0)</f>
        <v>0.6</v>
      </c>
      <c r="Y114" s="95">
        <f>IF(($H$8+VaBenefits[[#This Row],[timeFromValuation]])&lt;=120,VLOOKUP(H114,Table2[],Qx!M$6,FALSE),0)</f>
        <v>0.6</v>
      </c>
      <c r="Z114" s="94">
        <f>PRODUCT($X$8:$X114)</f>
        <v>1.0232920132115781E-5</v>
      </c>
      <c r="AA114" s="94">
        <f>PRODUCT($Y$8:$Y114)</f>
        <v>5.4757335553107034E-11</v>
      </c>
      <c r="AB114" s="95">
        <f>VaBenefits[[#This Row],[Primary Annuitant Px]]+VaBenefits[[#This Row],[Secondary Annuitant Py]]-VaBenefits[[#This Row],[Primary Annuitant Px]]*VaBenefits[[#This Row],[Secondary Annuitant Py]]</f>
        <v>0.84</v>
      </c>
      <c r="AC114" s="95">
        <f>PRODUCT($AB$8:$AB114)</f>
        <v>2.3548307307201307E-2</v>
      </c>
      <c r="AD114" s="101">
        <f t="shared" ca="1" si="23"/>
        <v>3373.7085339404712</v>
      </c>
    </row>
    <row r="115" spans="1:30" x14ac:dyDescent="0.3">
      <c r="A115" s="35">
        <f t="shared" si="21"/>
        <v>107</v>
      </c>
      <c r="B115" s="33">
        <f t="shared" si="22"/>
        <v>53.5</v>
      </c>
      <c r="C115" s="30" t="b">
        <f>AND(VaBenefits[[#This Row],[timeFromValuation]]&gt;=ACT,VaBenefits[[#This Row],[Assumed Contract Value ]]&gt;0)</f>
        <v>0</v>
      </c>
      <c r="D115" s="34">
        <f t="shared" si="24"/>
        <v>0</v>
      </c>
      <c r="E115" s="34">
        <f>IF(Use_Base_Case, AP115,IF(VaBenefits[[#This Row],[Is Anniversary?]],WithAmt,0))</f>
        <v>0</v>
      </c>
      <c r="F115" s="34">
        <f t="shared" si="25"/>
        <v>0</v>
      </c>
      <c r="G115" s="100">
        <f>ROUND($G$8+VaBenefits[[#This Row],[timeFromValuation]],0)</f>
        <v>109</v>
      </c>
      <c r="H115" s="21">
        <f>ROUND($H$8+VaBenefits[[#This Row],[timeFromValuation]],0)</f>
        <v>119</v>
      </c>
      <c r="I115" s="28" t="b">
        <f>VaBenefits[[#This Row],[Withdrawal Taken  ]]&gt;0</f>
        <v>0</v>
      </c>
      <c r="J115" s="45">
        <f>IF(AND(NOT(VaBenefits[[#This Row],[Is Activation]]),VaBenefits[[#This Row],[Assumed Contract Value ]]&gt;0),VaBenefits[[#This Row],[Withdrawal Taken  ]]/VaBenefits[[#This Row],[Assumed Contract Value ]],0)</f>
        <v>0</v>
      </c>
      <c r="K11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5" s="28" t="b">
        <f>AND(VaBenefits[[#This Row],[Is Activation]],SUMIFS($E$8:$E115,$C$8:$C115,TRUE)&gt;0)</f>
        <v>0</v>
      </c>
      <c r="M11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5" s="35" t="b">
        <f>IF(VaBenefits[[#This Row],[timeFromValuation]]=0,0, MOD(VaBenefits[[#This Row],[timeFromValuation]],1)=0)</f>
        <v>0</v>
      </c>
      <c r="O115" s="7">
        <f>IF(VaBenefits[[#This Row],[Is Anniversary?]]=TRUE,VaBenefits[[#This Row],[Assumed Contract Value ]],0)</f>
        <v>0</v>
      </c>
      <c r="P11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5" s="7" t="b">
        <f>VaBenefits[[#This Row],[Assumed Contract Value ]]&lt;0.1</f>
        <v>1</v>
      </c>
      <c r="R11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5" s="7">
        <f ca="1">IF(AND(VaBenefits[[#This Row],[Is Activation]]=FALSE,VaBenefits[[#This Row],[Is Anniversary?]]=TRUE),OFFSET( VaBenefits[[#This Row],[Income Credit Base]],-1,0)*ICP,0)</f>
        <v>0</v>
      </c>
      <c r="T115" s="5">
        <f>IF(VaBenefits[[#This Row],[Assumed Contract Value ]]&gt;0,VaBenefits[[#This Row],[Income Base]]*MAWA,0)</f>
        <v>0</v>
      </c>
      <c r="U115" s="99">
        <f>IF(AND(VaBenefits[[#This Row],[Has Income Credit]],VaBenefits[[#This Row],[Is Anniversary?]],VaBenefits[[#This Row],[Joint Mortality tPxy for the partial year]]),VaBenefits[[#This Row],[Income Base]]*PIP,0)</f>
        <v>0</v>
      </c>
      <c r="V115" s="9">
        <f>1/(1+InterestRate)^VaBenefits[[#This Row],[timeFromValuation]]</f>
        <v>7.3514414006029608E-2</v>
      </c>
      <c r="W115" s="94">
        <f>VaBenefits[[#This Row],[timeFromValuation]]</f>
        <v>53.5</v>
      </c>
      <c r="X115" s="95">
        <f>IF(($G$8+VaBenefits[[#This Row],[timeFromValuation]])&lt;=120,VLOOKUP(G115,Table2[],Qx!L$6,FALSE),0)</f>
        <v>0.6</v>
      </c>
      <c r="Y115" s="95">
        <f>IF(($H$8+VaBenefits[[#This Row],[timeFromValuation]])&lt;=120,VLOOKUP(H115,Table2[],Qx!M$6,FALSE),0)</f>
        <v>0.6</v>
      </c>
      <c r="Z115" s="94">
        <f>PRODUCT($X$8:$X115)</f>
        <v>6.1397520792694678E-6</v>
      </c>
      <c r="AA115" s="94">
        <f>PRODUCT($Y$8:$Y115)</f>
        <v>3.2854401331864218E-11</v>
      </c>
      <c r="AB115" s="95">
        <f>VaBenefits[[#This Row],[Primary Annuitant Px]]+VaBenefits[[#This Row],[Secondary Annuitant Py]]-VaBenefits[[#This Row],[Primary Annuitant Px]]*VaBenefits[[#This Row],[Secondary Annuitant Py]]</f>
        <v>0.84</v>
      </c>
      <c r="AC115" s="95">
        <f>PRODUCT($AB$8:$AB115)</f>
        <v>1.9780578138049097E-2</v>
      </c>
      <c r="AD115" s="101">
        <f t="shared" si="23"/>
        <v>0</v>
      </c>
    </row>
    <row r="116" spans="1:30" x14ac:dyDescent="0.3">
      <c r="A116" s="35">
        <f t="shared" si="21"/>
        <v>108</v>
      </c>
      <c r="B116" s="33">
        <f t="shared" si="22"/>
        <v>54</v>
      </c>
      <c r="C116" s="30" t="b">
        <f>AND(VaBenefits[[#This Row],[timeFromValuation]]&gt;=ACT,VaBenefits[[#This Row],[Assumed Contract Value ]]&gt;0)</f>
        <v>0</v>
      </c>
      <c r="D116" s="34">
        <f t="shared" si="24"/>
        <v>0</v>
      </c>
      <c r="E116" s="34">
        <f>IF(Use_Base_Case, AP116,IF(VaBenefits[[#This Row],[Is Anniversary?]],WithAmt,0))</f>
        <v>0</v>
      </c>
      <c r="F116" s="34">
        <f t="shared" si="25"/>
        <v>0</v>
      </c>
      <c r="G116" s="100">
        <f>ROUND($G$8+VaBenefits[[#This Row],[timeFromValuation]],0)</f>
        <v>109</v>
      </c>
      <c r="H116" s="21">
        <f>ROUND($H$8+VaBenefits[[#This Row],[timeFromValuation]],0)</f>
        <v>119</v>
      </c>
      <c r="I116" s="28" t="b">
        <f>VaBenefits[[#This Row],[Withdrawal Taken  ]]&gt;0</f>
        <v>0</v>
      </c>
      <c r="J116" s="45">
        <f>IF(AND(NOT(VaBenefits[[#This Row],[Is Activation]]),VaBenefits[[#This Row],[Assumed Contract Value ]]&gt;0),VaBenefits[[#This Row],[Withdrawal Taken  ]]/VaBenefits[[#This Row],[Assumed Contract Value ]],0)</f>
        <v>0</v>
      </c>
      <c r="K11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6" s="28" t="b">
        <f>AND(VaBenefits[[#This Row],[Is Activation]],SUMIFS($E$8:$E116,$C$8:$C116,TRUE)&gt;0)</f>
        <v>0</v>
      </c>
      <c r="M11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6" s="35" t="b">
        <f>IF(VaBenefits[[#This Row],[timeFromValuation]]=0,0, MOD(VaBenefits[[#This Row],[timeFromValuation]],1)=0)</f>
        <v>1</v>
      </c>
      <c r="O116" s="7">
        <f>IF(VaBenefits[[#This Row],[Is Anniversary?]]=TRUE,VaBenefits[[#This Row],[Assumed Contract Value ]],0)</f>
        <v>0</v>
      </c>
      <c r="P11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6" s="7" t="b">
        <f>VaBenefits[[#This Row],[Assumed Contract Value ]]&lt;0.1</f>
        <v>1</v>
      </c>
      <c r="R11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6" s="7">
        <f ca="1">IF(AND(VaBenefits[[#This Row],[Is Activation]]=FALSE,VaBenefits[[#This Row],[Is Anniversary?]]=TRUE),OFFSET( VaBenefits[[#This Row],[Income Credit Base]],-1,0)*ICP,0)</f>
        <v>0</v>
      </c>
      <c r="T116" s="5">
        <f>IF(VaBenefits[[#This Row],[Assumed Contract Value ]]&gt;0,VaBenefits[[#This Row],[Income Base]]*MAWA,0)</f>
        <v>0</v>
      </c>
      <c r="U116" s="99">
        <f ca="1">IF(AND(VaBenefits[[#This Row],[Has Income Credit]],VaBenefits[[#This Row],[Is Anniversary?]],VaBenefits[[#This Row],[Joint Mortality tPxy for the partial year]]),VaBenefits[[#This Row],[Income Base]]*PIP,0)</f>
        <v>12026.006800536559</v>
      </c>
      <c r="V116" s="9">
        <f>1/(1+InterestRate)^VaBenefits[[#This Row],[timeFromValuation]]</f>
        <v>7.1742721991253117E-2</v>
      </c>
      <c r="W116" s="94">
        <f>VaBenefits[[#This Row],[timeFromValuation]]</f>
        <v>54</v>
      </c>
      <c r="X116" s="95">
        <f>IF(($G$8+VaBenefits[[#This Row],[timeFromValuation]])&lt;=120,VLOOKUP(G116,Table2[],Qx!L$6,FALSE),0)</f>
        <v>0.6</v>
      </c>
      <c r="Y116" s="95">
        <f>IF(($H$8+VaBenefits[[#This Row],[timeFromValuation]])&lt;=120,VLOOKUP(H116,Table2[],Qx!M$6,FALSE),0)</f>
        <v>0.6</v>
      </c>
      <c r="Z116" s="94">
        <f>PRODUCT($X$8:$X116)</f>
        <v>3.6838512475616805E-6</v>
      </c>
      <c r="AA116" s="94">
        <f>PRODUCT($Y$8:$Y116)</f>
        <v>1.9712640799118531E-11</v>
      </c>
      <c r="AB116" s="95">
        <f>VaBenefits[[#This Row],[Primary Annuitant Px]]+VaBenefits[[#This Row],[Secondary Annuitant Py]]-VaBenefits[[#This Row],[Primary Annuitant Px]]*VaBenefits[[#This Row],[Secondary Annuitant Py]]</f>
        <v>0.84</v>
      </c>
      <c r="AC116" s="95">
        <f>PRODUCT($AB$8:$AB116)</f>
        <v>1.661568563596124E-2</v>
      </c>
      <c r="AD116" s="101">
        <f t="shared" ca="1" si="23"/>
        <v>3275.4428593222401</v>
      </c>
    </row>
    <row r="117" spans="1:30" x14ac:dyDescent="0.3">
      <c r="A117" s="35">
        <f t="shared" si="21"/>
        <v>109</v>
      </c>
      <c r="B117" s="33">
        <f t="shared" si="22"/>
        <v>54.5</v>
      </c>
      <c r="C117" s="30" t="b">
        <f>AND(VaBenefits[[#This Row],[timeFromValuation]]&gt;=ACT,VaBenefits[[#This Row],[Assumed Contract Value ]]&gt;0)</f>
        <v>0</v>
      </c>
      <c r="D117" s="34">
        <f t="shared" si="24"/>
        <v>0</v>
      </c>
      <c r="E117" s="34">
        <f>IF(Use_Base_Case, AP117,IF(VaBenefits[[#This Row],[Is Anniversary?]],WithAmt,0))</f>
        <v>0</v>
      </c>
      <c r="F117" s="34">
        <f t="shared" si="25"/>
        <v>0</v>
      </c>
      <c r="G117" s="100">
        <f>ROUND($G$8+VaBenefits[[#This Row],[timeFromValuation]],0)</f>
        <v>110</v>
      </c>
      <c r="H117" s="21">
        <f>ROUND($H$8+VaBenefits[[#This Row],[timeFromValuation]],0)</f>
        <v>120</v>
      </c>
      <c r="I117" s="28" t="b">
        <f>VaBenefits[[#This Row],[Withdrawal Taken  ]]&gt;0</f>
        <v>0</v>
      </c>
      <c r="J117" s="45">
        <f>IF(AND(NOT(VaBenefits[[#This Row],[Is Activation]]),VaBenefits[[#This Row],[Assumed Contract Value ]]&gt;0),VaBenefits[[#This Row],[Withdrawal Taken  ]]/VaBenefits[[#This Row],[Assumed Contract Value ]],0)</f>
        <v>0</v>
      </c>
      <c r="K11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7" s="28" t="b">
        <f>AND(VaBenefits[[#This Row],[Is Activation]],SUMIFS($E$8:$E117,$C$8:$C117,TRUE)&gt;0)</f>
        <v>0</v>
      </c>
      <c r="M11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7" s="35" t="b">
        <f>IF(VaBenefits[[#This Row],[timeFromValuation]]=0,0, MOD(VaBenefits[[#This Row],[timeFromValuation]],1)=0)</f>
        <v>0</v>
      </c>
      <c r="O117" s="7">
        <f>IF(VaBenefits[[#This Row],[Is Anniversary?]]=TRUE,VaBenefits[[#This Row],[Assumed Contract Value ]],0)</f>
        <v>0</v>
      </c>
      <c r="P11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7" s="7" t="b">
        <f>VaBenefits[[#This Row],[Assumed Contract Value ]]&lt;0.1</f>
        <v>1</v>
      </c>
      <c r="R11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7" s="7">
        <f ca="1">IF(AND(VaBenefits[[#This Row],[Is Activation]]=FALSE,VaBenefits[[#This Row],[Is Anniversary?]]=TRUE),OFFSET( VaBenefits[[#This Row],[Income Credit Base]],-1,0)*ICP,0)</f>
        <v>0</v>
      </c>
      <c r="T117" s="5">
        <f>IF(VaBenefits[[#This Row],[Assumed Contract Value ]]&gt;0,VaBenefits[[#This Row],[Income Base]]*MAWA,0)</f>
        <v>0</v>
      </c>
      <c r="U117" s="99">
        <f>IF(AND(VaBenefits[[#This Row],[Has Income Credit]],VaBenefits[[#This Row],[Is Anniversary?]],VaBenefits[[#This Row],[Joint Mortality tPxy for the partial year]]),VaBenefits[[#This Row],[Income Base]]*PIP,0)</f>
        <v>0</v>
      </c>
      <c r="V117" s="9">
        <f>1/(1+InterestRate)^VaBenefits[[#This Row],[timeFromValuation]]</f>
        <v>7.001372762479012E-2</v>
      </c>
      <c r="W117" s="94">
        <f>VaBenefits[[#This Row],[timeFromValuation]]</f>
        <v>54.5</v>
      </c>
      <c r="X117" s="95">
        <f>IF(($G$8+VaBenefits[[#This Row],[timeFromValuation]])&lt;=120,VLOOKUP(G117,Table2[],Qx!L$6,FALSE),0)</f>
        <v>0.6</v>
      </c>
      <c r="Y117" s="95">
        <f>IF(($H$8+VaBenefits[[#This Row],[timeFromValuation]])&lt;=120,VLOOKUP(H117,Table2[],Qx!M$6,FALSE),0)</f>
        <v>0</v>
      </c>
      <c r="Z117" s="94">
        <f>PRODUCT($X$8:$X117)</f>
        <v>2.2103107485370082E-6</v>
      </c>
      <c r="AA117" s="94">
        <f>PRODUCT($Y$8:$Y117)</f>
        <v>0</v>
      </c>
      <c r="AB117" s="95">
        <f>VaBenefits[[#This Row],[Primary Annuitant Px]]+VaBenefits[[#This Row],[Secondary Annuitant Py]]-VaBenefits[[#This Row],[Primary Annuitant Px]]*VaBenefits[[#This Row],[Secondary Annuitant Py]]</f>
        <v>0.6</v>
      </c>
      <c r="AC117" s="95">
        <f>PRODUCT($AB$8:$AB117)</f>
        <v>9.9694113815767434E-3</v>
      </c>
      <c r="AD117" s="101">
        <f t="shared" si="23"/>
        <v>0</v>
      </c>
    </row>
    <row r="118" spans="1:30" x14ac:dyDescent="0.3">
      <c r="A118" s="35">
        <f t="shared" si="21"/>
        <v>110</v>
      </c>
      <c r="B118" s="33">
        <f t="shared" si="22"/>
        <v>55</v>
      </c>
      <c r="C118" s="30" t="b">
        <f>AND(VaBenefits[[#This Row],[timeFromValuation]]&gt;=ACT,VaBenefits[[#This Row],[Assumed Contract Value ]]&gt;0)</f>
        <v>0</v>
      </c>
      <c r="D118" s="34">
        <f t="shared" si="24"/>
        <v>0</v>
      </c>
      <c r="E118" s="34">
        <f>IF(Use_Base_Case, AP118,IF(VaBenefits[[#This Row],[Is Anniversary?]],WithAmt,0))</f>
        <v>0</v>
      </c>
      <c r="F118" s="34">
        <f t="shared" si="25"/>
        <v>0</v>
      </c>
      <c r="G118" s="100">
        <f>ROUND($G$8+VaBenefits[[#This Row],[timeFromValuation]],0)</f>
        <v>110</v>
      </c>
      <c r="H118" s="21">
        <f>ROUND($H$8+VaBenefits[[#This Row],[timeFromValuation]],0)</f>
        <v>120</v>
      </c>
      <c r="I118" s="28" t="b">
        <f>VaBenefits[[#This Row],[Withdrawal Taken  ]]&gt;0</f>
        <v>0</v>
      </c>
      <c r="J118" s="45">
        <f>IF(AND(NOT(VaBenefits[[#This Row],[Is Activation]]),VaBenefits[[#This Row],[Assumed Contract Value ]]&gt;0),VaBenefits[[#This Row],[Withdrawal Taken  ]]/VaBenefits[[#This Row],[Assumed Contract Value ]],0)</f>
        <v>0</v>
      </c>
      <c r="K11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8" s="28" t="b">
        <f>AND(VaBenefits[[#This Row],[Is Activation]],SUMIFS($E$8:$E118,$C$8:$C118,TRUE)&gt;0)</f>
        <v>0</v>
      </c>
      <c r="M11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8" s="35" t="b">
        <f>IF(VaBenefits[[#This Row],[timeFromValuation]]=0,0, MOD(VaBenefits[[#This Row],[timeFromValuation]],1)=0)</f>
        <v>1</v>
      </c>
      <c r="O118" s="7">
        <f>IF(VaBenefits[[#This Row],[Is Anniversary?]]=TRUE,VaBenefits[[#This Row],[Assumed Contract Value ]],0)</f>
        <v>0</v>
      </c>
      <c r="P11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8" s="7" t="b">
        <f>VaBenefits[[#This Row],[Assumed Contract Value ]]&lt;0.1</f>
        <v>1</v>
      </c>
      <c r="R11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8" s="7">
        <f ca="1">IF(AND(VaBenefits[[#This Row],[Is Activation]]=FALSE,VaBenefits[[#This Row],[Is Anniversary?]]=TRUE),OFFSET( VaBenefits[[#This Row],[Income Credit Base]],-1,0)*ICP,0)</f>
        <v>0</v>
      </c>
      <c r="T118" s="5">
        <f>IF(VaBenefits[[#This Row],[Assumed Contract Value ]]&gt;0,VaBenefits[[#This Row],[Income Base]]*MAWA,0)</f>
        <v>0</v>
      </c>
      <c r="U118" s="99">
        <f ca="1">IF(AND(VaBenefits[[#This Row],[Has Income Credit]],VaBenefits[[#This Row],[Is Anniversary?]],VaBenefits[[#This Row],[Joint Mortality tPxy for the partial year]]),VaBenefits[[#This Row],[Income Base]]*PIP,0)</f>
        <v>12026.006800536559</v>
      </c>
      <c r="V118" s="9">
        <f>1/(1+InterestRate)^VaBenefits[[#This Row],[timeFromValuation]]</f>
        <v>6.8326401896431521E-2</v>
      </c>
      <c r="W118" s="94">
        <f>VaBenefits[[#This Row],[timeFromValuation]]</f>
        <v>55</v>
      </c>
      <c r="X118" s="95">
        <f>IF(($G$8+VaBenefits[[#This Row],[timeFromValuation]])&lt;=120,VLOOKUP(G118,Table2[],Qx!L$6,FALSE),0)</f>
        <v>0.6</v>
      </c>
      <c r="Y118" s="95">
        <f>IF(($H$8+VaBenefits[[#This Row],[timeFromValuation]])&lt;=120,VLOOKUP(H118,Table2[],Qx!M$6,FALSE),0)</f>
        <v>0</v>
      </c>
      <c r="Z118" s="94">
        <f>PRODUCT($X$8:$X118)</f>
        <v>1.3261864491222048E-6</v>
      </c>
      <c r="AA118" s="94">
        <f>PRODUCT($Y$8:$Y118)</f>
        <v>0</v>
      </c>
      <c r="AB118" s="95">
        <f>VaBenefits[[#This Row],[Primary Annuitant Px]]+VaBenefits[[#This Row],[Secondary Annuitant Py]]-VaBenefits[[#This Row],[Primary Annuitant Px]]*VaBenefits[[#This Row],[Secondary Annuitant Py]]</f>
        <v>0.6</v>
      </c>
      <c r="AC118" s="95">
        <f>PRODUCT($AB$8:$AB118)</f>
        <v>5.9816468289460457E-3</v>
      </c>
      <c r="AD118" s="101">
        <f t="shared" ca="1" si="23"/>
        <v>3180.0393592846026</v>
      </c>
    </row>
    <row r="119" spans="1:30" x14ac:dyDescent="0.3">
      <c r="A119" s="35">
        <f t="shared" si="21"/>
        <v>111</v>
      </c>
      <c r="B119" s="33">
        <f t="shared" si="22"/>
        <v>55.5</v>
      </c>
      <c r="C119" s="30" t="b">
        <f>AND(VaBenefits[[#This Row],[timeFromValuation]]&gt;=ACT,VaBenefits[[#This Row],[Assumed Contract Value ]]&gt;0)</f>
        <v>0</v>
      </c>
      <c r="D119" s="34">
        <f t="shared" si="24"/>
        <v>0</v>
      </c>
      <c r="E119" s="34">
        <f>IF(Use_Base_Case, AP119,IF(VaBenefits[[#This Row],[Is Anniversary?]],WithAmt,0))</f>
        <v>0</v>
      </c>
      <c r="F119" s="34">
        <f t="shared" si="25"/>
        <v>0</v>
      </c>
      <c r="G119" s="100">
        <f>ROUND($G$8+VaBenefits[[#This Row],[timeFromValuation]],0)</f>
        <v>111</v>
      </c>
      <c r="H119" s="21">
        <f>ROUND($H$8+VaBenefits[[#This Row],[timeFromValuation]],0)</f>
        <v>121</v>
      </c>
      <c r="I119" s="28" t="b">
        <f>VaBenefits[[#This Row],[Withdrawal Taken  ]]&gt;0</f>
        <v>0</v>
      </c>
      <c r="J119" s="45">
        <f>IF(AND(NOT(VaBenefits[[#This Row],[Is Activation]]),VaBenefits[[#This Row],[Assumed Contract Value ]]&gt;0),VaBenefits[[#This Row],[Withdrawal Taken  ]]/VaBenefits[[#This Row],[Assumed Contract Value ]],0)</f>
        <v>0</v>
      </c>
      <c r="K11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19" s="28" t="b">
        <f>AND(VaBenefits[[#This Row],[Is Activation]],SUMIFS($E$8:$E119,$C$8:$C119,TRUE)&gt;0)</f>
        <v>0</v>
      </c>
      <c r="M11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19" s="35" t="b">
        <f>IF(VaBenefits[[#This Row],[timeFromValuation]]=0,0, MOD(VaBenefits[[#This Row],[timeFromValuation]],1)=0)</f>
        <v>0</v>
      </c>
      <c r="O119" s="7">
        <f>IF(VaBenefits[[#This Row],[Is Anniversary?]]=TRUE,VaBenefits[[#This Row],[Assumed Contract Value ]],0)</f>
        <v>0</v>
      </c>
      <c r="P11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19" s="7" t="b">
        <f>VaBenefits[[#This Row],[Assumed Contract Value ]]&lt;0.1</f>
        <v>1</v>
      </c>
      <c r="R11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19" s="7">
        <f ca="1">IF(AND(VaBenefits[[#This Row],[Is Activation]]=FALSE,VaBenefits[[#This Row],[Is Anniversary?]]=TRUE),OFFSET( VaBenefits[[#This Row],[Income Credit Base]],-1,0)*ICP,0)</f>
        <v>0</v>
      </c>
      <c r="T119" s="5">
        <f>IF(VaBenefits[[#This Row],[Assumed Contract Value ]]&gt;0,VaBenefits[[#This Row],[Income Base]]*MAWA,0)</f>
        <v>0</v>
      </c>
      <c r="U119" s="99">
        <v>0</v>
      </c>
      <c r="V119" s="9">
        <f>1/(1+InterestRate)^VaBenefits[[#This Row],[timeFromValuation]]</f>
        <v>6.6679740595038201E-2</v>
      </c>
      <c r="W119" s="94">
        <f>VaBenefits[[#This Row],[timeFromValuation]]</f>
        <v>55.5</v>
      </c>
      <c r="X119" s="95">
        <f>IF(($G$8+VaBenefits[[#This Row],[timeFromValuation]])&lt;=120,VLOOKUP(G119,Table2[],Qx!L$6,FALSE),0)</f>
        <v>0.6</v>
      </c>
      <c r="Y119" s="95">
        <f>IF(($H$8+VaBenefits[[#This Row],[timeFromValuation]])&lt;=120,VLOOKUP(H119,Table2[],Qx!M$6,FALSE),0)</f>
        <v>0</v>
      </c>
      <c r="Z119" s="94">
        <f>PRODUCT($X$8:$X119)</f>
        <v>7.9571186947332288E-7</v>
      </c>
      <c r="AA119" s="94">
        <f>PRODUCT($Y$8:$Y119)</f>
        <v>0</v>
      </c>
      <c r="AB119" s="95">
        <f>VaBenefits[[#This Row],[Primary Annuitant Px]]+VaBenefits[[#This Row],[Secondary Annuitant Py]]-VaBenefits[[#This Row],[Primary Annuitant Px]]*VaBenefits[[#This Row],[Secondary Annuitant Py]]</f>
        <v>0.6</v>
      </c>
      <c r="AC119" s="95">
        <f>PRODUCT($AB$8:$AB119)</f>
        <v>3.5889880973676274E-3</v>
      </c>
      <c r="AD119" s="101">
        <f>PV(1.03,20,-VaBenefits[[#This Row],[Protected Income Payment]])</f>
        <v>0</v>
      </c>
    </row>
    <row r="120" spans="1:30" x14ac:dyDescent="0.3">
      <c r="A120" s="35">
        <f t="shared" si="21"/>
        <v>112</v>
      </c>
      <c r="B120" s="33">
        <f t="shared" si="22"/>
        <v>56</v>
      </c>
      <c r="C120" s="30" t="b">
        <f>AND(VaBenefits[[#This Row],[timeFromValuation]]&gt;=ACT,VaBenefits[[#This Row],[Assumed Contract Value ]]&gt;0)</f>
        <v>0</v>
      </c>
      <c r="D120" s="34">
        <f t="shared" si="24"/>
        <v>0</v>
      </c>
      <c r="E120" s="34">
        <f>IF(Use_Base_Case, AP120,IF(VaBenefits[[#This Row],[Is Anniversary?]],WithAmt,0))</f>
        <v>0</v>
      </c>
      <c r="F120" s="34">
        <f t="shared" si="25"/>
        <v>0</v>
      </c>
      <c r="G120" s="100">
        <f>ROUND($G$8+VaBenefits[[#This Row],[timeFromValuation]],0)</f>
        <v>111</v>
      </c>
      <c r="H120" s="21">
        <f>ROUND($H$8+VaBenefits[[#This Row],[timeFromValuation]],0)</f>
        <v>121</v>
      </c>
      <c r="I120" s="28" t="b">
        <f>VaBenefits[[#This Row],[Withdrawal Taken  ]]&gt;0</f>
        <v>0</v>
      </c>
      <c r="J120" s="45">
        <f>IF(AND(NOT(VaBenefits[[#This Row],[Is Activation]]),VaBenefits[[#This Row],[Assumed Contract Value ]]&gt;0),VaBenefits[[#This Row],[Withdrawal Taken  ]]/VaBenefits[[#This Row],[Assumed Contract Value ]],0)</f>
        <v>0</v>
      </c>
      <c r="K12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0" s="28" t="b">
        <f>AND(VaBenefits[[#This Row],[Is Activation]],SUMIFS($E$8:$E120,$C$8:$C120,TRUE)&gt;0)</f>
        <v>0</v>
      </c>
      <c r="M12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0" s="35" t="b">
        <f>IF(VaBenefits[[#This Row],[timeFromValuation]]=0,0, MOD(VaBenefits[[#This Row],[timeFromValuation]],1)=0)</f>
        <v>1</v>
      </c>
      <c r="O120" s="7">
        <f>IF(VaBenefits[[#This Row],[Is Anniversary?]]=TRUE,VaBenefits[[#This Row],[Assumed Contract Value ]],0)</f>
        <v>0</v>
      </c>
      <c r="P12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0" s="7" t="b">
        <f>VaBenefits[[#This Row],[Assumed Contract Value ]]&lt;0.1</f>
        <v>1</v>
      </c>
      <c r="R12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0" s="7">
        <f ca="1">IF(AND(VaBenefits[[#This Row],[Is Activation]]=FALSE,VaBenefits[[#This Row],[Is Anniversary?]]=TRUE),OFFSET( VaBenefits[[#This Row],[Income Credit Base]],-1,0)*ICP,0)</f>
        <v>0</v>
      </c>
      <c r="T120" s="5">
        <f>IF(VaBenefits[[#This Row],[Assumed Contract Value ]]&gt;0,VaBenefits[[#This Row],[Income Base]]*MAWA,0)</f>
        <v>0</v>
      </c>
      <c r="U120" s="99">
        <v>0</v>
      </c>
      <c r="V120" s="9">
        <f>1/(1+InterestRate)^VaBenefits[[#This Row],[timeFromValuation]]</f>
        <v>6.5072763710887174E-2</v>
      </c>
      <c r="W120" s="94">
        <f>VaBenefits[[#This Row],[timeFromValuation]]</f>
        <v>56</v>
      </c>
      <c r="X120" s="95">
        <f>IF(($G$8+VaBenefits[[#This Row],[timeFromValuation]])&lt;=120,VLOOKUP(G120,Table2[],Qx!L$6,FALSE),0)</f>
        <v>0.6</v>
      </c>
      <c r="Y120" s="95">
        <f>IF(($H$8+VaBenefits[[#This Row],[timeFromValuation]])&lt;=120,VLOOKUP(H120,Table2[],Qx!M$6,FALSE),0)</f>
        <v>0</v>
      </c>
      <c r="Z120" s="94">
        <f>PRODUCT($X$8:$X120)</f>
        <v>4.7742712168399371E-7</v>
      </c>
      <c r="AA120" s="94">
        <f>PRODUCT($Y$8:$Y120)</f>
        <v>0</v>
      </c>
      <c r="AB120" s="95">
        <f>VaBenefits[[#This Row],[Primary Annuitant Px]]+VaBenefits[[#This Row],[Secondary Annuitant Py]]-VaBenefits[[#This Row],[Primary Annuitant Px]]*VaBenefits[[#This Row],[Secondary Annuitant Py]]</f>
        <v>0.6</v>
      </c>
      <c r="AC120" s="95">
        <f>PRODUCT($AB$8:$AB120)</f>
        <v>2.1533928584205764E-3</v>
      </c>
      <c r="AD120" s="101">
        <f>PV(1.03,20,-VaBenefits[[#This Row],[Protected Income Payment]])</f>
        <v>0</v>
      </c>
    </row>
    <row r="121" spans="1:30" x14ac:dyDescent="0.3">
      <c r="A121" s="35">
        <f t="shared" si="21"/>
        <v>113</v>
      </c>
      <c r="B121" s="33">
        <f t="shared" si="22"/>
        <v>56.5</v>
      </c>
      <c r="C121" s="30" t="b">
        <f>AND(VaBenefits[[#This Row],[timeFromValuation]]&gt;=ACT,VaBenefits[[#This Row],[Assumed Contract Value ]]&gt;0)</f>
        <v>0</v>
      </c>
      <c r="D121" s="34">
        <f t="shared" si="24"/>
        <v>0</v>
      </c>
      <c r="E121" s="34">
        <f>IF(Use_Base_Case, AP121,IF(VaBenefits[[#This Row],[Is Anniversary?]],WithAmt,0))</f>
        <v>0</v>
      </c>
      <c r="F121" s="34">
        <f t="shared" si="25"/>
        <v>0</v>
      </c>
      <c r="G121" s="100">
        <f>ROUND($G$8+VaBenefits[[#This Row],[timeFromValuation]],0)</f>
        <v>112</v>
      </c>
      <c r="H121" s="21">
        <f>ROUND($H$8+VaBenefits[[#This Row],[timeFromValuation]],0)</f>
        <v>122</v>
      </c>
      <c r="I121" s="28" t="b">
        <f>VaBenefits[[#This Row],[Withdrawal Taken  ]]&gt;0</f>
        <v>0</v>
      </c>
      <c r="J121" s="45">
        <f>IF(AND(NOT(VaBenefits[[#This Row],[Is Activation]]),VaBenefits[[#This Row],[Assumed Contract Value ]]&gt;0),VaBenefits[[#This Row],[Withdrawal Taken  ]]/VaBenefits[[#This Row],[Assumed Contract Value ]],0)</f>
        <v>0</v>
      </c>
      <c r="K12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1" s="28" t="b">
        <f>AND(VaBenefits[[#This Row],[Is Activation]],SUMIFS($E$8:$E121,$C$8:$C121,TRUE)&gt;0)</f>
        <v>0</v>
      </c>
      <c r="M12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1" s="35" t="b">
        <f>IF(VaBenefits[[#This Row],[timeFromValuation]]=0,0, MOD(VaBenefits[[#This Row],[timeFromValuation]],1)=0)</f>
        <v>0</v>
      </c>
      <c r="O121" s="7">
        <f>IF(VaBenefits[[#This Row],[Is Anniversary?]]=TRUE,VaBenefits[[#This Row],[Assumed Contract Value ]],0)</f>
        <v>0</v>
      </c>
      <c r="P12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1" s="7" t="b">
        <f>VaBenefits[[#This Row],[Assumed Contract Value ]]&lt;0.1</f>
        <v>1</v>
      </c>
      <c r="R12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1" s="7">
        <f ca="1">IF(AND(VaBenefits[[#This Row],[Is Activation]]=FALSE,VaBenefits[[#This Row],[Is Anniversary?]]=TRUE),OFFSET( VaBenefits[[#This Row],[Income Credit Base]],-1,0)*ICP,0)</f>
        <v>0</v>
      </c>
      <c r="T121" s="5">
        <f>IF(VaBenefits[[#This Row],[Assumed Contract Value ]]&gt;0,VaBenefits[[#This Row],[Income Base]]*MAWA,0)</f>
        <v>0</v>
      </c>
      <c r="U121" s="99">
        <v>0</v>
      </c>
      <c r="V121" s="9">
        <f>1/(1+InterestRate)^VaBenefits[[#This Row],[timeFromValuation]]</f>
        <v>6.3504514852417329E-2</v>
      </c>
      <c r="W121" s="94">
        <f>VaBenefits[[#This Row],[timeFromValuation]]</f>
        <v>56.5</v>
      </c>
      <c r="X121" s="95">
        <f>IF(($G$8+VaBenefits[[#This Row],[timeFromValuation]])&lt;=120,VLOOKUP(G121,Table2[],Qx!L$6,FALSE),0)</f>
        <v>0.6</v>
      </c>
      <c r="Y121" s="95">
        <f>IF(($H$8+VaBenefits[[#This Row],[timeFromValuation]])&lt;=120,VLOOKUP(H121,Table2[],Qx!M$6,FALSE),0)</f>
        <v>0</v>
      </c>
      <c r="Z121" s="94">
        <f>PRODUCT($X$8:$X121)</f>
        <v>2.8645627301039624E-7</v>
      </c>
      <c r="AA121" s="94">
        <f>PRODUCT($Y$8:$Y121)</f>
        <v>0</v>
      </c>
      <c r="AB121" s="95">
        <f>VaBenefits[[#This Row],[Primary Annuitant Px]]+VaBenefits[[#This Row],[Secondary Annuitant Py]]-VaBenefits[[#This Row],[Primary Annuitant Px]]*VaBenefits[[#This Row],[Secondary Annuitant Py]]</f>
        <v>0.6</v>
      </c>
      <c r="AC121" s="95">
        <f>PRODUCT($AB$8:$AB121)</f>
        <v>1.2920357150523459E-3</v>
      </c>
      <c r="AD121" s="101">
        <f>PV(1.03,20,-VaBenefits[[#This Row],[Protected Income Payment]])</f>
        <v>0</v>
      </c>
    </row>
    <row r="122" spans="1:30" x14ac:dyDescent="0.3">
      <c r="A122" s="35">
        <f t="shared" si="21"/>
        <v>114</v>
      </c>
      <c r="B122" s="33">
        <f t="shared" si="22"/>
        <v>57</v>
      </c>
      <c r="C122" s="30" t="b">
        <f>AND(VaBenefits[[#This Row],[timeFromValuation]]&gt;=ACT,VaBenefits[[#This Row],[Assumed Contract Value ]]&gt;0)</f>
        <v>0</v>
      </c>
      <c r="D122" s="34">
        <f t="shared" si="24"/>
        <v>0</v>
      </c>
      <c r="E122" s="34">
        <f>IF(Use_Base_Case, AP122,IF(VaBenefits[[#This Row],[Is Anniversary?]],WithAmt,0))</f>
        <v>0</v>
      </c>
      <c r="F122" s="34">
        <f t="shared" si="25"/>
        <v>0</v>
      </c>
      <c r="G122" s="100">
        <f>ROUND($G$8+VaBenefits[[#This Row],[timeFromValuation]],0)</f>
        <v>112</v>
      </c>
      <c r="H122" s="21">
        <f>ROUND($H$8+VaBenefits[[#This Row],[timeFromValuation]],0)</f>
        <v>122</v>
      </c>
      <c r="I122" s="28" t="b">
        <f>VaBenefits[[#This Row],[Withdrawal Taken  ]]&gt;0</f>
        <v>0</v>
      </c>
      <c r="J122" s="45">
        <f>IF(AND(NOT(VaBenefits[[#This Row],[Is Activation]]),VaBenefits[[#This Row],[Assumed Contract Value ]]&gt;0),VaBenefits[[#This Row],[Withdrawal Taken  ]]/VaBenefits[[#This Row],[Assumed Contract Value ]],0)</f>
        <v>0</v>
      </c>
      <c r="K12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2" s="28" t="b">
        <f>AND(VaBenefits[[#This Row],[Is Activation]],SUMIFS($E$8:$E122,$C$8:$C122,TRUE)&gt;0)</f>
        <v>0</v>
      </c>
      <c r="M12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2" s="35" t="b">
        <f>IF(VaBenefits[[#This Row],[timeFromValuation]]=0,0, MOD(VaBenefits[[#This Row],[timeFromValuation]],1)=0)</f>
        <v>1</v>
      </c>
      <c r="O122" s="7">
        <f>IF(VaBenefits[[#This Row],[Is Anniversary?]]=TRUE,VaBenefits[[#This Row],[Assumed Contract Value ]],0)</f>
        <v>0</v>
      </c>
      <c r="P12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2" s="7" t="b">
        <f>VaBenefits[[#This Row],[Assumed Contract Value ]]&lt;0.1</f>
        <v>1</v>
      </c>
      <c r="R12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2" s="7">
        <f ca="1">IF(AND(VaBenefits[[#This Row],[Is Activation]]=FALSE,VaBenefits[[#This Row],[Is Anniversary?]]=TRUE),OFFSET( VaBenefits[[#This Row],[Income Credit Base]],-1,0)*ICP,0)</f>
        <v>0</v>
      </c>
      <c r="T122" s="5">
        <f>IF(VaBenefits[[#This Row],[Assumed Contract Value ]]&gt;0,VaBenefits[[#This Row],[Income Base]]*MAWA,0)</f>
        <v>0</v>
      </c>
      <c r="U122" s="99">
        <v>0</v>
      </c>
      <c r="V122" s="9">
        <f>1/(1+InterestRate)^VaBenefits[[#This Row],[timeFromValuation]]</f>
        <v>6.1974060677035397E-2</v>
      </c>
      <c r="W122" s="94">
        <f>VaBenefits[[#This Row],[timeFromValuation]]</f>
        <v>57</v>
      </c>
      <c r="X122" s="95">
        <f>IF(($G$8+VaBenefits[[#This Row],[timeFromValuation]])&lt;=120,VLOOKUP(G122,Table2[],Qx!L$6,FALSE),0)</f>
        <v>0.6</v>
      </c>
      <c r="Y122" s="95">
        <f>IF(($H$8+VaBenefits[[#This Row],[timeFromValuation]])&lt;=120,VLOOKUP(H122,Table2[],Qx!M$6,FALSE),0)</f>
        <v>0</v>
      </c>
      <c r="Z122" s="94">
        <f>PRODUCT($X$8:$X122)</f>
        <v>1.7187376380623773E-7</v>
      </c>
      <c r="AA122" s="94">
        <f>PRODUCT($Y$8:$Y122)</f>
        <v>0</v>
      </c>
      <c r="AB122" s="95">
        <f>VaBenefits[[#This Row],[Primary Annuitant Px]]+VaBenefits[[#This Row],[Secondary Annuitant Py]]-VaBenefits[[#This Row],[Primary Annuitant Px]]*VaBenefits[[#This Row],[Secondary Annuitant Py]]</f>
        <v>0.6</v>
      </c>
      <c r="AC122" s="95">
        <f>PRODUCT($AB$8:$AB122)</f>
        <v>7.752214290314075E-4</v>
      </c>
      <c r="AD122" s="101">
        <f>PV(1.03,20,-VaBenefits[[#This Row],[Protected Income Payment]])</f>
        <v>0</v>
      </c>
    </row>
    <row r="123" spans="1:30" x14ac:dyDescent="0.3">
      <c r="A123" s="35">
        <f t="shared" si="21"/>
        <v>115</v>
      </c>
      <c r="B123" s="33">
        <f t="shared" si="22"/>
        <v>57.5</v>
      </c>
      <c r="C123" s="30" t="b">
        <f>AND(VaBenefits[[#This Row],[timeFromValuation]]&gt;=ACT,VaBenefits[[#This Row],[Assumed Contract Value ]]&gt;0)</f>
        <v>0</v>
      </c>
      <c r="D123" s="34">
        <f t="shared" si="24"/>
        <v>0</v>
      </c>
      <c r="E123" s="34">
        <f>IF(Use_Base_Case, AP123,IF(VaBenefits[[#This Row],[Is Anniversary?]],WithAmt,0))</f>
        <v>0</v>
      </c>
      <c r="F123" s="34">
        <f t="shared" si="25"/>
        <v>0</v>
      </c>
      <c r="G123" s="100">
        <f>ROUND($G$8+VaBenefits[[#This Row],[timeFromValuation]],0)</f>
        <v>113</v>
      </c>
      <c r="H123" s="21">
        <f>ROUND($H$8+VaBenefits[[#This Row],[timeFromValuation]],0)</f>
        <v>123</v>
      </c>
      <c r="I123" s="28" t="b">
        <f>VaBenefits[[#This Row],[Withdrawal Taken  ]]&gt;0</f>
        <v>0</v>
      </c>
      <c r="J123" s="45">
        <f>IF(AND(NOT(VaBenefits[[#This Row],[Is Activation]]),VaBenefits[[#This Row],[Assumed Contract Value ]]&gt;0),VaBenefits[[#This Row],[Withdrawal Taken  ]]/VaBenefits[[#This Row],[Assumed Contract Value ]],0)</f>
        <v>0</v>
      </c>
      <c r="K12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3" s="28" t="b">
        <f>AND(VaBenefits[[#This Row],[Is Activation]],SUMIFS($E$8:$E123,$C$8:$C123,TRUE)&gt;0)</f>
        <v>0</v>
      </c>
      <c r="M12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3" s="35" t="b">
        <f>IF(VaBenefits[[#This Row],[timeFromValuation]]=0,0, MOD(VaBenefits[[#This Row],[timeFromValuation]],1)=0)</f>
        <v>0</v>
      </c>
      <c r="O123" s="7">
        <f>IF(VaBenefits[[#This Row],[Is Anniversary?]]=TRUE,VaBenefits[[#This Row],[Assumed Contract Value ]],0)</f>
        <v>0</v>
      </c>
      <c r="P12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3" s="7" t="b">
        <f>VaBenefits[[#This Row],[Assumed Contract Value ]]&lt;0.1</f>
        <v>1</v>
      </c>
      <c r="R12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3" s="7">
        <f ca="1">IF(AND(VaBenefits[[#This Row],[Is Activation]]=FALSE,VaBenefits[[#This Row],[Is Anniversary?]]=TRUE),OFFSET( VaBenefits[[#This Row],[Income Credit Base]],-1,0)*ICP,0)</f>
        <v>0</v>
      </c>
      <c r="T123" s="5">
        <f>IF(VaBenefits[[#This Row],[Assumed Contract Value ]]&gt;0,VaBenefits[[#This Row],[Income Base]]*MAWA,0)</f>
        <v>0</v>
      </c>
      <c r="U123" s="99">
        <v>0</v>
      </c>
      <c r="V123" s="9">
        <f>1/(1+InterestRate)^VaBenefits[[#This Row],[timeFromValuation]]</f>
        <v>6.0480490335635545E-2</v>
      </c>
      <c r="W123" s="94">
        <f>VaBenefits[[#This Row],[timeFromValuation]]</f>
        <v>57.5</v>
      </c>
      <c r="X123" s="95">
        <f>IF(($G$8+VaBenefits[[#This Row],[timeFromValuation]])&lt;=120,VLOOKUP(G123,Table2[],Qx!L$6,FALSE),0)</f>
        <v>0.6</v>
      </c>
      <c r="Y123" s="95">
        <f>IF(($H$8+VaBenefits[[#This Row],[timeFromValuation]])&lt;=120,VLOOKUP(H123,Table2[],Qx!M$6,FALSE),0)</f>
        <v>0</v>
      </c>
      <c r="Z123" s="94">
        <f>PRODUCT($X$8:$X123)</f>
        <v>1.0312425828374263E-7</v>
      </c>
      <c r="AA123" s="94">
        <f>PRODUCT($Y$8:$Y123)</f>
        <v>0</v>
      </c>
      <c r="AB123" s="95">
        <f>VaBenefits[[#This Row],[Primary Annuitant Px]]+VaBenefits[[#This Row],[Secondary Annuitant Py]]-VaBenefits[[#This Row],[Primary Annuitant Px]]*VaBenefits[[#This Row],[Secondary Annuitant Py]]</f>
        <v>0.6</v>
      </c>
      <c r="AC123" s="95">
        <f>PRODUCT($AB$8:$AB123)</f>
        <v>4.6513285741884447E-4</v>
      </c>
      <c r="AD123" s="101">
        <f>PV(1.03,20,-VaBenefits[[#This Row],[Protected Income Payment]])</f>
        <v>0</v>
      </c>
    </row>
    <row r="124" spans="1:30" x14ac:dyDescent="0.3">
      <c r="A124" s="35">
        <f t="shared" si="21"/>
        <v>116</v>
      </c>
      <c r="B124" s="33">
        <f t="shared" si="22"/>
        <v>58</v>
      </c>
      <c r="C124" s="30" t="b">
        <f>AND(VaBenefits[[#This Row],[timeFromValuation]]&gt;=ACT,VaBenefits[[#This Row],[Assumed Contract Value ]]&gt;0)</f>
        <v>0</v>
      </c>
      <c r="D124" s="34">
        <f t="shared" si="24"/>
        <v>0</v>
      </c>
      <c r="E124" s="34">
        <f>IF(Use_Base_Case, AP124,IF(VaBenefits[[#This Row],[Is Anniversary?]],WithAmt,0))</f>
        <v>0</v>
      </c>
      <c r="F124" s="34">
        <f t="shared" si="25"/>
        <v>0</v>
      </c>
      <c r="G124" s="100">
        <f>ROUND($G$8+VaBenefits[[#This Row],[timeFromValuation]],0)</f>
        <v>113</v>
      </c>
      <c r="H124" s="21">
        <f>ROUND($H$8+VaBenefits[[#This Row],[timeFromValuation]],0)</f>
        <v>123</v>
      </c>
      <c r="I124" s="28" t="b">
        <f>VaBenefits[[#This Row],[Withdrawal Taken  ]]&gt;0</f>
        <v>0</v>
      </c>
      <c r="J124" s="45">
        <f>IF(AND(NOT(VaBenefits[[#This Row],[Is Activation]]),VaBenefits[[#This Row],[Assumed Contract Value ]]&gt;0),VaBenefits[[#This Row],[Withdrawal Taken  ]]/VaBenefits[[#This Row],[Assumed Contract Value ]],0)</f>
        <v>0</v>
      </c>
      <c r="K12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4" s="28" t="b">
        <f>AND(VaBenefits[[#This Row],[Is Activation]],SUMIFS($E$8:$E124,$C$8:$C124,TRUE)&gt;0)</f>
        <v>0</v>
      </c>
      <c r="M12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4" s="35" t="b">
        <f>IF(VaBenefits[[#This Row],[timeFromValuation]]=0,0, MOD(VaBenefits[[#This Row],[timeFromValuation]],1)=0)</f>
        <v>1</v>
      </c>
      <c r="O124" s="7">
        <f>IF(VaBenefits[[#This Row],[Is Anniversary?]]=TRUE,VaBenefits[[#This Row],[Assumed Contract Value ]],0)</f>
        <v>0</v>
      </c>
      <c r="P12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4" s="7" t="b">
        <f>VaBenefits[[#This Row],[Assumed Contract Value ]]&lt;0.1</f>
        <v>1</v>
      </c>
      <c r="R12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4" s="7">
        <f ca="1">IF(AND(VaBenefits[[#This Row],[Is Activation]]=FALSE,VaBenefits[[#This Row],[Is Anniversary?]]=TRUE),OFFSET( VaBenefits[[#This Row],[Income Credit Base]],-1,0)*ICP,0)</f>
        <v>0</v>
      </c>
      <c r="T124" s="5">
        <f>IF(VaBenefits[[#This Row],[Assumed Contract Value ]]&gt;0,VaBenefits[[#This Row],[Income Base]]*MAWA,0)</f>
        <v>0</v>
      </c>
      <c r="U124" s="99">
        <v>0</v>
      </c>
      <c r="V124" s="9">
        <f>1/(1+InterestRate)^VaBenefits[[#This Row],[timeFromValuation]]</f>
        <v>5.9022914930509894E-2</v>
      </c>
      <c r="W124" s="94">
        <f>VaBenefits[[#This Row],[timeFromValuation]]</f>
        <v>58</v>
      </c>
      <c r="X124" s="95">
        <f>IF(($G$8+VaBenefits[[#This Row],[timeFromValuation]])&lt;=120,VLOOKUP(G124,Table2[],Qx!L$6,FALSE),0)</f>
        <v>0.6</v>
      </c>
      <c r="Y124" s="95">
        <f>IF(($H$8+VaBenefits[[#This Row],[timeFromValuation]])&lt;=120,VLOOKUP(H124,Table2[],Qx!M$6,FALSE),0)</f>
        <v>0</v>
      </c>
      <c r="Z124" s="94">
        <f>PRODUCT($X$8:$X124)</f>
        <v>6.1874554970245576E-8</v>
      </c>
      <c r="AA124" s="94">
        <f>PRODUCT($Y$8:$Y124)</f>
        <v>0</v>
      </c>
      <c r="AB124" s="95">
        <f>VaBenefits[[#This Row],[Primary Annuitant Px]]+VaBenefits[[#This Row],[Secondary Annuitant Py]]-VaBenefits[[#This Row],[Primary Annuitant Px]]*VaBenefits[[#This Row],[Secondary Annuitant Py]]</f>
        <v>0.6</v>
      </c>
      <c r="AC124" s="95">
        <f>PRODUCT($AB$8:$AB124)</f>
        <v>2.7907971445130666E-4</v>
      </c>
      <c r="AD124" s="101">
        <f>PV(1.03,20,-VaBenefits[[#This Row],[Protected Income Payment]])</f>
        <v>0</v>
      </c>
    </row>
    <row r="125" spans="1:30" x14ac:dyDescent="0.3">
      <c r="A125" s="35">
        <f t="shared" si="21"/>
        <v>117</v>
      </c>
      <c r="B125" s="33">
        <f t="shared" si="22"/>
        <v>58.5</v>
      </c>
      <c r="C125" s="30" t="b">
        <f>AND(VaBenefits[[#This Row],[timeFromValuation]]&gt;=ACT,VaBenefits[[#This Row],[Assumed Contract Value ]]&gt;0)</f>
        <v>0</v>
      </c>
      <c r="D125" s="34">
        <f t="shared" si="24"/>
        <v>0</v>
      </c>
      <c r="E125" s="34">
        <f>IF(Use_Base_Case, AP125,IF(VaBenefits[[#This Row],[Is Anniversary?]],WithAmt,0))</f>
        <v>0</v>
      </c>
      <c r="F125" s="34">
        <f t="shared" si="25"/>
        <v>0</v>
      </c>
      <c r="G125" s="100">
        <f>ROUND($G$8+VaBenefits[[#This Row],[timeFromValuation]],0)</f>
        <v>114</v>
      </c>
      <c r="H125" s="21">
        <f>ROUND($H$8+VaBenefits[[#This Row],[timeFromValuation]],0)</f>
        <v>124</v>
      </c>
      <c r="I125" s="28" t="b">
        <f>VaBenefits[[#This Row],[Withdrawal Taken  ]]&gt;0</f>
        <v>0</v>
      </c>
      <c r="J125" s="45">
        <f>IF(AND(NOT(VaBenefits[[#This Row],[Is Activation]]),VaBenefits[[#This Row],[Assumed Contract Value ]]&gt;0),VaBenefits[[#This Row],[Withdrawal Taken  ]]/VaBenefits[[#This Row],[Assumed Contract Value ]],0)</f>
        <v>0</v>
      </c>
      <c r="K12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5" s="28" t="b">
        <f>AND(VaBenefits[[#This Row],[Is Activation]],SUMIFS($E$8:$E125,$C$8:$C125,TRUE)&gt;0)</f>
        <v>0</v>
      </c>
      <c r="M12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5" s="35" t="b">
        <f>IF(VaBenefits[[#This Row],[timeFromValuation]]=0,0, MOD(VaBenefits[[#This Row],[timeFromValuation]],1)=0)</f>
        <v>0</v>
      </c>
      <c r="O125" s="7">
        <f>IF(VaBenefits[[#This Row],[Is Anniversary?]]=TRUE,VaBenefits[[#This Row],[Assumed Contract Value ]],0)</f>
        <v>0</v>
      </c>
      <c r="P12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5" s="7" t="b">
        <f>VaBenefits[[#This Row],[Assumed Contract Value ]]&lt;0.1</f>
        <v>1</v>
      </c>
      <c r="R12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5" s="7">
        <f ca="1">IF(AND(VaBenefits[[#This Row],[Is Activation]]=FALSE,VaBenefits[[#This Row],[Is Anniversary?]]=TRUE),OFFSET( VaBenefits[[#This Row],[Income Credit Base]],-1,0)*ICP,0)</f>
        <v>0</v>
      </c>
      <c r="T125" s="5">
        <f>IF(VaBenefits[[#This Row],[Assumed Contract Value ]]&gt;0,VaBenefits[[#This Row],[Income Base]]*MAWA,0)</f>
        <v>0</v>
      </c>
      <c r="U125" s="99">
        <v>0</v>
      </c>
      <c r="V125" s="9">
        <f>1/(1+InterestRate)^VaBenefits[[#This Row],[timeFromValuation]]</f>
        <v>5.7600466986319585E-2</v>
      </c>
      <c r="W125" s="94">
        <f>VaBenefits[[#This Row],[timeFromValuation]]</f>
        <v>58.5</v>
      </c>
      <c r="X125" s="95">
        <f>IF(($G$8+VaBenefits[[#This Row],[timeFromValuation]])&lt;=120,VLOOKUP(G125,Table2[],Qx!L$6,FALSE),0)</f>
        <v>0.6</v>
      </c>
      <c r="Y125" s="95">
        <f>IF(($H$8+VaBenefits[[#This Row],[timeFromValuation]])&lt;=120,VLOOKUP(H125,Table2[],Qx!M$6,FALSE),0)</f>
        <v>0</v>
      </c>
      <c r="Z125" s="94">
        <f>PRODUCT($X$8:$X125)</f>
        <v>3.7124732982147345E-8</v>
      </c>
      <c r="AA125" s="94">
        <f>PRODUCT($Y$8:$Y125)</f>
        <v>0</v>
      </c>
      <c r="AB125" s="95">
        <f>VaBenefits[[#This Row],[Primary Annuitant Px]]+VaBenefits[[#This Row],[Secondary Annuitant Py]]-VaBenefits[[#This Row],[Primary Annuitant Px]]*VaBenefits[[#This Row],[Secondary Annuitant Py]]</f>
        <v>0.6</v>
      </c>
      <c r="AC125" s="95">
        <f>PRODUCT($AB$8:$AB125)</f>
        <v>1.6744782867078399E-4</v>
      </c>
      <c r="AD125" s="101">
        <f>PV(1.03,20,-VaBenefits[[#This Row],[Protected Income Payment]])</f>
        <v>0</v>
      </c>
    </row>
    <row r="126" spans="1:30" x14ac:dyDescent="0.3">
      <c r="A126" s="35">
        <f t="shared" si="21"/>
        <v>118</v>
      </c>
      <c r="B126" s="33">
        <f t="shared" si="22"/>
        <v>59</v>
      </c>
      <c r="C126" s="30" t="b">
        <f>AND(VaBenefits[[#This Row],[timeFromValuation]]&gt;=ACT,VaBenefits[[#This Row],[Assumed Contract Value ]]&gt;0)</f>
        <v>0</v>
      </c>
      <c r="D126" s="34">
        <f t="shared" si="24"/>
        <v>0</v>
      </c>
      <c r="E126" s="34">
        <f>IF(Use_Base_Case, AP126,IF(VaBenefits[[#This Row],[Is Anniversary?]],WithAmt,0))</f>
        <v>0</v>
      </c>
      <c r="F126" s="34">
        <f t="shared" si="25"/>
        <v>0</v>
      </c>
      <c r="G126" s="100">
        <f>ROUND($G$8+VaBenefits[[#This Row],[timeFromValuation]],0)</f>
        <v>114</v>
      </c>
      <c r="H126" s="21">
        <f>ROUND($H$8+VaBenefits[[#This Row],[timeFromValuation]],0)</f>
        <v>124</v>
      </c>
      <c r="I126" s="28" t="b">
        <f>VaBenefits[[#This Row],[Withdrawal Taken  ]]&gt;0</f>
        <v>0</v>
      </c>
      <c r="J126" s="45">
        <f>IF(AND(NOT(VaBenefits[[#This Row],[Is Activation]]),VaBenefits[[#This Row],[Assumed Contract Value ]]&gt;0),VaBenefits[[#This Row],[Withdrawal Taken  ]]/VaBenefits[[#This Row],[Assumed Contract Value ]],0)</f>
        <v>0</v>
      </c>
      <c r="K12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6" s="28" t="b">
        <f>AND(VaBenefits[[#This Row],[Is Activation]],SUMIFS($E$8:$E126,$C$8:$C126,TRUE)&gt;0)</f>
        <v>0</v>
      </c>
      <c r="M12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6" s="35" t="b">
        <f>IF(VaBenefits[[#This Row],[timeFromValuation]]=0,0, MOD(VaBenefits[[#This Row],[timeFromValuation]],1)=0)</f>
        <v>1</v>
      </c>
      <c r="O126" s="7">
        <f>IF(VaBenefits[[#This Row],[Is Anniversary?]]=TRUE,VaBenefits[[#This Row],[Assumed Contract Value ]],0)</f>
        <v>0</v>
      </c>
      <c r="P12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6" s="7" t="b">
        <f>VaBenefits[[#This Row],[Assumed Contract Value ]]&lt;0.1</f>
        <v>1</v>
      </c>
      <c r="R12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6" s="7">
        <f ca="1">IF(AND(VaBenefits[[#This Row],[Is Activation]]=FALSE,VaBenefits[[#This Row],[Is Anniversary?]]=TRUE),OFFSET( VaBenefits[[#This Row],[Income Credit Base]],-1,0)*ICP,0)</f>
        <v>0</v>
      </c>
      <c r="T126" s="5">
        <f>IF(VaBenefits[[#This Row],[Assumed Contract Value ]]&gt;0,VaBenefits[[#This Row],[Income Base]]*MAWA,0)</f>
        <v>0</v>
      </c>
      <c r="U126" s="99">
        <v>0</v>
      </c>
      <c r="V126" s="9">
        <f>1/(1+InterestRate)^VaBenefits[[#This Row],[timeFromValuation]]</f>
        <v>5.6212299933818946E-2</v>
      </c>
      <c r="W126" s="94">
        <f>VaBenefits[[#This Row],[timeFromValuation]]</f>
        <v>59</v>
      </c>
      <c r="X126" s="95">
        <f>IF(($G$8+VaBenefits[[#This Row],[timeFromValuation]])&lt;=120,VLOOKUP(G126,Table2[],Qx!L$6,FALSE),0)</f>
        <v>0.6</v>
      </c>
      <c r="Y126" s="95">
        <f>IF(($H$8+VaBenefits[[#This Row],[timeFromValuation]])&lt;=120,VLOOKUP(H126,Table2[],Qx!M$6,FALSE),0)</f>
        <v>0</v>
      </c>
      <c r="Z126" s="94">
        <f>PRODUCT($X$8:$X126)</f>
        <v>2.2274839789288406E-8</v>
      </c>
      <c r="AA126" s="94">
        <f>PRODUCT($Y$8:$Y126)</f>
        <v>0</v>
      </c>
      <c r="AB126" s="95">
        <f>VaBenefits[[#This Row],[Primary Annuitant Px]]+VaBenefits[[#This Row],[Secondary Annuitant Py]]-VaBenefits[[#This Row],[Primary Annuitant Px]]*VaBenefits[[#This Row],[Secondary Annuitant Py]]</f>
        <v>0.6</v>
      </c>
      <c r="AC126" s="95">
        <f>PRODUCT($AB$8:$AB126)</f>
        <v>1.004686972024704E-4</v>
      </c>
      <c r="AD126" s="101">
        <f>PV(1.03,20,-VaBenefits[[#This Row],[Protected Income Payment]])</f>
        <v>0</v>
      </c>
    </row>
    <row r="127" spans="1:30" x14ac:dyDescent="0.3">
      <c r="A127" s="35">
        <f t="shared" si="21"/>
        <v>119</v>
      </c>
      <c r="B127" s="33">
        <f t="shared" si="22"/>
        <v>59.5</v>
      </c>
      <c r="C127" s="30" t="b">
        <f>AND(VaBenefits[[#This Row],[timeFromValuation]]&gt;=ACT,VaBenefits[[#This Row],[Assumed Contract Value ]]&gt;0)</f>
        <v>0</v>
      </c>
      <c r="D127" s="34">
        <f t="shared" si="24"/>
        <v>0</v>
      </c>
      <c r="E127" s="34">
        <f>IF(Use_Base_Case, AP127,IF(VaBenefits[[#This Row],[Is Anniversary?]],WithAmt,0))</f>
        <v>0</v>
      </c>
      <c r="F127" s="34">
        <f t="shared" si="25"/>
        <v>0</v>
      </c>
      <c r="G127" s="100">
        <f>ROUND($G$8+VaBenefits[[#This Row],[timeFromValuation]],0)</f>
        <v>115</v>
      </c>
      <c r="H127" s="21">
        <f>ROUND($H$8+VaBenefits[[#This Row],[timeFromValuation]],0)</f>
        <v>125</v>
      </c>
      <c r="I127" s="28" t="b">
        <f>VaBenefits[[#This Row],[Withdrawal Taken  ]]&gt;0</f>
        <v>0</v>
      </c>
      <c r="J127" s="45">
        <f>IF(AND(NOT(VaBenefits[[#This Row],[Is Activation]]),VaBenefits[[#This Row],[Assumed Contract Value ]]&gt;0),VaBenefits[[#This Row],[Withdrawal Taken  ]]/VaBenefits[[#This Row],[Assumed Contract Value ]],0)</f>
        <v>0</v>
      </c>
      <c r="K12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7" s="28" t="b">
        <f>AND(VaBenefits[[#This Row],[Is Activation]],SUMIFS($E$8:$E127,$C$8:$C127,TRUE)&gt;0)</f>
        <v>0</v>
      </c>
      <c r="M12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7" s="35" t="b">
        <f>IF(VaBenefits[[#This Row],[timeFromValuation]]=0,0, MOD(VaBenefits[[#This Row],[timeFromValuation]],1)=0)</f>
        <v>0</v>
      </c>
      <c r="O127" s="7">
        <f>IF(VaBenefits[[#This Row],[Is Anniversary?]]=TRUE,VaBenefits[[#This Row],[Assumed Contract Value ]],0)</f>
        <v>0</v>
      </c>
      <c r="P12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7" s="7" t="b">
        <f>VaBenefits[[#This Row],[Assumed Contract Value ]]&lt;0.1</f>
        <v>1</v>
      </c>
      <c r="R12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7" s="7">
        <f ca="1">IF(AND(VaBenefits[[#This Row],[Is Activation]]=FALSE,VaBenefits[[#This Row],[Is Anniversary?]]=TRUE),OFFSET( VaBenefits[[#This Row],[Income Credit Base]],-1,0)*ICP,0)</f>
        <v>0</v>
      </c>
      <c r="T127" s="5">
        <f>IF(VaBenefits[[#This Row],[Assumed Contract Value ]]&gt;0,VaBenefits[[#This Row],[Income Base]]*MAWA,0)</f>
        <v>0</v>
      </c>
      <c r="U127" s="99">
        <v>0</v>
      </c>
      <c r="V127" s="9">
        <f>1/(1+InterestRate)^VaBenefits[[#This Row],[timeFromValuation]]</f>
        <v>5.4857587606018644E-2</v>
      </c>
      <c r="W127" s="94">
        <f>VaBenefits[[#This Row],[timeFromValuation]]</f>
        <v>59.5</v>
      </c>
      <c r="X127" s="95">
        <f>IF(($G$8+VaBenefits[[#This Row],[timeFromValuation]])&lt;=120,VLOOKUP(G127,Table2[],Qx!L$6,FALSE),0)</f>
        <v>0.6</v>
      </c>
      <c r="Y127" s="95">
        <f>IF(($H$8+VaBenefits[[#This Row],[timeFromValuation]])&lt;=120,VLOOKUP(H127,Table2[],Qx!M$6,FALSE),0)</f>
        <v>0</v>
      </c>
      <c r="Z127" s="94">
        <f>PRODUCT($X$8:$X127)</f>
        <v>1.3364903873573044E-8</v>
      </c>
      <c r="AA127" s="94">
        <f>PRODUCT($Y$8:$Y127)</f>
        <v>0</v>
      </c>
      <c r="AB127" s="95">
        <f>VaBenefits[[#This Row],[Primary Annuitant Px]]+VaBenefits[[#This Row],[Secondary Annuitant Py]]-VaBenefits[[#This Row],[Primary Annuitant Px]]*VaBenefits[[#This Row],[Secondary Annuitant Py]]</f>
        <v>0.6</v>
      </c>
      <c r="AC127" s="95">
        <f>PRODUCT($AB$8:$AB127)</f>
        <v>6.0281218321482238E-5</v>
      </c>
      <c r="AD127" s="101">
        <f>PV(1.03,20,-VaBenefits[[#This Row],[Protected Income Payment]])</f>
        <v>0</v>
      </c>
    </row>
    <row r="128" spans="1:30" x14ac:dyDescent="0.3">
      <c r="A128" s="35">
        <f t="shared" si="21"/>
        <v>120</v>
      </c>
      <c r="B128" s="33">
        <f t="shared" si="22"/>
        <v>60</v>
      </c>
      <c r="C128" s="30" t="b">
        <f>AND(VaBenefits[[#This Row],[timeFromValuation]]&gt;=ACT,VaBenefits[[#This Row],[Assumed Contract Value ]]&gt;0)</f>
        <v>0</v>
      </c>
      <c r="D128" s="34">
        <f t="shared" si="24"/>
        <v>0</v>
      </c>
      <c r="E128" s="34">
        <f>IF(Use_Base_Case, AP128,IF(VaBenefits[[#This Row],[Is Anniversary?]],WithAmt,0))</f>
        <v>0</v>
      </c>
      <c r="F128" s="34">
        <f t="shared" si="25"/>
        <v>0</v>
      </c>
      <c r="G128" s="100">
        <f>ROUND($G$8+VaBenefits[[#This Row],[timeFromValuation]],0)</f>
        <v>115</v>
      </c>
      <c r="H128" s="21">
        <f>ROUND($H$8+VaBenefits[[#This Row],[timeFromValuation]],0)</f>
        <v>125</v>
      </c>
      <c r="I128" s="28" t="b">
        <f>VaBenefits[[#This Row],[Withdrawal Taken  ]]&gt;0</f>
        <v>0</v>
      </c>
      <c r="J128" s="45">
        <f>IF(AND(NOT(VaBenefits[[#This Row],[Is Activation]]),VaBenefits[[#This Row],[Assumed Contract Value ]]&gt;0),VaBenefits[[#This Row],[Withdrawal Taken  ]]/VaBenefits[[#This Row],[Assumed Contract Value ]],0)</f>
        <v>0</v>
      </c>
      <c r="K12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8" s="28" t="b">
        <f>AND(VaBenefits[[#This Row],[Is Activation]],SUMIFS($E$8:$E128,$C$8:$C128,TRUE)&gt;0)</f>
        <v>0</v>
      </c>
      <c r="M12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8" s="35" t="b">
        <f>IF(VaBenefits[[#This Row],[timeFromValuation]]=0,0, MOD(VaBenefits[[#This Row],[timeFromValuation]],1)=0)</f>
        <v>1</v>
      </c>
      <c r="O128" s="7">
        <f>IF(VaBenefits[[#This Row],[Is Anniversary?]]=TRUE,VaBenefits[[#This Row],[Assumed Contract Value ]],0)</f>
        <v>0</v>
      </c>
      <c r="P12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8" s="7" t="b">
        <f>VaBenefits[[#This Row],[Assumed Contract Value ]]&lt;0.1</f>
        <v>1</v>
      </c>
      <c r="R12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8" s="7">
        <f ca="1">IF(AND(VaBenefits[[#This Row],[Is Activation]]=FALSE,VaBenefits[[#This Row],[Is Anniversary?]]=TRUE),OFFSET( VaBenefits[[#This Row],[Income Credit Base]],-1,0)*ICP,0)</f>
        <v>0</v>
      </c>
      <c r="T128" s="5">
        <f>IF(VaBenefits[[#This Row],[Assumed Contract Value ]]&gt;0,VaBenefits[[#This Row],[Income Base]]*MAWA,0)</f>
        <v>0</v>
      </c>
      <c r="U128" s="99">
        <v>0</v>
      </c>
      <c r="V128" s="9">
        <f>1/(1+InterestRate)^VaBenefits[[#This Row],[timeFromValuation]]</f>
        <v>5.3535523746494243E-2</v>
      </c>
      <c r="W128" s="94">
        <f>VaBenefits[[#This Row],[timeFromValuation]]</f>
        <v>60</v>
      </c>
      <c r="X128" s="95">
        <f>IF(($G$8+VaBenefits[[#This Row],[timeFromValuation]])&lt;=120,VLOOKUP(G128,Table2[],Qx!L$6,FALSE),0)</f>
        <v>0.6</v>
      </c>
      <c r="Y128" s="95">
        <f>IF(($H$8+VaBenefits[[#This Row],[timeFromValuation]])&lt;=120,VLOOKUP(H128,Table2[],Qx!M$6,FALSE),0)</f>
        <v>0</v>
      </c>
      <c r="Z128" s="94">
        <f>PRODUCT($X$8:$X128)</f>
        <v>8.0189423241438258E-9</v>
      </c>
      <c r="AA128" s="94">
        <f>PRODUCT($Y$8:$Y128)</f>
        <v>0</v>
      </c>
      <c r="AB128" s="94">
        <f>VaBenefits[[#This Row],[Primary Annuitant Px]]+VaBenefits[[#This Row],[Secondary Annuitant Py]]-VaBenefits[[#This Row],[Primary Annuitant Px]]*VaBenefits[[#This Row],[Secondary Annuitant Py]]</f>
        <v>0.6</v>
      </c>
      <c r="AC128" s="94">
        <f>PRODUCT($AB$8:$AB128)</f>
        <v>3.6168730992889344E-5</v>
      </c>
      <c r="AD128" s="101">
        <f>PV(1.03,20,-VaBenefits[[#This Row],[Protected Income Payment]])</f>
        <v>0</v>
      </c>
    </row>
    <row r="129" spans="1:30" x14ac:dyDescent="0.3">
      <c r="A129" s="35">
        <f t="shared" si="21"/>
        <v>121</v>
      </c>
      <c r="B129" s="33">
        <f t="shared" si="22"/>
        <v>60.5</v>
      </c>
      <c r="C129" s="30" t="b">
        <f>AND(VaBenefits[[#This Row],[timeFromValuation]]&gt;=ACT,VaBenefits[[#This Row],[Assumed Contract Value ]]&gt;0)</f>
        <v>0</v>
      </c>
      <c r="D129" s="34">
        <f t="shared" si="24"/>
        <v>0</v>
      </c>
      <c r="E129" s="34">
        <f>IF(Use_Base_Case, AP129,IF(VaBenefits[[#This Row],[Is Anniversary?]],WithAmt,0))</f>
        <v>0</v>
      </c>
      <c r="F129" s="34">
        <f t="shared" si="25"/>
        <v>0</v>
      </c>
      <c r="G129" s="100">
        <f>ROUND($G$8+VaBenefits[[#This Row],[timeFromValuation]],0)</f>
        <v>116</v>
      </c>
      <c r="H129" s="21">
        <f>ROUND($H$8+VaBenefits[[#This Row],[timeFromValuation]],0)</f>
        <v>126</v>
      </c>
      <c r="I129" s="28" t="b">
        <f>VaBenefits[[#This Row],[Withdrawal Taken  ]]&gt;0</f>
        <v>0</v>
      </c>
      <c r="J129" s="45">
        <f>IF(AND(NOT(VaBenefits[[#This Row],[Is Activation]]),VaBenefits[[#This Row],[Assumed Contract Value ]]&gt;0),VaBenefits[[#This Row],[Withdrawal Taken  ]]/VaBenefits[[#This Row],[Assumed Contract Value ]],0)</f>
        <v>0</v>
      </c>
      <c r="K12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29" s="28" t="b">
        <f>AND(VaBenefits[[#This Row],[Is Activation]],SUMIFS($E$8:$E129,$C$8:$C129,TRUE)&gt;0)</f>
        <v>0</v>
      </c>
      <c r="M12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29" s="35" t="b">
        <f>IF(VaBenefits[[#This Row],[timeFromValuation]]=0,0, MOD(VaBenefits[[#This Row],[timeFromValuation]],1)=0)</f>
        <v>0</v>
      </c>
      <c r="O129" s="7">
        <f>IF(VaBenefits[[#This Row],[Is Anniversary?]]=TRUE,VaBenefits[[#This Row],[Assumed Contract Value ]],0)</f>
        <v>0</v>
      </c>
      <c r="P12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29" s="7" t="b">
        <f>VaBenefits[[#This Row],[Assumed Contract Value ]]&lt;0.1</f>
        <v>1</v>
      </c>
      <c r="R12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29" s="7">
        <f ca="1">IF(AND(VaBenefits[[#This Row],[Is Activation]]=FALSE,VaBenefits[[#This Row],[Is Anniversary?]]=TRUE),OFFSET( VaBenefits[[#This Row],[Income Credit Base]],-1,0)*ICP,0)</f>
        <v>0</v>
      </c>
      <c r="T129" s="5">
        <f>IF(VaBenefits[[#This Row],[Assumed Contract Value ]]&gt;0,VaBenefits[[#This Row],[Income Base]]*MAWA,0)</f>
        <v>0</v>
      </c>
      <c r="U129" s="99">
        <v>0</v>
      </c>
      <c r="V129" s="9">
        <f>1/(1+InterestRate)^VaBenefits[[#This Row],[timeFromValuation]]</f>
        <v>5.2245321529541554E-2</v>
      </c>
      <c r="W129" s="94">
        <f>VaBenefits[[#This Row],[timeFromValuation]]</f>
        <v>60.5</v>
      </c>
      <c r="X129" s="95">
        <f>IF(($G$8+VaBenefits[[#This Row],[timeFromValuation]])&lt;=120,VLOOKUP(G129,Table2[],Qx!L$6,FALSE),0)</f>
        <v>0.6</v>
      </c>
      <c r="Y129" s="95">
        <f>IF(($H$8+VaBenefits[[#This Row],[timeFromValuation]])&lt;=120,VLOOKUP(H129,Table2[],Qx!M$6,FALSE),0)</f>
        <v>0</v>
      </c>
      <c r="Z129" s="94">
        <f>PRODUCT($X$8:$X129)</f>
        <v>4.8113653944862952E-9</v>
      </c>
      <c r="AA129" s="94">
        <f>PRODUCT($Y$8:$Y129)</f>
        <v>0</v>
      </c>
      <c r="AB129" s="94">
        <f>VaBenefits[[#This Row],[Primary Annuitant Px]]+VaBenefits[[#This Row],[Secondary Annuitant Py]]-VaBenefits[[#This Row],[Primary Annuitant Px]]*VaBenefits[[#This Row],[Secondary Annuitant Py]]</f>
        <v>0.6</v>
      </c>
      <c r="AC129" s="94">
        <f>PRODUCT($AB$8:$AB129)</f>
        <v>2.1701238595733605E-5</v>
      </c>
      <c r="AD129" s="101">
        <f>PV(1.03,20,-VaBenefits[[#This Row],[Protected Income Payment]])</f>
        <v>0</v>
      </c>
    </row>
    <row r="130" spans="1:30" x14ac:dyDescent="0.3">
      <c r="A130" s="35">
        <f t="shared" si="21"/>
        <v>122</v>
      </c>
      <c r="B130" s="33">
        <f t="shared" si="22"/>
        <v>61</v>
      </c>
      <c r="C130" s="30" t="b">
        <f>AND(VaBenefits[[#This Row],[timeFromValuation]]&gt;=ACT,VaBenefits[[#This Row],[Assumed Contract Value ]]&gt;0)</f>
        <v>0</v>
      </c>
      <c r="D130" s="34">
        <f t="shared" si="24"/>
        <v>0</v>
      </c>
      <c r="E130" s="34">
        <f>IF(Use_Base_Case, AP130,IF(VaBenefits[[#This Row],[Is Anniversary?]],WithAmt,0))</f>
        <v>0</v>
      </c>
      <c r="F130" s="34">
        <f t="shared" si="25"/>
        <v>0</v>
      </c>
      <c r="G130" s="100">
        <f>ROUND($G$8+VaBenefits[[#This Row],[timeFromValuation]],0)</f>
        <v>116</v>
      </c>
      <c r="H130" s="21">
        <f>ROUND($H$8+VaBenefits[[#This Row],[timeFromValuation]],0)</f>
        <v>126</v>
      </c>
      <c r="I130" s="28" t="b">
        <f>VaBenefits[[#This Row],[Withdrawal Taken  ]]&gt;0</f>
        <v>0</v>
      </c>
      <c r="J130" s="45">
        <f>IF(AND(NOT(VaBenefits[[#This Row],[Is Activation]]),VaBenefits[[#This Row],[Assumed Contract Value ]]&gt;0),VaBenefits[[#This Row],[Withdrawal Taken  ]]/VaBenefits[[#This Row],[Assumed Contract Value ]],0)</f>
        <v>0</v>
      </c>
      <c r="K13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0" s="28" t="b">
        <f>AND(VaBenefits[[#This Row],[Is Activation]],SUMIFS($E$8:$E130,$C$8:$C130,TRUE)&gt;0)</f>
        <v>0</v>
      </c>
      <c r="M13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0" s="35" t="b">
        <f>IF(VaBenefits[[#This Row],[timeFromValuation]]=0,0, MOD(VaBenefits[[#This Row],[timeFromValuation]],1)=0)</f>
        <v>1</v>
      </c>
      <c r="O130" s="7">
        <f>IF(VaBenefits[[#This Row],[Is Anniversary?]]=TRUE,VaBenefits[[#This Row],[Assumed Contract Value ]],0)</f>
        <v>0</v>
      </c>
      <c r="P13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0" s="7" t="b">
        <f>VaBenefits[[#This Row],[Assumed Contract Value ]]&lt;0.1</f>
        <v>1</v>
      </c>
      <c r="R13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0" s="7">
        <f ca="1">IF(AND(VaBenefits[[#This Row],[Is Activation]]=FALSE,VaBenefits[[#This Row],[Is Anniversary?]]=TRUE),OFFSET( VaBenefits[[#This Row],[Income Credit Base]],-1,0)*ICP,0)</f>
        <v>0</v>
      </c>
      <c r="T130" s="5">
        <f>IF(VaBenefits[[#This Row],[Assumed Contract Value ]]&gt;0,VaBenefits[[#This Row],[Income Base]]*MAWA,0)</f>
        <v>0</v>
      </c>
      <c r="U130" s="99">
        <v>0</v>
      </c>
      <c r="V130" s="9">
        <f>1/(1+InterestRate)^VaBenefits[[#This Row],[timeFromValuation]]</f>
        <v>5.0986213091899268E-2</v>
      </c>
      <c r="W130" s="94">
        <f>VaBenefits[[#This Row],[timeFromValuation]]</f>
        <v>61</v>
      </c>
      <c r="X130" s="95">
        <f>IF(($G$8+VaBenefits[[#This Row],[timeFromValuation]])&lt;=120,VLOOKUP(G130,Table2[],Qx!L$6,FALSE),0)</f>
        <v>0.6</v>
      </c>
      <c r="Y130" s="95">
        <f>IF(($H$8+VaBenefits[[#This Row],[timeFromValuation]])&lt;=120,VLOOKUP(H130,Table2[],Qx!M$6,FALSE),0)</f>
        <v>0</v>
      </c>
      <c r="Z130" s="94">
        <f>PRODUCT($X$8:$X130)</f>
        <v>2.8868192366917768E-9</v>
      </c>
      <c r="AA130" s="94">
        <f>PRODUCT($Y$8:$Y130)</f>
        <v>0</v>
      </c>
      <c r="AB130" s="94">
        <f>VaBenefits[[#This Row],[Primary Annuitant Px]]+VaBenefits[[#This Row],[Secondary Annuitant Py]]-VaBenefits[[#This Row],[Primary Annuitant Px]]*VaBenefits[[#This Row],[Secondary Annuitant Py]]</f>
        <v>0.6</v>
      </c>
      <c r="AC130" s="94">
        <f>PRODUCT($AB$8:$AB130)</f>
        <v>1.3020743157440164E-5</v>
      </c>
      <c r="AD130" s="101">
        <f>PV(1.03,20,-VaBenefits[[#This Row],[Protected Income Payment]])</f>
        <v>0</v>
      </c>
    </row>
    <row r="131" spans="1:30" x14ac:dyDescent="0.3">
      <c r="A131" s="35">
        <f t="shared" si="21"/>
        <v>123</v>
      </c>
      <c r="B131" s="33">
        <f t="shared" si="22"/>
        <v>61.5</v>
      </c>
      <c r="C131" s="30" t="b">
        <f>AND(VaBenefits[[#This Row],[timeFromValuation]]&gt;=ACT,VaBenefits[[#This Row],[Assumed Contract Value ]]&gt;0)</f>
        <v>0</v>
      </c>
      <c r="D131" s="34">
        <f t="shared" si="24"/>
        <v>0</v>
      </c>
      <c r="E131" s="34">
        <f>IF(Use_Base_Case, AP131,IF(VaBenefits[[#This Row],[Is Anniversary?]],WithAmt,0))</f>
        <v>0</v>
      </c>
      <c r="F131" s="34">
        <f t="shared" si="25"/>
        <v>0</v>
      </c>
      <c r="G131" s="100">
        <f>ROUND($G$8+VaBenefits[[#This Row],[timeFromValuation]],0)</f>
        <v>117</v>
      </c>
      <c r="H131" s="21">
        <f>ROUND($H$8+VaBenefits[[#This Row],[timeFromValuation]],0)</f>
        <v>127</v>
      </c>
      <c r="I131" s="28" t="b">
        <f>VaBenefits[[#This Row],[Withdrawal Taken  ]]&gt;0</f>
        <v>0</v>
      </c>
      <c r="J131" s="45">
        <f>IF(AND(NOT(VaBenefits[[#This Row],[Is Activation]]),VaBenefits[[#This Row],[Assumed Contract Value ]]&gt;0),VaBenefits[[#This Row],[Withdrawal Taken  ]]/VaBenefits[[#This Row],[Assumed Contract Value ]],0)</f>
        <v>0</v>
      </c>
      <c r="K13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1" s="28" t="b">
        <f>AND(VaBenefits[[#This Row],[Is Activation]],SUMIFS($E$8:$E131,$C$8:$C131,TRUE)&gt;0)</f>
        <v>0</v>
      </c>
      <c r="M13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1" s="35" t="b">
        <f>IF(VaBenefits[[#This Row],[timeFromValuation]]=0,0, MOD(VaBenefits[[#This Row],[timeFromValuation]],1)=0)</f>
        <v>0</v>
      </c>
      <c r="O131" s="7">
        <f>IF(VaBenefits[[#This Row],[Is Anniversary?]]=TRUE,VaBenefits[[#This Row],[Assumed Contract Value ]],0)</f>
        <v>0</v>
      </c>
      <c r="P13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1" s="7" t="b">
        <f>VaBenefits[[#This Row],[Assumed Contract Value ]]&lt;0.1</f>
        <v>1</v>
      </c>
      <c r="R13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1" s="7">
        <f ca="1">IF(AND(VaBenefits[[#This Row],[Is Activation]]=FALSE,VaBenefits[[#This Row],[Is Anniversary?]]=TRUE),OFFSET( VaBenefits[[#This Row],[Income Credit Base]],-1,0)*ICP,0)</f>
        <v>0</v>
      </c>
      <c r="T131" s="5">
        <f>IF(VaBenefits[[#This Row],[Assumed Contract Value ]]&gt;0,VaBenefits[[#This Row],[Income Base]]*MAWA,0)</f>
        <v>0</v>
      </c>
      <c r="U131" s="99">
        <v>0</v>
      </c>
      <c r="V131" s="9">
        <f>1/(1+InterestRate)^VaBenefits[[#This Row],[timeFromValuation]]</f>
        <v>4.9757449075753857E-2</v>
      </c>
      <c r="W131" s="94">
        <f>VaBenefits[[#This Row],[timeFromValuation]]</f>
        <v>61.5</v>
      </c>
      <c r="X131" s="95">
        <f>IF(($G$8+VaBenefits[[#This Row],[timeFromValuation]])&lt;=120,VLOOKUP(G131,Table2[],Qx!L$6,FALSE),0)</f>
        <v>0.6</v>
      </c>
      <c r="Y131" s="95">
        <f>IF(($H$8+VaBenefits[[#This Row],[timeFromValuation]])&lt;=120,VLOOKUP(H131,Table2[],Qx!M$6,FALSE),0)</f>
        <v>0</v>
      </c>
      <c r="Z131" s="94">
        <f>PRODUCT($X$8:$X131)</f>
        <v>1.7320915420150659E-9</v>
      </c>
      <c r="AA131" s="94">
        <f>PRODUCT($Y$8:$Y131)</f>
        <v>0</v>
      </c>
      <c r="AB131" s="94">
        <f>VaBenefits[[#This Row],[Primary Annuitant Px]]+VaBenefits[[#This Row],[Secondary Annuitant Py]]-VaBenefits[[#This Row],[Primary Annuitant Px]]*VaBenefits[[#This Row],[Secondary Annuitant Py]]</f>
        <v>0.6</v>
      </c>
      <c r="AC131" s="94">
        <f>PRODUCT($AB$8:$AB131)</f>
        <v>7.8124458944640984E-6</v>
      </c>
      <c r="AD131" s="101">
        <f>PV(1.03,20,-VaBenefits[[#This Row],[Protected Income Payment]])</f>
        <v>0</v>
      </c>
    </row>
    <row r="132" spans="1:30" x14ac:dyDescent="0.3">
      <c r="A132" s="35">
        <f t="shared" si="21"/>
        <v>124</v>
      </c>
      <c r="B132" s="33">
        <f t="shared" si="22"/>
        <v>62</v>
      </c>
      <c r="C132" s="30" t="b">
        <f>AND(VaBenefits[[#This Row],[timeFromValuation]]&gt;=ACT,VaBenefits[[#This Row],[Assumed Contract Value ]]&gt;0)</f>
        <v>0</v>
      </c>
      <c r="D132" s="34">
        <f t="shared" si="24"/>
        <v>0</v>
      </c>
      <c r="E132" s="34">
        <f>IF(Use_Base_Case, AP132,IF(VaBenefits[[#This Row],[Is Anniversary?]],WithAmt,0))</f>
        <v>0</v>
      </c>
      <c r="F132" s="34">
        <f t="shared" si="25"/>
        <v>0</v>
      </c>
      <c r="G132" s="100">
        <f>ROUND($G$8+VaBenefits[[#This Row],[timeFromValuation]],0)</f>
        <v>117</v>
      </c>
      <c r="H132" s="21">
        <f>ROUND($H$8+VaBenefits[[#This Row],[timeFromValuation]],0)</f>
        <v>127</v>
      </c>
      <c r="I132" s="28" t="b">
        <f>VaBenefits[[#This Row],[Withdrawal Taken  ]]&gt;0</f>
        <v>0</v>
      </c>
      <c r="J132" s="45">
        <f>IF(AND(NOT(VaBenefits[[#This Row],[Is Activation]]),VaBenefits[[#This Row],[Assumed Contract Value ]]&gt;0),VaBenefits[[#This Row],[Withdrawal Taken  ]]/VaBenefits[[#This Row],[Assumed Contract Value ]],0)</f>
        <v>0</v>
      </c>
      <c r="K13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2" s="28" t="b">
        <f>AND(VaBenefits[[#This Row],[Is Activation]],SUMIFS($E$8:$E132,$C$8:$C132,TRUE)&gt;0)</f>
        <v>0</v>
      </c>
      <c r="M13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2" s="35" t="b">
        <f>IF(VaBenefits[[#This Row],[timeFromValuation]]=0,0, MOD(VaBenefits[[#This Row],[timeFromValuation]],1)=0)</f>
        <v>1</v>
      </c>
      <c r="O132" s="7">
        <f>IF(VaBenefits[[#This Row],[Is Anniversary?]]=TRUE,VaBenefits[[#This Row],[Assumed Contract Value ]],0)</f>
        <v>0</v>
      </c>
      <c r="P13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2" s="7" t="b">
        <f>VaBenefits[[#This Row],[Assumed Contract Value ]]&lt;0.1</f>
        <v>1</v>
      </c>
      <c r="R13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2" s="7">
        <f ca="1">IF(AND(VaBenefits[[#This Row],[Is Activation]]=FALSE,VaBenefits[[#This Row],[Is Anniversary?]]=TRUE),OFFSET( VaBenefits[[#This Row],[Income Credit Base]],-1,0)*ICP,0)</f>
        <v>0</v>
      </c>
      <c r="T132" s="5">
        <f>IF(VaBenefits[[#This Row],[Assumed Contract Value ]]&gt;0,VaBenefits[[#This Row],[Income Base]]*MAWA,0)</f>
        <v>0</v>
      </c>
      <c r="U132" s="99">
        <v>0</v>
      </c>
      <c r="V132" s="9">
        <f>1/(1+InterestRate)^VaBenefits[[#This Row],[timeFromValuation]]</f>
        <v>4.855829818276123E-2</v>
      </c>
      <c r="W132" s="94">
        <f>VaBenefits[[#This Row],[timeFromValuation]]</f>
        <v>62</v>
      </c>
      <c r="X132" s="95">
        <f>IF(($G$8+VaBenefits[[#This Row],[timeFromValuation]])&lt;=120,VLOOKUP(G132,Table2[],Qx!L$6,FALSE),0)</f>
        <v>0.6</v>
      </c>
      <c r="Y132" s="95">
        <f>IF(($H$8+VaBenefits[[#This Row],[timeFromValuation]])&lt;=120,VLOOKUP(H132,Table2[],Qx!M$6,FALSE),0)</f>
        <v>0</v>
      </c>
      <c r="Z132" s="94">
        <f>PRODUCT($X$8:$X132)</f>
        <v>1.0392549252090395E-9</v>
      </c>
      <c r="AA132" s="94">
        <f>PRODUCT($Y$8:$Y132)</f>
        <v>0</v>
      </c>
      <c r="AB132" s="94">
        <f>VaBenefits[[#This Row],[Primary Annuitant Px]]+VaBenefits[[#This Row],[Secondary Annuitant Py]]-VaBenefits[[#This Row],[Primary Annuitant Px]]*VaBenefits[[#This Row],[Secondary Annuitant Py]]</f>
        <v>0.6</v>
      </c>
      <c r="AC132" s="94">
        <f>PRODUCT($AB$8:$AB132)</f>
        <v>4.6874675366784586E-6</v>
      </c>
      <c r="AD132" s="101">
        <f>PV(1.03,20,-VaBenefits[[#This Row],[Protected Income Payment]])</f>
        <v>0</v>
      </c>
    </row>
    <row r="133" spans="1:30" x14ac:dyDescent="0.3">
      <c r="A133" s="35">
        <f t="shared" si="21"/>
        <v>125</v>
      </c>
      <c r="B133" s="33">
        <f t="shared" si="22"/>
        <v>62.5</v>
      </c>
      <c r="C133" s="30" t="b">
        <f>AND(VaBenefits[[#This Row],[timeFromValuation]]&gt;=ACT,VaBenefits[[#This Row],[Assumed Contract Value ]]&gt;0)</f>
        <v>0</v>
      </c>
      <c r="D133" s="34">
        <f t="shared" si="24"/>
        <v>0</v>
      </c>
      <c r="E133" s="34">
        <f>IF(Use_Base_Case, AP133,IF(VaBenefits[[#This Row],[Is Anniversary?]],WithAmt,0))</f>
        <v>0</v>
      </c>
      <c r="F133" s="34">
        <f t="shared" si="25"/>
        <v>0</v>
      </c>
      <c r="G133" s="100">
        <f>ROUND($G$8+VaBenefits[[#This Row],[timeFromValuation]],0)</f>
        <v>118</v>
      </c>
      <c r="H133" s="21">
        <f>ROUND($H$8+VaBenefits[[#This Row],[timeFromValuation]],0)</f>
        <v>128</v>
      </c>
      <c r="I133" s="28" t="b">
        <f>VaBenefits[[#This Row],[Withdrawal Taken  ]]&gt;0</f>
        <v>0</v>
      </c>
      <c r="J133" s="45">
        <f>IF(AND(NOT(VaBenefits[[#This Row],[Is Activation]]),VaBenefits[[#This Row],[Assumed Contract Value ]]&gt;0),VaBenefits[[#This Row],[Withdrawal Taken  ]]/VaBenefits[[#This Row],[Assumed Contract Value ]],0)</f>
        <v>0</v>
      </c>
      <c r="K13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3" s="28" t="b">
        <f>AND(VaBenefits[[#This Row],[Is Activation]],SUMIFS($E$8:$E133,$C$8:$C133,TRUE)&gt;0)</f>
        <v>0</v>
      </c>
      <c r="M13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3" s="35" t="b">
        <f>IF(VaBenefits[[#This Row],[timeFromValuation]]=0,0, MOD(VaBenefits[[#This Row],[timeFromValuation]],1)=0)</f>
        <v>0</v>
      </c>
      <c r="O133" s="7">
        <f>IF(VaBenefits[[#This Row],[Is Anniversary?]]=TRUE,VaBenefits[[#This Row],[Assumed Contract Value ]],0)</f>
        <v>0</v>
      </c>
      <c r="P13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3" s="7" t="b">
        <f>VaBenefits[[#This Row],[Assumed Contract Value ]]&lt;0.1</f>
        <v>1</v>
      </c>
      <c r="R13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3" s="7">
        <f ca="1">IF(AND(VaBenefits[[#This Row],[Is Activation]]=FALSE,VaBenefits[[#This Row],[Is Anniversary?]]=TRUE),OFFSET( VaBenefits[[#This Row],[Income Credit Base]],-1,0)*ICP,0)</f>
        <v>0</v>
      </c>
      <c r="T133" s="5">
        <f>IF(VaBenefits[[#This Row],[Assumed Contract Value ]]&gt;0,VaBenefits[[#This Row],[Income Base]]*MAWA,0)</f>
        <v>0</v>
      </c>
      <c r="U133" s="99">
        <v>0</v>
      </c>
      <c r="V133" s="9">
        <f>1/(1+InterestRate)^VaBenefits[[#This Row],[timeFromValuation]]</f>
        <v>4.7388046738813201E-2</v>
      </c>
      <c r="W133" s="94">
        <f>VaBenefits[[#This Row],[timeFromValuation]]</f>
        <v>62.5</v>
      </c>
      <c r="X133" s="95">
        <f>IF(($G$8+VaBenefits[[#This Row],[timeFromValuation]])&lt;=120,VLOOKUP(G133,Table2[],Qx!L$6,FALSE),0)</f>
        <v>0.6</v>
      </c>
      <c r="Y133" s="95">
        <f>IF(($H$8+VaBenefits[[#This Row],[timeFromValuation]])&lt;=120,VLOOKUP(H133,Table2[],Qx!M$6,FALSE),0)</f>
        <v>0</v>
      </c>
      <c r="Z133" s="94">
        <f>PRODUCT($X$8:$X133)</f>
        <v>6.2355295512542365E-10</v>
      </c>
      <c r="AA133" s="94">
        <f>PRODUCT($Y$8:$Y133)</f>
        <v>0</v>
      </c>
      <c r="AB133" s="94">
        <f>VaBenefits[[#This Row],[Primary Annuitant Px]]+VaBenefits[[#This Row],[Secondary Annuitant Py]]-VaBenefits[[#This Row],[Primary Annuitant Px]]*VaBenefits[[#This Row],[Secondary Annuitant Py]]</f>
        <v>0.6</v>
      </c>
      <c r="AC133" s="94">
        <f>PRODUCT($AB$8:$AB133)</f>
        <v>2.8124805220070749E-6</v>
      </c>
      <c r="AD133" s="101">
        <f>PV(1.03,20,-VaBenefits[[#This Row],[Protected Income Payment]])</f>
        <v>0</v>
      </c>
    </row>
    <row r="134" spans="1:30" x14ac:dyDescent="0.3">
      <c r="A134" s="35">
        <f t="shared" si="21"/>
        <v>126</v>
      </c>
      <c r="B134" s="33">
        <f t="shared" si="22"/>
        <v>63</v>
      </c>
      <c r="C134" s="30" t="b">
        <f>AND(VaBenefits[[#This Row],[timeFromValuation]]&gt;=ACT,VaBenefits[[#This Row],[Assumed Contract Value ]]&gt;0)</f>
        <v>0</v>
      </c>
      <c r="D134" s="34">
        <f t="shared" si="24"/>
        <v>0</v>
      </c>
      <c r="E134" s="34">
        <f>IF(Use_Base_Case, AP134,IF(VaBenefits[[#This Row],[Is Anniversary?]],WithAmt,0))</f>
        <v>0</v>
      </c>
      <c r="F134" s="34">
        <f t="shared" si="25"/>
        <v>0</v>
      </c>
      <c r="G134" s="100">
        <f>ROUND($G$8+VaBenefits[[#This Row],[timeFromValuation]],0)</f>
        <v>118</v>
      </c>
      <c r="H134" s="21">
        <f>ROUND($H$8+VaBenefits[[#This Row],[timeFromValuation]],0)</f>
        <v>128</v>
      </c>
      <c r="I134" s="28" t="b">
        <f>VaBenefits[[#This Row],[Withdrawal Taken  ]]&gt;0</f>
        <v>0</v>
      </c>
      <c r="J134" s="45">
        <f>IF(AND(NOT(VaBenefits[[#This Row],[Is Activation]]),VaBenefits[[#This Row],[Assumed Contract Value ]]&gt;0),VaBenefits[[#This Row],[Withdrawal Taken  ]]/VaBenefits[[#This Row],[Assumed Contract Value ]],0)</f>
        <v>0</v>
      </c>
      <c r="K13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4" s="28" t="b">
        <f>AND(VaBenefits[[#This Row],[Is Activation]],SUMIFS($E$8:$E134,$C$8:$C134,TRUE)&gt;0)</f>
        <v>0</v>
      </c>
      <c r="M13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4" s="35" t="b">
        <f>IF(VaBenefits[[#This Row],[timeFromValuation]]=0,0, MOD(VaBenefits[[#This Row],[timeFromValuation]],1)=0)</f>
        <v>1</v>
      </c>
      <c r="O134" s="7">
        <f>IF(VaBenefits[[#This Row],[Is Anniversary?]]=TRUE,VaBenefits[[#This Row],[Assumed Contract Value ]],0)</f>
        <v>0</v>
      </c>
      <c r="P13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4" s="7" t="b">
        <f>VaBenefits[[#This Row],[Assumed Contract Value ]]&lt;0.1</f>
        <v>1</v>
      </c>
      <c r="R13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4" s="7">
        <f ca="1">IF(AND(VaBenefits[[#This Row],[Is Activation]]=FALSE,VaBenefits[[#This Row],[Is Anniversary?]]=TRUE),OFFSET( VaBenefits[[#This Row],[Income Credit Base]],-1,0)*ICP,0)</f>
        <v>0</v>
      </c>
      <c r="T134" s="5">
        <f>IF(VaBenefits[[#This Row],[Assumed Contract Value ]]&gt;0,VaBenefits[[#This Row],[Income Base]]*MAWA,0)</f>
        <v>0</v>
      </c>
      <c r="U134" s="99">
        <v>0</v>
      </c>
      <c r="V134" s="9">
        <f>1/(1+InterestRate)^VaBenefits[[#This Row],[timeFromValuation]]</f>
        <v>4.6245998269296387E-2</v>
      </c>
      <c r="W134" s="94">
        <f>VaBenefits[[#This Row],[timeFromValuation]]</f>
        <v>63</v>
      </c>
      <c r="X134" s="95">
        <f>IF(($G$8+VaBenefits[[#This Row],[timeFromValuation]])&lt;=120,VLOOKUP(G134,Table2[],Qx!L$6,FALSE),0)</f>
        <v>0.6</v>
      </c>
      <c r="Y134" s="95">
        <f>IF(($H$8+VaBenefits[[#This Row],[timeFromValuation]])&lt;=120,VLOOKUP(H134,Table2[],Qx!M$6,FALSE),0)</f>
        <v>0</v>
      </c>
      <c r="Z134" s="94">
        <f>PRODUCT($X$8:$X134)</f>
        <v>3.7413177307525419E-10</v>
      </c>
      <c r="AA134" s="94">
        <f>PRODUCT($Y$8:$Y134)</f>
        <v>0</v>
      </c>
      <c r="AB134" s="94">
        <f>VaBenefits[[#This Row],[Primary Annuitant Px]]+VaBenefits[[#This Row],[Secondary Annuitant Py]]-VaBenefits[[#This Row],[Primary Annuitant Px]]*VaBenefits[[#This Row],[Secondary Annuitant Py]]</f>
        <v>0.6</v>
      </c>
      <c r="AC134" s="94">
        <f>PRODUCT($AB$8:$AB134)</f>
        <v>1.6874883132042448E-6</v>
      </c>
      <c r="AD134" s="101">
        <f>PV(1.03,20,-VaBenefits[[#This Row],[Protected Income Payment]])</f>
        <v>0</v>
      </c>
    </row>
    <row r="135" spans="1:30" x14ac:dyDescent="0.3">
      <c r="A135" s="35">
        <f t="shared" si="21"/>
        <v>127</v>
      </c>
      <c r="B135" s="33">
        <f t="shared" si="22"/>
        <v>63.5</v>
      </c>
      <c r="C135" s="30" t="b">
        <f>AND(VaBenefits[[#This Row],[timeFromValuation]]&gt;=ACT,VaBenefits[[#This Row],[Assumed Contract Value ]]&gt;0)</f>
        <v>0</v>
      </c>
      <c r="D135" s="34">
        <f t="shared" si="24"/>
        <v>0</v>
      </c>
      <c r="E135" s="34">
        <f>IF(Use_Base_Case, AP135,IF(VaBenefits[[#This Row],[Is Anniversary?]],WithAmt,0))</f>
        <v>0</v>
      </c>
      <c r="F135" s="34">
        <f t="shared" si="25"/>
        <v>0</v>
      </c>
      <c r="G135" s="100">
        <f>ROUND($G$8+VaBenefits[[#This Row],[timeFromValuation]],0)</f>
        <v>119</v>
      </c>
      <c r="H135" s="21">
        <f>ROUND($H$8+VaBenefits[[#This Row],[timeFromValuation]],0)</f>
        <v>129</v>
      </c>
      <c r="I135" s="28" t="b">
        <f>VaBenefits[[#This Row],[Withdrawal Taken  ]]&gt;0</f>
        <v>0</v>
      </c>
      <c r="J135" s="45">
        <f>IF(AND(NOT(VaBenefits[[#This Row],[Is Activation]]),VaBenefits[[#This Row],[Assumed Contract Value ]]&gt;0),VaBenefits[[#This Row],[Withdrawal Taken  ]]/VaBenefits[[#This Row],[Assumed Contract Value ]],0)</f>
        <v>0</v>
      </c>
      <c r="K13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5" s="28" t="b">
        <f>AND(VaBenefits[[#This Row],[Is Activation]],SUMIFS($E$8:$E135,$C$8:$C135,TRUE)&gt;0)</f>
        <v>0</v>
      </c>
      <c r="M13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5" s="35" t="b">
        <f>IF(VaBenefits[[#This Row],[timeFromValuation]]=0,0, MOD(VaBenefits[[#This Row],[timeFromValuation]],1)=0)</f>
        <v>0</v>
      </c>
      <c r="O135" s="7">
        <f>IF(VaBenefits[[#This Row],[Is Anniversary?]]=TRUE,VaBenefits[[#This Row],[Assumed Contract Value ]],0)</f>
        <v>0</v>
      </c>
      <c r="P13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5" s="7" t="b">
        <f>VaBenefits[[#This Row],[Assumed Contract Value ]]&lt;0.1</f>
        <v>1</v>
      </c>
      <c r="R13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5" s="7">
        <f ca="1">IF(AND(VaBenefits[[#This Row],[Is Activation]]=FALSE,VaBenefits[[#This Row],[Is Anniversary?]]=TRUE),OFFSET( VaBenefits[[#This Row],[Income Credit Base]],-1,0)*ICP,0)</f>
        <v>0</v>
      </c>
      <c r="T135" s="5">
        <f>IF(VaBenefits[[#This Row],[Assumed Contract Value ]]&gt;0,VaBenefits[[#This Row],[Income Base]]*MAWA,0)</f>
        <v>0</v>
      </c>
      <c r="U135" s="99">
        <v>0</v>
      </c>
      <c r="V135" s="9">
        <f>1/(1+InterestRate)^VaBenefits[[#This Row],[timeFromValuation]]</f>
        <v>4.5131473084583998E-2</v>
      </c>
      <c r="W135" s="94">
        <f>VaBenefits[[#This Row],[timeFromValuation]]</f>
        <v>63.5</v>
      </c>
      <c r="X135" s="95">
        <f>IF(($G$8+VaBenefits[[#This Row],[timeFromValuation]])&lt;=120,VLOOKUP(G135,Table2[],Qx!L$6,FALSE),0)</f>
        <v>0.6</v>
      </c>
      <c r="Y135" s="95">
        <f>IF(($H$8+VaBenefits[[#This Row],[timeFromValuation]])&lt;=120,VLOOKUP(H135,Table2[],Qx!M$6,FALSE),0)</f>
        <v>0</v>
      </c>
      <c r="Z135" s="94">
        <f>PRODUCT($X$8:$X135)</f>
        <v>2.244790638451525E-10</v>
      </c>
      <c r="AA135" s="94">
        <f>PRODUCT($Y$8:$Y135)</f>
        <v>0</v>
      </c>
      <c r="AB135" s="94">
        <f>VaBenefits[[#This Row],[Primary Annuitant Px]]+VaBenefits[[#This Row],[Secondary Annuitant Py]]-VaBenefits[[#This Row],[Primary Annuitant Px]]*VaBenefits[[#This Row],[Secondary Annuitant Py]]</f>
        <v>0.6</v>
      </c>
      <c r="AC135" s="94">
        <f>PRODUCT($AB$8:$AB135)</f>
        <v>1.0124929879225469E-6</v>
      </c>
      <c r="AD135" s="101">
        <f>PV(1.03,20,-VaBenefits[[#This Row],[Protected Income Payment]])</f>
        <v>0</v>
      </c>
    </row>
    <row r="136" spans="1:30" x14ac:dyDescent="0.3">
      <c r="A136" s="35">
        <f t="shared" si="21"/>
        <v>128</v>
      </c>
      <c r="B136" s="33">
        <f t="shared" si="22"/>
        <v>64</v>
      </c>
      <c r="C136" s="30" t="b">
        <f>AND(VaBenefits[[#This Row],[timeFromValuation]]&gt;=ACT,VaBenefits[[#This Row],[Assumed Contract Value ]]&gt;0)</f>
        <v>0</v>
      </c>
      <c r="D136" s="34">
        <f t="shared" ref="D136:D167" si="26">IF(Is_Issued, 0,AO136)</f>
        <v>0</v>
      </c>
      <c r="E136" s="34">
        <f>IF(Use_Base_Case, AP136,IF(VaBenefits[[#This Row],[Is Anniversary?]],WithAmt,0))</f>
        <v>0</v>
      </c>
      <c r="F136" s="34">
        <f t="shared" si="25"/>
        <v>0</v>
      </c>
      <c r="G136" s="100">
        <f>ROUND($G$8+VaBenefits[[#This Row],[timeFromValuation]],0)</f>
        <v>119</v>
      </c>
      <c r="H136" s="21">
        <f>ROUND($H$8+VaBenefits[[#This Row],[timeFromValuation]],0)</f>
        <v>129</v>
      </c>
      <c r="I136" s="28" t="b">
        <f>VaBenefits[[#This Row],[Withdrawal Taken  ]]&gt;0</f>
        <v>0</v>
      </c>
      <c r="J136" s="45">
        <f>IF(AND(NOT(VaBenefits[[#This Row],[Is Activation]]),VaBenefits[[#This Row],[Assumed Contract Value ]]&gt;0),VaBenefits[[#This Row],[Withdrawal Taken  ]]/VaBenefits[[#This Row],[Assumed Contract Value ]],0)</f>
        <v>0</v>
      </c>
      <c r="K13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6" s="28" t="b">
        <f>AND(VaBenefits[[#This Row],[Is Activation]],SUMIFS($E$8:$E136,$C$8:$C136,TRUE)&gt;0)</f>
        <v>0</v>
      </c>
      <c r="M13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6" s="35" t="b">
        <f>IF(VaBenefits[[#This Row],[timeFromValuation]]=0,0, MOD(VaBenefits[[#This Row],[timeFromValuation]],1)=0)</f>
        <v>1</v>
      </c>
      <c r="O136" s="7">
        <f>IF(VaBenefits[[#This Row],[Is Anniversary?]]=TRUE,VaBenefits[[#This Row],[Assumed Contract Value ]],0)</f>
        <v>0</v>
      </c>
      <c r="P13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6" s="7" t="b">
        <f>VaBenefits[[#This Row],[Assumed Contract Value ]]&lt;0.1</f>
        <v>1</v>
      </c>
      <c r="R13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6" s="7">
        <f ca="1">IF(AND(VaBenefits[[#This Row],[Is Activation]]=FALSE,VaBenefits[[#This Row],[Is Anniversary?]]=TRUE),OFFSET( VaBenefits[[#This Row],[Income Credit Base]],-1,0)*ICP,0)</f>
        <v>0</v>
      </c>
      <c r="T136" s="5">
        <f>IF(VaBenefits[[#This Row],[Assumed Contract Value ]]&gt;0,VaBenefits[[#This Row],[Income Base]]*MAWA,0)</f>
        <v>0</v>
      </c>
      <c r="U136" s="99">
        <v>0</v>
      </c>
      <c r="V136" s="9">
        <f>1/(1+InterestRate)^VaBenefits[[#This Row],[timeFromValuation]]</f>
        <v>4.4043807875520369E-2</v>
      </c>
      <c r="W136" s="94">
        <f>VaBenefits[[#This Row],[timeFromValuation]]</f>
        <v>64</v>
      </c>
      <c r="X136" s="95">
        <f>IF(($G$8+VaBenefits[[#This Row],[timeFromValuation]])&lt;=120,VLOOKUP(G136,Table2[],Qx!L$6,FALSE),0)</f>
        <v>0.6</v>
      </c>
      <c r="Y136" s="95">
        <f>IF(($H$8+VaBenefits[[#This Row],[timeFromValuation]])&lt;=120,VLOOKUP(H136,Table2[],Qx!M$6,FALSE),0)</f>
        <v>0</v>
      </c>
      <c r="Z136" s="94">
        <f>PRODUCT($X$8:$X136)</f>
        <v>1.3468743830709148E-10</v>
      </c>
      <c r="AA136" s="94">
        <f>PRODUCT($Y$8:$Y136)</f>
        <v>0</v>
      </c>
      <c r="AB136" s="94">
        <f>VaBenefits[[#This Row],[Primary Annuitant Px]]+VaBenefits[[#This Row],[Secondary Annuitant Py]]-VaBenefits[[#This Row],[Primary Annuitant Px]]*VaBenefits[[#This Row],[Secondary Annuitant Py]]</f>
        <v>0.6</v>
      </c>
      <c r="AC136" s="94">
        <f>PRODUCT($AB$8:$AB136)</f>
        <v>6.0749579275352812E-7</v>
      </c>
      <c r="AD136" s="101">
        <f>PV(1.03,20,-VaBenefits[[#This Row],[Protected Income Payment]])</f>
        <v>0</v>
      </c>
    </row>
    <row r="137" spans="1:30" x14ac:dyDescent="0.3">
      <c r="A137" s="35">
        <f t="shared" si="21"/>
        <v>129</v>
      </c>
      <c r="B137" s="33">
        <f t="shared" si="22"/>
        <v>64.5</v>
      </c>
      <c r="C137" s="30" t="b">
        <f>AND(VaBenefits[[#This Row],[timeFromValuation]]&gt;=ACT,VaBenefits[[#This Row],[Assumed Contract Value ]]&gt;0)</f>
        <v>0</v>
      </c>
      <c r="D137" s="34">
        <f t="shared" si="26"/>
        <v>0</v>
      </c>
      <c r="E137" s="34">
        <f>IF(Use_Base_Case, AP137,IF(VaBenefits[[#This Row],[Is Anniversary?]],WithAmt,0))</f>
        <v>0</v>
      </c>
      <c r="F137" s="34">
        <f t="shared" ref="F137:F168" si="27">AQ137</f>
        <v>0</v>
      </c>
      <c r="G137" s="100">
        <f>ROUND($G$8+VaBenefits[[#This Row],[timeFromValuation]],0)</f>
        <v>120</v>
      </c>
      <c r="H137" s="21">
        <f>ROUND($H$8+VaBenefits[[#This Row],[timeFromValuation]],0)</f>
        <v>130</v>
      </c>
      <c r="I137" s="28" t="b">
        <f>VaBenefits[[#This Row],[Withdrawal Taken  ]]&gt;0</f>
        <v>0</v>
      </c>
      <c r="J137" s="45">
        <f>IF(AND(NOT(VaBenefits[[#This Row],[Is Activation]]),VaBenefits[[#This Row],[Assumed Contract Value ]]&gt;0),VaBenefits[[#This Row],[Withdrawal Taken  ]]/VaBenefits[[#This Row],[Assumed Contract Value ]],0)</f>
        <v>0</v>
      </c>
      <c r="K13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7" s="28" t="b">
        <f>AND(VaBenefits[[#This Row],[Is Activation]],SUMIFS($E$8:$E137,$C$8:$C137,TRUE)&gt;0)</f>
        <v>0</v>
      </c>
      <c r="M13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7" s="35" t="b">
        <f>IF(VaBenefits[[#This Row],[timeFromValuation]]=0,0, MOD(VaBenefits[[#This Row],[timeFromValuation]],1)=0)</f>
        <v>0</v>
      </c>
      <c r="O137" s="7">
        <f>IF(VaBenefits[[#This Row],[Is Anniversary?]]=TRUE,VaBenefits[[#This Row],[Assumed Contract Value ]],0)</f>
        <v>0</v>
      </c>
      <c r="P13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7" s="7" t="b">
        <f>VaBenefits[[#This Row],[Assumed Contract Value ]]&lt;0.1</f>
        <v>1</v>
      </c>
      <c r="R13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7" s="7">
        <f ca="1">IF(AND(VaBenefits[[#This Row],[Is Activation]]=FALSE,VaBenefits[[#This Row],[Is Anniversary?]]=TRUE),OFFSET( VaBenefits[[#This Row],[Income Credit Base]],-1,0)*ICP,0)</f>
        <v>0</v>
      </c>
      <c r="T137" s="5">
        <f>IF(VaBenefits[[#This Row],[Assumed Contract Value ]]&gt;0,VaBenefits[[#This Row],[Income Base]]*MAWA,0)</f>
        <v>0</v>
      </c>
      <c r="U137" s="99">
        <v>0</v>
      </c>
      <c r="V137" s="9">
        <f>1/(1+InterestRate)^VaBenefits[[#This Row],[timeFromValuation]]</f>
        <v>4.2982355318651418E-2</v>
      </c>
      <c r="W137" s="94">
        <f>VaBenefits[[#This Row],[timeFromValuation]]</f>
        <v>64.5</v>
      </c>
      <c r="X137" s="95">
        <f>IF(($G$8+VaBenefits[[#This Row],[timeFromValuation]])&lt;=120,VLOOKUP(G137,Table2[],Qx!L$6,FALSE),0)</f>
        <v>0</v>
      </c>
      <c r="Y137" s="95">
        <f>IF(($H$8+VaBenefits[[#This Row],[timeFromValuation]])&lt;=120,VLOOKUP(H137,Table2[],Qx!M$6,FALSE),0)</f>
        <v>0</v>
      </c>
      <c r="Z137" s="94">
        <f>PRODUCT($X$8:$X137)</f>
        <v>0</v>
      </c>
      <c r="AA137" s="94">
        <f>PRODUCT($Y$8:$Y137)</f>
        <v>0</v>
      </c>
      <c r="AB137" s="94">
        <f>VaBenefits[[#This Row],[Primary Annuitant Px]]+VaBenefits[[#This Row],[Secondary Annuitant Py]]-VaBenefits[[#This Row],[Primary Annuitant Px]]*VaBenefits[[#This Row],[Secondary Annuitant Py]]</f>
        <v>0</v>
      </c>
      <c r="AC137" s="94">
        <f>PRODUCT($AB$8:$AB137)</f>
        <v>0</v>
      </c>
      <c r="AD137" s="101">
        <f>PV(1.03,20,-VaBenefits[[#This Row],[Protected Income Payment]])</f>
        <v>0</v>
      </c>
    </row>
    <row r="138" spans="1:30" x14ac:dyDescent="0.3">
      <c r="A138" s="35">
        <f t="shared" ref="A138:A190" si="28">A137+1</f>
        <v>130</v>
      </c>
      <c r="B138" s="33">
        <f t="shared" ref="B138:B190" si="29">B137+0.5</f>
        <v>65</v>
      </c>
      <c r="C138" s="30" t="b">
        <f>AND(VaBenefits[[#This Row],[timeFromValuation]]&gt;=ACT,VaBenefits[[#This Row],[Assumed Contract Value ]]&gt;0)</f>
        <v>0</v>
      </c>
      <c r="D138" s="34">
        <f t="shared" si="26"/>
        <v>0</v>
      </c>
      <c r="E138" s="34">
        <f>IF(Use_Base_Case, AP138,IF(VaBenefits[[#This Row],[Is Anniversary?]],WithAmt,0))</f>
        <v>0</v>
      </c>
      <c r="F138" s="34">
        <f t="shared" si="27"/>
        <v>0</v>
      </c>
      <c r="G138" s="100">
        <f>ROUND($G$8+VaBenefits[[#This Row],[timeFromValuation]],0)</f>
        <v>120</v>
      </c>
      <c r="H138" s="21">
        <f>ROUND($H$8+VaBenefits[[#This Row],[timeFromValuation]],0)</f>
        <v>130</v>
      </c>
      <c r="I138" s="28" t="b">
        <f>VaBenefits[[#This Row],[Withdrawal Taken  ]]&gt;0</f>
        <v>0</v>
      </c>
      <c r="J138" s="45">
        <f>IF(AND(NOT(VaBenefits[[#This Row],[Is Activation]]),VaBenefits[[#This Row],[Assumed Contract Value ]]&gt;0),VaBenefits[[#This Row],[Withdrawal Taken  ]]/VaBenefits[[#This Row],[Assumed Contract Value ]],0)</f>
        <v>0</v>
      </c>
      <c r="K13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8" s="28" t="b">
        <f>AND(VaBenefits[[#This Row],[Is Activation]],SUMIFS($E$8:$E138,$C$8:$C138,TRUE)&gt;0)</f>
        <v>0</v>
      </c>
      <c r="M13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8" s="35" t="b">
        <f>IF(VaBenefits[[#This Row],[timeFromValuation]]=0,0, MOD(VaBenefits[[#This Row],[timeFromValuation]],1)=0)</f>
        <v>1</v>
      </c>
      <c r="O138" s="7">
        <f>IF(VaBenefits[[#This Row],[Is Anniversary?]]=TRUE,VaBenefits[[#This Row],[Assumed Contract Value ]],0)</f>
        <v>0</v>
      </c>
      <c r="P13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8" s="7" t="b">
        <f>VaBenefits[[#This Row],[Assumed Contract Value ]]&lt;0.1</f>
        <v>1</v>
      </c>
      <c r="R13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8" s="7">
        <f ca="1">IF(AND(VaBenefits[[#This Row],[Is Activation]]=FALSE,VaBenefits[[#This Row],[Is Anniversary?]]=TRUE),OFFSET( VaBenefits[[#This Row],[Income Credit Base]],-1,0)*ICP,0)</f>
        <v>0</v>
      </c>
      <c r="T138" s="5">
        <f>IF(VaBenefits[[#This Row],[Assumed Contract Value ]]&gt;0,VaBenefits[[#This Row],[Income Base]]*MAWA,0)</f>
        <v>0</v>
      </c>
      <c r="U138" s="99">
        <v>0</v>
      </c>
      <c r="V138" s="9">
        <f>1/(1+InterestRate)^VaBenefits[[#This Row],[timeFromValuation]]</f>
        <v>4.1946483690971779E-2</v>
      </c>
      <c r="W138" s="94">
        <f>VaBenefits[[#This Row],[timeFromValuation]]</f>
        <v>65</v>
      </c>
      <c r="X138" s="95">
        <f>IF(($G$8+VaBenefits[[#This Row],[timeFromValuation]])&lt;=120,VLOOKUP(G138,Table2[],Qx!L$6,FALSE),0)</f>
        <v>0</v>
      </c>
      <c r="Y138" s="95">
        <f>IF(($H$8+VaBenefits[[#This Row],[timeFromValuation]])&lt;=120,VLOOKUP(H138,Table2[],Qx!M$6,FALSE),0)</f>
        <v>0</v>
      </c>
      <c r="Z138" s="94">
        <f>PRODUCT($X$8:$X138)</f>
        <v>0</v>
      </c>
      <c r="AA138" s="94">
        <f>PRODUCT($Y$8:$Y138)</f>
        <v>0</v>
      </c>
      <c r="AB138" s="94">
        <f>VaBenefits[[#This Row],[Primary Annuitant Px]]+VaBenefits[[#This Row],[Secondary Annuitant Py]]-VaBenefits[[#This Row],[Primary Annuitant Px]]*VaBenefits[[#This Row],[Secondary Annuitant Py]]</f>
        <v>0</v>
      </c>
      <c r="AC138" s="94">
        <f>PRODUCT($AB$8:$AB138)</f>
        <v>0</v>
      </c>
      <c r="AD138" s="101">
        <f>PV(1.03,20,-VaBenefits[[#This Row],[Protected Income Payment]])</f>
        <v>0</v>
      </c>
    </row>
    <row r="139" spans="1:30" x14ac:dyDescent="0.3">
      <c r="A139" s="35">
        <f t="shared" si="28"/>
        <v>131</v>
      </c>
      <c r="B139" s="33">
        <f t="shared" si="29"/>
        <v>65.5</v>
      </c>
      <c r="C139" s="30" t="b">
        <f>AND(VaBenefits[[#This Row],[timeFromValuation]]&gt;=ACT,VaBenefits[[#This Row],[Assumed Contract Value ]]&gt;0)</f>
        <v>0</v>
      </c>
      <c r="D139" s="34">
        <f t="shared" si="26"/>
        <v>0</v>
      </c>
      <c r="E139" s="34">
        <f>IF(Use_Base_Case, AP139,IF(VaBenefits[[#This Row],[Is Anniversary?]],WithAmt,0))</f>
        <v>0</v>
      </c>
      <c r="F139" s="34">
        <f t="shared" si="27"/>
        <v>0</v>
      </c>
      <c r="G139" s="100">
        <f>ROUND($G$8+VaBenefits[[#This Row],[timeFromValuation]],0)</f>
        <v>121</v>
      </c>
      <c r="H139" s="21">
        <f>ROUND($H$8+VaBenefits[[#This Row],[timeFromValuation]],0)</f>
        <v>131</v>
      </c>
      <c r="I139" s="28" t="b">
        <f>VaBenefits[[#This Row],[Withdrawal Taken  ]]&gt;0</f>
        <v>0</v>
      </c>
      <c r="J139" s="45">
        <f>IF(AND(NOT(VaBenefits[[#This Row],[Is Activation]]),VaBenefits[[#This Row],[Assumed Contract Value ]]&gt;0),VaBenefits[[#This Row],[Withdrawal Taken  ]]/VaBenefits[[#This Row],[Assumed Contract Value ]],0)</f>
        <v>0</v>
      </c>
      <c r="K13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39" s="28" t="b">
        <f>AND(VaBenefits[[#This Row],[Is Activation]],SUMIFS($E$8:$E139,$C$8:$C139,TRUE)&gt;0)</f>
        <v>0</v>
      </c>
      <c r="M13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39" s="35" t="b">
        <f>IF(VaBenefits[[#This Row],[timeFromValuation]]=0,0, MOD(VaBenefits[[#This Row],[timeFromValuation]],1)=0)</f>
        <v>0</v>
      </c>
      <c r="O139" s="7">
        <f>IF(VaBenefits[[#This Row],[Is Anniversary?]]=TRUE,VaBenefits[[#This Row],[Assumed Contract Value ]],0)</f>
        <v>0</v>
      </c>
      <c r="P13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39" s="7" t="b">
        <f>VaBenefits[[#This Row],[Assumed Contract Value ]]&lt;0.1</f>
        <v>1</v>
      </c>
      <c r="R13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39" s="7">
        <f ca="1">IF(AND(VaBenefits[[#This Row],[Is Activation]]=FALSE,VaBenefits[[#This Row],[Is Anniversary?]]=TRUE),OFFSET( VaBenefits[[#This Row],[Income Credit Base]],-1,0)*ICP,0)</f>
        <v>0</v>
      </c>
      <c r="T139" s="5">
        <f>IF(VaBenefits[[#This Row],[Assumed Contract Value ]]&gt;0,VaBenefits[[#This Row],[Income Base]]*MAWA,0)</f>
        <v>0</v>
      </c>
      <c r="U139" s="99">
        <v>0</v>
      </c>
      <c r="V139" s="9">
        <f>1/(1+InterestRate)^VaBenefits[[#This Row],[timeFromValuation]]</f>
        <v>4.0935576493953726E-2</v>
      </c>
      <c r="W139" s="94">
        <f>VaBenefits[[#This Row],[timeFromValuation]]</f>
        <v>65.5</v>
      </c>
      <c r="X139" s="95">
        <f>IF(($G$8+VaBenefits[[#This Row],[timeFromValuation]])&lt;=120,VLOOKUP(G139,Table2[],Qx!L$6,FALSE),0)</f>
        <v>0</v>
      </c>
      <c r="Y139" s="95">
        <f>IF(($H$8+VaBenefits[[#This Row],[timeFromValuation]])&lt;=120,VLOOKUP(H139,Table2[],Qx!M$6,FALSE),0)</f>
        <v>0</v>
      </c>
      <c r="Z139" s="95">
        <v>0</v>
      </c>
      <c r="AA139" s="95">
        <v>0</v>
      </c>
      <c r="AB139" s="95">
        <v>0</v>
      </c>
      <c r="AC139" s="95">
        <v>0</v>
      </c>
      <c r="AD139" s="101">
        <f>PV(1.03,20,-VaBenefits[[#This Row],[Protected Income Payment]])</f>
        <v>0</v>
      </c>
    </row>
    <row r="140" spans="1:30" x14ac:dyDescent="0.3">
      <c r="A140" s="35">
        <f t="shared" si="28"/>
        <v>132</v>
      </c>
      <c r="B140" s="33">
        <f t="shared" si="29"/>
        <v>66</v>
      </c>
      <c r="C140" s="30" t="b">
        <f>AND(VaBenefits[[#This Row],[timeFromValuation]]&gt;=ACT,VaBenefits[[#This Row],[Assumed Contract Value ]]&gt;0)</f>
        <v>0</v>
      </c>
      <c r="D140" s="34">
        <f t="shared" si="26"/>
        <v>0</v>
      </c>
      <c r="E140" s="34">
        <f>IF(Use_Base_Case, AP140,IF(VaBenefits[[#This Row],[Is Anniversary?]],WithAmt,0))</f>
        <v>0</v>
      </c>
      <c r="F140" s="34">
        <f t="shared" si="27"/>
        <v>0</v>
      </c>
      <c r="G140" s="100">
        <f>ROUND($G$8+VaBenefits[[#This Row],[timeFromValuation]],0)</f>
        <v>121</v>
      </c>
      <c r="H140" s="21">
        <f>ROUND($H$8+VaBenefits[[#This Row],[timeFromValuation]],0)</f>
        <v>131</v>
      </c>
      <c r="I140" s="28" t="b">
        <f>VaBenefits[[#This Row],[Withdrawal Taken  ]]&gt;0</f>
        <v>0</v>
      </c>
      <c r="J140" s="45">
        <f>IF(AND(NOT(VaBenefits[[#This Row],[Is Activation]]),VaBenefits[[#This Row],[Assumed Contract Value ]]&gt;0),VaBenefits[[#This Row],[Withdrawal Taken  ]]/VaBenefits[[#This Row],[Assumed Contract Value ]],0)</f>
        <v>0</v>
      </c>
      <c r="K14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0" s="28" t="b">
        <f>AND(VaBenefits[[#This Row],[Is Activation]],SUMIFS($E$8:$E140,$C$8:$C140,TRUE)&gt;0)</f>
        <v>0</v>
      </c>
      <c r="M14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0" s="35" t="b">
        <f>IF(VaBenefits[[#This Row],[timeFromValuation]]=0,0, MOD(VaBenefits[[#This Row],[timeFromValuation]],1)=0)</f>
        <v>1</v>
      </c>
      <c r="O140" s="7">
        <f>IF(VaBenefits[[#This Row],[Is Anniversary?]]=TRUE,VaBenefits[[#This Row],[Assumed Contract Value ]],0)</f>
        <v>0</v>
      </c>
      <c r="P14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0" s="7" t="b">
        <f>VaBenefits[[#This Row],[Assumed Contract Value ]]&lt;0.1</f>
        <v>1</v>
      </c>
      <c r="R14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0" s="7">
        <f ca="1">IF(AND(VaBenefits[[#This Row],[Is Activation]]=FALSE,VaBenefits[[#This Row],[Is Anniversary?]]=TRUE),OFFSET( VaBenefits[[#This Row],[Income Credit Base]],-1,0)*ICP,0)</f>
        <v>0</v>
      </c>
      <c r="T140" s="5">
        <f>IF(VaBenefits[[#This Row],[Assumed Contract Value ]]&gt;0,VaBenefits[[#This Row],[Income Base]]*MAWA,0)</f>
        <v>0</v>
      </c>
      <c r="U140" s="99">
        <v>0</v>
      </c>
      <c r="V140" s="9">
        <f>1/(1+InterestRate)^VaBenefits[[#This Row],[timeFromValuation]]</f>
        <v>3.9949032086639788E-2</v>
      </c>
      <c r="W140" s="94">
        <f>VaBenefits[[#This Row],[timeFromValuation]]</f>
        <v>66</v>
      </c>
      <c r="X140" s="95">
        <f>IF(($G$8+VaBenefits[[#This Row],[timeFromValuation]])&lt;=120,VLOOKUP(G140,Table2[],Qx!L$6,FALSE),0)</f>
        <v>0</v>
      </c>
      <c r="Y140" s="95">
        <f>IF(($H$8+VaBenefits[[#This Row],[timeFromValuation]])&lt;=120,VLOOKUP(H140,Table2[],Qx!M$6,FALSE),0)</f>
        <v>0</v>
      </c>
      <c r="Z140" s="95">
        <v>0</v>
      </c>
      <c r="AA140" s="95">
        <v>0</v>
      </c>
      <c r="AB140" s="95">
        <v>0</v>
      </c>
      <c r="AC140" s="95">
        <v>0</v>
      </c>
      <c r="AD140" s="101">
        <f>PV(1.03,20,-VaBenefits[[#This Row],[Protected Income Payment]])</f>
        <v>0</v>
      </c>
    </row>
    <row r="141" spans="1:30" x14ac:dyDescent="0.3">
      <c r="A141" s="35">
        <f t="shared" si="28"/>
        <v>133</v>
      </c>
      <c r="B141" s="33">
        <f t="shared" si="29"/>
        <v>66.5</v>
      </c>
      <c r="C141" s="30" t="b">
        <f>AND(VaBenefits[[#This Row],[timeFromValuation]]&gt;=ACT,VaBenefits[[#This Row],[Assumed Contract Value ]]&gt;0)</f>
        <v>0</v>
      </c>
      <c r="D141" s="34">
        <f t="shared" si="26"/>
        <v>0</v>
      </c>
      <c r="E141" s="34">
        <f>IF(Use_Base_Case, AP141,IF(VaBenefits[[#This Row],[Is Anniversary?]],WithAmt,0))</f>
        <v>0</v>
      </c>
      <c r="F141" s="34">
        <f t="shared" si="27"/>
        <v>0</v>
      </c>
      <c r="G141" s="100">
        <f>ROUND($G$8+VaBenefits[[#This Row],[timeFromValuation]],0)</f>
        <v>122</v>
      </c>
      <c r="H141" s="21">
        <f>ROUND($H$8+VaBenefits[[#This Row],[timeFromValuation]],0)</f>
        <v>132</v>
      </c>
      <c r="I141" s="28" t="b">
        <f>VaBenefits[[#This Row],[Withdrawal Taken  ]]&gt;0</f>
        <v>0</v>
      </c>
      <c r="J141" s="45">
        <f>IF(AND(NOT(VaBenefits[[#This Row],[Is Activation]]),VaBenefits[[#This Row],[Assumed Contract Value ]]&gt;0),VaBenefits[[#This Row],[Withdrawal Taken  ]]/VaBenefits[[#This Row],[Assumed Contract Value ]],0)</f>
        <v>0</v>
      </c>
      <c r="K14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1" s="28" t="b">
        <f>AND(VaBenefits[[#This Row],[Is Activation]],SUMIFS($E$8:$E141,$C$8:$C141,TRUE)&gt;0)</f>
        <v>0</v>
      </c>
      <c r="M14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1" s="35" t="b">
        <f>IF(VaBenefits[[#This Row],[timeFromValuation]]=0,0, MOD(VaBenefits[[#This Row],[timeFromValuation]],1)=0)</f>
        <v>0</v>
      </c>
      <c r="O141" s="7">
        <f>IF(VaBenefits[[#This Row],[Is Anniversary?]]=TRUE,VaBenefits[[#This Row],[Assumed Contract Value ]],0)</f>
        <v>0</v>
      </c>
      <c r="P14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1" s="7" t="b">
        <f>VaBenefits[[#This Row],[Assumed Contract Value ]]&lt;0.1</f>
        <v>1</v>
      </c>
      <c r="R14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1" s="7">
        <f ca="1">IF(AND(VaBenefits[[#This Row],[Is Activation]]=FALSE,VaBenefits[[#This Row],[Is Anniversary?]]=TRUE),OFFSET( VaBenefits[[#This Row],[Income Credit Base]],-1,0)*ICP,0)</f>
        <v>0</v>
      </c>
      <c r="T141" s="5">
        <f>IF(VaBenefits[[#This Row],[Assumed Contract Value ]]&gt;0,VaBenefits[[#This Row],[Income Base]]*MAWA,0)</f>
        <v>0</v>
      </c>
      <c r="U141" s="99">
        <v>0</v>
      </c>
      <c r="V141" s="9">
        <f>1/(1+InterestRate)^VaBenefits[[#This Row],[timeFromValuation]]</f>
        <v>3.8986263327574988E-2</v>
      </c>
      <c r="W141" s="94">
        <f>VaBenefits[[#This Row],[timeFromValuation]]</f>
        <v>66.5</v>
      </c>
      <c r="X141" s="95">
        <f>IF(($G$8+VaBenefits[[#This Row],[timeFromValuation]])&lt;=120,VLOOKUP(G141,Table2[],Qx!L$6,FALSE),0)</f>
        <v>0</v>
      </c>
      <c r="Y141" s="95">
        <f>IF(($H$8+VaBenefits[[#This Row],[timeFromValuation]])&lt;=120,VLOOKUP(H141,Table2[],Qx!M$6,FALSE),0)</f>
        <v>0</v>
      </c>
      <c r="Z141" s="95">
        <v>0</v>
      </c>
      <c r="AA141" s="95">
        <v>0</v>
      </c>
      <c r="AB141" s="95">
        <v>0</v>
      </c>
      <c r="AC141" s="95">
        <v>0</v>
      </c>
      <c r="AD141" s="101">
        <f>PV(1.03,20,-VaBenefits[[#This Row],[Protected Income Payment]])</f>
        <v>0</v>
      </c>
    </row>
    <row r="142" spans="1:30" x14ac:dyDescent="0.3">
      <c r="A142" s="35">
        <f t="shared" si="28"/>
        <v>134</v>
      </c>
      <c r="B142" s="33">
        <f t="shared" si="29"/>
        <v>67</v>
      </c>
      <c r="C142" s="30" t="b">
        <f>AND(VaBenefits[[#This Row],[timeFromValuation]]&gt;=ACT,VaBenefits[[#This Row],[Assumed Contract Value ]]&gt;0)</f>
        <v>0</v>
      </c>
      <c r="D142" s="34">
        <f t="shared" si="26"/>
        <v>0</v>
      </c>
      <c r="E142" s="34">
        <f>IF(Use_Base_Case, AP142,IF(VaBenefits[[#This Row],[Is Anniversary?]],WithAmt,0))</f>
        <v>0</v>
      </c>
      <c r="F142" s="34">
        <f t="shared" si="27"/>
        <v>0</v>
      </c>
      <c r="G142" s="100">
        <f>ROUND($G$8+VaBenefits[[#This Row],[timeFromValuation]],0)</f>
        <v>122</v>
      </c>
      <c r="H142" s="21">
        <f>ROUND($H$8+VaBenefits[[#This Row],[timeFromValuation]],0)</f>
        <v>132</v>
      </c>
      <c r="I142" s="28" t="b">
        <f>VaBenefits[[#This Row],[Withdrawal Taken  ]]&gt;0</f>
        <v>0</v>
      </c>
      <c r="J142" s="45">
        <f>IF(AND(NOT(VaBenefits[[#This Row],[Is Activation]]),VaBenefits[[#This Row],[Assumed Contract Value ]]&gt;0),VaBenefits[[#This Row],[Withdrawal Taken  ]]/VaBenefits[[#This Row],[Assumed Contract Value ]],0)</f>
        <v>0</v>
      </c>
      <c r="K14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2" s="28" t="b">
        <f>AND(VaBenefits[[#This Row],[Is Activation]],SUMIFS($E$8:$E142,$C$8:$C142,TRUE)&gt;0)</f>
        <v>0</v>
      </c>
      <c r="M14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2" s="35" t="b">
        <f>IF(VaBenefits[[#This Row],[timeFromValuation]]=0,0, MOD(VaBenefits[[#This Row],[timeFromValuation]],1)=0)</f>
        <v>1</v>
      </c>
      <c r="O142" s="7">
        <f>IF(VaBenefits[[#This Row],[Is Anniversary?]]=TRUE,VaBenefits[[#This Row],[Assumed Contract Value ]],0)</f>
        <v>0</v>
      </c>
      <c r="P14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2" s="7" t="b">
        <f>VaBenefits[[#This Row],[Assumed Contract Value ]]&lt;0.1</f>
        <v>1</v>
      </c>
      <c r="R14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2" s="7">
        <f ca="1">IF(AND(VaBenefits[[#This Row],[Is Activation]]=FALSE,VaBenefits[[#This Row],[Is Anniversary?]]=TRUE),OFFSET( VaBenefits[[#This Row],[Income Credit Base]],-1,0)*ICP,0)</f>
        <v>0</v>
      </c>
      <c r="T142" s="5">
        <f>IF(VaBenefits[[#This Row],[Assumed Contract Value ]]&gt;0,VaBenefits[[#This Row],[Income Base]]*MAWA,0)</f>
        <v>0</v>
      </c>
      <c r="U142" s="99">
        <v>0</v>
      </c>
      <c r="V142" s="9">
        <f>1/(1+InterestRate)^VaBenefits[[#This Row],[timeFromValuation]]</f>
        <v>3.8046697225371226E-2</v>
      </c>
      <c r="W142" s="94">
        <f>VaBenefits[[#This Row],[timeFromValuation]]</f>
        <v>67</v>
      </c>
      <c r="X142" s="95">
        <f>IF(($G$8+VaBenefits[[#This Row],[timeFromValuation]])&lt;=120,VLOOKUP(G142,Table2[],Qx!L$6,FALSE),0)</f>
        <v>0</v>
      </c>
      <c r="Y142" s="95">
        <f>IF(($H$8+VaBenefits[[#This Row],[timeFromValuation]])&lt;=120,VLOOKUP(H142,Table2[],Qx!M$6,FALSE),0)</f>
        <v>0</v>
      </c>
      <c r="Z142" s="95">
        <v>0</v>
      </c>
      <c r="AA142" s="95">
        <v>0</v>
      </c>
      <c r="AB142" s="95">
        <v>0</v>
      </c>
      <c r="AC142" s="95">
        <v>0</v>
      </c>
      <c r="AD142" s="101">
        <f>PV(1.03,20,-VaBenefits[[#This Row],[Protected Income Payment]])</f>
        <v>0</v>
      </c>
    </row>
    <row r="143" spans="1:30" x14ac:dyDescent="0.3">
      <c r="A143" s="35">
        <f t="shared" si="28"/>
        <v>135</v>
      </c>
      <c r="B143" s="33">
        <f t="shared" si="29"/>
        <v>67.5</v>
      </c>
      <c r="C143" s="30" t="b">
        <f>AND(VaBenefits[[#This Row],[timeFromValuation]]&gt;=ACT,VaBenefits[[#This Row],[Assumed Contract Value ]]&gt;0)</f>
        <v>0</v>
      </c>
      <c r="D143" s="34">
        <f t="shared" si="26"/>
        <v>0</v>
      </c>
      <c r="E143" s="34">
        <f>IF(Use_Base_Case, AP143,IF(VaBenefits[[#This Row],[Is Anniversary?]],WithAmt,0))</f>
        <v>0</v>
      </c>
      <c r="F143" s="34">
        <f t="shared" si="27"/>
        <v>0</v>
      </c>
      <c r="G143" s="100">
        <f>ROUND($G$8+VaBenefits[[#This Row],[timeFromValuation]],0)</f>
        <v>123</v>
      </c>
      <c r="H143" s="21">
        <f>ROUND($H$8+VaBenefits[[#This Row],[timeFromValuation]],0)</f>
        <v>133</v>
      </c>
      <c r="I143" s="28" t="b">
        <f>VaBenefits[[#This Row],[Withdrawal Taken  ]]&gt;0</f>
        <v>0</v>
      </c>
      <c r="J143" s="45">
        <f>IF(AND(NOT(VaBenefits[[#This Row],[Is Activation]]),VaBenefits[[#This Row],[Assumed Contract Value ]]&gt;0),VaBenefits[[#This Row],[Withdrawal Taken  ]]/VaBenefits[[#This Row],[Assumed Contract Value ]],0)</f>
        <v>0</v>
      </c>
      <c r="K14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3" s="28" t="b">
        <f>AND(VaBenefits[[#This Row],[Is Activation]],SUMIFS($E$8:$E143,$C$8:$C143,TRUE)&gt;0)</f>
        <v>0</v>
      </c>
      <c r="M14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3" s="35" t="b">
        <f>IF(VaBenefits[[#This Row],[timeFromValuation]]=0,0, MOD(VaBenefits[[#This Row],[timeFromValuation]],1)=0)</f>
        <v>0</v>
      </c>
      <c r="O143" s="7">
        <f>IF(VaBenefits[[#This Row],[Is Anniversary?]]=TRUE,VaBenefits[[#This Row],[Assumed Contract Value ]],0)</f>
        <v>0</v>
      </c>
      <c r="P14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3" s="7" t="b">
        <f>VaBenefits[[#This Row],[Assumed Contract Value ]]&lt;0.1</f>
        <v>1</v>
      </c>
      <c r="R14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3" s="7">
        <f ca="1">IF(AND(VaBenefits[[#This Row],[Is Activation]]=FALSE,VaBenefits[[#This Row],[Is Anniversary?]]=TRUE),OFFSET( VaBenefits[[#This Row],[Income Credit Base]],-1,0)*ICP,0)</f>
        <v>0</v>
      </c>
      <c r="T143" s="5">
        <f>IF(VaBenefits[[#This Row],[Assumed Contract Value ]]&gt;0,VaBenefits[[#This Row],[Income Base]]*MAWA,0)</f>
        <v>0</v>
      </c>
      <c r="U143" s="99">
        <v>0</v>
      </c>
      <c r="V143" s="9">
        <f>1/(1+InterestRate)^VaBenefits[[#This Row],[timeFromValuation]]</f>
        <v>3.7129774597690457E-2</v>
      </c>
      <c r="W143" s="94">
        <f>VaBenefits[[#This Row],[timeFromValuation]]</f>
        <v>67.5</v>
      </c>
      <c r="X143" s="95">
        <f>IF(($G$8+VaBenefits[[#This Row],[timeFromValuation]])&lt;=120,VLOOKUP(G143,Table2[],Qx!L$6,FALSE),0)</f>
        <v>0</v>
      </c>
      <c r="Y143" s="95">
        <f>IF(($H$8+VaBenefits[[#This Row],[timeFromValuation]])&lt;=120,VLOOKUP(H143,Table2[],Qx!M$6,FALSE),0)</f>
        <v>0</v>
      </c>
      <c r="Z143" s="95">
        <v>0</v>
      </c>
      <c r="AA143" s="95">
        <v>0</v>
      </c>
      <c r="AB143" s="95">
        <v>0</v>
      </c>
      <c r="AC143" s="95">
        <v>0</v>
      </c>
      <c r="AD143" s="101">
        <f>PV(1.03,20,-VaBenefits[[#This Row],[Protected Income Payment]])</f>
        <v>0</v>
      </c>
    </row>
    <row r="144" spans="1:30" x14ac:dyDescent="0.3">
      <c r="A144" s="35">
        <f t="shared" si="28"/>
        <v>136</v>
      </c>
      <c r="B144" s="33">
        <f t="shared" si="29"/>
        <v>68</v>
      </c>
      <c r="C144" s="30" t="b">
        <f>AND(VaBenefits[[#This Row],[timeFromValuation]]&gt;=ACT,VaBenefits[[#This Row],[Assumed Contract Value ]]&gt;0)</f>
        <v>0</v>
      </c>
      <c r="D144" s="34">
        <f t="shared" si="26"/>
        <v>0</v>
      </c>
      <c r="E144" s="34">
        <f>IF(Use_Base_Case, AP144,IF(VaBenefits[[#This Row],[Is Anniversary?]],WithAmt,0))</f>
        <v>0</v>
      </c>
      <c r="F144" s="34">
        <f t="shared" si="27"/>
        <v>0</v>
      </c>
      <c r="G144" s="100">
        <f>ROUND($G$8+VaBenefits[[#This Row],[timeFromValuation]],0)</f>
        <v>123</v>
      </c>
      <c r="H144" s="21">
        <f>ROUND($H$8+VaBenefits[[#This Row],[timeFromValuation]],0)</f>
        <v>133</v>
      </c>
      <c r="I144" s="28" t="b">
        <f>VaBenefits[[#This Row],[Withdrawal Taken  ]]&gt;0</f>
        <v>0</v>
      </c>
      <c r="J144" s="45">
        <f>IF(AND(NOT(VaBenefits[[#This Row],[Is Activation]]),VaBenefits[[#This Row],[Assumed Contract Value ]]&gt;0),VaBenefits[[#This Row],[Withdrawal Taken  ]]/VaBenefits[[#This Row],[Assumed Contract Value ]],0)</f>
        <v>0</v>
      </c>
      <c r="K14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4" s="28" t="b">
        <f>AND(VaBenefits[[#This Row],[Is Activation]],SUMIFS($E$8:$E144,$C$8:$C144,TRUE)&gt;0)</f>
        <v>0</v>
      </c>
      <c r="M14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4" s="35" t="b">
        <f>IF(VaBenefits[[#This Row],[timeFromValuation]]=0,0, MOD(VaBenefits[[#This Row],[timeFromValuation]],1)=0)</f>
        <v>1</v>
      </c>
      <c r="O144" s="7">
        <f>IF(VaBenefits[[#This Row],[Is Anniversary?]]=TRUE,VaBenefits[[#This Row],[Assumed Contract Value ]],0)</f>
        <v>0</v>
      </c>
      <c r="P14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4" s="7" t="b">
        <f>VaBenefits[[#This Row],[Assumed Contract Value ]]&lt;0.1</f>
        <v>1</v>
      </c>
      <c r="R14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4" s="7">
        <f ca="1">IF(AND(VaBenefits[[#This Row],[Is Activation]]=FALSE,VaBenefits[[#This Row],[Is Anniversary?]]=TRUE),OFFSET( VaBenefits[[#This Row],[Income Credit Base]],-1,0)*ICP,0)</f>
        <v>0</v>
      </c>
      <c r="T144" s="5">
        <f>IF(VaBenefits[[#This Row],[Assumed Contract Value ]]&gt;0,VaBenefits[[#This Row],[Income Base]]*MAWA,0)</f>
        <v>0</v>
      </c>
      <c r="U144" s="99">
        <v>0</v>
      </c>
      <c r="V144" s="9">
        <f>1/(1+InterestRate)^VaBenefits[[#This Row],[timeFromValuation]]</f>
        <v>3.6234949738448791E-2</v>
      </c>
      <c r="W144" s="94">
        <f>VaBenefits[[#This Row],[timeFromValuation]]</f>
        <v>68</v>
      </c>
      <c r="X144" s="95">
        <f>IF(($G$8+VaBenefits[[#This Row],[timeFromValuation]])&lt;=120,VLOOKUP(G144,Table2[],Qx!L$6,FALSE),0)</f>
        <v>0</v>
      </c>
      <c r="Y144" s="95">
        <f>IF(($H$8+VaBenefits[[#This Row],[timeFromValuation]])&lt;=120,VLOOKUP(H144,Table2[],Qx!M$6,FALSE),0)</f>
        <v>0</v>
      </c>
      <c r="Z144" s="95">
        <v>0</v>
      </c>
      <c r="AA144" s="95">
        <v>0</v>
      </c>
      <c r="AB144" s="95">
        <v>0</v>
      </c>
      <c r="AC144" s="95">
        <v>0</v>
      </c>
      <c r="AD144" s="101">
        <f>PV(1.03,20,-VaBenefits[[#This Row],[Protected Income Payment]])</f>
        <v>0</v>
      </c>
    </row>
    <row r="145" spans="1:30" x14ac:dyDescent="0.3">
      <c r="A145" s="35">
        <f t="shared" si="28"/>
        <v>137</v>
      </c>
      <c r="B145" s="33">
        <f t="shared" si="29"/>
        <v>68.5</v>
      </c>
      <c r="C145" s="30" t="b">
        <f>AND(VaBenefits[[#This Row],[timeFromValuation]]&gt;=ACT,VaBenefits[[#This Row],[Assumed Contract Value ]]&gt;0)</f>
        <v>0</v>
      </c>
      <c r="D145" s="34">
        <f t="shared" si="26"/>
        <v>0</v>
      </c>
      <c r="E145" s="34">
        <f>IF(Use_Base_Case, AP145,IF(VaBenefits[[#This Row],[Is Anniversary?]],WithAmt,0))</f>
        <v>0</v>
      </c>
      <c r="F145" s="34">
        <f t="shared" si="27"/>
        <v>0</v>
      </c>
      <c r="G145" s="100">
        <f>ROUND($G$8+VaBenefits[[#This Row],[timeFromValuation]],0)</f>
        <v>124</v>
      </c>
      <c r="H145" s="21">
        <f>ROUND($H$8+VaBenefits[[#This Row],[timeFromValuation]],0)</f>
        <v>134</v>
      </c>
      <c r="I145" s="28" t="b">
        <f>VaBenefits[[#This Row],[Withdrawal Taken  ]]&gt;0</f>
        <v>0</v>
      </c>
      <c r="J145" s="45">
        <f>IF(AND(NOT(VaBenefits[[#This Row],[Is Activation]]),VaBenefits[[#This Row],[Assumed Contract Value ]]&gt;0),VaBenefits[[#This Row],[Withdrawal Taken  ]]/VaBenefits[[#This Row],[Assumed Contract Value ]],0)</f>
        <v>0</v>
      </c>
      <c r="K14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5" s="28" t="b">
        <f>AND(VaBenefits[[#This Row],[Is Activation]],SUMIFS($E$8:$E145,$C$8:$C145,TRUE)&gt;0)</f>
        <v>0</v>
      </c>
      <c r="M14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5" s="35" t="b">
        <f>IF(VaBenefits[[#This Row],[timeFromValuation]]=0,0, MOD(VaBenefits[[#This Row],[timeFromValuation]],1)=0)</f>
        <v>0</v>
      </c>
      <c r="O145" s="7">
        <f>IF(VaBenefits[[#This Row],[Is Anniversary?]]=TRUE,VaBenefits[[#This Row],[Assumed Contract Value ]],0)</f>
        <v>0</v>
      </c>
      <c r="P14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5" s="7" t="b">
        <f>VaBenefits[[#This Row],[Assumed Contract Value ]]&lt;0.1</f>
        <v>1</v>
      </c>
      <c r="R14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5" s="7">
        <f ca="1">IF(AND(VaBenefits[[#This Row],[Is Activation]]=FALSE,VaBenefits[[#This Row],[Is Anniversary?]]=TRUE),OFFSET( VaBenefits[[#This Row],[Income Credit Base]],-1,0)*ICP,0)</f>
        <v>0</v>
      </c>
      <c r="T145" s="5">
        <f>IF(VaBenefits[[#This Row],[Assumed Contract Value ]]&gt;0,VaBenefits[[#This Row],[Income Base]]*MAWA,0)</f>
        <v>0</v>
      </c>
      <c r="U145" s="99">
        <v>0</v>
      </c>
      <c r="V145" s="9">
        <f>1/(1+InterestRate)^VaBenefits[[#This Row],[timeFromValuation]]</f>
        <v>3.5361690093038529E-2</v>
      </c>
      <c r="W145" s="94">
        <f>VaBenefits[[#This Row],[timeFromValuation]]</f>
        <v>68.5</v>
      </c>
      <c r="X145" s="95">
        <f>IF(($G$8+VaBenefits[[#This Row],[timeFromValuation]])&lt;=120,VLOOKUP(G145,Table2[],Qx!L$6,FALSE),0)</f>
        <v>0</v>
      </c>
      <c r="Y145" s="95">
        <f>IF(($H$8+VaBenefits[[#This Row],[timeFromValuation]])&lt;=120,VLOOKUP(H145,Table2[],Qx!M$6,FALSE),0)</f>
        <v>0</v>
      </c>
      <c r="Z145" s="95">
        <v>0</v>
      </c>
      <c r="AA145" s="95">
        <v>0</v>
      </c>
      <c r="AB145" s="95">
        <v>0</v>
      </c>
      <c r="AC145" s="95">
        <v>0</v>
      </c>
      <c r="AD145" s="101">
        <f>PV(1.03,20,-VaBenefits[[#This Row],[Protected Income Payment]])</f>
        <v>0</v>
      </c>
    </row>
    <row r="146" spans="1:30" x14ac:dyDescent="0.3">
      <c r="A146" s="35">
        <f t="shared" si="28"/>
        <v>138</v>
      </c>
      <c r="B146" s="33">
        <f t="shared" si="29"/>
        <v>69</v>
      </c>
      <c r="C146" s="30" t="b">
        <f>AND(VaBenefits[[#This Row],[timeFromValuation]]&gt;=ACT,VaBenefits[[#This Row],[Assumed Contract Value ]]&gt;0)</f>
        <v>0</v>
      </c>
      <c r="D146" s="34">
        <f t="shared" si="26"/>
        <v>0</v>
      </c>
      <c r="E146" s="34">
        <f>IF(Use_Base_Case, AP146,IF(VaBenefits[[#This Row],[Is Anniversary?]],WithAmt,0))</f>
        <v>0</v>
      </c>
      <c r="F146" s="34">
        <f t="shared" si="27"/>
        <v>0</v>
      </c>
      <c r="G146" s="100">
        <f>ROUND($G$8+VaBenefits[[#This Row],[timeFromValuation]],0)</f>
        <v>124</v>
      </c>
      <c r="H146" s="21">
        <f>ROUND($H$8+VaBenefits[[#This Row],[timeFromValuation]],0)</f>
        <v>134</v>
      </c>
      <c r="I146" s="28" t="b">
        <f>VaBenefits[[#This Row],[Withdrawal Taken  ]]&gt;0</f>
        <v>0</v>
      </c>
      <c r="J146" s="45">
        <f>IF(AND(NOT(VaBenefits[[#This Row],[Is Activation]]),VaBenefits[[#This Row],[Assumed Contract Value ]]&gt;0),VaBenefits[[#This Row],[Withdrawal Taken  ]]/VaBenefits[[#This Row],[Assumed Contract Value ]],0)</f>
        <v>0</v>
      </c>
      <c r="K14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6" s="28" t="b">
        <f>AND(VaBenefits[[#This Row],[Is Activation]],SUMIFS($E$8:$E146,$C$8:$C146,TRUE)&gt;0)</f>
        <v>0</v>
      </c>
      <c r="M14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6" s="35" t="b">
        <f>IF(VaBenefits[[#This Row],[timeFromValuation]]=0,0, MOD(VaBenefits[[#This Row],[timeFromValuation]],1)=0)</f>
        <v>1</v>
      </c>
      <c r="O146" s="7">
        <f>IF(VaBenefits[[#This Row],[Is Anniversary?]]=TRUE,VaBenefits[[#This Row],[Assumed Contract Value ]],0)</f>
        <v>0</v>
      </c>
      <c r="P14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6" s="7" t="b">
        <f>VaBenefits[[#This Row],[Assumed Contract Value ]]&lt;0.1</f>
        <v>1</v>
      </c>
      <c r="R14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6" s="7">
        <f ca="1">IF(AND(VaBenefits[[#This Row],[Is Activation]]=FALSE,VaBenefits[[#This Row],[Is Anniversary?]]=TRUE),OFFSET( VaBenefits[[#This Row],[Income Credit Base]],-1,0)*ICP,0)</f>
        <v>0</v>
      </c>
      <c r="T146" s="5">
        <f>IF(VaBenefits[[#This Row],[Assumed Contract Value ]]&gt;0,VaBenefits[[#This Row],[Income Base]]*MAWA,0)</f>
        <v>0</v>
      </c>
      <c r="U146" s="99">
        <v>0</v>
      </c>
      <c r="V146" s="9">
        <f>1/(1+InterestRate)^VaBenefits[[#This Row],[timeFromValuation]]</f>
        <v>3.4509475941379798E-2</v>
      </c>
      <c r="W146" s="94">
        <f>VaBenefits[[#This Row],[timeFromValuation]]</f>
        <v>69</v>
      </c>
      <c r="X146" s="95">
        <f>IF(($G$8+VaBenefits[[#This Row],[timeFromValuation]])&lt;=120,VLOOKUP(G146,Table2[],Qx!L$6,FALSE),0)</f>
        <v>0</v>
      </c>
      <c r="Y146" s="95">
        <f>IF(($H$8+VaBenefits[[#This Row],[timeFromValuation]])&lt;=120,VLOOKUP(H146,Table2[],Qx!M$6,FALSE),0)</f>
        <v>0</v>
      </c>
      <c r="Z146" s="95">
        <v>0</v>
      </c>
      <c r="AA146" s="95">
        <v>0</v>
      </c>
      <c r="AB146" s="95">
        <v>0</v>
      </c>
      <c r="AC146" s="95">
        <v>0</v>
      </c>
      <c r="AD146" s="101">
        <f>PV(1.03,20,-VaBenefits[[#This Row],[Protected Income Payment]])</f>
        <v>0</v>
      </c>
    </row>
    <row r="147" spans="1:30" x14ac:dyDescent="0.3">
      <c r="A147" s="35">
        <f t="shared" si="28"/>
        <v>139</v>
      </c>
      <c r="B147" s="33">
        <f t="shared" si="29"/>
        <v>69.5</v>
      </c>
      <c r="C147" s="30" t="b">
        <f>AND(VaBenefits[[#This Row],[timeFromValuation]]&gt;=ACT,VaBenefits[[#This Row],[Assumed Contract Value ]]&gt;0)</f>
        <v>0</v>
      </c>
      <c r="D147" s="34">
        <f t="shared" si="26"/>
        <v>0</v>
      </c>
      <c r="E147" s="34">
        <f>IF(Use_Base_Case, AP147,IF(VaBenefits[[#This Row],[Is Anniversary?]],WithAmt,0))</f>
        <v>0</v>
      </c>
      <c r="F147" s="34">
        <f t="shared" si="27"/>
        <v>0</v>
      </c>
      <c r="G147" s="100">
        <f>ROUND($G$8+VaBenefits[[#This Row],[timeFromValuation]],0)</f>
        <v>125</v>
      </c>
      <c r="H147" s="21">
        <f>ROUND($H$8+VaBenefits[[#This Row],[timeFromValuation]],0)</f>
        <v>135</v>
      </c>
      <c r="I147" s="28" t="b">
        <f>VaBenefits[[#This Row],[Withdrawal Taken  ]]&gt;0</f>
        <v>0</v>
      </c>
      <c r="J147" s="45">
        <f>IF(AND(NOT(VaBenefits[[#This Row],[Is Activation]]),VaBenefits[[#This Row],[Assumed Contract Value ]]&gt;0),VaBenefits[[#This Row],[Withdrawal Taken  ]]/VaBenefits[[#This Row],[Assumed Contract Value ]],0)</f>
        <v>0</v>
      </c>
      <c r="K14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7" s="28" t="b">
        <f>AND(VaBenefits[[#This Row],[Is Activation]],SUMIFS($E$8:$E147,$C$8:$C147,TRUE)&gt;0)</f>
        <v>0</v>
      </c>
      <c r="M14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7" s="35" t="b">
        <f>IF(VaBenefits[[#This Row],[timeFromValuation]]=0,0, MOD(VaBenefits[[#This Row],[timeFromValuation]],1)=0)</f>
        <v>0</v>
      </c>
      <c r="O147" s="7">
        <f>IF(VaBenefits[[#This Row],[Is Anniversary?]]=TRUE,VaBenefits[[#This Row],[Assumed Contract Value ]],0)</f>
        <v>0</v>
      </c>
      <c r="P14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7" s="7" t="b">
        <f>VaBenefits[[#This Row],[Assumed Contract Value ]]&lt;0.1</f>
        <v>1</v>
      </c>
      <c r="R14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7" s="7">
        <f ca="1">IF(AND(VaBenefits[[#This Row],[Is Activation]]=FALSE,VaBenefits[[#This Row],[Is Anniversary?]]=TRUE),OFFSET( VaBenefits[[#This Row],[Income Credit Base]],-1,0)*ICP,0)</f>
        <v>0</v>
      </c>
      <c r="T147" s="5">
        <f>IF(VaBenefits[[#This Row],[Assumed Contract Value ]]&gt;0,VaBenefits[[#This Row],[Income Base]]*MAWA,0)</f>
        <v>0</v>
      </c>
      <c r="U147" s="99">
        <v>0</v>
      </c>
      <c r="V147" s="9">
        <f>1/(1+InterestRate)^VaBenefits[[#This Row],[timeFromValuation]]</f>
        <v>3.3677800088608122E-2</v>
      </c>
      <c r="W147" s="94">
        <f>VaBenefits[[#This Row],[timeFromValuation]]</f>
        <v>69.5</v>
      </c>
      <c r="X147" s="95">
        <f>IF(($G$8+VaBenefits[[#This Row],[timeFromValuation]])&lt;=120,VLOOKUP(G147,Table2[],Qx!L$6,FALSE),0)</f>
        <v>0</v>
      </c>
      <c r="Y147" s="95">
        <f>IF(($H$8+VaBenefits[[#This Row],[timeFromValuation]])&lt;=120,VLOOKUP(H147,Table2[],Qx!M$6,FALSE),0)</f>
        <v>0</v>
      </c>
      <c r="Z147" s="95">
        <v>0</v>
      </c>
      <c r="AA147" s="95">
        <v>0</v>
      </c>
      <c r="AB147" s="95">
        <v>0</v>
      </c>
      <c r="AC147" s="95">
        <v>0</v>
      </c>
      <c r="AD147" s="101">
        <f>PV(1.03,20,-VaBenefits[[#This Row],[Protected Income Payment]])</f>
        <v>0</v>
      </c>
    </row>
    <row r="148" spans="1:30" x14ac:dyDescent="0.3">
      <c r="A148" s="35">
        <f t="shared" si="28"/>
        <v>140</v>
      </c>
      <c r="B148" s="33">
        <f t="shared" si="29"/>
        <v>70</v>
      </c>
      <c r="C148" s="30" t="b">
        <f>AND(VaBenefits[[#This Row],[timeFromValuation]]&gt;=ACT,VaBenefits[[#This Row],[Assumed Contract Value ]]&gt;0)</f>
        <v>0</v>
      </c>
      <c r="D148" s="34">
        <f t="shared" si="26"/>
        <v>0</v>
      </c>
      <c r="E148" s="34">
        <f>IF(Use_Base_Case, AP148,IF(VaBenefits[[#This Row],[Is Anniversary?]],WithAmt,0))</f>
        <v>0</v>
      </c>
      <c r="F148" s="34">
        <f t="shared" si="27"/>
        <v>0</v>
      </c>
      <c r="G148" s="100">
        <f>ROUND($G$8+VaBenefits[[#This Row],[timeFromValuation]],0)</f>
        <v>125</v>
      </c>
      <c r="H148" s="21">
        <f>ROUND($H$8+VaBenefits[[#This Row],[timeFromValuation]],0)</f>
        <v>135</v>
      </c>
      <c r="I148" s="28" t="b">
        <f>VaBenefits[[#This Row],[Withdrawal Taken  ]]&gt;0</f>
        <v>0</v>
      </c>
      <c r="J148" s="45">
        <f>IF(AND(NOT(VaBenefits[[#This Row],[Is Activation]]),VaBenefits[[#This Row],[Assumed Contract Value ]]&gt;0),VaBenefits[[#This Row],[Withdrawal Taken  ]]/VaBenefits[[#This Row],[Assumed Contract Value ]],0)</f>
        <v>0</v>
      </c>
      <c r="K14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8" s="28" t="b">
        <f>AND(VaBenefits[[#This Row],[Is Activation]],SUMIFS($E$8:$E148,$C$8:$C148,TRUE)&gt;0)</f>
        <v>0</v>
      </c>
      <c r="M14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8" s="35" t="b">
        <f>IF(VaBenefits[[#This Row],[timeFromValuation]]=0,0, MOD(VaBenefits[[#This Row],[timeFromValuation]],1)=0)</f>
        <v>1</v>
      </c>
      <c r="O148" s="7">
        <f>IF(VaBenefits[[#This Row],[Is Anniversary?]]=TRUE,VaBenefits[[#This Row],[Assumed Contract Value ]],0)</f>
        <v>0</v>
      </c>
      <c r="P14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8" s="7" t="b">
        <f>VaBenefits[[#This Row],[Assumed Contract Value ]]&lt;0.1</f>
        <v>1</v>
      </c>
      <c r="R14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8" s="7">
        <f ca="1">IF(AND(VaBenefits[[#This Row],[Is Activation]]=FALSE,VaBenefits[[#This Row],[Is Anniversary?]]=TRUE),OFFSET( VaBenefits[[#This Row],[Income Credit Base]],-1,0)*ICP,0)</f>
        <v>0</v>
      </c>
      <c r="T148" s="5">
        <f>IF(VaBenefits[[#This Row],[Assumed Contract Value ]]&gt;0,VaBenefits[[#This Row],[Income Base]]*MAWA,0)</f>
        <v>0</v>
      </c>
      <c r="U148" s="99">
        <v>0</v>
      </c>
      <c r="V148" s="9">
        <f>1/(1+InterestRate)^VaBenefits[[#This Row],[timeFromValuation]]</f>
        <v>3.2866167563218862E-2</v>
      </c>
      <c r="W148" s="94">
        <f>VaBenefits[[#This Row],[timeFromValuation]]</f>
        <v>70</v>
      </c>
      <c r="X148" s="95">
        <f>IF(($G$8+VaBenefits[[#This Row],[timeFromValuation]])&lt;=120,VLOOKUP(G148,Table2[],Qx!L$6,FALSE),0)</f>
        <v>0</v>
      </c>
      <c r="Y148" s="95">
        <f>IF(($H$8+VaBenefits[[#This Row],[timeFromValuation]])&lt;=120,VLOOKUP(H148,Table2[],Qx!M$6,FALSE),0)</f>
        <v>0</v>
      </c>
      <c r="Z148" s="95">
        <v>0</v>
      </c>
      <c r="AA148" s="95">
        <v>0</v>
      </c>
      <c r="AB148" s="95">
        <v>0</v>
      </c>
      <c r="AC148" s="95">
        <v>0</v>
      </c>
      <c r="AD148" s="101">
        <f>PV(1.03,20,-VaBenefits[[#This Row],[Protected Income Payment]])</f>
        <v>0</v>
      </c>
    </row>
    <row r="149" spans="1:30" x14ac:dyDescent="0.3">
      <c r="A149" s="35">
        <f t="shared" si="28"/>
        <v>141</v>
      </c>
      <c r="B149" s="33">
        <f t="shared" si="29"/>
        <v>70.5</v>
      </c>
      <c r="C149" s="30" t="b">
        <f>AND(VaBenefits[[#This Row],[timeFromValuation]]&gt;=ACT,VaBenefits[[#This Row],[Assumed Contract Value ]]&gt;0)</f>
        <v>0</v>
      </c>
      <c r="D149" s="34">
        <f t="shared" si="26"/>
        <v>0</v>
      </c>
      <c r="E149" s="34">
        <f>IF(Use_Base_Case, AP149,IF(VaBenefits[[#This Row],[Is Anniversary?]],WithAmt,0))</f>
        <v>0</v>
      </c>
      <c r="F149" s="34">
        <f t="shared" si="27"/>
        <v>0</v>
      </c>
      <c r="G149" s="100">
        <f>ROUND($G$8+VaBenefits[[#This Row],[timeFromValuation]],0)</f>
        <v>126</v>
      </c>
      <c r="H149" s="21">
        <f>ROUND($H$8+VaBenefits[[#This Row],[timeFromValuation]],0)</f>
        <v>136</v>
      </c>
      <c r="I149" s="28" t="b">
        <f>VaBenefits[[#This Row],[Withdrawal Taken  ]]&gt;0</f>
        <v>0</v>
      </c>
      <c r="J149" s="45">
        <f>IF(AND(NOT(VaBenefits[[#This Row],[Is Activation]]),VaBenefits[[#This Row],[Assumed Contract Value ]]&gt;0),VaBenefits[[#This Row],[Withdrawal Taken  ]]/VaBenefits[[#This Row],[Assumed Contract Value ]],0)</f>
        <v>0</v>
      </c>
      <c r="K14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49" s="28" t="b">
        <f>AND(VaBenefits[[#This Row],[Is Activation]],SUMIFS($E$8:$E149,$C$8:$C149,TRUE)&gt;0)</f>
        <v>0</v>
      </c>
      <c r="M14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49" s="35" t="b">
        <f>IF(VaBenefits[[#This Row],[timeFromValuation]]=0,0, MOD(VaBenefits[[#This Row],[timeFromValuation]],1)=0)</f>
        <v>0</v>
      </c>
      <c r="O149" s="7">
        <f>IF(VaBenefits[[#This Row],[Is Anniversary?]]=TRUE,VaBenefits[[#This Row],[Assumed Contract Value ]],0)</f>
        <v>0</v>
      </c>
      <c r="P14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49" s="7" t="b">
        <f>VaBenefits[[#This Row],[Assumed Contract Value ]]&lt;0.1</f>
        <v>1</v>
      </c>
      <c r="R14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49" s="7">
        <f ca="1">IF(AND(VaBenefits[[#This Row],[Is Activation]]=FALSE,VaBenefits[[#This Row],[Is Anniversary?]]=TRUE),OFFSET( VaBenefits[[#This Row],[Income Credit Base]],-1,0)*ICP,0)</f>
        <v>0</v>
      </c>
      <c r="T149" s="5">
        <f>IF(VaBenefits[[#This Row],[Assumed Contract Value ]]&gt;0,VaBenefits[[#This Row],[Income Base]]*MAWA,0)</f>
        <v>0</v>
      </c>
      <c r="U149" s="99">
        <v>0</v>
      </c>
      <c r="V149" s="9">
        <f>1/(1+InterestRate)^VaBenefits[[#This Row],[timeFromValuation]]</f>
        <v>3.2074095322483932E-2</v>
      </c>
      <c r="W149" s="94">
        <f>VaBenefits[[#This Row],[timeFromValuation]]</f>
        <v>70.5</v>
      </c>
      <c r="X149" s="95">
        <f>IF(($G$8+VaBenefits[[#This Row],[timeFromValuation]])&lt;=120,VLOOKUP(G149,Table2[],Qx!L$6,FALSE),0)</f>
        <v>0</v>
      </c>
      <c r="Y149" s="95">
        <f>IF(($H$8+VaBenefits[[#This Row],[timeFromValuation]])&lt;=120,VLOOKUP(H149,Table2[],Qx!M$6,FALSE),0)</f>
        <v>0</v>
      </c>
      <c r="Z149" s="95">
        <v>0</v>
      </c>
      <c r="AA149" s="95">
        <v>0</v>
      </c>
      <c r="AB149" s="95">
        <v>0</v>
      </c>
      <c r="AC149" s="95">
        <v>0</v>
      </c>
      <c r="AD149" s="101">
        <f>PV(1.03,20,-VaBenefits[[#This Row],[Protected Income Payment]])</f>
        <v>0</v>
      </c>
    </row>
    <row r="150" spans="1:30" x14ac:dyDescent="0.3">
      <c r="A150" s="35">
        <f t="shared" si="28"/>
        <v>142</v>
      </c>
      <c r="B150" s="33">
        <f t="shared" si="29"/>
        <v>71</v>
      </c>
      <c r="C150" s="30" t="b">
        <f>AND(VaBenefits[[#This Row],[timeFromValuation]]&gt;=ACT,VaBenefits[[#This Row],[Assumed Contract Value ]]&gt;0)</f>
        <v>0</v>
      </c>
      <c r="D150" s="34">
        <f t="shared" si="26"/>
        <v>0</v>
      </c>
      <c r="E150" s="34">
        <f>IF(Use_Base_Case, AP150,IF(VaBenefits[[#This Row],[Is Anniversary?]],WithAmt,0))</f>
        <v>0</v>
      </c>
      <c r="F150" s="34">
        <f t="shared" si="27"/>
        <v>0</v>
      </c>
      <c r="G150" s="100">
        <f>ROUND($G$8+VaBenefits[[#This Row],[timeFromValuation]],0)</f>
        <v>126</v>
      </c>
      <c r="H150" s="21">
        <f>ROUND($H$8+VaBenefits[[#This Row],[timeFromValuation]],0)</f>
        <v>136</v>
      </c>
      <c r="I150" s="28" t="b">
        <f>VaBenefits[[#This Row],[Withdrawal Taken  ]]&gt;0</f>
        <v>0</v>
      </c>
      <c r="J150" s="45">
        <f>IF(AND(NOT(VaBenefits[[#This Row],[Is Activation]]),VaBenefits[[#This Row],[Assumed Contract Value ]]&gt;0),VaBenefits[[#This Row],[Withdrawal Taken  ]]/VaBenefits[[#This Row],[Assumed Contract Value ]],0)</f>
        <v>0</v>
      </c>
      <c r="K15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0" s="28" t="b">
        <f>AND(VaBenefits[[#This Row],[Is Activation]],SUMIFS($E$8:$E150,$C$8:$C150,TRUE)&gt;0)</f>
        <v>0</v>
      </c>
      <c r="M15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0" s="35" t="b">
        <f>IF(VaBenefits[[#This Row],[timeFromValuation]]=0,0, MOD(VaBenefits[[#This Row],[timeFromValuation]],1)=0)</f>
        <v>1</v>
      </c>
      <c r="O150" s="7">
        <f>IF(VaBenefits[[#This Row],[Is Anniversary?]]=TRUE,VaBenefits[[#This Row],[Assumed Contract Value ]],0)</f>
        <v>0</v>
      </c>
      <c r="P15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0" s="7" t="b">
        <f>VaBenefits[[#This Row],[Assumed Contract Value ]]&lt;0.1</f>
        <v>1</v>
      </c>
      <c r="R15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0" s="7">
        <f ca="1">IF(AND(VaBenefits[[#This Row],[Is Activation]]=FALSE,VaBenefits[[#This Row],[Is Anniversary?]]=TRUE),OFFSET( VaBenefits[[#This Row],[Income Credit Base]],-1,0)*ICP,0)</f>
        <v>0</v>
      </c>
      <c r="T150" s="5">
        <f>IF(VaBenefits[[#This Row],[Assumed Contract Value ]]&gt;0,VaBenefits[[#This Row],[Income Base]]*MAWA,0)</f>
        <v>0</v>
      </c>
      <c r="U150" s="99">
        <v>0</v>
      </c>
      <c r="V150" s="9">
        <f>1/(1+InterestRate)^VaBenefits[[#This Row],[timeFromValuation]]</f>
        <v>3.1301111964970339E-2</v>
      </c>
      <c r="W150" s="94">
        <f>VaBenefits[[#This Row],[timeFromValuation]]</f>
        <v>71</v>
      </c>
      <c r="X150" s="95">
        <f>IF(($G$8+VaBenefits[[#This Row],[timeFromValuation]])&lt;=120,VLOOKUP(G150,Table2[],Qx!L$6,FALSE),0)</f>
        <v>0</v>
      </c>
      <c r="Y150" s="95">
        <f>IF(($H$8+VaBenefits[[#This Row],[timeFromValuation]])&lt;=120,VLOOKUP(H150,Table2[],Qx!M$6,FALSE),0)</f>
        <v>0</v>
      </c>
      <c r="Z150" s="95">
        <v>0</v>
      </c>
      <c r="AA150" s="95">
        <v>0</v>
      </c>
      <c r="AB150" s="95">
        <v>0</v>
      </c>
      <c r="AC150" s="95">
        <v>0</v>
      </c>
      <c r="AD150" s="101">
        <f>PV(1.03,20,-VaBenefits[[#This Row],[Protected Income Payment]])</f>
        <v>0</v>
      </c>
    </row>
    <row r="151" spans="1:30" x14ac:dyDescent="0.3">
      <c r="A151" s="35">
        <f t="shared" si="28"/>
        <v>143</v>
      </c>
      <c r="B151" s="33">
        <f t="shared" si="29"/>
        <v>71.5</v>
      </c>
      <c r="C151" s="30" t="b">
        <f>AND(VaBenefits[[#This Row],[timeFromValuation]]&gt;=ACT,VaBenefits[[#This Row],[Assumed Contract Value ]]&gt;0)</f>
        <v>0</v>
      </c>
      <c r="D151" s="34">
        <f t="shared" si="26"/>
        <v>0</v>
      </c>
      <c r="E151" s="34">
        <f>IF(Use_Base_Case, AP151,IF(VaBenefits[[#This Row],[Is Anniversary?]],WithAmt,0))</f>
        <v>0</v>
      </c>
      <c r="F151" s="34">
        <f t="shared" si="27"/>
        <v>0</v>
      </c>
      <c r="G151" s="100">
        <f>ROUND($G$8+VaBenefits[[#This Row],[timeFromValuation]],0)</f>
        <v>127</v>
      </c>
      <c r="H151" s="21">
        <f>ROUND($H$8+VaBenefits[[#This Row],[timeFromValuation]],0)</f>
        <v>137</v>
      </c>
      <c r="I151" s="28" t="b">
        <f>VaBenefits[[#This Row],[Withdrawal Taken  ]]&gt;0</f>
        <v>0</v>
      </c>
      <c r="J151" s="45">
        <f>IF(AND(NOT(VaBenefits[[#This Row],[Is Activation]]),VaBenefits[[#This Row],[Assumed Contract Value ]]&gt;0),VaBenefits[[#This Row],[Withdrawal Taken  ]]/VaBenefits[[#This Row],[Assumed Contract Value ]],0)</f>
        <v>0</v>
      </c>
      <c r="K15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1" s="28" t="b">
        <f>AND(VaBenefits[[#This Row],[Is Activation]],SUMIFS($E$8:$E151,$C$8:$C151,TRUE)&gt;0)</f>
        <v>0</v>
      </c>
      <c r="M15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1" s="35" t="b">
        <f>IF(VaBenefits[[#This Row],[timeFromValuation]]=0,0, MOD(VaBenefits[[#This Row],[timeFromValuation]],1)=0)</f>
        <v>0</v>
      </c>
      <c r="O151" s="7">
        <f>IF(VaBenefits[[#This Row],[Is Anniversary?]]=TRUE,VaBenefits[[#This Row],[Assumed Contract Value ]],0)</f>
        <v>0</v>
      </c>
      <c r="P15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1" s="7" t="b">
        <f>VaBenefits[[#This Row],[Assumed Contract Value ]]&lt;0.1</f>
        <v>1</v>
      </c>
      <c r="R15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1" s="7">
        <f ca="1">IF(AND(VaBenefits[[#This Row],[Is Activation]]=FALSE,VaBenefits[[#This Row],[Is Anniversary?]]=TRUE),OFFSET( VaBenefits[[#This Row],[Income Credit Base]],-1,0)*ICP,0)</f>
        <v>0</v>
      </c>
      <c r="T151" s="5">
        <f>IF(VaBenefits[[#This Row],[Assumed Contract Value ]]&gt;0,VaBenefits[[#This Row],[Income Base]]*MAWA,0)</f>
        <v>0</v>
      </c>
      <c r="U151" s="99">
        <v>0</v>
      </c>
      <c r="V151" s="9">
        <f>1/(1+InterestRate)^VaBenefits[[#This Row],[timeFromValuation]]</f>
        <v>3.0546757449984689E-2</v>
      </c>
      <c r="W151" s="94">
        <f>VaBenefits[[#This Row],[timeFromValuation]]</f>
        <v>71.5</v>
      </c>
      <c r="X151" s="95">
        <f>IF(($G$8+VaBenefits[[#This Row],[timeFromValuation]])&lt;=120,VLOOKUP(G151,Table2[],Qx!L$6,FALSE),0)</f>
        <v>0</v>
      </c>
      <c r="Y151" s="95">
        <f>IF(($H$8+VaBenefits[[#This Row],[timeFromValuation]])&lt;=120,VLOOKUP(H151,Table2[],Qx!M$6,FALSE),0)</f>
        <v>0</v>
      </c>
      <c r="Z151" s="95">
        <v>0</v>
      </c>
      <c r="AA151" s="95">
        <v>0</v>
      </c>
      <c r="AB151" s="95">
        <v>0</v>
      </c>
      <c r="AC151" s="95">
        <v>0</v>
      </c>
      <c r="AD151" s="101">
        <f>PV(1.03,20,-VaBenefits[[#This Row],[Protected Income Payment]])</f>
        <v>0</v>
      </c>
    </row>
    <row r="152" spans="1:30" x14ac:dyDescent="0.3">
      <c r="A152" s="35">
        <f t="shared" si="28"/>
        <v>144</v>
      </c>
      <c r="B152" s="33">
        <f t="shared" si="29"/>
        <v>72</v>
      </c>
      <c r="C152" s="30" t="b">
        <f>AND(VaBenefits[[#This Row],[timeFromValuation]]&gt;=ACT,VaBenefits[[#This Row],[Assumed Contract Value ]]&gt;0)</f>
        <v>0</v>
      </c>
      <c r="D152" s="34">
        <f t="shared" si="26"/>
        <v>0</v>
      </c>
      <c r="E152" s="34">
        <f>IF(Use_Base_Case, AP152,IF(VaBenefits[[#This Row],[Is Anniversary?]],WithAmt,0))</f>
        <v>0</v>
      </c>
      <c r="F152" s="34">
        <f t="shared" si="27"/>
        <v>0</v>
      </c>
      <c r="G152" s="100">
        <f>ROUND($G$8+VaBenefits[[#This Row],[timeFromValuation]],0)</f>
        <v>127</v>
      </c>
      <c r="H152" s="21">
        <f>ROUND($H$8+VaBenefits[[#This Row],[timeFromValuation]],0)</f>
        <v>137</v>
      </c>
      <c r="I152" s="28" t="b">
        <f>VaBenefits[[#This Row],[Withdrawal Taken  ]]&gt;0</f>
        <v>0</v>
      </c>
      <c r="J152" s="45">
        <f>IF(AND(NOT(VaBenefits[[#This Row],[Is Activation]]),VaBenefits[[#This Row],[Assumed Contract Value ]]&gt;0),VaBenefits[[#This Row],[Withdrawal Taken  ]]/VaBenefits[[#This Row],[Assumed Contract Value ]],0)</f>
        <v>0</v>
      </c>
      <c r="K15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2" s="28" t="b">
        <f>AND(VaBenefits[[#This Row],[Is Activation]],SUMIFS($E$8:$E152,$C$8:$C152,TRUE)&gt;0)</f>
        <v>0</v>
      </c>
      <c r="M15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2" s="35" t="b">
        <f>IF(VaBenefits[[#This Row],[timeFromValuation]]=0,0, MOD(VaBenefits[[#This Row],[timeFromValuation]],1)=0)</f>
        <v>1</v>
      </c>
      <c r="O152" s="7">
        <f>IF(VaBenefits[[#This Row],[Is Anniversary?]]=TRUE,VaBenefits[[#This Row],[Assumed Contract Value ]],0)</f>
        <v>0</v>
      </c>
      <c r="P15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2" s="7" t="b">
        <f>VaBenefits[[#This Row],[Assumed Contract Value ]]&lt;0.1</f>
        <v>1</v>
      </c>
      <c r="R15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2" s="7">
        <f ca="1">IF(AND(VaBenefits[[#This Row],[Is Activation]]=FALSE,VaBenefits[[#This Row],[Is Anniversary?]]=TRUE),OFFSET( VaBenefits[[#This Row],[Income Credit Base]],-1,0)*ICP,0)</f>
        <v>0</v>
      </c>
      <c r="T152" s="5">
        <f>IF(VaBenefits[[#This Row],[Assumed Contract Value ]]&gt;0,VaBenefits[[#This Row],[Income Base]]*MAWA,0)</f>
        <v>0</v>
      </c>
      <c r="U152" s="99">
        <v>0</v>
      </c>
      <c r="V152" s="9">
        <f>1/(1+InterestRate)^VaBenefits[[#This Row],[timeFromValuation]]</f>
        <v>2.9810582823781274E-2</v>
      </c>
      <c r="W152" s="94">
        <f>VaBenefits[[#This Row],[timeFromValuation]]</f>
        <v>72</v>
      </c>
      <c r="X152" s="95">
        <f>IF(($G$8+VaBenefits[[#This Row],[timeFromValuation]])&lt;=120,VLOOKUP(G152,Table2[],Qx!L$6,FALSE),0)</f>
        <v>0</v>
      </c>
      <c r="Y152" s="95">
        <f>IF(($H$8+VaBenefits[[#This Row],[timeFromValuation]])&lt;=120,VLOOKUP(H152,Table2[],Qx!M$6,FALSE),0)</f>
        <v>0</v>
      </c>
      <c r="Z152" s="95">
        <v>0</v>
      </c>
      <c r="AA152" s="95">
        <v>0</v>
      </c>
      <c r="AB152" s="95">
        <v>0</v>
      </c>
      <c r="AC152" s="95">
        <v>0</v>
      </c>
      <c r="AD152" s="101">
        <f>PV(1.03,20,-VaBenefits[[#This Row],[Protected Income Payment]])</f>
        <v>0</v>
      </c>
    </row>
    <row r="153" spans="1:30" x14ac:dyDescent="0.3">
      <c r="A153" s="35">
        <f t="shared" si="28"/>
        <v>145</v>
      </c>
      <c r="B153" s="33">
        <f t="shared" si="29"/>
        <v>72.5</v>
      </c>
      <c r="C153" s="30" t="b">
        <f>AND(VaBenefits[[#This Row],[timeFromValuation]]&gt;=ACT,VaBenefits[[#This Row],[Assumed Contract Value ]]&gt;0)</f>
        <v>0</v>
      </c>
      <c r="D153" s="34">
        <f t="shared" si="26"/>
        <v>0</v>
      </c>
      <c r="E153" s="34">
        <f>IF(Use_Base_Case, AP153,IF(VaBenefits[[#This Row],[Is Anniversary?]],WithAmt,0))</f>
        <v>0</v>
      </c>
      <c r="F153" s="34">
        <f t="shared" si="27"/>
        <v>0</v>
      </c>
      <c r="G153" s="100">
        <f>ROUND($G$8+VaBenefits[[#This Row],[timeFromValuation]],0)</f>
        <v>128</v>
      </c>
      <c r="H153" s="21">
        <f>ROUND($H$8+VaBenefits[[#This Row],[timeFromValuation]],0)</f>
        <v>138</v>
      </c>
      <c r="I153" s="28" t="b">
        <f>VaBenefits[[#This Row],[Withdrawal Taken  ]]&gt;0</f>
        <v>0</v>
      </c>
      <c r="J153" s="45">
        <f>IF(AND(NOT(VaBenefits[[#This Row],[Is Activation]]),VaBenefits[[#This Row],[Assumed Contract Value ]]&gt;0),VaBenefits[[#This Row],[Withdrawal Taken  ]]/VaBenefits[[#This Row],[Assumed Contract Value ]],0)</f>
        <v>0</v>
      </c>
      <c r="K15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3" s="28" t="b">
        <f>AND(VaBenefits[[#This Row],[Is Activation]],SUMIFS($E$8:$E153,$C$8:$C153,TRUE)&gt;0)</f>
        <v>0</v>
      </c>
      <c r="M15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3" s="35" t="b">
        <f>IF(VaBenefits[[#This Row],[timeFromValuation]]=0,0, MOD(VaBenefits[[#This Row],[timeFromValuation]],1)=0)</f>
        <v>0</v>
      </c>
      <c r="O153" s="7">
        <f>IF(VaBenefits[[#This Row],[Is Anniversary?]]=TRUE,VaBenefits[[#This Row],[Assumed Contract Value ]],0)</f>
        <v>0</v>
      </c>
      <c r="P15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3" s="7" t="b">
        <f>VaBenefits[[#This Row],[Assumed Contract Value ]]&lt;0.1</f>
        <v>1</v>
      </c>
      <c r="R15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3" s="7">
        <f ca="1">IF(AND(VaBenefits[[#This Row],[Is Activation]]=FALSE,VaBenefits[[#This Row],[Is Anniversary?]]=TRUE),OFFSET( VaBenefits[[#This Row],[Income Credit Base]],-1,0)*ICP,0)</f>
        <v>0</v>
      </c>
      <c r="T153" s="5">
        <f>IF(VaBenefits[[#This Row],[Assumed Contract Value ]]&gt;0,VaBenefits[[#This Row],[Income Base]]*MAWA,0)</f>
        <v>0</v>
      </c>
      <c r="U153" s="99">
        <v>0</v>
      </c>
      <c r="V153" s="9">
        <f>1/(1+InterestRate)^VaBenefits[[#This Row],[timeFromValuation]]</f>
        <v>2.9092149952366367E-2</v>
      </c>
      <c r="W153" s="94">
        <f>VaBenefits[[#This Row],[timeFromValuation]]</f>
        <v>72.5</v>
      </c>
      <c r="X153" s="95">
        <f>IF(($G$8+VaBenefits[[#This Row],[timeFromValuation]])&lt;=120,VLOOKUP(G153,Table2[],Qx!L$6,FALSE),0)</f>
        <v>0</v>
      </c>
      <c r="Y153" s="95">
        <f>IF(($H$8+VaBenefits[[#This Row],[timeFromValuation]])&lt;=120,VLOOKUP(H153,Table2[],Qx!M$6,FALSE),0)</f>
        <v>0</v>
      </c>
      <c r="Z153" s="95">
        <v>0</v>
      </c>
      <c r="AA153" s="95">
        <v>0</v>
      </c>
      <c r="AB153" s="95">
        <v>0</v>
      </c>
      <c r="AC153" s="95">
        <v>0</v>
      </c>
      <c r="AD153" s="101">
        <f>PV(1.03,20,-VaBenefits[[#This Row],[Protected Income Payment]])</f>
        <v>0</v>
      </c>
    </row>
    <row r="154" spans="1:30" x14ac:dyDescent="0.3">
      <c r="A154" s="35">
        <f t="shared" si="28"/>
        <v>146</v>
      </c>
      <c r="B154" s="33">
        <f t="shared" si="29"/>
        <v>73</v>
      </c>
      <c r="C154" s="30" t="b">
        <f>AND(VaBenefits[[#This Row],[timeFromValuation]]&gt;=ACT,VaBenefits[[#This Row],[Assumed Contract Value ]]&gt;0)</f>
        <v>0</v>
      </c>
      <c r="D154" s="34">
        <f t="shared" si="26"/>
        <v>0</v>
      </c>
      <c r="E154" s="34">
        <f>IF(Use_Base_Case, AP154,IF(VaBenefits[[#This Row],[Is Anniversary?]],WithAmt,0))</f>
        <v>0</v>
      </c>
      <c r="F154" s="34">
        <f t="shared" si="27"/>
        <v>0</v>
      </c>
      <c r="G154" s="100">
        <f>ROUND($G$8+VaBenefits[[#This Row],[timeFromValuation]],0)</f>
        <v>128</v>
      </c>
      <c r="H154" s="21">
        <f>ROUND($H$8+VaBenefits[[#This Row],[timeFromValuation]],0)</f>
        <v>138</v>
      </c>
      <c r="I154" s="28" t="b">
        <f>VaBenefits[[#This Row],[Withdrawal Taken  ]]&gt;0</f>
        <v>0</v>
      </c>
      <c r="J154" s="45">
        <f>IF(AND(NOT(VaBenefits[[#This Row],[Is Activation]]),VaBenefits[[#This Row],[Assumed Contract Value ]]&gt;0),VaBenefits[[#This Row],[Withdrawal Taken  ]]/VaBenefits[[#This Row],[Assumed Contract Value ]],0)</f>
        <v>0</v>
      </c>
      <c r="K15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4" s="28" t="b">
        <f>AND(VaBenefits[[#This Row],[Is Activation]],SUMIFS($E$8:$E154,$C$8:$C154,TRUE)&gt;0)</f>
        <v>0</v>
      </c>
      <c r="M15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4" s="35" t="b">
        <f>IF(VaBenefits[[#This Row],[timeFromValuation]]=0,0, MOD(VaBenefits[[#This Row],[timeFromValuation]],1)=0)</f>
        <v>1</v>
      </c>
      <c r="O154" s="7">
        <f>IF(VaBenefits[[#This Row],[Is Anniversary?]]=TRUE,VaBenefits[[#This Row],[Assumed Contract Value ]],0)</f>
        <v>0</v>
      </c>
      <c r="P15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4" s="7" t="b">
        <f>VaBenefits[[#This Row],[Assumed Contract Value ]]&lt;0.1</f>
        <v>1</v>
      </c>
      <c r="R15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4" s="7">
        <f ca="1">IF(AND(VaBenefits[[#This Row],[Is Activation]]=FALSE,VaBenefits[[#This Row],[Is Anniversary?]]=TRUE),OFFSET( VaBenefits[[#This Row],[Income Credit Base]],-1,0)*ICP,0)</f>
        <v>0</v>
      </c>
      <c r="T154" s="5">
        <f>IF(VaBenefits[[#This Row],[Assumed Contract Value ]]&gt;0,VaBenefits[[#This Row],[Income Base]]*MAWA,0)</f>
        <v>0</v>
      </c>
      <c r="U154" s="99">
        <v>0</v>
      </c>
      <c r="V154" s="9">
        <f>1/(1+InterestRate)^VaBenefits[[#This Row],[timeFromValuation]]</f>
        <v>2.8391031260744073E-2</v>
      </c>
      <c r="W154" s="94">
        <f>VaBenefits[[#This Row],[timeFromValuation]]</f>
        <v>73</v>
      </c>
      <c r="X154" s="95">
        <f>IF(($G$8+VaBenefits[[#This Row],[timeFromValuation]])&lt;=120,VLOOKUP(G154,Table2[],Qx!L$6,FALSE),0)</f>
        <v>0</v>
      </c>
      <c r="Y154" s="95">
        <f>IF(($H$8+VaBenefits[[#This Row],[timeFromValuation]])&lt;=120,VLOOKUP(H154,Table2[],Qx!M$6,FALSE),0)</f>
        <v>0</v>
      </c>
      <c r="Z154" s="95">
        <v>0</v>
      </c>
      <c r="AA154" s="95">
        <v>0</v>
      </c>
      <c r="AB154" s="95">
        <v>0</v>
      </c>
      <c r="AC154" s="95">
        <v>0</v>
      </c>
      <c r="AD154" s="101">
        <f>PV(1.03,20,-VaBenefits[[#This Row],[Protected Income Payment]])</f>
        <v>0</v>
      </c>
    </row>
    <row r="155" spans="1:30" x14ac:dyDescent="0.3">
      <c r="A155" s="35">
        <f t="shared" si="28"/>
        <v>147</v>
      </c>
      <c r="B155" s="33">
        <f t="shared" si="29"/>
        <v>73.5</v>
      </c>
      <c r="C155" s="30" t="b">
        <f>AND(VaBenefits[[#This Row],[timeFromValuation]]&gt;=ACT,VaBenefits[[#This Row],[Assumed Contract Value ]]&gt;0)</f>
        <v>0</v>
      </c>
      <c r="D155" s="34">
        <f t="shared" si="26"/>
        <v>0</v>
      </c>
      <c r="E155" s="34">
        <f>IF(Use_Base_Case, AP155,IF(VaBenefits[[#This Row],[Is Anniversary?]],WithAmt,0))</f>
        <v>0</v>
      </c>
      <c r="F155" s="34">
        <f t="shared" si="27"/>
        <v>0</v>
      </c>
      <c r="G155" s="100">
        <f>ROUND($G$8+VaBenefits[[#This Row],[timeFromValuation]],0)</f>
        <v>129</v>
      </c>
      <c r="H155" s="21">
        <f>ROUND($H$8+VaBenefits[[#This Row],[timeFromValuation]],0)</f>
        <v>139</v>
      </c>
      <c r="I155" s="28" t="b">
        <f>VaBenefits[[#This Row],[Withdrawal Taken  ]]&gt;0</f>
        <v>0</v>
      </c>
      <c r="J155" s="45">
        <f>IF(AND(NOT(VaBenefits[[#This Row],[Is Activation]]),VaBenefits[[#This Row],[Assumed Contract Value ]]&gt;0),VaBenefits[[#This Row],[Withdrawal Taken  ]]/VaBenefits[[#This Row],[Assumed Contract Value ]],0)</f>
        <v>0</v>
      </c>
      <c r="K15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5" s="28" t="b">
        <f>AND(VaBenefits[[#This Row],[Is Activation]],SUMIFS($E$8:$E155,$C$8:$C155,TRUE)&gt;0)</f>
        <v>0</v>
      </c>
      <c r="M15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5" s="35" t="b">
        <f>IF(VaBenefits[[#This Row],[timeFromValuation]]=0,0, MOD(VaBenefits[[#This Row],[timeFromValuation]],1)=0)</f>
        <v>0</v>
      </c>
      <c r="O155" s="7">
        <f>IF(VaBenefits[[#This Row],[Is Anniversary?]]=TRUE,VaBenefits[[#This Row],[Assumed Contract Value ]],0)</f>
        <v>0</v>
      </c>
      <c r="P15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5" s="7" t="b">
        <f>VaBenefits[[#This Row],[Assumed Contract Value ]]&lt;0.1</f>
        <v>1</v>
      </c>
      <c r="R15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5" s="7">
        <f ca="1">IF(AND(VaBenefits[[#This Row],[Is Activation]]=FALSE,VaBenefits[[#This Row],[Is Anniversary?]]=TRUE),OFFSET( VaBenefits[[#This Row],[Income Credit Base]],-1,0)*ICP,0)</f>
        <v>0</v>
      </c>
      <c r="T155" s="5">
        <f>IF(VaBenefits[[#This Row],[Assumed Contract Value ]]&gt;0,VaBenefits[[#This Row],[Income Base]]*MAWA,0)</f>
        <v>0</v>
      </c>
      <c r="U155" s="99">
        <v>0</v>
      </c>
      <c r="V155" s="9">
        <f>1/(1+InterestRate)^VaBenefits[[#This Row],[timeFromValuation]]</f>
        <v>2.7706809478444155E-2</v>
      </c>
      <c r="W155" s="94">
        <f>VaBenefits[[#This Row],[timeFromValuation]]</f>
        <v>73.5</v>
      </c>
      <c r="X155" s="95">
        <f>IF(($G$8+VaBenefits[[#This Row],[timeFromValuation]])&lt;=120,VLOOKUP(G155,Table2[],Qx!L$6,FALSE),0)</f>
        <v>0</v>
      </c>
      <c r="Y155" s="95">
        <f>IF(($H$8+VaBenefits[[#This Row],[timeFromValuation]])&lt;=120,VLOOKUP(H155,Table2[],Qx!M$6,FALSE),0)</f>
        <v>0</v>
      </c>
      <c r="Z155" s="95">
        <v>0</v>
      </c>
      <c r="AA155" s="95">
        <v>0</v>
      </c>
      <c r="AB155" s="95">
        <v>0</v>
      </c>
      <c r="AC155" s="95">
        <v>0</v>
      </c>
      <c r="AD155" s="101">
        <f>PV(1.03,20,-VaBenefits[[#This Row],[Protected Income Payment]])</f>
        <v>0</v>
      </c>
    </row>
    <row r="156" spans="1:30" x14ac:dyDescent="0.3">
      <c r="A156" s="35">
        <f t="shared" si="28"/>
        <v>148</v>
      </c>
      <c r="B156" s="33">
        <f t="shared" si="29"/>
        <v>74</v>
      </c>
      <c r="C156" s="30" t="b">
        <f>AND(VaBenefits[[#This Row],[timeFromValuation]]&gt;=ACT,VaBenefits[[#This Row],[Assumed Contract Value ]]&gt;0)</f>
        <v>0</v>
      </c>
      <c r="D156" s="34">
        <f t="shared" si="26"/>
        <v>0</v>
      </c>
      <c r="E156" s="34">
        <f>IF(Use_Base_Case, AP156,IF(VaBenefits[[#This Row],[Is Anniversary?]],WithAmt,0))</f>
        <v>0</v>
      </c>
      <c r="F156" s="34">
        <f t="shared" si="27"/>
        <v>0</v>
      </c>
      <c r="G156" s="100">
        <f>ROUND($G$8+VaBenefits[[#This Row],[timeFromValuation]],0)</f>
        <v>129</v>
      </c>
      <c r="H156" s="21">
        <f>ROUND($H$8+VaBenefits[[#This Row],[timeFromValuation]],0)</f>
        <v>139</v>
      </c>
      <c r="I156" s="28" t="b">
        <f>VaBenefits[[#This Row],[Withdrawal Taken  ]]&gt;0</f>
        <v>0</v>
      </c>
      <c r="J156" s="45">
        <f>IF(AND(NOT(VaBenefits[[#This Row],[Is Activation]]),VaBenefits[[#This Row],[Assumed Contract Value ]]&gt;0),VaBenefits[[#This Row],[Withdrawal Taken  ]]/VaBenefits[[#This Row],[Assumed Contract Value ]],0)</f>
        <v>0</v>
      </c>
      <c r="K15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6" s="28" t="b">
        <f>AND(VaBenefits[[#This Row],[Is Activation]],SUMIFS($E$8:$E156,$C$8:$C156,TRUE)&gt;0)</f>
        <v>0</v>
      </c>
      <c r="M15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6" s="35" t="b">
        <f>IF(VaBenefits[[#This Row],[timeFromValuation]]=0,0, MOD(VaBenefits[[#This Row],[timeFromValuation]],1)=0)</f>
        <v>1</v>
      </c>
      <c r="O156" s="7">
        <f>IF(VaBenefits[[#This Row],[Is Anniversary?]]=TRUE,VaBenefits[[#This Row],[Assumed Contract Value ]],0)</f>
        <v>0</v>
      </c>
      <c r="P15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6" s="7" t="b">
        <f>VaBenefits[[#This Row],[Assumed Contract Value ]]&lt;0.1</f>
        <v>1</v>
      </c>
      <c r="R15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6" s="7">
        <f ca="1">IF(AND(VaBenefits[[#This Row],[Is Activation]]=FALSE,VaBenefits[[#This Row],[Is Anniversary?]]=TRUE),OFFSET( VaBenefits[[#This Row],[Income Credit Base]],-1,0)*ICP,0)</f>
        <v>0</v>
      </c>
      <c r="T156" s="5">
        <f>IF(VaBenefits[[#This Row],[Assumed Contract Value ]]&gt;0,VaBenefits[[#This Row],[Income Base]]*MAWA,0)</f>
        <v>0</v>
      </c>
      <c r="U156" s="99">
        <v>0</v>
      </c>
      <c r="V156" s="9">
        <f>1/(1+InterestRate)^VaBenefits[[#This Row],[timeFromValuation]]</f>
        <v>2.7039077391184833E-2</v>
      </c>
      <c r="W156" s="94">
        <f>VaBenefits[[#This Row],[timeFromValuation]]</f>
        <v>74</v>
      </c>
      <c r="X156" s="95">
        <f>IF(($G$8+VaBenefits[[#This Row],[timeFromValuation]])&lt;=120,VLOOKUP(G156,Table2[],Qx!L$6,FALSE),0)</f>
        <v>0</v>
      </c>
      <c r="Y156" s="95">
        <f>IF(($H$8+VaBenefits[[#This Row],[timeFromValuation]])&lt;=120,VLOOKUP(H156,Table2[],Qx!M$6,FALSE),0)</f>
        <v>0</v>
      </c>
      <c r="Z156" s="95">
        <v>0</v>
      </c>
      <c r="AA156" s="95">
        <v>0</v>
      </c>
      <c r="AB156" s="95">
        <v>0</v>
      </c>
      <c r="AC156" s="95">
        <v>0</v>
      </c>
      <c r="AD156" s="101">
        <f>PV(1.03,20,-VaBenefits[[#This Row],[Protected Income Payment]])</f>
        <v>0</v>
      </c>
    </row>
    <row r="157" spans="1:30" x14ac:dyDescent="0.3">
      <c r="A157" s="35">
        <f t="shared" si="28"/>
        <v>149</v>
      </c>
      <c r="B157" s="33">
        <f t="shared" si="29"/>
        <v>74.5</v>
      </c>
      <c r="C157" s="30" t="b">
        <f>AND(VaBenefits[[#This Row],[timeFromValuation]]&gt;=ACT,VaBenefits[[#This Row],[Assumed Contract Value ]]&gt;0)</f>
        <v>0</v>
      </c>
      <c r="D157" s="34">
        <f t="shared" si="26"/>
        <v>0</v>
      </c>
      <c r="E157" s="34">
        <f>IF(Use_Base_Case, AP157,IF(VaBenefits[[#This Row],[Is Anniversary?]],WithAmt,0))</f>
        <v>0</v>
      </c>
      <c r="F157" s="34">
        <f t="shared" si="27"/>
        <v>0</v>
      </c>
      <c r="G157" s="100">
        <f>ROUND($G$8+VaBenefits[[#This Row],[timeFromValuation]],0)</f>
        <v>130</v>
      </c>
      <c r="H157" s="21">
        <f>ROUND($H$8+VaBenefits[[#This Row],[timeFromValuation]],0)</f>
        <v>140</v>
      </c>
      <c r="I157" s="28" t="b">
        <f>VaBenefits[[#This Row],[Withdrawal Taken  ]]&gt;0</f>
        <v>0</v>
      </c>
      <c r="J157" s="45">
        <f>IF(AND(NOT(VaBenefits[[#This Row],[Is Activation]]),VaBenefits[[#This Row],[Assumed Contract Value ]]&gt;0),VaBenefits[[#This Row],[Withdrawal Taken  ]]/VaBenefits[[#This Row],[Assumed Contract Value ]],0)</f>
        <v>0</v>
      </c>
      <c r="K15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7" s="28" t="b">
        <f>AND(VaBenefits[[#This Row],[Is Activation]],SUMIFS($E$8:$E157,$C$8:$C157,TRUE)&gt;0)</f>
        <v>0</v>
      </c>
      <c r="M15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7" s="35" t="b">
        <f>IF(VaBenefits[[#This Row],[timeFromValuation]]=0,0, MOD(VaBenefits[[#This Row],[timeFromValuation]],1)=0)</f>
        <v>0</v>
      </c>
      <c r="O157" s="7">
        <f>IF(VaBenefits[[#This Row],[Is Anniversary?]]=TRUE,VaBenefits[[#This Row],[Assumed Contract Value ]],0)</f>
        <v>0</v>
      </c>
      <c r="P15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7" s="7" t="b">
        <f>VaBenefits[[#This Row],[Assumed Contract Value ]]&lt;0.1</f>
        <v>1</v>
      </c>
      <c r="R15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7" s="7">
        <f ca="1">IF(AND(VaBenefits[[#This Row],[Is Activation]]=FALSE,VaBenefits[[#This Row],[Is Anniversary?]]=TRUE),OFFSET( VaBenefits[[#This Row],[Income Credit Base]],-1,0)*ICP,0)</f>
        <v>0</v>
      </c>
      <c r="T157" s="5">
        <f>IF(VaBenefits[[#This Row],[Assumed Contract Value ]]&gt;0,VaBenefits[[#This Row],[Income Base]]*MAWA,0)</f>
        <v>0</v>
      </c>
      <c r="U157" s="99">
        <v>0</v>
      </c>
      <c r="V157" s="9">
        <f>1/(1+InterestRate)^VaBenefits[[#This Row],[timeFromValuation]]</f>
        <v>2.6387437598518249E-2</v>
      </c>
      <c r="W157" s="94">
        <f>VaBenefits[[#This Row],[timeFromValuation]]</f>
        <v>74.5</v>
      </c>
      <c r="X157" s="95">
        <f>IF(($G$8+VaBenefits[[#This Row],[timeFromValuation]])&lt;=120,VLOOKUP(G157,Table2[],Qx!L$6,FALSE),0)</f>
        <v>0</v>
      </c>
      <c r="Y157" s="95">
        <f>IF(($H$8+VaBenefits[[#This Row],[timeFromValuation]])&lt;=120,VLOOKUP(H157,Table2[],Qx!M$6,FALSE),0)</f>
        <v>0</v>
      </c>
      <c r="Z157" s="95">
        <v>0</v>
      </c>
      <c r="AA157" s="95">
        <v>0</v>
      </c>
      <c r="AB157" s="95">
        <v>0</v>
      </c>
      <c r="AC157" s="95">
        <v>0</v>
      </c>
      <c r="AD157" s="101">
        <f>PV(1.03,20,-VaBenefits[[#This Row],[Protected Income Payment]])</f>
        <v>0</v>
      </c>
    </row>
    <row r="158" spans="1:30" x14ac:dyDescent="0.3">
      <c r="A158" s="35">
        <f t="shared" si="28"/>
        <v>150</v>
      </c>
      <c r="B158" s="33">
        <f t="shared" si="29"/>
        <v>75</v>
      </c>
      <c r="C158" s="30" t="b">
        <f>AND(VaBenefits[[#This Row],[timeFromValuation]]&gt;=ACT,VaBenefits[[#This Row],[Assumed Contract Value ]]&gt;0)</f>
        <v>0</v>
      </c>
      <c r="D158" s="34">
        <f t="shared" si="26"/>
        <v>0</v>
      </c>
      <c r="E158" s="34">
        <f>IF(Use_Base_Case, AP158,IF(VaBenefits[[#This Row],[Is Anniversary?]],WithAmt,0))</f>
        <v>0</v>
      </c>
      <c r="F158" s="34">
        <f t="shared" si="27"/>
        <v>0</v>
      </c>
      <c r="G158" s="100">
        <f>ROUND($G$8+VaBenefits[[#This Row],[timeFromValuation]],0)</f>
        <v>130</v>
      </c>
      <c r="H158" s="21">
        <f>ROUND($H$8+VaBenefits[[#This Row],[timeFromValuation]],0)</f>
        <v>140</v>
      </c>
      <c r="I158" s="28" t="b">
        <f>VaBenefits[[#This Row],[Withdrawal Taken  ]]&gt;0</f>
        <v>0</v>
      </c>
      <c r="J158" s="45">
        <f>IF(AND(NOT(VaBenefits[[#This Row],[Is Activation]]),VaBenefits[[#This Row],[Assumed Contract Value ]]&gt;0),VaBenefits[[#This Row],[Withdrawal Taken  ]]/VaBenefits[[#This Row],[Assumed Contract Value ]],0)</f>
        <v>0</v>
      </c>
      <c r="K15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8" s="28" t="b">
        <f>AND(VaBenefits[[#This Row],[Is Activation]],SUMIFS($E$8:$E158,$C$8:$C158,TRUE)&gt;0)</f>
        <v>0</v>
      </c>
      <c r="M15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8" s="35" t="b">
        <f>IF(VaBenefits[[#This Row],[timeFromValuation]]=0,0, MOD(VaBenefits[[#This Row],[timeFromValuation]],1)=0)</f>
        <v>1</v>
      </c>
      <c r="O158" s="7">
        <f>IF(VaBenefits[[#This Row],[Is Anniversary?]]=TRUE,VaBenefits[[#This Row],[Assumed Contract Value ]],0)</f>
        <v>0</v>
      </c>
      <c r="P15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8" s="7" t="b">
        <f>VaBenefits[[#This Row],[Assumed Contract Value ]]&lt;0.1</f>
        <v>1</v>
      </c>
      <c r="R15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8" s="7">
        <f ca="1">IF(AND(VaBenefits[[#This Row],[Is Activation]]=FALSE,VaBenefits[[#This Row],[Is Anniversary?]]=TRUE),OFFSET( VaBenefits[[#This Row],[Income Credit Base]],-1,0)*ICP,0)</f>
        <v>0</v>
      </c>
      <c r="T158" s="5">
        <f>IF(VaBenefits[[#This Row],[Assumed Contract Value ]]&gt;0,VaBenefits[[#This Row],[Income Base]]*MAWA,0)</f>
        <v>0</v>
      </c>
      <c r="U158" s="99">
        <v>0</v>
      </c>
      <c r="V158" s="9">
        <f>1/(1+InterestRate)^VaBenefits[[#This Row],[timeFromValuation]]</f>
        <v>2.5751502277318886E-2</v>
      </c>
      <c r="W158" s="94">
        <f>VaBenefits[[#This Row],[timeFromValuation]]</f>
        <v>75</v>
      </c>
      <c r="X158" s="95">
        <f>IF(($G$8+VaBenefits[[#This Row],[timeFromValuation]])&lt;=120,VLOOKUP(G158,Table2[],Qx!L$6,FALSE),0)</f>
        <v>0</v>
      </c>
      <c r="Y158" s="95">
        <f>IF(($H$8+VaBenefits[[#This Row],[timeFromValuation]])&lt;=120,VLOOKUP(H158,Table2[],Qx!M$6,FALSE),0)</f>
        <v>0</v>
      </c>
      <c r="Z158" s="95">
        <v>0</v>
      </c>
      <c r="AA158" s="95">
        <v>0</v>
      </c>
      <c r="AB158" s="95">
        <v>0</v>
      </c>
      <c r="AC158" s="95">
        <v>0</v>
      </c>
      <c r="AD158" s="101">
        <f>PV(1.03,20,-VaBenefits[[#This Row],[Protected Income Payment]])</f>
        <v>0</v>
      </c>
    </row>
    <row r="159" spans="1:30" x14ac:dyDescent="0.3">
      <c r="A159" s="35">
        <f t="shared" si="28"/>
        <v>151</v>
      </c>
      <c r="B159" s="33">
        <f t="shared" si="29"/>
        <v>75.5</v>
      </c>
      <c r="C159" s="30" t="b">
        <f>AND(VaBenefits[[#This Row],[timeFromValuation]]&gt;=ACT,VaBenefits[[#This Row],[Assumed Contract Value ]]&gt;0)</f>
        <v>0</v>
      </c>
      <c r="D159" s="34">
        <f t="shared" si="26"/>
        <v>0</v>
      </c>
      <c r="E159" s="34">
        <f>IF(Use_Base_Case, AP159,IF(VaBenefits[[#This Row],[Is Anniversary?]],WithAmt,0))</f>
        <v>0</v>
      </c>
      <c r="F159" s="34">
        <f t="shared" si="27"/>
        <v>0</v>
      </c>
      <c r="G159" s="100">
        <f>ROUND($G$8+VaBenefits[[#This Row],[timeFromValuation]],0)</f>
        <v>131</v>
      </c>
      <c r="H159" s="21">
        <f>ROUND($H$8+VaBenefits[[#This Row],[timeFromValuation]],0)</f>
        <v>141</v>
      </c>
      <c r="I159" s="28" t="b">
        <f>VaBenefits[[#This Row],[Withdrawal Taken  ]]&gt;0</f>
        <v>0</v>
      </c>
      <c r="J159" s="45">
        <f>IF(AND(NOT(VaBenefits[[#This Row],[Is Activation]]),VaBenefits[[#This Row],[Assumed Contract Value ]]&gt;0),VaBenefits[[#This Row],[Withdrawal Taken  ]]/VaBenefits[[#This Row],[Assumed Contract Value ]],0)</f>
        <v>0</v>
      </c>
      <c r="K15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59" s="28" t="b">
        <f>AND(VaBenefits[[#This Row],[Is Activation]],SUMIFS($E$8:$E159,$C$8:$C159,TRUE)&gt;0)</f>
        <v>0</v>
      </c>
      <c r="M15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59" s="35" t="b">
        <f>IF(VaBenefits[[#This Row],[timeFromValuation]]=0,0, MOD(VaBenefits[[#This Row],[timeFromValuation]],1)=0)</f>
        <v>0</v>
      </c>
      <c r="O159" s="7">
        <f>IF(VaBenefits[[#This Row],[Is Anniversary?]]=TRUE,VaBenefits[[#This Row],[Assumed Contract Value ]],0)</f>
        <v>0</v>
      </c>
      <c r="P15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59" s="7" t="b">
        <f>VaBenefits[[#This Row],[Assumed Contract Value ]]&lt;0.1</f>
        <v>1</v>
      </c>
      <c r="R15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59" s="7">
        <f ca="1">IF(AND(VaBenefits[[#This Row],[Is Activation]]=FALSE,VaBenefits[[#This Row],[Is Anniversary?]]=TRUE),OFFSET( VaBenefits[[#This Row],[Income Credit Base]],-1,0)*ICP,0)</f>
        <v>0</v>
      </c>
      <c r="T159" s="5">
        <f>IF(VaBenefits[[#This Row],[Assumed Contract Value ]]&gt;0,VaBenefits[[#This Row],[Income Base]]*MAWA,0)</f>
        <v>0</v>
      </c>
      <c r="U159" s="99">
        <v>0</v>
      </c>
      <c r="V159" s="9">
        <f>1/(1+InterestRate)^VaBenefits[[#This Row],[timeFromValuation]]</f>
        <v>2.5130892950969756E-2</v>
      </c>
      <c r="W159" s="94">
        <f>VaBenefits[[#This Row],[timeFromValuation]]</f>
        <v>75.5</v>
      </c>
      <c r="X159" s="95">
        <f>IF(($G$8+VaBenefits[[#This Row],[timeFromValuation]])&lt;=120,VLOOKUP(G159,Table2[],Qx!L$6,FALSE),0)</f>
        <v>0</v>
      </c>
      <c r="Y159" s="95">
        <f>IF(($H$8+VaBenefits[[#This Row],[timeFromValuation]])&lt;=120,VLOOKUP(H159,Table2[],Qx!M$6,FALSE),0)</f>
        <v>0</v>
      </c>
      <c r="Z159" s="95">
        <v>0</v>
      </c>
      <c r="AA159" s="95">
        <v>0</v>
      </c>
      <c r="AB159" s="95">
        <v>0</v>
      </c>
      <c r="AC159" s="95">
        <v>0</v>
      </c>
      <c r="AD159" s="101">
        <f>PV(1.03,20,-VaBenefits[[#This Row],[Protected Income Payment]])</f>
        <v>0</v>
      </c>
    </row>
    <row r="160" spans="1:30" x14ac:dyDescent="0.3">
      <c r="A160" s="35">
        <f t="shared" si="28"/>
        <v>152</v>
      </c>
      <c r="B160" s="33">
        <f t="shared" si="29"/>
        <v>76</v>
      </c>
      <c r="C160" s="30" t="b">
        <f>AND(VaBenefits[[#This Row],[timeFromValuation]]&gt;=ACT,VaBenefits[[#This Row],[Assumed Contract Value ]]&gt;0)</f>
        <v>0</v>
      </c>
      <c r="D160" s="34">
        <f t="shared" si="26"/>
        <v>0</v>
      </c>
      <c r="E160" s="34">
        <f>IF(Use_Base_Case, AP160,IF(VaBenefits[[#This Row],[Is Anniversary?]],WithAmt,0))</f>
        <v>0</v>
      </c>
      <c r="F160" s="34">
        <f t="shared" si="27"/>
        <v>0</v>
      </c>
      <c r="G160" s="100">
        <f>ROUND($G$8+VaBenefits[[#This Row],[timeFromValuation]],0)</f>
        <v>131</v>
      </c>
      <c r="H160" s="21">
        <f>ROUND($H$8+VaBenefits[[#This Row],[timeFromValuation]],0)</f>
        <v>141</v>
      </c>
      <c r="I160" s="28" t="b">
        <f>VaBenefits[[#This Row],[Withdrawal Taken  ]]&gt;0</f>
        <v>0</v>
      </c>
      <c r="J160" s="45">
        <f>IF(AND(NOT(VaBenefits[[#This Row],[Is Activation]]),VaBenefits[[#This Row],[Assumed Contract Value ]]&gt;0),VaBenefits[[#This Row],[Withdrawal Taken  ]]/VaBenefits[[#This Row],[Assumed Contract Value ]],0)</f>
        <v>0</v>
      </c>
      <c r="K16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0" s="28" t="b">
        <f>AND(VaBenefits[[#This Row],[Is Activation]],SUMIFS($E$8:$E160,$C$8:$C160,TRUE)&gt;0)</f>
        <v>0</v>
      </c>
      <c r="M16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0" s="35" t="b">
        <f>IF(VaBenefits[[#This Row],[timeFromValuation]]=0,0, MOD(VaBenefits[[#This Row],[timeFromValuation]],1)=0)</f>
        <v>1</v>
      </c>
      <c r="O160" s="7">
        <f>IF(VaBenefits[[#This Row],[Is Anniversary?]]=TRUE,VaBenefits[[#This Row],[Assumed Contract Value ]],0)</f>
        <v>0</v>
      </c>
      <c r="P16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0" s="7" t="b">
        <f>VaBenefits[[#This Row],[Assumed Contract Value ]]&lt;0.1</f>
        <v>1</v>
      </c>
      <c r="R16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0" s="7">
        <f ca="1">IF(AND(VaBenefits[[#This Row],[Is Activation]]=FALSE,VaBenefits[[#This Row],[Is Anniversary?]]=TRUE),OFFSET( VaBenefits[[#This Row],[Income Credit Base]],-1,0)*ICP,0)</f>
        <v>0</v>
      </c>
      <c r="T160" s="5">
        <f>IF(VaBenefits[[#This Row],[Assumed Contract Value ]]&gt;0,VaBenefits[[#This Row],[Income Base]]*MAWA,0)</f>
        <v>0</v>
      </c>
      <c r="U160" s="99">
        <v>0</v>
      </c>
      <c r="V160" s="9">
        <f>1/(1+InterestRate)^VaBenefits[[#This Row],[timeFromValuation]]</f>
        <v>2.4525240264113228E-2</v>
      </c>
      <c r="W160" s="94">
        <f>VaBenefits[[#This Row],[timeFromValuation]]</f>
        <v>76</v>
      </c>
      <c r="X160" s="95">
        <f>IF(($G$8+VaBenefits[[#This Row],[timeFromValuation]])&lt;=120,VLOOKUP(G160,Table2[],Qx!L$6,FALSE),0)</f>
        <v>0</v>
      </c>
      <c r="Y160" s="95">
        <f>IF(($H$8+VaBenefits[[#This Row],[timeFromValuation]])&lt;=120,VLOOKUP(H160,Table2[],Qx!M$6,FALSE),0)</f>
        <v>0</v>
      </c>
      <c r="Z160" s="95">
        <v>0</v>
      </c>
      <c r="AA160" s="95">
        <v>0</v>
      </c>
      <c r="AB160" s="95">
        <v>0</v>
      </c>
      <c r="AC160" s="95">
        <v>0</v>
      </c>
      <c r="AD160" s="101">
        <f>PV(1.03,20,-VaBenefits[[#This Row],[Protected Income Payment]])</f>
        <v>0</v>
      </c>
    </row>
    <row r="161" spans="1:30" x14ac:dyDescent="0.3">
      <c r="A161" s="35">
        <f t="shared" si="28"/>
        <v>153</v>
      </c>
      <c r="B161" s="33">
        <f t="shared" si="29"/>
        <v>76.5</v>
      </c>
      <c r="C161" s="30" t="b">
        <f>AND(VaBenefits[[#This Row],[timeFromValuation]]&gt;=ACT,VaBenefits[[#This Row],[Assumed Contract Value ]]&gt;0)</f>
        <v>0</v>
      </c>
      <c r="D161" s="34">
        <f t="shared" si="26"/>
        <v>0</v>
      </c>
      <c r="E161" s="34">
        <f>IF(Use_Base_Case, AP161,IF(VaBenefits[[#This Row],[Is Anniversary?]],WithAmt,0))</f>
        <v>0</v>
      </c>
      <c r="F161" s="34">
        <f t="shared" si="27"/>
        <v>0</v>
      </c>
      <c r="G161" s="100">
        <f>ROUND($G$8+VaBenefits[[#This Row],[timeFromValuation]],0)</f>
        <v>132</v>
      </c>
      <c r="H161" s="21">
        <f>ROUND($H$8+VaBenefits[[#This Row],[timeFromValuation]],0)</f>
        <v>142</v>
      </c>
      <c r="I161" s="28" t="b">
        <f>VaBenefits[[#This Row],[Withdrawal Taken  ]]&gt;0</f>
        <v>0</v>
      </c>
      <c r="J161" s="45">
        <f>IF(AND(NOT(VaBenefits[[#This Row],[Is Activation]]),VaBenefits[[#This Row],[Assumed Contract Value ]]&gt;0),VaBenefits[[#This Row],[Withdrawal Taken  ]]/VaBenefits[[#This Row],[Assumed Contract Value ]],0)</f>
        <v>0</v>
      </c>
      <c r="K16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1" s="28" t="b">
        <f>AND(VaBenefits[[#This Row],[Is Activation]],SUMIFS($E$8:$E161,$C$8:$C161,TRUE)&gt;0)</f>
        <v>0</v>
      </c>
      <c r="M16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1" s="35" t="b">
        <f>IF(VaBenefits[[#This Row],[timeFromValuation]]=0,0, MOD(VaBenefits[[#This Row],[timeFromValuation]],1)=0)</f>
        <v>0</v>
      </c>
      <c r="O161" s="7">
        <f>IF(VaBenefits[[#This Row],[Is Anniversary?]]=TRUE,VaBenefits[[#This Row],[Assumed Contract Value ]],0)</f>
        <v>0</v>
      </c>
      <c r="P16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1" s="7" t="b">
        <f>VaBenefits[[#This Row],[Assumed Contract Value ]]&lt;0.1</f>
        <v>1</v>
      </c>
      <c r="R16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1" s="7">
        <f ca="1">IF(AND(VaBenefits[[#This Row],[Is Activation]]=FALSE,VaBenefits[[#This Row],[Is Anniversary?]]=TRUE),OFFSET( VaBenefits[[#This Row],[Income Credit Base]],-1,0)*ICP,0)</f>
        <v>0</v>
      </c>
      <c r="T161" s="5">
        <f>IF(VaBenefits[[#This Row],[Assumed Contract Value ]]&gt;0,VaBenefits[[#This Row],[Income Base]]*MAWA,0)</f>
        <v>0</v>
      </c>
      <c r="U161" s="99">
        <v>0</v>
      </c>
      <c r="V161" s="9">
        <f>1/(1+InterestRate)^VaBenefits[[#This Row],[timeFromValuation]]</f>
        <v>2.393418376282834E-2</v>
      </c>
      <c r="W161" s="94">
        <f>VaBenefits[[#This Row],[timeFromValuation]]</f>
        <v>76.5</v>
      </c>
      <c r="X161" s="95">
        <f>IF(($G$8+VaBenefits[[#This Row],[timeFromValuation]])&lt;=120,VLOOKUP(G161,Table2[],Qx!L$6,FALSE),0)</f>
        <v>0</v>
      </c>
      <c r="Y161" s="95">
        <f>IF(($H$8+VaBenefits[[#This Row],[timeFromValuation]])&lt;=120,VLOOKUP(H161,Table2[],Qx!M$6,FALSE),0)</f>
        <v>0</v>
      </c>
      <c r="Z161" s="95">
        <v>0</v>
      </c>
      <c r="AA161" s="95">
        <v>0</v>
      </c>
      <c r="AB161" s="95">
        <v>0</v>
      </c>
      <c r="AC161" s="95">
        <v>0</v>
      </c>
      <c r="AD161" s="101">
        <f>PV(1.03,20,-VaBenefits[[#This Row],[Protected Income Payment]])</f>
        <v>0</v>
      </c>
    </row>
    <row r="162" spans="1:30" x14ac:dyDescent="0.3">
      <c r="A162" s="35">
        <f t="shared" si="28"/>
        <v>154</v>
      </c>
      <c r="B162" s="33">
        <f t="shared" si="29"/>
        <v>77</v>
      </c>
      <c r="C162" s="30" t="b">
        <f>AND(VaBenefits[[#This Row],[timeFromValuation]]&gt;=ACT,VaBenefits[[#This Row],[Assumed Contract Value ]]&gt;0)</f>
        <v>0</v>
      </c>
      <c r="D162" s="34">
        <f t="shared" si="26"/>
        <v>0</v>
      </c>
      <c r="E162" s="34">
        <f>IF(Use_Base_Case, AP162,IF(VaBenefits[[#This Row],[Is Anniversary?]],WithAmt,0))</f>
        <v>0</v>
      </c>
      <c r="F162" s="34">
        <f t="shared" si="27"/>
        <v>0</v>
      </c>
      <c r="G162" s="100">
        <f>ROUND($G$8+VaBenefits[[#This Row],[timeFromValuation]],0)</f>
        <v>132</v>
      </c>
      <c r="H162" s="21">
        <f>ROUND($H$8+VaBenefits[[#This Row],[timeFromValuation]],0)</f>
        <v>142</v>
      </c>
      <c r="I162" s="28" t="b">
        <f>VaBenefits[[#This Row],[Withdrawal Taken  ]]&gt;0</f>
        <v>0</v>
      </c>
      <c r="J162" s="45">
        <f>IF(AND(NOT(VaBenefits[[#This Row],[Is Activation]]),VaBenefits[[#This Row],[Assumed Contract Value ]]&gt;0),VaBenefits[[#This Row],[Withdrawal Taken  ]]/VaBenefits[[#This Row],[Assumed Contract Value ]],0)</f>
        <v>0</v>
      </c>
      <c r="K16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2" s="28" t="b">
        <f>AND(VaBenefits[[#This Row],[Is Activation]],SUMIFS($E$8:$E162,$C$8:$C162,TRUE)&gt;0)</f>
        <v>0</v>
      </c>
      <c r="M16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2" s="35" t="b">
        <f>IF(VaBenefits[[#This Row],[timeFromValuation]]=0,0, MOD(VaBenefits[[#This Row],[timeFromValuation]],1)=0)</f>
        <v>1</v>
      </c>
      <c r="O162" s="7">
        <f>IF(VaBenefits[[#This Row],[Is Anniversary?]]=TRUE,VaBenefits[[#This Row],[Assumed Contract Value ]],0)</f>
        <v>0</v>
      </c>
      <c r="P16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2" s="7" t="b">
        <f>VaBenefits[[#This Row],[Assumed Contract Value ]]&lt;0.1</f>
        <v>1</v>
      </c>
      <c r="R16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2" s="7">
        <f ca="1">IF(AND(VaBenefits[[#This Row],[Is Activation]]=FALSE,VaBenefits[[#This Row],[Is Anniversary?]]=TRUE),OFFSET( VaBenefits[[#This Row],[Income Credit Base]],-1,0)*ICP,0)</f>
        <v>0</v>
      </c>
      <c r="T162" s="5">
        <f>IF(VaBenefits[[#This Row],[Assumed Contract Value ]]&gt;0,VaBenefits[[#This Row],[Income Base]]*MAWA,0)</f>
        <v>0</v>
      </c>
      <c r="U162" s="99">
        <v>0</v>
      </c>
      <c r="V162" s="9">
        <f>1/(1+InterestRate)^VaBenefits[[#This Row],[timeFromValuation]]</f>
        <v>2.3357371680107829E-2</v>
      </c>
      <c r="W162" s="94">
        <f>VaBenefits[[#This Row],[timeFromValuation]]</f>
        <v>77</v>
      </c>
      <c r="X162" s="95">
        <f>IF(($G$8+VaBenefits[[#This Row],[timeFromValuation]])&lt;=120,VLOOKUP(G162,Table2[],Qx!L$6,FALSE),0)</f>
        <v>0</v>
      </c>
      <c r="Y162" s="95">
        <f>IF(($H$8+VaBenefits[[#This Row],[timeFromValuation]])&lt;=120,VLOOKUP(H162,Table2[],Qx!M$6,FALSE),0)</f>
        <v>0</v>
      </c>
      <c r="Z162" s="95">
        <v>0</v>
      </c>
      <c r="AA162" s="95">
        <v>0</v>
      </c>
      <c r="AB162" s="95">
        <v>0</v>
      </c>
      <c r="AC162" s="95">
        <v>0</v>
      </c>
      <c r="AD162" s="101">
        <f>PV(1.03,20,-VaBenefits[[#This Row],[Protected Income Payment]])</f>
        <v>0</v>
      </c>
    </row>
    <row r="163" spans="1:30" x14ac:dyDescent="0.3">
      <c r="A163" s="35">
        <f t="shared" si="28"/>
        <v>155</v>
      </c>
      <c r="B163" s="33">
        <f t="shared" si="29"/>
        <v>77.5</v>
      </c>
      <c r="C163" s="30" t="b">
        <f>AND(VaBenefits[[#This Row],[timeFromValuation]]&gt;=ACT,VaBenefits[[#This Row],[Assumed Contract Value ]]&gt;0)</f>
        <v>0</v>
      </c>
      <c r="D163" s="34">
        <f t="shared" si="26"/>
        <v>0</v>
      </c>
      <c r="E163" s="34">
        <f>IF(Use_Base_Case, AP163,IF(VaBenefits[[#This Row],[Is Anniversary?]],WithAmt,0))</f>
        <v>0</v>
      </c>
      <c r="F163" s="34">
        <f t="shared" si="27"/>
        <v>0</v>
      </c>
      <c r="G163" s="100">
        <f>ROUND($G$8+VaBenefits[[#This Row],[timeFromValuation]],0)</f>
        <v>133</v>
      </c>
      <c r="H163" s="21">
        <f>ROUND($H$8+VaBenefits[[#This Row],[timeFromValuation]],0)</f>
        <v>143</v>
      </c>
      <c r="I163" s="28" t="b">
        <f>VaBenefits[[#This Row],[Withdrawal Taken  ]]&gt;0</f>
        <v>0</v>
      </c>
      <c r="J163" s="45">
        <f>IF(AND(NOT(VaBenefits[[#This Row],[Is Activation]]),VaBenefits[[#This Row],[Assumed Contract Value ]]&gt;0),VaBenefits[[#This Row],[Withdrawal Taken  ]]/VaBenefits[[#This Row],[Assumed Contract Value ]],0)</f>
        <v>0</v>
      </c>
      <c r="K16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3" s="28" t="b">
        <f>AND(VaBenefits[[#This Row],[Is Activation]],SUMIFS($E$8:$E163,$C$8:$C163,TRUE)&gt;0)</f>
        <v>0</v>
      </c>
      <c r="M16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3" s="35" t="b">
        <f>IF(VaBenefits[[#This Row],[timeFromValuation]]=0,0, MOD(VaBenefits[[#This Row],[timeFromValuation]],1)=0)</f>
        <v>0</v>
      </c>
      <c r="O163" s="7">
        <f>IF(VaBenefits[[#This Row],[Is Anniversary?]]=TRUE,VaBenefits[[#This Row],[Assumed Contract Value ]],0)</f>
        <v>0</v>
      </c>
      <c r="P16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3" s="7" t="b">
        <f>VaBenefits[[#This Row],[Assumed Contract Value ]]&lt;0.1</f>
        <v>1</v>
      </c>
      <c r="R16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3" s="7">
        <f ca="1">IF(AND(VaBenefits[[#This Row],[Is Activation]]=FALSE,VaBenefits[[#This Row],[Is Anniversary?]]=TRUE),OFFSET( VaBenefits[[#This Row],[Income Credit Base]],-1,0)*ICP,0)</f>
        <v>0</v>
      </c>
      <c r="T163" s="5">
        <f>IF(VaBenefits[[#This Row],[Assumed Contract Value ]]&gt;0,VaBenefits[[#This Row],[Income Base]]*MAWA,0)</f>
        <v>0</v>
      </c>
      <c r="U163" s="99">
        <v>0</v>
      </c>
      <c r="V163" s="9">
        <f>1/(1+InterestRate)^VaBenefits[[#This Row],[timeFromValuation]]</f>
        <v>2.2794460726503176E-2</v>
      </c>
      <c r="W163" s="94">
        <f>VaBenefits[[#This Row],[timeFromValuation]]</f>
        <v>77.5</v>
      </c>
      <c r="X163" s="95">
        <f>IF(($G$8+VaBenefits[[#This Row],[timeFromValuation]])&lt;=120,VLOOKUP(G163,Table2[],Qx!L$6,FALSE),0)</f>
        <v>0</v>
      </c>
      <c r="Y163" s="95">
        <f>IF(($H$8+VaBenefits[[#This Row],[timeFromValuation]])&lt;=120,VLOOKUP(H163,Table2[],Qx!M$6,FALSE),0)</f>
        <v>0</v>
      </c>
      <c r="Z163" s="95">
        <v>0</v>
      </c>
      <c r="AA163" s="95">
        <v>0</v>
      </c>
      <c r="AB163" s="95">
        <v>0</v>
      </c>
      <c r="AC163" s="95">
        <v>0</v>
      </c>
      <c r="AD163" s="101">
        <f>PV(1.03,20,-VaBenefits[[#This Row],[Protected Income Payment]])</f>
        <v>0</v>
      </c>
    </row>
    <row r="164" spans="1:30" x14ac:dyDescent="0.3">
      <c r="A164" s="35">
        <f t="shared" si="28"/>
        <v>156</v>
      </c>
      <c r="B164" s="33">
        <f t="shared" si="29"/>
        <v>78</v>
      </c>
      <c r="C164" s="30" t="b">
        <f>AND(VaBenefits[[#This Row],[timeFromValuation]]&gt;=ACT,VaBenefits[[#This Row],[Assumed Contract Value ]]&gt;0)</f>
        <v>0</v>
      </c>
      <c r="D164" s="34">
        <f t="shared" si="26"/>
        <v>0</v>
      </c>
      <c r="E164" s="34">
        <f>IF(Use_Base_Case, AP164,IF(VaBenefits[[#This Row],[Is Anniversary?]],WithAmt,0))</f>
        <v>0</v>
      </c>
      <c r="F164" s="34">
        <f t="shared" si="27"/>
        <v>0</v>
      </c>
      <c r="G164" s="100">
        <f>ROUND($G$8+VaBenefits[[#This Row],[timeFromValuation]],0)</f>
        <v>133</v>
      </c>
      <c r="H164" s="21">
        <f>ROUND($H$8+VaBenefits[[#This Row],[timeFromValuation]],0)</f>
        <v>143</v>
      </c>
      <c r="I164" s="28" t="b">
        <f>VaBenefits[[#This Row],[Withdrawal Taken  ]]&gt;0</f>
        <v>0</v>
      </c>
      <c r="J164" s="45">
        <f>IF(AND(NOT(VaBenefits[[#This Row],[Is Activation]]),VaBenefits[[#This Row],[Assumed Contract Value ]]&gt;0),VaBenefits[[#This Row],[Withdrawal Taken  ]]/VaBenefits[[#This Row],[Assumed Contract Value ]],0)</f>
        <v>0</v>
      </c>
      <c r="K16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4" s="28" t="b">
        <f>AND(VaBenefits[[#This Row],[Is Activation]],SUMIFS($E$8:$E164,$C$8:$C164,TRUE)&gt;0)</f>
        <v>0</v>
      </c>
      <c r="M16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4" s="35" t="b">
        <f>IF(VaBenefits[[#This Row],[timeFromValuation]]=0,0, MOD(VaBenefits[[#This Row],[timeFromValuation]],1)=0)</f>
        <v>1</v>
      </c>
      <c r="O164" s="7">
        <f>IF(VaBenefits[[#This Row],[Is Anniversary?]]=TRUE,VaBenefits[[#This Row],[Assumed Contract Value ]],0)</f>
        <v>0</v>
      </c>
      <c r="P16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4" s="7" t="b">
        <f>VaBenefits[[#This Row],[Assumed Contract Value ]]&lt;0.1</f>
        <v>1</v>
      </c>
      <c r="R16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4" s="7">
        <f ca="1">IF(AND(VaBenefits[[#This Row],[Is Activation]]=FALSE,VaBenefits[[#This Row],[Is Anniversary?]]=TRUE),OFFSET( VaBenefits[[#This Row],[Income Credit Base]],-1,0)*ICP,0)</f>
        <v>0</v>
      </c>
      <c r="T164" s="5">
        <f>IF(VaBenefits[[#This Row],[Assumed Contract Value ]]&gt;0,VaBenefits[[#This Row],[Income Base]]*MAWA,0)</f>
        <v>0</v>
      </c>
      <c r="U164" s="99">
        <v>0</v>
      </c>
      <c r="V164" s="9">
        <f>1/(1+InterestRate)^VaBenefits[[#This Row],[timeFromValuation]]</f>
        <v>2.2245115885816989E-2</v>
      </c>
      <c r="W164" s="94">
        <f>VaBenefits[[#This Row],[timeFromValuation]]</f>
        <v>78</v>
      </c>
      <c r="X164" s="95">
        <f>IF(($G$8+VaBenefits[[#This Row],[timeFromValuation]])&lt;=120,VLOOKUP(G164,Table2[],Qx!L$6,FALSE),0)</f>
        <v>0</v>
      </c>
      <c r="Y164" s="95">
        <f>IF(($H$8+VaBenefits[[#This Row],[timeFromValuation]])&lt;=120,VLOOKUP(H164,Table2[],Qx!M$6,FALSE),0)</f>
        <v>0</v>
      </c>
      <c r="Z164" s="95">
        <v>0</v>
      </c>
      <c r="AA164" s="95">
        <v>0</v>
      </c>
      <c r="AB164" s="95">
        <v>0</v>
      </c>
      <c r="AC164" s="95">
        <v>0</v>
      </c>
      <c r="AD164" s="101">
        <f>PV(1.03,20,-VaBenefits[[#This Row],[Protected Income Payment]])</f>
        <v>0</v>
      </c>
    </row>
    <row r="165" spans="1:30" x14ac:dyDescent="0.3">
      <c r="A165" s="35">
        <f t="shared" si="28"/>
        <v>157</v>
      </c>
      <c r="B165" s="33">
        <f t="shared" si="29"/>
        <v>78.5</v>
      </c>
      <c r="C165" s="30" t="b">
        <f>AND(VaBenefits[[#This Row],[timeFromValuation]]&gt;=ACT,VaBenefits[[#This Row],[Assumed Contract Value ]]&gt;0)</f>
        <v>0</v>
      </c>
      <c r="D165" s="34">
        <f t="shared" si="26"/>
        <v>0</v>
      </c>
      <c r="E165" s="34">
        <f>IF(Use_Base_Case, AP165,IF(VaBenefits[[#This Row],[Is Anniversary?]],WithAmt,0))</f>
        <v>0</v>
      </c>
      <c r="F165" s="34">
        <f t="shared" si="27"/>
        <v>0</v>
      </c>
      <c r="G165" s="100">
        <f>ROUND($G$8+VaBenefits[[#This Row],[timeFromValuation]],0)</f>
        <v>134</v>
      </c>
      <c r="H165" s="21">
        <f>ROUND($H$8+VaBenefits[[#This Row],[timeFromValuation]],0)</f>
        <v>144</v>
      </c>
      <c r="I165" s="28" t="b">
        <f>VaBenefits[[#This Row],[Withdrawal Taken  ]]&gt;0</f>
        <v>0</v>
      </c>
      <c r="J165" s="45">
        <f>IF(AND(NOT(VaBenefits[[#This Row],[Is Activation]]),VaBenefits[[#This Row],[Assumed Contract Value ]]&gt;0),VaBenefits[[#This Row],[Withdrawal Taken  ]]/VaBenefits[[#This Row],[Assumed Contract Value ]],0)</f>
        <v>0</v>
      </c>
      <c r="K16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5" s="28" t="b">
        <f>AND(VaBenefits[[#This Row],[Is Activation]],SUMIFS($E$8:$E165,$C$8:$C165,TRUE)&gt;0)</f>
        <v>0</v>
      </c>
      <c r="M16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5" s="35" t="b">
        <f>IF(VaBenefits[[#This Row],[timeFromValuation]]=0,0, MOD(VaBenefits[[#This Row],[timeFromValuation]],1)=0)</f>
        <v>0</v>
      </c>
      <c r="O165" s="7">
        <f>IF(VaBenefits[[#This Row],[Is Anniversary?]]=TRUE,VaBenefits[[#This Row],[Assumed Contract Value ]],0)</f>
        <v>0</v>
      </c>
      <c r="P16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5" s="7" t="b">
        <f>VaBenefits[[#This Row],[Assumed Contract Value ]]&lt;0.1</f>
        <v>1</v>
      </c>
      <c r="R16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5" s="7">
        <f ca="1">IF(AND(VaBenefits[[#This Row],[Is Activation]]=FALSE,VaBenefits[[#This Row],[Is Anniversary?]]=TRUE),OFFSET( VaBenefits[[#This Row],[Income Credit Base]],-1,0)*ICP,0)</f>
        <v>0</v>
      </c>
      <c r="T165" s="5">
        <f>IF(VaBenefits[[#This Row],[Assumed Contract Value ]]&gt;0,VaBenefits[[#This Row],[Income Base]]*MAWA,0)</f>
        <v>0</v>
      </c>
      <c r="U165" s="99">
        <v>0</v>
      </c>
      <c r="V165" s="9">
        <f>1/(1+InterestRate)^VaBenefits[[#This Row],[timeFromValuation]]</f>
        <v>2.1709010215717316E-2</v>
      </c>
      <c r="W165" s="94">
        <f>VaBenefits[[#This Row],[timeFromValuation]]</f>
        <v>78.5</v>
      </c>
      <c r="X165" s="95">
        <f>IF(($G$8+VaBenefits[[#This Row],[timeFromValuation]])&lt;=120,VLOOKUP(G165,Table2[],Qx!L$6,FALSE),0)</f>
        <v>0</v>
      </c>
      <c r="Y165" s="95">
        <f>IF(($H$8+VaBenefits[[#This Row],[timeFromValuation]])&lt;=120,VLOOKUP(H165,Table2[],Qx!M$6,FALSE),0)</f>
        <v>0</v>
      </c>
      <c r="Z165" s="95">
        <v>0</v>
      </c>
      <c r="AA165" s="95">
        <v>0</v>
      </c>
      <c r="AB165" s="95">
        <v>0</v>
      </c>
      <c r="AC165" s="95">
        <v>0</v>
      </c>
      <c r="AD165" s="101">
        <f>PV(1.03,20,-VaBenefits[[#This Row],[Protected Income Payment]])</f>
        <v>0</v>
      </c>
    </row>
    <row r="166" spans="1:30" x14ac:dyDescent="0.3">
      <c r="A166" s="35">
        <f t="shared" si="28"/>
        <v>158</v>
      </c>
      <c r="B166" s="33">
        <f t="shared" si="29"/>
        <v>79</v>
      </c>
      <c r="C166" s="30" t="b">
        <f>AND(VaBenefits[[#This Row],[timeFromValuation]]&gt;=ACT,VaBenefits[[#This Row],[Assumed Contract Value ]]&gt;0)</f>
        <v>0</v>
      </c>
      <c r="D166" s="34">
        <f t="shared" si="26"/>
        <v>0</v>
      </c>
      <c r="E166" s="34">
        <f>IF(Use_Base_Case, AP166,IF(VaBenefits[[#This Row],[Is Anniversary?]],WithAmt,0))</f>
        <v>0</v>
      </c>
      <c r="F166" s="34">
        <f t="shared" si="27"/>
        <v>0</v>
      </c>
      <c r="G166" s="100">
        <f>ROUND($G$8+VaBenefits[[#This Row],[timeFromValuation]],0)</f>
        <v>134</v>
      </c>
      <c r="H166" s="21">
        <f>ROUND($H$8+VaBenefits[[#This Row],[timeFromValuation]],0)</f>
        <v>144</v>
      </c>
      <c r="I166" s="28" t="b">
        <f>VaBenefits[[#This Row],[Withdrawal Taken  ]]&gt;0</f>
        <v>0</v>
      </c>
      <c r="J166" s="45">
        <f>IF(AND(NOT(VaBenefits[[#This Row],[Is Activation]]),VaBenefits[[#This Row],[Assumed Contract Value ]]&gt;0),VaBenefits[[#This Row],[Withdrawal Taken  ]]/VaBenefits[[#This Row],[Assumed Contract Value ]],0)</f>
        <v>0</v>
      </c>
      <c r="K16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6" s="28" t="b">
        <f>AND(VaBenefits[[#This Row],[Is Activation]],SUMIFS($E$8:$E166,$C$8:$C166,TRUE)&gt;0)</f>
        <v>0</v>
      </c>
      <c r="M16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6" s="35" t="b">
        <f>IF(VaBenefits[[#This Row],[timeFromValuation]]=0,0, MOD(VaBenefits[[#This Row],[timeFromValuation]],1)=0)</f>
        <v>1</v>
      </c>
      <c r="O166" s="7">
        <f>IF(VaBenefits[[#This Row],[Is Anniversary?]]=TRUE,VaBenefits[[#This Row],[Assumed Contract Value ]],0)</f>
        <v>0</v>
      </c>
      <c r="P16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6" s="7" t="b">
        <f>VaBenefits[[#This Row],[Assumed Contract Value ]]&lt;0.1</f>
        <v>1</v>
      </c>
      <c r="R16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6" s="7">
        <f ca="1">IF(AND(VaBenefits[[#This Row],[Is Activation]]=FALSE,VaBenefits[[#This Row],[Is Anniversary?]]=TRUE),OFFSET( VaBenefits[[#This Row],[Income Credit Base]],-1,0)*ICP,0)</f>
        <v>0</v>
      </c>
      <c r="T166" s="5">
        <f>IF(VaBenefits[[#This Row],[Assumed Contract Value ]]&gt;0,VaBenefits[[#This Row],[Income Base]]*MAWA,0)</f>
        <v>0</v>
      </c>
      <c r="U166" s="99">
        <v>0</v>
      </c>
      <c r="V166" s="9">
        <f>1/(1+InterestRate)^VaBenefits[[#This Row],[timeFromValuation]]</f>
        <v>2.1185824653159029E-2</v>
      </c>
      <c r="W166" s="94">
        <f>VaBenefits[[#This Row],[timeFromValuation]]</f>
        <v>79</v>
      </c>
      <c r="X166" s="95">
        <f>IF(($G$8+VaBenefits[[#This Row],[timeFromValuation]])&lt;=120,VLOOKUP(G166,Table2[],Qx!L$6,FALSE),0)</f>
        <v>0</v>
      </c>
      <c r="Y166" s="95">
        <f>IF(($H$8+VaBenefits[[#This Row],[timeFromValuation]])&lt;=120,VLOOKUP(H166,Table2[],Qx!M$6,FALSE),0)</f>
        <v>0</v>
      </c>
      <c r="Z166" s="95">
        <v>0</v>
      </c>
      <c r="AA166" s="95">
        <v>0</v>
      </c>
      <c r="AB166" s="95">
        <v>0</v>
      </c>
      <c r="AC166" s="95">
        <v>0</v>
      </c>
      <c r="AD166" s="101">
        <f>PV(1.03,20,-VaBenefits[[#This Row],[Protected Income Payment]])</f>
        <v>0</v>
      </c>
    </row>
    <row r="167" spans="1:30" x14ac:dyDescent="0.3">
      <c r="A167" s="35">
        <f t="shared" si="28"/>
        <v>159</v>
      </c>
      <c r="B167" s="33">
        <f t="shared" si="29"/>
        <v>79.5</v>
      </c>
      <c r="C167" s="30" t="b">
        <f>AND(VaBenefits[[#This Row],[timeFromValuation]]&gt;=ACT,VaBenefits[[#This Row],[Assumed Contract Value ]]&gt;0)</f>
        <v>0</v>
      </c>
      <c r="D167" s="34">
        <f t="shared" si="26"/>
        <v>0</v>
      </c>
      <c r="E167" s="34">
        <f>IF(Use_Base_Case, AP167,IF(VaBenefits[[#This Row],[Is Anniversary?]],WithAmt,0))</f>
        <v>0</v>
      </c>
      <c r="F167" s="34">
        <f t="shared" si="27"/>
        <v>0</v>
      </c>
      <c r="G167" s="100">
        <f>ROUND($G$8+VaBenefits[[#This Row],[timeFromValuation]],0)</f>
        <v>135</v>
      </c>
      <c r="H167" s="21">
        <f>ROUND($H$8+VaBenefits[[#This Row],[timeFromValuation]],0)</f>
        <v>145</v>
      </c>
      <c r="I167" s="28" t="b">
        <f>VaBenefits[[#This Row],[Withdrawal Taken  ]]&gt;0</f>
        <v>0</v>
      </c>
      <c r="J167" s="45">
        <f>IF(AND(NOT(VaBenefits[[#This Row],[Is Activation]]),VaBenefits[[#This Row],[Assumed Contract Value ]]&gt;0),VaBenefits[[#This Row],[Withdrawal Taken  ]]/VaBenefits[[#This Row],[Assumed Contract Value ]],0)</f>
        <v>0</v>
      </c>
      <c r="K16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7" s="28" t="b">
        <f>AND(VaBenefits[[#This Row],[Is Activation]],SUMIFS($E$8:$E167,$C$8:$C167,TRUE)&gt;0)</f>
        <v>0</v>
      </c>
      <c r="M16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7" s="35" t="b">
        <f>IF(VaBenefits[[#This Row],[timeFromValuation]]=0,0, MOD(VaBenefits[[#This Row],[timeFromValuation]],1)=0)</f>
        <v>0</v>
      </c>
      <c r="O167" s="7">
        <f>IF(VaBenefits[[#This Row],[Is Anniversary?]]=TRUE,VaBenefits[[#This Row],[Assumed Contract Value ]],0)</f>
        <v>0</v>
      </c>
      <c r="P16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7" s="7" t="b">
        <f>VaBenefits[[#This Row],[Assumed Contract Value ]]&lt;0.1</f>
        <v>1</v>
      </c>
      <c r="R16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7" s="7">
        <f ca="1">IF(AND(VaBenefits[[#This Row],[Is Activation]]=FALSE,VaBenefits[[#This Row],[Is Anniversary?]]=TRUE),OFFSET( VaBenefits[[#This Row],[Income Credit Base]],-1,0)*ICP,0)</f>
        <v>0</v>
      </c>
      <c r="T167" s="5">
        <f>IF(VaBenefits[[#This Row],[Assumed Contract Value ]]&gt;0,VaBenefits[[#This Row],[Income Base]]*MAWA,0)</f>
        <v>0</v>
      </c>
      <c r="U167" s="99">
        <v>0</v>
      </c>
      <c r="V167" s="9">
        <f>1/(1+InterestRate)^VaBenefits[[#This Row],[timeFromValuation]]</f>
        <v>2.067524782449268E-2</v>
      </c>
      <c r="W167" s="94">
        <f>VaBenefits[[#This Row],[timeFromValuation]]</f>
        <v>79.5</v>
      </c>
      <c r="X167" s="95">
        <f>IF(($G$8+VaBenefits[[#This Row],[timeFromValuation]])&lt;=120,VLOOKUP(G167,Table2[],Qx!L$6,FALSE),0)</f>
        <v>0</v>
      </c>
      <c r="Y167" s="95">
        <f>IF(($H$8+VaBenefits[[#This Row],[timeFromValuation]])&lt;=120,VLOOKUP(H167,Table2[],Qx!M$6,FALSE),0)</f>
        <v>0</v>
      </c>
      <c r="Z167" s="95">
        <v>0</v>
      </c>
      <c r="AA167" s="95">
        <v>0</v>
      </c>
      <c r="AB167" s="95">
        <v>0</v>
      </c>
      <c r="AC167" s="95">
        <v>0</v>
      </c>
      <c r="AD167" s="101">
        <f>PV(1.03,20,-VaBenefits[[#This Row],[Protected Income Payment]])</f>
        <v>0</v>
      </c>
    </row>
    <row r="168" spans="1:30" x14ac:dyDescent="0.3">
      <c r="A168" s="35">
        <f t="shared" si="28"/>
        <v>160</v>
      </c>
      <c r="B168" s="33">
        <f t="shared" si="29"/>
        <v>80</v>
      </c>
      <c r="C168" s="30" t="b">
        <f>AND(VaBenefits[[#This Row],[timeFromValuation]]&gt;=ACT,VaBenefits[[#This Row],[Assumed Contract Value ]]&gt;0)</f>
        <v>0</v>
      </c>
      <c r="D168" s="34">
        <f t="shared" ref="D168:D180" si="30">IF(Is_Issued, 0,AO168)</f>
        <v>0</v>
      </c>
      <c r="E168" s="34">
        <f>IF(Use_Base_Case, AP168,IF(VaBenefits[[#This Row],[Is Anniversary?]],WithAmt,0))</f>
        <v>0</v>
      </c>
      <c r="F168" s="34">
        <f t="shared" si="27"/>
        <v>0</v>
      </c>
      <c r="G168" s="100">
        <f>ROUND($G$8+VaBenefits[[#This Row],[timeFromValuation]],0)</f>
        <v>135</v>
      </c>
      <c r="H168" s="21">
        <f>ROUND($H$8+VaBenefits[[#This Row],[timeFromValuation]],0)</f>
        <v>145</v>
      </c>
      <c r="I168" s="28" t="b">
        <f>VaBenefits[[#This Row],[Withdrawal Taken  ]]&gt;0</f>
        <v>0</v>
      </c>
      <c r="J168" s="45">
        <f>IF(AND(NOT(VaBenefits[[#This Row],[Is Activation]]),VaBenefits[[#This Row],[Assumed Contract Value ]]&gt;0),VaBenefits[[#This Row],[Withdrawal Taken  ]]/VaBenefits[[#This Row],[Assumed Contract Value ]],0)</f>
        <v>0</v>
      </c>
      <c r="K16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8" s="28" t="b">
        <f>AND(VaBenefits[[#This Row],[Is Activation]],SUMIFS($E$8:$E168,$C$8:$C168,TRUE)&gt;0)</f>
        <v>0</v>
      </c>
      <c r="M16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8" s="35" t="b">
        <f>IF(VaBenefits[[#This Row],[timeFromValuation]]=0,0, MOD(VaBenefits[[#This Row],[timeFromValuation]],1)=0)</f>
        <v>1</v>
      </c>
      <c r="O168" s="7">
        <f>IF(VaBenefits[[#This Row],[Is Anniversary?]]=TRUE,VaBenefits[[#This Row],[Assumed Contract Value ]],0)</f>
        <v>0</v>
      </c>
      <c r="P16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8" s="7" t="b">
        <f>VaBenefits[[#This Row],[Assumed Contract Value ]]&lt;0.1</f>
        <v>1</v>
      </c>
      <c r="R16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8" s="7">
        <f ca="1">IF(AND(VaBenefits[[#This Row],[Is Activation]]=FALSE,VaBenefits[[#This Row],[Is Anniversary?]]=TRUE),OFFSET( VaBenefits[[#This Row],[Income Credit Base]],-1,0)*ICP,0)</f>
        <v>0</v>
      </c>
      <c r="T168" s="5">
        <f>IF(VaBenefits[[#This Row],[Assumed Contract Value ]]&gt;0,VaBenefits[[#This Row],[Income Base]]*MAWA,0)</f>
        <v>0</v>
      </c>
      <c r="U168" s="99">
        <v>0</v>
      </c>
      <c r="V168" s="9">
        <f>1/(1+InterestRate)^VaBenefits[[#This Row],[timeFromValuation]]</f>
        <v>2.0176975860151457E-2</v>
      </c>
      <c r="W168" s="94">
        <f>VaBenefits[[#This Row],[timeFromValuation]]</f>
        <v>80</v>
      </c>
      <c r="X168" s="95">
        <f>IF(($G$8+VaBenefits[[#This Row],[timeFromValuation]])&lt;=120,VLOOKUP(G168,Table2[],Qx!L$6,FALSE),0)</f>
        <v>0</v>
      </c>
      <c r="Y168" s="95">
        <f>IF(($H$8+VaBenefits[[#This Row],[timeFromValuation]])&lt;=120,VLOOKUP(H168,Table2[],Qx!M$6,FALSE),0)</f>
        <v>0</v>
      </c>
      <c r="Z168" s="95">
        <v>0</v>
      </c>
      <c r="AA168" s="95">
        <v>0</v>
      </c>
      <c r="AB168" s="95">
        <v>0</v>
      </c>
      <c r="AC168" s="95">
        <v>0</v>
      </c>
      <c r="AD168" s="101">
        <f>PV(1.03,20,-VaBenefits[[#This Row],[Protected Income Payment]])</f>
        <v>0</v>
      </c>
    </row>
    <row r="169" spans="1:30" x14ac:dyDescent="0.3">
      <c r="A169" s="35">
        <f t="shared" si="28"/>
        <v>161</v>
      </c>
      <c r="B169" s="33">
        <f t="shared" si="29"/>
        <v>80.5</v>
      </c>
      <c r="C169" s="30" t="b">
        <f>AND(VaBenefits[[#This Row],[timeFromValuation]]&gt;=ACT,VaBenefits[[#This Row],[Assumed Contract Value ]]&gt;0)</f>
        <v>0</v>
      </c>
      <c r="D169" s="34">
        <f t="shared" si="30"/>
        <v>0</v>
      </c>
      <c r="E169" s="34">
        <f>IF(Use_Base_Case, AP169,IF(VaBenefits[[#This Row],[Is Anniversary?]],WithAmt,0))</f>
        <v>0</v>
      </c>
      <c r="F169" s="34">
        <f t="shared" ref="F169:F180" si="31">AQ169</f>
        <v>0</v>
      </c>
      <c r="G169" s="100">
        <f>ROUND($G$8+VaBenefits[[#This Row],[timeFromValuation]],0)</f>
        <v>136</v>
      </c>
      <c r="H169" s="21">
        <f>ROUND($H$8+VaBenefits[[#This Row],[timeFromValuation]],0)</f>
        <v>146</v>
      </c>
      <c r="I169" s="28" t="b">
        <f>VaBenefits[[#This Row],[Withdrawal Taken  ]]&gt;0</f>
        <v>0</v>
      </c>
      <c r="J169" s="45">
        <f>IF(AND(NOT(VaBenefits[[#This Row],[Is Activation]]),VaBenefits[[#This Row],[Assumed Contract Value ]]&gt;0),VaBenefits[[#This Row],[Withdrawal Taken  ]]/VaBenefits[[#This Row],[Assumed Contract Value ]],0)</f>
        <v>0</v>
      </c>
      <c r="K16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69" s="28" t="b">
        <f>AND(VaBenefits[[#This Row],[Is Activation]],SUMIFS($E$8:$E169,$C$8:$C169,TRUE)&gt;0)</f>
        <v>0</v>
      </c>
      <c r="M16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69" s="35" t="b">
        <f>IF(VaBenefits[[#This Row],[timeFromValuation]]=0,0, MOD(VaBenefits[[#This Row],[timeFromValuation]],1)=0)</f>
        <v>0</v>
      </c>
      <c r="O169" s="7">
        <f>IF(VaBenefits[[#This Row],[Is Anniversary?]]=TRUE,VaBenefits[[#This Row],[Assumed Contract Value ]],0)</f>
        <v>0</v>
      </c>
      <c r="P16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69" s="7" t="b">
        <f>VaBenefits[[#This Row],[Assumed Contract Value ]]&lt;0.1</f>
        <v>1</v>
      </c>
      <c r="R16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69" s="7">
        <f ca="1">IF(AND(VaBenefits[[#This Row],[Is Activation]]=FALSE,VaBenefits[[#This Row],[Is Anniversary?]]=TRUE),OFFSET( VaBenefits[[#This Row],[Income Credit Base]],-1,0)*ICP,0)</f>
        <v>0</v>
      </c>
      <c r="T169" s="5">
        <f>IF(VaBenefits[[#This Row],[Assumed Contract Value ]]&gt;0,VaBenefits[[#This Row],[Income Base]]*MAWA,0)</f>
        <v>0</v>
      </c>
      <c r="U169" s="99">
        <v>0</v>
      </c>
      <c r="V169" s="9">
        <f>1/(1+InterestRate)^VaBenefits[[#This Row],[timeFromValuation]]</f>
        <v>1.9690712213802548E-2</v>
      </c>
      <c r="W169" s="94">
        <f>VaBenefits[[#This Row],[timeFromValuation]]</f>
        <v>80.5</v>
      </c>
      <c r="X169" s="95">
        <f>IF(($G$8+VaBenefits[[#This Row],[timeFromValuation]])&lt;=120,VLOOKUP(G169,Table2[],Qx!L$6,FALSE),0)</f>
        <v>0</v>
      </c>
      <c r="Y169" s="95">
        <f>IF(($H$8+VaBenefits[[#This Row],[timeFromValuation]])&lt;=120,VLOOKUP(H169,Table2[],Qx!M$6,FALSE),0)</f>
        <v>0</v>
      </c>
      <c r="Z169" s="95">
        <v>0</v>
      </c>
      <c r="AA169" s="95">
        <v>0</v>
      </c>
      <c r="AB169" s="95">
        <v>0</v>
      </c>
      <c r="AC169" s="95">
        <v>0</v>
      </c>
      <c r="AD169" s="101">
        <f>PV(1.03,20,-VaBenefits[[#This Row],[Protected Income Payment]])</f>
        <v>0</v>
      </c>
    </row>
    <row r="170" spans="1:30" x14ac:dyDescent="0.3">
      <c r="A170" s="35">
        <f t="shared" si="28"/>
        <v>162</v>
      </c>
      <c r="B170" s="33">
        <f t="shared" si="29"/>
        <v>81</v>
      </c>
      <c r="C170" s="30" t="b">
        <f>AND(VaBenefits[[#This Row],[timeFromValuation]]&gt;=ACT,VaBenefits[[#This Row],[Assumed Contract Value ]]&gt;0)</f>
        <v>0</v>
      </c>
      <c r="D170" s="34">
        <f t="shared" si="30"/>
        <v>0</v>
      </c>
      <c r="E170" s="34">
        <f>IF(Use_Base_Case, AP170,IF(VaBenefits[[#This Row],[Is Anniversary?]],WithAmt,0))</f>
        <v>0</v>
      </c>
      <c r="F170" s="34">
        <f t="shared" si="31"/>
        <v>0</v>
      </c>
      <c r="G170" s="100">
        <f>ROUND($G$8+VaBenefits[[#This Row],[timeFromValuation]],0)</f>
        <v>136</v>
      </c>
      <c r="H170" s="21">
        <f>ROUND($H$8+VaBenefits[[#This Row],[timeFromValuation]],0)</f>
        <v>146</v>
      </c>
      <c r="I170" s="28" t="b">
        <f>VaBenefits[[#This Row],[Withdrawal Taken  ]]&gt;0</f>
        <v>0</v>
      </c>
      <c r="J170" s="45">
        <f>IF(AND(NOT(VaBenefits[[#This Row],[Is Activation]]),VaBenefits[[#This Row],[Assumed Contract Value ]]&gt;0),VaBenefits[[#This Row],[Withdrawal Taken  ]]/VaBenefits[[#This Row],[Assumed Contract Value ]],0)</f>
        <v>0</v>
      </c>
      <c r="K17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0" s="28" t="b">
        <f>AND(VaBenefits[[#This Row],[Is Activation]],SUMIFS($E$8:$E170,$C$8:$C170,TRUE)&gt;0)</f>
        <v>0</v>
      </c>
      <c r="M17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0" s="35" t="b">
        <f>IF(VaBenefits[[#This Row],[timeFromValuation]]=0,0, MOD(VaBenefits[[#This Row],[timeFromValuation]],1)=0)</f>
        <v>1</v>
      </c>
      <c r="O170" s="7">
        <f>IF(VaBenefits[[#This Row],[Is Anniversary?]]=TRUE,VaBenefits[[#This Row],[Assumed Contract Value ]],0)</f>
        <v>0</v>
      </c>
      <c r="P17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0" s="7" t="b">
        <f>VaBenefits[[#This Row],[Assumed Contract Value ]]&lt;0.1</f>
        <v>1</v>
      </c>
      <c r="R17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0" s="7">
        <f ca="1">IF(AND(VaBenefits[[#This Row],[Is Activation]]=FALSE,VaBenefits[[#This Row],[Is Anniversary?]]=TRUE),OFFSET( VaBenefits[[#This Row],[Income Credit Base]],-1,0)*ICP,0)</f>
        <v>0</v>
      </c>
      <c r="T170" s="5">
        <f>IF(VaBenefits[[#This Row],[Assumed Contract Value ]]&gt;0,VaBenefits[[#This Row],[Income Base]]*MAWA,0)</f>
        <v>0</v>
      </c>
      <c r="U170" s="99">
        <v>0</v>
      </c>
      <c r="V170" s="9">
        <f>1/(1+InterestRate)^VaBenefits[[#This Row],[timeFromValuation]]</f>
        <v>1.9216167485858526E-2</v>
      </c>
      <c r="W170" s="94">
        <f>VaBenefits[[#This Row],[timeFromValuation]]</f>
        <v>81</v>
      </c>
      <c r="X170" s="95">
        <f>IF(($G$8+VaBenefits[[#This Row],[timeFromValuation]])&lt;=120,VLOOKUP(G170,Table2[],Qx!L$6,FALSE),0)</f>
        <v>0</v>
      </c>
      <c r="Y170" s="95">
        <f>IF(($H$8+VaBenefits[[#This Row],[timeFromValuation]])&lt;=120,VLOOKUP(H170,Table2[],Qx!M$6,FALSE),0)</f>
        <v>0</v>
      </c>
      <c r="Z170" s="95">
        <v>0</v>
      </c>
      <c r="AA170" s="95">
        <v>0</v>
      </c>
      <c r="AB170" s="95">
        <v>0</v>
      </c>
      <c r="AC170" s="95">
        <v>0</v>
      </c>
      <c r="AD170" s="101">
        <f>PV(1.03,20,-VaBenefits[[#This Row],[Protected Income Payment]])</f>
        <v>0</v>
      </c>
    </row>
    <row r="171" spans="1:30" x14ac:dyDescent="0.3">
      <c r="A171" s="35">
        <f t="shared" si="28"/>
        <v>163</v>
      </c>
      <c r="B171" s="33">
        <f t="shared" si="29"/>
        <v>81.5</v>
      </c>
      <c r="C171" s="30" t="b">
        <f>AND(VaBenefits[[#This Row],[timeFromValuation]]&gt;=ACT,VaBenefits[[#This Row],[Assumed Contract Value ]]&gt;0)</f>
        <v>0</v>
      </c>
      <c r="D171" s="34">
        <f t="shared" si="30"/>
        <v>0</v>
      </c>
      <c r="E171" s="34">
        <f>IF(Use_Base_Case, AP171,IF(VaBenefits[[#This Row],[Is Anniversary?]],WithAmt,0))</f>
        <v>0</v>
      </c>
      <c r="F171" s="34">
        <f t="shared" si="31"/>
        <v>0</v>
      </c>
      <c r="G171" s="100">
        <f>ROUND($G$8+VaBenefits[[#This Row],[timeFromValuation]],0)</f>
        <v>137</v>
      </c>
      <c r="H171" s="21">
        <f>ROUND($H$8+VaBenefits[[#This Row],[timeFromValuation]],0)</f>
        <v>147</v>
      </c>
      <c r="I171" s="28" t="b">
        <f>VaBenefits[[#This Row],[Withdrawal Taken  ]]&gt;0</f>
        <v>0</v>
      </c>
      <c r="J171" s="45">
        <f>IF(AND(NOT(VaBenefits[[#This Row],[Is Activation]]),VaBenefits[[#This Row],[Assumed Contract Value ]]&gt;0),VaBenefits[[#This Row],[Withdrawal Taken  ]]/VaBenefits[[#This Row],[Assumed Contract Value ]],0)</f>
        <v>0</v>
      </c>
      <c r="K17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1" s="28" t="b">
        <f>AND(VaBenefits[[#This Row],[Is Activation]],SUMIFS($E$8:$E171,$C$8:$C171,TRUE)&gt;0)</f>
        <v>0</v>
      </c>
      <c r="M17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1" s="35" t="b">
        <f>IF(VaBenefits[[#This Row],[timeFromValuation]]=0,0, MOD(VaBenefits[[#This Row],[timeFromValuation]],1)=0)</f>
        <v>0</v>
      </c>
      <c r="O171" s="7">
        <f>IF(VaBenefits[[#This Row],[Is Anniversary?]]=TRUE,VaBenefits[[#This Row],[Assumed Contract Value ]],0)</f>
        <v>0</v>
      </c>
      <c r="P17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1" s="7" t="b">
        <f>VaBenefits[[#This Row],[Assumed Contract Value ]]&lt;0.1</f>
        <v>1</v>
      </c>
      <c r="R17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1" s="7">
        <f ca="1">IF(AND(VaBenefits[[#This Row],[Is Activation]]=FALSE,VaBenefits[[#This Row],[Is Anniversary?]]=TRUE),OFFSET( VaBenefits[[#This Row],[Income Credit Base]],-1,0)*ICP,0)</f>
        <v>0</v>
      </c>
      <c r="T171" s="5">
        <f>IF(VaBenefits[[#This Row],[Assumed Contract Value ]]&gt;0,VaBenefits[[#This Row],[Income Base]]*MAWA,0)</f>
        <v>0</v>
      </c>
      <c r="U171" s="99">
        <v>0</v>
      </c>
      <c r="V171" s="9">
        <f>1/(1+InterestRate)^VaBenefits[[#This Row],[timeFromValuation]]</f>
        <v>1.875305925124052E-2</v>
      </c>
      <c r="W171" s="94">
        <f>VaBenefits[[#This Row],[timeFromValuation]]</f>
        <v>81.5</v>
      </c>
      <c r="X171" s="95">
        <f>IF(($G$8+VaBenefits[[#This Row],[timeFromValuation]])&lt;=120,VLOOKUP(G171,Table2[],Qx!L$6,FALSE),0)</f>
        <v>0</v>
      </c>
      <c r="Y171" s="95">
        <f>IF(($H$8+VaBenefits[[#This Row],[timeFromValuation]])&lt;=120,VLOOKUP(H171,Table2[],Qx!M$6,FALSE),0)</f>
        <v>0</v>
      </c>
      <c r="Z171" s="95">
        <v>0</v>
      </c>
      <c r="AA171" s="95">
        <v>0</v>
      </c>
      <c r="AB171" s="95">
        <v>0</v>
      </c>
      <c r="AC171" s="95">
        <v>0</v>
      </c>
      <c r="AD171" s="101">
        <f>PV(1.03,20,-VaBenefits[[#This Row],[Protected Income Payment]])</f>
        <v>0</v>
      </c>
    </row>
    <row r="172" spans="1:30" x14ac:dyDescent="0.3">
      <c r="A172" s="35">
        <f t="shared" si="28"/>
        <v>164</v>
      </c>
      <c r="B172" s="33">
        <f t="shared" si="29"/>
        <v>82</v>
      </c>
      <c r="C172" s="30" t="b">
        <f>AND(VaBenefits[[#This Row],[timeFromValuation]]&gt;=ACT,VaBenefits[[#This Row],[Assumed Contract Value ]]&gt;0)</f>
        <v>0</v>
      </c>
      <c r="D172" s="34">
        <f t="shared" si="30"/>
        <v>0</v>
      </c>
      <c r="E172" s="34">
        <f>IF(Use_Base_Case, AP172,IF(VaBenefits[[#This Row],[Is Anniversary?]],WithAmt,0))</f>
        <v>0</v>
      </c>
      <c r="F172" s="34">
        <f t="shared" si="31"/>
        <v>0</v>
      </c>
      <c r="G172" s="100">
        <f>ROUND($G$8+VaBenefits[[#This Row],[timeFromValuation]],0)</f>
        <v>137</v>
      </c>
      <c r="H172" s="21">
        <f>ROUND($H$8+VaBenefits[[#This Row],[timeFromValuation]],0)</f>
        <v>147</v>
      </c>
      <c r="I172" s="28" t="b">
        <f>VaBenefits[[#This Row],[Withdrawal Taken  ]]&gt;0</f>
        <v>0</v>
      </c>
      <c r="J172" s="45">
        <f>IF(AND(NOT(VaBenefits[[#This Row],[Is Activation]]),VaBenefits[[#This Row],[Assumed Contract Value ]]&gt;0),VaBenefits[[#This Row],[Withdrawal Taken  ]]/VaBenefits[[#This Row],[Assumed Contract Value ]],0)</f>
        <v>0</v>
      </c>
      <c r="K17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2" s="28" t="b">
        <f>AND(VaBenefits[[#This Row],[Is Activation]],SUMIFS($E$8:$E172,$C$8:$C172,TRUE)&gt;0)</f>
        <v>0</v>
      </c>
      <c r="M17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2" s="35" t="b">
        <f>IF(VaBenefits[[#This Row],[timeFromValuation]]=0,0, MOD(VaBenefits[[#This Row],[timeFromValuation]],1)=0)</f>
        <v>1</v>
      </c>
      <c r="O172" s="7">
        <f>IF(VaBenefits[[#This Row],[Is Anniversary?]]=TRUE,VaBenefits[[#This Row],[Assumed Contract Value ]],0)</f>
        <v>0</v>
      </c>
      <c r="P17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2" s="7" t="b">
        <f>VaBenefits[[#This Row],[Assumed Contract Value ]]&lt;0.1</f>
        <v>1</v>
      </c>
      <c r="R17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2" s="7">
        <f ca="1">IF(AND(VaBenefits[[#This Row],[Is Activation]]=FALSE,VaBenefits[[#This Row],[Is Anniversary?]]=TRUE),OFFSET( VaBenefits[[#This Row],[Income Credit Base]],-1,0)*ICP,0)</f>
        <v>0</v>
      </c>
      <c r="T172" s="5">
        <f>IF(VaBenefits[[#This Row],[Assumed Contract Value ]]&gt;0,VaBenefits[[#This Row],[Income Base]]*MAWA,0)</f>
        <v>0</v>
      </c>
      <c r="U172" s="99">
        <v>0</v>
      </c>
      <c r="V172" s="9">
        <f>1/(1+InterestRate)^VaBenefits[[#This Row],[timeFromValuation]]</f>
        <v>1.8301111891293836E-2</v>
      </c>
      <c r="W172" s="94">
        <f>VaBenefits[[#This Row],[timeFromValuation]]</f>
        <v>82</v>
      </c>
      <c r="X172" s="95">
        <f>IF(($G$8+VaBenefits[[#This Row],[timeFromValuation]])&lt;=120,VLOOKUP(G172,Table2[],Qx!L$6,FALSE),0)</f>
        <v>0</v>
      </c>
      <c r="Y172" s="95">
        <f>IF(($H$8+VaBenefits[[#This Row],[timeFromValuation]])&lt;=120,VLOOKUP(H172,Table2[],Qx!M$6,FALSE),0)</f>
        <v>0</v>
      </c>
      <c r="Z172" s="95">
        <v>0</v>
      </c>
      <c r="AA172" s="95">
        <v>0</v>
      </c>
      <c r="AB172" s="95">
        <v>0</v>
      </c>
      <c r="AC172" s="95">
        <v>0</v>
      </c>
      <c r="AD172" s="101">
        <f>PV(1.03,20,-VaBenefits[[#This Row],[Protected Income Payment]])</f>
        <v>0</v>
      </c>
    </row>
    <row r="173" spans="1:30" x14ac:dyDescent="0.3">
      <c r="A173" s="35">
        <f t="shared" si="28"/>
        <v>165</v>
      </c>
      <c r="B173" s="33">
        <f t="shared" si="29"/>
        <v>82.5</v>
      </c>
      <c r="C173" s="30" t="b">
        <f>AND(VaBenefits[[#This Row],[timeFromValuation]]&gt;=ACT,VaBenefits[[#This Row],[Assumed Contract Value ]]&gt;0)</f>
        <v>0</v>
      </c>
      <c r="D173" s="34">
        <f t="shared" si="30"/>
        <v>0</v>
      </c>
      <c r="E173" s="34">
        <f>IF(Use_Base_Case, AP173,IF(VaBenefits[[#This Row],[Is Anniversary?]],WithAmt,0))</f>
        <v>0</v>
      </c>
      <c r="F173" s="34">
        <f t="shared" si="31"/>
        <v>0</v>
      </c>
      <c r="G173" s="100">
        <f>ROUND($G$8+VaBenefits[[#This Row],[timeFromValuation]],0)</f>
        <v>138</v>
      </c>
      <c r="H173" s="21">
        <f>ROUND($H$8+VaBenefits[[#This Row],[timeFromValuation]],0)</f>
        <v>148</v>
      </c>
      <c r="I173" s="28" t="b">
        <f>VaBenefits[[#This Row],[Withdrawal Taken  ]]&gt;0</f>
        <v>0</v>
      </c>
      <c r="J173" s="45">
        <f>IF(AND(NOT(VaBenefits[[#This Row],[Is Activation]]),VaBenefits[[#This Row],[Assumed Contract Value ]]&gt;0),VaBenefits[[#This Row],[Withdrawal Taken  ]]/VaBenefits[[#This Row],[Assumed Contract Value ]],0)</f>
        <v>0</v>
      </c>
      <c r="K17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3" s="28" t="b">
        <f>AND(VaBenefits[[#This Row],[Is Activation]],SUMIFS($E$8:$E173,$C$8:$C173,TRUE)&gt;0)</f>
        <v>0</v>
      </c>
      <c r="M17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3" s="35" t="b">
        <f>IF(VaBenefits[[#This Row],[timeFromValuation]]=0,0, MOD(VaBenefits[[#This Row],[timeFromValuation]],1)=0)</f>
        <v>0</v>
      </c>
      <c r="O173" s="7">
        <f>IF(VaBenefits[[#This Row],[Is Anniversary?]]=TRUE,VaBenefits[[#This Row],[Assumed Contract Value ]],0)</f>
        <v>0</v>
      </c>
      <c r="P17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3" s="7" t="b">
        <f>VaBenefits[[#This Row],[Assumed Contract Value ]]&lt;0.1</f>
        <v>1</v>
      </c>
      <c r="R17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3" s="7">
        <f ca="1">IF(AND(VaBenefits[[#This Row],[Is Activation]]=FALSE,VaBenefits[[#This Row],[Is Anniversary?]]=TRUE),OFFSET( VaBenefits[[#This Row],[Income Credit Base]],-1,0)*ICP,0)</f>
        <v>0</v>
      </c>
      <c r="T173" s="5">
        <f>IF(VaBenefits[[#This Row],[Assumed Contract Value ]]&gt;0,VaBenefits[[#This Row],[Income Base]]*MAWA,0)</f>
        <v>0</v>
      </c>
      <c r="U173" s="99">
        <v>0</v>
      </c>
      <c r="V173" s="9">
        <f>1/(1+InterestRate)^VaBenefits[[#This Row],[timeFromValuation]]</f>
        <v>1.7860056429752871E-2</v>
      </c>
      <c r="W173" s="94">
        <f>VaBenefits[[#This Row],[timeFromValuation]]</f>
        <v>82.5</v>
      </c>
      <c r="X173" s="95">
        <f>IF(($G$8+VaBenefits[[#This Row],[timeFromValuation]])&lt;=120,VLOOKUP(G173,Table2[],Qx!L$6,FALSE),0)</f>
        <v>0</v>
      </c>
      <c r="Y173" s="95">
        <f>IF(($H$8+VaBenefits[[#This Row],[timeFromValuation]])&lt;=120,VLOOKUP(H173,Table2[],Qx!M$6,FALSE),0)</f>
        <v>0</v>
      </c>
      <c r="Z173" s="95">
        <v>0</v>
      </c>
      <c r="AA173" s="95">
        <v>0</v>
      </c>
      <c r="AB173" s="95">
        <v>0</v>
      </c>
      <c r="AC173" s="95">
        <v>0</v>
      </c>
      <c r="AD173" s="101">
        <f>PV(1.03,20,-VaBenefits[[#This Row],[Protected Income Payment]])</f>
        <v>0</v>
      </c>
    </row>
    <row r="174" spans="1:30" x14ac:dyDescent="0.3">
      <c r="A174" s="35">
        <f t="shared" si="28"/>
        <v>166</v>
      </c>
      <c r="B174" s="33">
        <f t="shared" si="29"/>
        <v>83</v>
      </c>
      <c r="C174" s="30" t="b">
        <f>AND(VaBenefits[[#This Row],[timeFromValuation]]&gt;=ACT,VaBenefits[[#This Row],[Assumed Contract Value ]]&gt;0)</f>
        <v>0</v>
      </c>
      <c r="D174" s="34">
        <f t="shared" si="30"/>
        <v>0</v>
      </c>
      <c r="E174" s="34">
        <f>IF(Use_Base_Case, AP174,IF(VaBenefits[[#This Row],[Is Anniversary?]],WithAmt,0))</f>
        <v>0</v>
      </c>
      <c r="F174" s="34">
        <f t="shared" si="31"/>
        <v>0</v>
      </c>
      <c r="G174" s="100">
        <f>ROUND($G$8+VaBenefits[[#This Row],[timeFromValuation]],0)</f>
        <v>138</v>
      </c>
      <c r="H174" s="21">
        <f>ROUND($H$8+VaBenefits[[#This Row],[timeFromValuation]],0)</f>
        <v>148</v>
      </c>
      <c r="I174" s="28" t="b">
        <f>VaBenefits[[#This Row],[Withdrawal Taken  ]]&gt;0</f>
        <v>0</v>
      </c>
      <c r="J174" s="45">
        <f>IF(AND(NOT(VaBenefits[[#This Row],[Is Activation]]),VaBenefits[[#This Row],[Assumed Contract Value ]]&gt;0),VaBenefits[[#This Row],[Withdrawal Taken  ]]/VaBenefits[[#This Row],[Assumed Contract Value ]],0)</f>
        <v>0</v>
      </c>
      <c r="K17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4" s="28" t="b">
        <f>AND(VaBenefits[[#This Row],[Is Activation]],SUMIFS($E$8:$E174,$C$8:$C174,TRUE)&gt;0)</f>
        <v>0</v>
      </c>
      <c r="M17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4" s="35" t="b">
        <f>IF(VaBenefits[[#This Row],[timeFromValuation]]=0,0, MOD(VaBenefits[[#This Row],[timeFromValuation]],1)=0)</f>
        <v>1</v>
      </c>
      <c r="O174" s="7">
        <f>IF(VaBenefits[[#This Row],[Is Anniversary?]]=TRUE,VaBenefits[[#This Row],[Assumed Contract Value ]],0)</f>
        <v>0</v>
      </c>
      <c r="P17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4" s="7" t="b">
        <f>VaBenefits[[#This Row],[Assumed Contract Value ]]&lt;0.1</f>
        <v>1</v>
      </c>
      <c r="R17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4" s="7">
        <f ca="1">IF(AND(VaBenefits[[#This Row],[Is Activation]]=FALSE,VaBenefits[[#This Row],[Is Anniversary?]]=TRUE),OFFSET( VaBenefits[[#This Row],[Income Credit Base]],-1,0)*ICP,0)</f>
        <v>0</v>
      </c>
      <c r="T174" s="5">
        <f>IF(VaBenefits[[#This Row],[Assumed Contract Value ]]&gt;0,VaBenefits[[#This Row],[Income Base]]*MAWA,0)</f>
        <v>0</v>
      </c>
      <c r="U174" s="99">
        <v>0</v>
      </c>
      <c r="V174" s="9">
        <f>1/(1+InterestRate)^VaBenefits[[#This Row],[timeFromValuation]]</f>
        <v>1.7429630372660796E-2</v>
      </c>
      <c r="W174" s="94">
        <f>VaBenefits[[#This Row],[timeFromValuation]]</f>
        <v>83</v>
      </c>
      <c r="X174" s="95">
        <f>IF(($G$8+VaBenefits[[#This Row],[timeFromValuation]])&lt;=120,VLOOKUP(G174,Table2[],Qx!L$6,FALSE),0)</f>
        <v>0</v>
      </c>
      <c r="Y174" s="95">
        <f>IF(($H$8+VaBenefits[[#This Row],[timeFromValuation]])&lt;=120,VLOOKUP(H174,Table2[],Qx!M$6,FALSE),0)</f>
        <v>0</v>
      </c>
      <c r="Z174" s="95">
        <v>0</v>
      </c>
      <c r="AA174" s="95">
        <v>0</v>
      </c>
      <c r="AB174" s="95">
        <v>0</v>
      </c>
      <c r="AC174" s="95">
        <v>0</v>
      </c>
      <c r="AD174" s="101">
        <f>PV(1.03,20,-VaBenefits[[#This Row],[Protected Income Payment]])</f>
        <v>0</v>
      </c>
    </row>
    <row r="175" spans="1:30" x14ac:dyDescent="0.3">
      <c r="A175" s="35">
        <f t="shared" si="28"/>
        <v>167</v>
      </c>
      <c r="B175" s="33">
        <f t="shared" si="29"/>
        <v>83.5</v>
      </c>
      <c r="C175" s="30" t="b">
        <f>AND(VaBenefits[[#This Row],[timeFromValuation]]&gt;=ACT,VaBenefits[[#This Row],[Assumed Contract Value ]]&gt;0)</f>
        <v>0</v>
      </c>
      <c r="D175" s="34">
        <f t="shared" si="30"/>
        <v>0</v>
      </c>
      <c r="E175" s="34">
        <f>IF(Use_Base_Case, AP175,IF(VaBenefits[[#This Row],[Is Anniversary?]],WithAmt,0))</f>
        <v>0</v>
      </c>
      <c r="F175" s="34">
        <f t="shared" si="31"/>
        <v>0</v>
      </c>
      <c r="G175" s="100">
        <f>ROUND($G$8+VaBenefits[[#This Row],[timeFromValuation]],0)</f>
        <v>139</v>
      </c>
      <c r="H175" s="21">
        <f>ROUND($H$8+VaBenefits[[#This Row],[timeFromValuation]],0)</f>
        <v>149</v>
      </c>
      <c r="I175" s="28" t="b">
        <f>VaBenefits[[#This Row],[Withdrawal Taken  ]]&gt;0</f>
        <v>0</v>
      </c>
      <c r="J175" s="45">
        <f>IF(AND(NOT(VaBenefits[[#This Row],[Is Activation]]),VaBenefits[[#This Row],[Assumed Contract Value ]]&gt;0),VaBenefits[[#This Row],[Withdrawal Taken  ]]/VaBenefits[[#This Row],[Assumed Contract Value ]],0)</f>
        <v>0</v>
      </c>
      <c r="K17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5" s="28" t="b">
        <f>AND(VaBenefits[[#This Row],[Is Activation]],SUMIFS($E$8:$E175,$C$8:$C175,TRUE)&gt;0)</f>
        <v>0</v>
      </c>
      <c r="M17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5" s="35" t="b">
        <f>IF(VaBenefits[[#This Row],[timeFromValuation]]=0,0, MOD(VaBenefits[[#This Row],[timeFromValuation]],1)=0)</f>
        <v>0</v>
      </c>
      <c r="O175" s="7">
        <f>IF(VaBenefits[[#This Row],[Is Anniversary?]]=TRUE,VaBenefits[[#This Row],[Assumed Contract Value ]],0)</f>
        <v>0</v>
      </c>
      <c r="P17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5" s="7" t="b">
        <f>VaBenefits[[#This Row],[Assumed Contract Value ]]&lt;0.1</f>
        <v>1</v>
      </c>
      <c r="R17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5" s="7">
        <f ca="1">IF(AND(VaBenefits[[#This Row],[Is Activation]]=FALSE,VaBenefits[[#This Row],[Is Anniversary?]]=TRUE),OFFSET( VaBenefits[[#This Row],[Income Credit Base]],-1,0)*ICP,0)</f>
        <v>0</v>
      </c>
      <c r="T175" s="5">
        <f>IF(VaBenefits[[#This Row],[Assumed Contract Value ]]&gt;0,VaBenefits[[#This Row],[Income Base]]*MAWA,0)</f>
        <v>0</v>
      </c>
      <c r="U175" s="99">
        <v>0</v>
      </c>
      <c r="V175" s="9">
        <f>1/(1+InterestRate)^VaBenefits[[#This Row],[timeFromValuation]]</f>
        <v>1.7009577552145591E-2</v>
      </c>
      <c r="W175" s="94">
        <f>VaBenefits[[#This Row],[timeFromValuation]]</f>
        <v>83.5</v>
      </c>
      <c r="X175" s="95">
        <f>IF(($G$8+VaBenefits[[#This Row],[timeFromValuation]])&lt;=120,VLOOKUP(G175,Table2[],Qx!L$6,FALSE),0)</f>
        <v>0</v>
      </c>
      <c r="Y175" s="95">
        <f>IF(($H$8+VaBenefits[[#This Row],[timeFromValuation]])&lt;=120,VLOOKUP(H175,Table2[],Qx!M$6,FALSE),0)</f>
        <v>0</v>
      </c>
      <c r="Z175" s="95">
        <v>0</v>
      </c>
      <c r="AA175" s="95">
        <v>0</v>
      </c>
      <c r="AB175" s="95">
        <v>0</v>
      </c>
      <c r="AC175" s="95">
        <v>0</v>
      </c>
      <c r="AD175" s="101">
        <f>PV(1.03,20,-VaBenefits[[#This Row],[Protected Income Payment]])</f>
        <v>0</v>
      </c>
    </row>
    <row r="176" spans="1:30" x14ac:dyDescent="0.3">
      <c r="A176" s="35">
        <f t="shared" si="28"/>
        <v>168</v>
      </c>
      <c r="B176" s="33">
        <f t="shared" si="29"/>
        <v>84</v>
      </c>
      <c r="C176" s="30" t="b">
        <f>AND(VaBenefits[[#This Row],[timeFromValuation]]&gt;=ACT,VaBenefits[[#This Row],[Assumed Contract Value ]]&gt;0)</f>
        <v>0</v>
      </c>
      <c r="D176" s="34">
        <f t="shared" si="30"/>
        <v>0</v>
      </c>
      <c r="E176" s="34">
        <f>IF(Use_Base_Case, AP176,IF(VaBenefits[[#This Row],[Is Anniversary?]],WithAmt,0))</f>
        <v>0</v>
      </c>
      <c r="F176" s="34">
        <f t="shared" si="31"/>
        <v>0</v>
      </c>
      <c r="G176" s="100">
        <f>ROUND($G$8+VaBenefits[[#This Row],[timeFromValuation]],0)</f>
        <v>139</v>
      </c>
      <c r="H176" s="21">
        <f>ROUND($H$8+VaBenefits[[#This Row],[timeFromValuation]],0)</f>
        <v>149</v>
      </c>
      <c r="I176" s="28" t="b">
        <f>VaBenefits[[#This Row],[Withdrawal Taken  ]]&gt;0</f>
        <v>0</v>
      </c>
      <c r="J176" s="45">
        <f>IF(AND(NOT(VaBenefits[[#This Row],[Is Activation]]),VaBenefits[[#This Row],[Assumed Contract Value ]]&gt;0),VaBenefits[[#This Row],[Withdrawal Taken  ]]/VaBenefits[[#This Row],[Assumed Contract Value ]],0)</f>
        <v>0</v>
      </c>
      <c r="K17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6" s="28" t="b">
        <f>AND(VaBenefits[[#This Row],[Is Activation]],SUMIFS($E$8:$E176,$C$8:$C176,TRUE)&gt;0)</f>
        <v>0</v>
      </c>
      <c r="M17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6" s="35" t="b">
        <f>IF(VaBenefits[[#This Row],[timeFromValuation]]=0,0, MOD(VaBenefits[[#This Row],[timeFromValuation]],1)=0)</f>
        <v>1</v>
      </c>
      <c r="O176" s="7">
        <f>IF(VaBenefits[[#This Row],[Is Anniversary?]]=TRUE,VaBenefits[[#This Row],[Assumed Contract Value ]],0)</f>
        <v>0</v>
      </c>
      <c r="P17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6" s="7" t="b">
        <f>VaBenefits[[#This Row],[Assumed Contract Value ]]&lt;0.1</f>
        <v>1</v>
      </c>
      <c r="R17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6" s="7">
        <f ca="1">IF(AND(VaBenefits[[#This Row],[Is Activation]]=FALSE,VaBenefits[[#This Row],[Is Anniversary?]]=TRUE),OFFSET( VaBenefits[[#This Row],[Income Credit Base]],-1,0)*ICP,0)</f>
        <v>0</v>
      </c>
      <c r="T176" s="5">
        <f>IF(VaBenefits[[#This Row],[Assumed Contract Value ]]&gt;0,VaBenefits[[#This Row],[Income Base]]*MAWA,0)</f>
        <v>0</v>
      </c>
      <c r="U176" s="99">
        <v>0</v>
      </c>
      <c r="V176" s="9">
        <f>1/(1+InterestRate)^VaBenefits[[#This Row],[timeFromValuation]]</f>
        <v>1.6599647973962663E-2</v>
      </c>
      <c r="W176" s="94">
        <f>VaBenefits[[#This Row],[timeFromValuation]]</f>
        <v>84</v>
      </c>
      <c r="X176" s="95">
        <f>IF(($G$8+VaBenefits[[#This Row],[timeFromValuation]])&lt;=120,VLOOKUP(G176,Table2[],Qx!L$6,FALSE),0)</f>
        <v>0</v>
      </c>
      <c r="Y176" s="95">
        <f>IF(($H$8+VaBenefits[[#This Row],[timeFromValuation]])&lt;=120,VLOOKUP(H176,Table2[],Qx!M$6,FALSE),0)</f>
        <v>0</v>
      </c>
      <c r="Z176" s="95">
        <v>0</v>
      </c>
      <c r="AA176" s="95">
        <v>0</v>
      </c>
      <c r="AB176" s="95">
        <v>0</v>
      </c>
      <c r="AC176" s="95">
        <v>0</v>
      </c>
      <c r="AD176" s="101">
        <f>PV(1.03,20,-VaBenefits[[#This Row],[Protected Income Payment]])</f>
        <v>0</v>
      </c>
    </row>
    <row r="177" spans="1:30" x14ac:dyDescent="0.3">
      <c r="A177" s="35">
        <f t="shared" si="28"/>
        <v>169</v>
      </c>
      <c r="B177" s="33">
        <f t="shared" si="29"/>
        <v>84.5</v>
      </c>
      <c r="C177" s="30" t="b">
        <f>AND(VaBenefits[[#This Row],[timeFromValuation]]&gt;=ACT,VaBenefits[[#This Row],[Assumed Contract Value ]]&gt;0)</f>
        <v>0</v>
      </c>
      <c r="D177" s="34">
        <f t="shared" si="30"/>
        <v>0</v>
      </c>
      <c r="E177" s="34">
        <f>IF(Use_Base_Case, AP177,IF(VaBenefits[[#This Row],[Is Anniversary?]],WithAmt,0))</f>
        <v>0</v>
      </c>
      <c r="F177" s="34">
        <f t="shared" si="31"/>
        <v>0</v>
      </c>
      <c r="G177" s="100">
        <f>ROUND($G$8+VaBenefits[[#This Row],[timeFromValuation]],0)</f>
        <v>140</v>
      </c>
      <c r="H177" s="21">
        <f>ROUND($H$8+VaBenefits[[#This Row],[timeFromValuation]],0)</f>
        <v>150</v>
      </c>
      <c r="I177" s="28" t="b">
        <f>VaBenefits[[#This Row],[Withdrawal Taken  ]]&gt;0</f>
        <v>0</v>
      </c>
      <c r="J177" s="45">
        <f>IF(AND(NOT(VaBenefits[[#This Row],[Is Activation]]),VaBenefits[[#This Row],[Assumed Contract Value ]]&gt;0),VaBenefits[[#This Row],[Withdrawal Taken  ]]/VaBenefits[[#This Row],[Assumed Contract Value ]],0)</f>
        <v>0</v>
      </c>
      <c r="K17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7" s="28" t="b">
        <f>AND(VaBenefits[[#This Row],[Is Activation]],SUMIFS($E$8:$E177,$C$8:$C177,TRUE)&gt;0)</f>
        <v>0</v>
      </c>
      <c r="M17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7" s="35" t="b">
        <f>IF(VaBenefits[[#This Row],[timeFromValuation]]=0,0, MOD(VaBenefits[[#This Row],[timeFromValuation]],1)=0)</f>
        <v>0</v>
      </c>
      <c r="O177" s="7">
        <f>IF(VaBenefits[[#This Row],[Is Anniversary?]]=TRUE,VaBenefits[[#This Row],[Assumed Contract Value ]],0)</f>
        <v>0</v>
      </c>
      <c r="P17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7" s="7" t="b">
        <f>VaBenefits[[#This Row],[Assumed Contract Value ]]&lt;0.1</f>
        <v>1</v>
      </c>
      <c r="R17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7" s="7">
        <f ca="1">IF(AND(VaBenefits[[#This Row],[Is Activation]]=FALSE,VaBenefits[[#This Row],[Is Anniversary?]]=TRUE),OFFSET( VaBenefits[[#This Row],[Income Credit Base]],-1,0)*ICP,0)</f>
        <v>0</v>
      </c>
      <c r="T177" s="5">
        <f>IF(VaBenefits[[#This Row],[Assumed Contract Value ]]&gt;0,VaBenefits[[#This Row],[Income Base]]*MAWA,0)</f>
        <v>0</v>
      </c>
      <c r="U177" s="99">
        <v>0</v>
      </c>
      <c r="V177" s="9">
        <f>1/(1+InterestRate)^VaBenefits[[#This Row],[timeFromValuation]]</f>
        <v>1.6199597668710097E-2</v>
      </c>
      <c r="W177" s="94">
        <f>VaBenefits[[#This Row],[timeFromValuation]]</f>
        <v>84.5</v>
      </c>
      <c r="X177" s="95">
        <f>IF(($G$8+VaBenefits[[#This Row],[timeFromValuation]])&lt;=120,VLOOKUP(G177,Table2[],Qx!L$6,FALSE),0)</f>
        <v>0</v>
      </c>
      <c r="Y177" s="95">
        <f>IF(($H$8+VaBenefits[[#This Row],[timeFromValuation]])&lt;=120,VLOOKUP(H177,Table2[],Qx!M$6,FALSE),0)</f>
        <v>0</v>
      </c>
      <c r="Z177" s="95">
        <v>0</v>
      </c>
      <c r="AA177" s="95">
        <v>0</v>
      </c>
      <c r="AB177" s="95">
        <v>0</v>
      </c>
      <c r="AC177" s="95">
        <v>0</v>
      </c>
      <c r="AD177" s="101">
        <f>PV(1.03,20,-VaBenefits[[#This Row],[Protected Income Payment]])</f>
        <v>0</v>
      </c>
    </row>
    <row r="178" spans="1:30" x14ac:dyDescent="0.3">
      <c r="A178" s="35">
        <f t="shared" si="28"/>
        <v>170</v>
      </c>
      <c r="B178" s="33">
        <f t="shared" si="29"/>
        <v>85</v>
      </c>
      <c r="C178" s="30" t="b">
        <f>AND(VaBenefits[[#This Row],[timeFromValuation]]&gt;=ACT,VaBenefits[[#This Row],[Assumed Contract Value ]]&gt;0)</f>
        <v>0</v>
      </c>
      <c r="D178" s="34">
        <f t="shared" si="30"/>
        <v>0</v>
      </c>
      <c r="E178" s="34">
        <f>IF(Use_Base_Case, AP178,IF(VaBenefits[[#This Row],[Is Anniversary?]],WithAmt,0))</f>
        <v>0</v>
      </c>
      <c r="F178" s="34">
        <f t="shared" si="31"/>
        <v>0</v>
      </c>
      <c r="G178" s="100">
        <f>ROUND($G$8+VaBenefits[[#This Row],[timeFromValuation]],0)</f>
        <v>140</v>
      </c>
      <c r="H178" s="21">
        <f>ROUND($H$8+VaBenefits[[#This Row],[timeFromValuation]],0)</f>
        <v>150</v>
      </c>
      <c r="I178" s="28" t="b">
        <f>VaBenefits[[#This Row],[Withdrawal Taken  ]]&gt;0</f>
        <v>0</v>
      </c>
      <c r="J178" s="45">
        <f>IF(AND(NOT(VaBenefits[[#This Row],[Is Activation]]),VaBenefits[[#This Row],[Assumed Contract Value ]]&gt;0),VaBenefits[[#This Row],[Withdrawal Taken  ]]/VaBenefits[[#This Row],[Assumed Contract Value ]],0)</f>
        <v>0</v>
      </c>
      <c r="K17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8" s="28" t="b">
        <f>AND(VaBenefits[[#This Row],[Is Activation]],SUMIFS($E$8:$E178,$C$8:$C178,TRUE)&gt;0)</f>
        <v>0</v>
      </c>
      <c r="M17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8" s="35" t="b">
        <f>IF(VaBenefits[[#This Row],[timeFromValuation]]=0,0, MOD(VaBenefits[[#This Row],[timeFromValuation]],1)=0)</f>
        <v>1</v>
      </c>
      <c r="O178" s="7">
        <f>IF(VaBenefits[[#This Row],[Is Anniversary?]]=TRUE,VaBenefits[[#This Row],[Assumed Contract Value ]],0)</f>
        <v>0</v>
      </c>
      <c r="P17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8" s="7" t="b">
        <f>VaBenefits[[#This Row],[Assumed Contract Value ]]&lt;0.1</f>
        <v>1</v>
      </c>
      <c r="R17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8" s="7">
        <f ca="1">IF(AND(VaBenefits[[#This Row],[Is Activation]]=FALSE,VaBenefits[[#This Row],[Is Anniversary?]]=TRUE),OFFSET( VaBenefits[[#This Row],[Income Credit Base]],-1,0)*ICP,0)</f>
        <v>0</v>
      </c>
      <c r="T178" s="5">
        <f>IF(VaBenefits[[#This Row],[Assumed Contract Value ]]&gt;0,VaBenefits[[#This Row],[Income Base]]*MAWA,0)</f>
        <v>0</v>
      </c>
      <c r="U178" s="99">
        <v>0</v>
      </c>
      <c r="V178" s="9">
        <f>1/(1+InterestRate)^VaBenefits[[#This Row],[timeFromValuation]]</f>
        <v>1.580918854663111E-2</v>
      </c>
      <c r="W178" s="94">
        <f>VaBenefits[[#This Row],[timeFromValuation]]</f>
        <v>85</v>
      </c>
      <c r="X178" s="95">
        <f>IF(($G$8+VaBenefits[[#This Row],[timeFromValuation]])&lt;=120,VLOOKUP(G178,Table2[],Qx!L$6,FALSE),0)</f>
        <v>0</v>
      </c>
      <c r="Y178" s="95">
        <f>IF(($H$8+VaBenefits[[#This Row],[timeFromValuation]])&lt;=120,VLOOKUP(H178,Table2[],Qx!M$6,FALSE),0)</f>
        <v>0</v>
      </c>
      <c r="Z178" s="95">
        <v>0</v>
      </c>
      <c r="AA178" s="95">
        <v>0</v>
      </c>
      <c r="AB178" s="95">
        <v>0</v>
      </c>
      <c r="AC178" s="95">
        <v>0</v>
      </c>
      <c r="AD178" s="101">
        <f>PV(1.03,20,-VaBenefits[[#This Row],[Protected Income Payment]])</f>
        <v>0</v>
      </c>
    </row>
    <row r="179" spans="1:30" x14ac:dyDescent="0.3">
      <c r="A179" s="35">
        <f t="shared" si="28"/>
        <v>171</v>
      </c>
      <c r="B179" s="33">
        <f t="shared" si="29"/>
        <v>85.5</v>
      </c>
      <c r="C179" s="30" t="b">
        <f>AND(VaBenefits[[#This Row],[timeFromValuation]]&gt;=ACT,VaBenefits[[#This Row],[Assumed Contract Value ]]&gt;0)</f>
        <v>0</v>
      </c>
      <c r="D179" s="34">
        <f t="shared" si="30"/>
        <v>0</v>
      </c>
      <c r="E179" s="34">
        <f>IF(Use_Base_Case, AP179,IF(VaBenefits[[#This Row],[Is Anniversary?]],WithAmt,0))</f>
        <v>0</v>
      </c>
      <c r="F179" s="34">
        <f t="shared" si="31"/>
        <v>0</v>
      </c>
      <c r="G179" s="100">
        <f>ROUND($G$8+VaBenefits[[#This Row],[timeFromValuation]],0)</f>
        <v>141</v>
      </c>
      <c r="H179" s="21">
        <f>ROUND($H$8+VaBenefits[[#This Row],[timeFromValuation]],0)</f>
        <v>151</v>
      </c>
      <c r="I179" s="28" t="b">
        <f>VaBenefits[[#This Row],[Withdrawal Taken  ]]&gt;0</f>
        <v>0</v>
      </c>
      <c r="J179" s="45">
        <f>IF(AND(NOT(VaBenefits[[#This Row],[Is Activation]]),VaBenefits[[#This Row],[Assumed Contract Value ]]&gt;0),VaBenefits[[#This Row],[Withdrawal Taken  ]]/VaBenefits[[#This Row],[Assumed Contract Value ]],0)</f>
        <v>0</v>
      </c>
      <c r="K17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79" s="28" t="b">
        <f>AND(VaBenefits[[#This Row],[Is Activation]],SUMIFS($E$8:$E179,$C$8:$C179,TRUE)&gt;0)</f>
        <v>0</v>
      </c>
      <c r="M17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79" s="35" t="b">
        <f>IF(VaBenefits[[#This Row],[timeFromValuation]]=0,0, MOD(VaBenefits[[#This Row],[timeFromValuation]],1)=0)</f>
        <v>0</v>
      </c>
      <c r="O179" s="7">
        <f>IF(VaBenefits[[#This Row],[Is Anniversary?]]=TRUE,VaBenefits[[#This Row],[Assumed Contract Value ]],0)</f>
        <v>0</v>
      </c>
      <c r="P17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79" s="7" t="b">
        <f>VaBenefits[[#This Row],[Assumed Contract Value ]]&lt;0.1</f>
        <v>1</v>
      </c>
      <c r="R17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79" s="7">
        <f ca="1">IF(AND(VaBenefits[[#This Row],[Is Activation]]=FALSE,VaBenefits[[#This Row],[Is Anniversary?]]=TRUE),OFFSET( VaBenefits[[#This Row],[Income Credit Base]],-1,0)*ICP,0)</f>
        <v>0</v>
      </c>
      <c r="T179" s="5">
        <f>IF(VaBenefits[[#This Row],[Assumed Contract Value ]]&gt;0,VaBenefits[[#This Row],[Income Base]]*MAWA,0)</f>
        <v>0</v>
      </c>
      <c r="U179" s="99">
        <v>0</v>
      </c>
      <c r="V179" s="9">
        <f>1/(1+InterestRate)^VaBenefits[[#This Row],[timeFromValuation]]</f>
        <v>1.5428188255914375E-2</v>
      </c>
      <c r="W179" s="94">
        <f>VaBenefits[[#This Row],[timeFromValuation]]</f>
        <v>85.5</v>
      </c>
      <c r="X179" s="95">
        <f>IF(($G$8+VaBenefits[[#This Row],[timeFromValuation]])&lt;=120,VLOOKUP(G179,Table2[],Qx!L$6,FALSE),0)</f>
        <v>0</v>
      </c>
      <c r="Y179" s="95">
        <f>IF(($H$8+VaBenefits[[#This Row],[timeFromValuation]])&lt;=120,VLOOKUP(H179,Table2[],Qx!M$6,FALSE),0)</f>
        <v>0</v>
      </c>
      <c r="Z179" s="95">
        <v>0</v>
      </c>
      <c r="AA179" s="95">
        <v>0</v>
      </c>
      <c r="AB179" s="95">
        <v>0</v>
      </c>
      <c r="AC179" s="95">
        <v>0</v>
      </c>
      <c r="AD179" s="101">
        <f>PV(1.03,20,-VaBenefits[[#This Row],[Protected Income Payment]])</f>
        <v>0</v>
      </c>
    </row>
    <row r="180" spans="1:30" x14ac:dyDescent="0.3">
      <c r="A180" s="35">
        <f t="shared" si="28"/>
        <v>172</v>
      </c>
      <c r="B180" s="33">
        <f t="shared" si="29"/>
        <v>86</v>
      </c>
      <c r="C180" s="30" t="b">
        <f>AND(VaBenefits[[#This Row],[timeFromValuation]]&gt;=ACT,VaBenefits[[#This Row],[Assumed Contract Value ]]&gt;0)</f>
        <v>0</v>
      </c>
      <c r="D180" s="34">
        <f t="shared" si="30"/>
        <v>0</v>
      </c>
      <c r="E180" s="34">
        <f>IF(Use_Base_Case, AP180,IF(VaBenefits[[#This Row],[Is Anniversary?]],WithAmt,0))</f>
        <v>0</v>
      </c>
      <c r="F180" s="34">
        <f t="shared" si="31"/>
        <v>0</v>
      </c>
      <c r="G180" s="100">
        <f>ROUND($G$8+VaBenefits[[#This Row],[timeFromValuation]],0)</f>
        <v>141</v>
      </c>
      <c r="H180" s="21">
        <f>ROUND($H$8+VaBenefits[[#This Row],[timeFromValuation]],0)</f>
        <v>151</v>
      </c>
      <c r="I180" s="28" t="b">
        <f>VaBenefits[[#This Row],[Withdrawal Taken  ]]&gt;0</f>
        <v>0</v>
      </c>
      <c r="J180" s="45">
        <f>IF(AND(NOT(VaBenefits[[#This Row],[Is Activation]]),VaBenefits[[#This Row],[Assumed Contract Value ]]&gt;0),VaBenefits[[#This Row],[Withdrawal Taken  ]]/VaBenefits[[#This Row],[Assumed Contract Value ]],0)</f>
        <v>0</v>
      </c>
      <c r="K18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0" s="28" t="b">
        <f>AND(VaBenefits[[#This Row],[Is Activation]],SUMIFS($E$8:$E190,$C$8:$C190,TRUE)&gt;0)</f>
        <v>0</v>
      </c>
      <c r="M18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0" s="35" t="b">
        <f>IF(VaBenefits[[#This Row],[timeFromValuation]]=0,0, MOD(VaBenefits[[#This Row],[timeFromValuation]],1)=0)</f>
        <v>1</v>
      </c>
      <c r="O180" s="7">
        <f>IF(VaBenefits[[#This Row],[Is Anniversary?]]=TRUE,VaBenefits[[#This Row],[Assumed Contract Value ]],0)</f>
        <v>0</v>
      </c>
      <c r="P18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0" s="7" t="b">
        <f>VaBenefits[[#This Row],[Assumed Contract Value ]]&lt;0.1</f>
        <v>1</v>
      </c>
      <c r="R18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0" s="7">
        <f ca="1">IF(AND(VaBenefits[[#This Row],[Is Activation]]=FALSE,VaBenefits[[#This Row],[Is Anniversary?]]=TRUE),OFFSET( VaBenefits[[#This Row],[Income Credit Base]],-1,0)*ICP,0)</f>
        <v>0</v>
      </c>
      <c r="T180" s="5">
        <f>IF(VaBenefits[[#This Row],[Assumed Contract Value ]]&gt;0,VaBenefits[[#This Row],[Income Base]]*MAWA,0)</f>
        <v>0</v>
      </c>
      <c r="U180" s="99">
        <v>0</v>
      </c>
      <c r="V180" s="9">
        <f>1/(1+InterestRate)^VaBenefits[[#This Row],[timeFromValuation]]</f>
        <v>1.5056370044410581E-2</v>
      </c>
      <c r="W180" s="94">
        <f>VaBenefits[[#This Row],[timeFromValuation]]</f>
        <v>86</v>
      </c>
      <c r="X180" s="95">
        <f>IF(($G$8+VaBenefits[[#This Row],[timeFromValuation]])&lt;=120,VLOOKUP(G180,Table2[],Qx!L$6,FALSE),0)</f>
        <v>0</v>
      </c>
      <c r="Y180" s="95">
        <f>IF(($H$8+VaBenefits[[#This Row],[timeFromValuation]])&lt;=120,VLOOKUP(H180,Table2[],Qx!M$6,FALSE),0)</f>
        <v>0</v>
      </c>
      <c r="Z180" s="95">
        <v>0</v>
      </c>
      <c r="AA180" s="95">
        <v>0</v>
      </c>
      <c r="AB180" s="95">
        <v>0</v>
      </c>
      <c r="AC180" s="95">
        <v>0</v>
      </c>
      <c r="AD180" s="101">
        <f>PV(1.03,20,-VaBenefits[[#This Row],[Protected Income Payment]])</f>
        <v>0</v>
      </c>
    </row>
    <row r="181" spans="1:30" x14ac:dyDescent="0.3">
      <c r="A181" s="35">
        <f t="shared" si="28"/>
        <v>173</v>
      </c>
      <c r="B181" s="33">
        <f t="shared" si="29"/>
        <v>86.5</v>
      </c>
      <c r="C181" s="30" t="b">
        <f>AND(VaBenefits[[#This Row],[timeFromValuation]]&gt;=ACT,VaBenefits[[#This Row],[Assumed Contract Value ]]&gt;0)</f>
        <v>0</v>
      </c>
      <c r="D181" s="34">
        <f t="shared" ref="D181:D190" si="32">IF(Is_Issued, 0,AH181)</f>
        <v>0</v>
      </c>
      <c r="E181" s="34">
        <f>IF(Use_Base_Case, AI181,IF(VaBenefits[[#This Row],[Is Anniversary?]],WithAmt,0))</f>
        <v>0</v>
      </c>
      <c r="F181" s="34">
        <f t="shared" ref="F181:F190" si="33">AJ181</f>
        <v>0</v>
      </c>
      <c r="G181" s="100">
        <f>ROUND($G$8+VaBenefits[[#This Row],[timeFromValuation]],0)</f>
        <v>142</v>
      </c>
      <c r="H181" s="21">
        <f>ROUND($H$8+VaBenefits[[#This Row],[timeFromValuation]],0)</f>
        <v>152</v>
      </c>
      <c r="I181" s="28" t="b">
        <f>VaBenefits[[#This Row],[Withdrawal Taken  ]]&gt;0</f>
        <v>0</v>
      </c>
      <c r="J181" s="45">
        <f>IF(AND(NOT(VaBenefits[[#This Row],[Is Activation]]),VaBenefits[[#This Row],[Assumed Contract Value ]]&gt;0),VaBenefits[[#This Row],[Withdrawal Taken  ]]/VaBenefits[[#This Row],[Assumed Contract Value ]],0)</f>
        <v>0</v>
      </c>
      <c r="K181"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1" s="28" t="b">
        <f>AND(VaBenefits[[#This Row],[Is Activation]],SUMIFS($E$8:$E181,$C$8:$C181,TRUE)&gt;0)</f>
        <v>0</v>
      </c>
      <c r="M181"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1" s="35" t="b">
        <f>IF(VaBenefits[[#This Row],[timeFromValuation]]=0,0, MOD(VaBenefits[[#This Row],[timeFromValuation]],1)=0)</f>
        <v>0</v>
      </c>
      <c r="O181" s="7">
        <f>IF(VaBenefits[[#This Row],[Is Anniversary?]]=TRUE,VaBenefits[[#This Row],[Assumed Contract Value ]],0)</f>
        <v>0</v>
      </c>
      <c r="P181"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1" s="7" t="b">
        <f>VaBenefits[[#This Row],[Assumed Contract Value ]]&lt;0.1</f>
        <v>1</v>
      </c>
      <c r="R181"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1" s="7">
        <f ca="1">IF(AND(VaBenefits[[#This Row],[Is Activation]]=FALSE,VaBenefits[[#This Row],[Is Anniversary?]]=TRUE),OFFSET( VaBenefits[[#This Row],[Income Credit Base]],-1,0)*ICP,0)</f>
        <v>0</v>
      </c>
      <c r="T181" s="5">
        <f>IF(VaBenefits[[#This Row],[Assumed Contract Value ]]&gt;0,VaBenefits[[#This Row],[Income Base]]*MAWA,0)</f>
        <v>0</v>
      </c>
      <c r="U181" s="99">
        <v>0</v>
      </c>
      <c r="V181" s="96">
        <f>1/(1+InterestRate)^VaBenefits[[#This Row],[timeFromValuation]]</f>
        <v>1.4693512624680358E-2</v>
      </c>
      <c r="W181" s="97">
        <f>VaBenefits[[#This Row],[timeFromValuation]]</f>
        <v>86.5</v>
      </c>
      <c r="X181" s="95">
        <f>IF(($G$8+VaBenefits[[#This Row],[timeFromValuation]])&lt;=120,VLOOKUP(G181,Table2[],Qx!L$6,FALSE),0)</f>
        <v>0</v>
      </c>
      <c r="Y181" s="95">
        <f>IF(($H$8+VaBenefits[[#This Row],[timeFromValuation]])&lt;=120,VLOOKUP(H181,Table2[],Qx!M$6,FALSE),0)</f>
        <v>0</v>
      </c>
      <c r="Z181" s="95">
        <v>0</v>
      </c>
      <c r="AA181" s="95">
        <v>0</v>
      </c>
      <c r="AB181" s="95">
        <v>0</v>
      </c>
      <c r="AC181" s="95">
        <v>0</v>
      </c>
      <c r="AD181" s="103">
        <f>PV(1.03,20,-VaBenefits[[#This Row],[Protected Income Payment]])</f>
        <v>0</v>
      </c>
    </row>
    <row r="182" spans="1:30" x14ac:dyDescent="0.3">
      <c r="A182" s="35">
        <f t="shared" si="28"/>
        <v>174</v>
      </c>
      <c r="B182" s="33">
        <f t="shared" si="29"/>
        <v>87</v>
      </c>
      <c r="C182" s="30" t="b">
        <f>AND(VaBenefits[[#This Row],[timeFromValuation]]&gt;=ACT,VaBenefits[[#This Row],[Assumed Contract Value ]]&gt;0)</f>
        <v>0</v>
      </c>
      <c r="D182" s="34">
        <f t="shared" si="32"/>
        <v>0</v>
      </c>
      <c r="E182" s="34">
        <f>IF(Use_Base_Case, AI182,IF(VaBenefits[[#This Row],[Is Anniversary?]],WithAmt,0))</f>
        <v>0</v>
      </c>
      <c r="F182" s="34">
        <f t="shared" si="33"/>
        <v>0</v>
      </c>
      <c r="G182" s="100">
        <f>ROUND($G$8+VaBenefits[[#This Row],[timeFromValuation]],0)</f>
        <v>142</v>
      </c>
      <c r="H182" s="21">
        <f>ROUND($H$8+VaBenefits[[#This Row],[timeFromValuation]],0)</f>
        <v>152</v>
      </c>
      <c r="I182" s="28" t="b">
        <f>VaBenefits[[#This Row],[Withdrawal Taken  ]]&gt;0</f>
        <v>0</v>
      </c>
      <c r="J182" s="45">
        <f>IF(AND(NOT(VaBenefits[[#This Row],[Is Activation]]),VaBenefits[[#This Row],[Assumed Contract Value ]]&gt;0),VaBenefits[[#This Row],[Withdrawal Taken  ]]/VaBenefits[[#This Row],[Assumed Contract Value ]],0)</f>
        <v>0</v>
      </c>
      <c r="K182"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2" s="28" t="b">
        <f>AND(VaBenefits[[#This Row],[Is Activation]],SUMIFS($E$8:$E182,$C$8:$C182,TRUE)&gt;0)</f>
        <v>0</v>
      </c>
      <c r="M182"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2" s="35" t="b">
        <f>IF(VaBenefits[[#This Row],[timeFromValuation]]=0,0, MOD(VaBenefits[[#This Row],[timeFromValuation]],1)=0)</f>
        <v>1</v>
      </c>
      <c r="O182" s="7">
        <f>IF(VaBenefits[[#This Row],[Is Anniversary?]]=TRUE,VaBenefits[[#This Row],[Assumed Contract Value ]],0)</f>
        <v>0</v>
      </c>
      <c r="P182"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2" s="7" t="b">
        <f>VaBenefits[[#This Row],[Assumed Contract Value ]]&lt;0.1</f>
        <v>1</v>
      </c>
      <c r="R182"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2" s="7">
        <f ca="1">IF(AND(VaBenefits[[#This Row],[Is Activation]]=FALSE,VaBenefits[[#This Row],[Is Anniversary?]]=TRUE),OFFSET( VaBenefits[[#This Row],[Income Credit Base]],-1,0)*ICP,0)</f>
        <v>0</v>
      </c>
      <c r="T182" s="5">
        <f>IF(VaBenefits[[#This Row],[Assumed Contract Value ]]&gt;0,VaBenefits[[#This Row],[Income Base]]*MAWA,0)</f>
        <v>0</v>
      </c>
      <c r="U182" s="99">
        <v>0</v>
      </c>
      <c r="V182" s="96">
        <f>1/(1+InterestRate)^VaBenefits[[#This Row],[timeFromValuation]]</f>
        <v>1.4339400042295789E-2</v>
      </c>
      <c r="W182" s="97">
        <f>VaBenefits[[#This Row],[timeFromValuation]]</f>
        <v>87</v>
      </c>
      <c r="X182" s="95">
        <f>IF(($G$8+VaBenefits[[#This Row],[timeFromValuation]])&lt;=120,VLOOKUP(G182,Table2[],Qx!L$6,FALSE),0)</f>
        <v>0</v>
      </c>
      <c r="Y182" s="95">
        <f>IF(($H$8+VaBenefits[[#This Row],[timeFromValuation]])&lt;=120,VLOOKUP(H182,Table2[],Qx!M$6,FALSE),0)</f>
        <v>0</v>
      </c>
      <c r="Z182" s="95">
        <v>0</v>
      </c>
      <c r="AA182" s="95">
        <v>0</v>
      </c>
      <c r="AB182" s="95">
        <v>0</v>
      </c>
      <c r="AC182" s="95">
        <v>0</v>
      </c>
      <c r="AD182" s="103">
        <f>PV(1.03,20,-VaBenefits[[#This Row],[Protected Income Payment]])</f>
        <v>0</v>
      </c>
    </row>
    <row r="183" spans="1:30" x14ac:dyDescent="0.3">
      <c r="A183" s="35">
        <f t="shared" si="28"/>
        <v>175</v>
      </c>
      <c r="B183" s="33">
        <f t="shared" si="29"/>
        <v>87.5</v>
      </c>
      <c r="C183" s="30" t="b">
        <f>AND(VaBenefits[[#This Row],[timeFromValuation]]&gt;=ACT,VaBenefits[[#This Row],[Assumed Contract Value ]]&gt;0)</f>
        <v>0</v>
      </c>
      <c r="D183" s="34">
        <f t="shared" si="32"/>
        <v>0</v>
      </c>
      <c r="E183" s="34">
        <f>IF(Use_Base_Case, AI183,IF(VaBenefits[[#This Row],[Is Anniversary?]],WithAmt,0))</f>
        <v>0</v>
      </c>
      <c r="F183" s="34">
        <f t="shared" si="33"/>
        <v>0</v>
      </c>
      <c r="G183" s="100">
        <f>ROUND($G$8+VaBenefits[[#This Row],[timeFromValuation]],0)</f>
        <v>143</v>
      </c>
      <c r="H183" s="21">
        <f>ROUND($H$8+VaBenefits[[#This Row],[timeFromValuation]],0)</f>
        <v>153</v>
      </c>
      <c r="I183" s="28" t="b">
        <f>VaBenefits[[#This Row],[Withdrawal Taken  ]]&gt;0</f>
        <v>0</v>
      </c>
      <c r="J183" s="45">
        <f>IF(AND(NOT(VaBenefits[[#This Row],[Is Activation]]),VaBenefits[[#This Row],[Assumed Contract Value ]]&gt;0),VaBenefits[[#This Row],[Withdrawal Taken  ]]/VaBenefits[[#This Row],[Assumed Contract Value ]],0)</f>
        <v>0</v>
      </c>
      <c r="K183"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3" s="28" t="b">
        <f>AND(VaBenefits[[#This Row],[Is Activation]],SUMIFS($E$8:$E183,$C$8:$C183,TRUE)&gt;0)</f>
        <v>0</v>
      </c>
      <c r="M183"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3" s="35" t="b">
        <f>IF(VaBenefits[[#This Row],[timeFromValuation]]=0,0, MOD(VaBenefits[[#This Row],[timeFromValuation]],1)=0)</f>
        <v>0</v>
      </c>
      <c r="O183" s="7">
        <f>IF(VaBenefits[[#This Row],[Is Anniversary?]]=TRUE,VaBenefits[[#This Row],[Assumed Contract Value ]],0)</f>
        <v>0</v>
      </c>
      <c r="P183"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3" s="7" t="b">
        <f>VaBenefits[[#This Row],[Assumed Contract Value ]]&lt;0.1</f>
        <v>1</v>
      </c>
      <c r="R183"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3" s="7">
        <f ca="1">IF(AND(VaBenefits[[#This Row],[Is Activation]]=FALSE,VaBenefits[[#This Row],[Is Anniversary?]]=TRUE),OFFSET( VaBenefits[[#This Row],[Income Credit Base]],-1,0)*ICP,0)</f>
        <v>0</v>
      </c>
      <c r="T183" s="5">
        <f>IF(VaBenefits[[#This Row],[Assumed Contract Value ]]&gt;0,VaBenefits[[#This Row],[Income Base]]*MAWA,0)</f>
        <v>0</v>
      </c>
      <c r="U183" s="99">
        <v>0</v>
      </c>
      <c r="V183" s="96">
        <f>1/(1+InterestRate)^VaBenefits[[#This Row],[timeFromValuation]]</f>
        <v>1.3993821547314624E-2</v>
      </c>
      <c r="W183" s="97">
        <f>VaBenefits[[#This Row],[timeFromValuation]]</f>
        <v>87.5</v>
      </c>
      <c r="X183" s="95">
        <f>IF(($G$8+VaBenefits[[#This Row],[timeFromValuation]])&lt;=120,VLOOKUP(G183,Table2[],Qx!L$6,FALSE),0)</f>
        <v>0</v>
      </c>
      <c r="Y183" s="95">
        <f>IF(($H$8+VaBenefits[[#This Row],[timeFromValuation]])&lt;=120,VLOOKUP(H183,Table2[],Qx!M$6,FALSE),0)</f>
        <v>0</v>
      </c>
      <c r="Z183" s="95">
        <v>0</v>
      </c>
      <c r="AA183" s="95">
        <v>0</v>
      </c>
      <c r="AB183" s="95">
        <v>0</v>
      </c>
      <c r="AC183" s="95">
        <v>0</v>
      </c>
      <c r="AD183" s="103">
        <f>PV(1.03,20,-VaBenefits[[#This Row],[Protected Income Payment]])</f>
        <v>0</v>
      </c>
    </row>
    <row r="184" spans="1:30" x14ac:dyDescent="0.3">
      <c r="A184" s="35">
        <f t="shared" si="28"/>
        <v>176</v>
      </c>
      <c r="B184" s="33">
        <f t="shared" si="29"/>
        <v>88</v>
      </c>
      <c r="C184" s="30" t="b">
        <f>AND(VaBenefits[[#This Row],[timeFromValuation]]&gt;=ACT,VaBenefits[[#This Row],[Assumed Contract Value ]]&gt;0)</f>
        <v>0</v>
      </c>
      <c r="D184" s="34">
        <f t="shared" si="32"/>
        <v>0</v>
      </c>
      <c r="E184" s="34">
        <f>IF(Use_Base_Case, AI184,IF(VaBenefits[[#This Row],[Is Anniversary?]],WithAmt,0))</f>
        <v>0</v>
      </c>
      <c r="F184" s="34">
        <f t="shared" si="33"/>
        <v>0</v>
      </c>
      <c r="G184" s="100">
        <f>ROUND($G$8+VaBenefits[[#This Row],[timeFromValuation]],0)</f>
        <v>143</v>
      </c>
      <c r="H184" s="21">
        <f>ROUND($H$8+VaBenefits[[#This Row],[timeFromValuation]],0)</f>
        <v>153</v>
      </c>
      <c r="I184" s="28" t="b">
        <f>VaBenefits[[#This Row],[Withdrawal Taken  ]]&gt;0</f>
        <v>0</v>
      </c>
      <c r="J184" s="45">
        <f>IF(AND(NOT(VaBenefits[[#This Row],[Is Activation]]),VaBenefits[[#This Row],[Assumed Contract Value ]]&gt;0),VaBenefits[[#This Row],[Withdrawal Taken  ]]/VaBenefits[[#This Row],[Assumed Contract Value ]],0)</f>
        <v>0</v>
      </c>
      <c r="K184"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4" s="28" t="b">
        <f>AND(VaBenefits[[#This Row],[Is Activation]],SUMIFS($E$8:$E184,$C$8:$C184,TRUE)&gt;0)</f>
        <v>0</v>
      </c>
      <c r="M184"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4" s="35" t="b">
        <f>IF(VaBenefits[[#This Row],[timeFromValuation]]=0,0, MOD(VaBenefits[[#This Row],[timeFromValuation]],1)=0)</f>
        <v>1</v>
      </c>
      <c r="O184" s="7">
        <f>IF(VaBenefits[[#This Row],[Is Anniversary?]]=TRUE,VaBenefits[[#This Row],[Assumed Contract Value ]],0)</f>
        <v>0</v>
      </c>
      <c r="P184"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4" s="7" t="b">
        <f>VaBenefits[[#This Row],[Assumed Contract Value ]]&lt;0.1</f>
        <v>1</v>
      </c>
      <c r="R184"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4" s="7">
        <f ca="1">IF(AND(VaBenefits[[#This Row],[Is Activation]]=FALSE,VaBenefits[[#This Row],[Is Anniversary?]]=TRUE),OFFSET( VaBenefits[[#This Row],[Income Credit Base]],-1,0)*ICP,0)</f>
        <v>0</v>
      </c>
      <c r="T184" s="5">
        <f>IF(VaBenefits[[#This Row],[Assumed Contract Value ]]&gt;0,VaBenefits[[#This Row],[Income Base]]*MAWA,0)</f>
        <v>0</v>
      </c>
      <c r="U184" s="99">
        <v>0</v>
      </c>
      <c r="V184" s="96">
        <f>1/(1+InterestRate)^VaBenefits[[#This Row],[timeFromValuation]]</f>
        <v>1.3656571468853134E-2</v>
      </c>
      <c r="W184" s="97">
        <f>VaBenefits[[#This Row],[timeFromValuation]]</f>
        <v>88</v>
      </c>
      <c r="X184" s="95">
        <f>IF(($G$8+VaBenefits[[#This Row],[timeFromValuation]])&lt;=120,VLOOKUP(G184,Table2[],Qx!L$6,FALSE),0)</f>
        <v>0</v>
      </c>
      <c r="Y184" s="95">
        <f>IF(($H$8+VaBenefits[[#This Row],[timeFromValuation]])&lt;=120,VLOOKUP(H184,Table2[],Qx!M$6,FALSE),0)</f>
        <v>0</v>
      </c>
      <c r="Z184" s="95">
        <v>0</v>
      </c>
      <c r="AA184" s="95">
        <v>0</v>
      </c>
      <c r="AB184" s="95">
        <v>0</v>
      </c>
      <c r="AC184" s="95">
        <v>0</v>
      </c>
      <c r="AD184" s="103">
        <f>PV(1.03,20,-VaBenefits[[#This Row],[Protected Income Payment]])</f>
        <v>0</v>
      </c>
    </row>
    <row r="185" spans="1:30" x14ac:dyDescent="0.3">
      <c r="A185" s="35">
        <f t="shared" si="28"/>
        <v>177</v>
      </c>
      <c r="B185" s="33">
        <f t="shared" si="29"/>
        <v>88.5</v>
      </c>
      <c r="C185" s="30" t="b">
        <f>AND(VaBenefits[[#This Row],[timeFromValuation]]&gt;=ACT,VaBenefits[[#This Row],[Assumed Contract Value ]]&gt;0)</f>
        <v>0</v>
      </c>
      <c r="D185" s="34">
        <f t="shared" si="32"/>
        <v>0</v>
      </c>
      <c r="E185" s="34">
        <f>IF(Use_Base_Case, AI185,IF(VaBenefits[[#This Row],[Is Anniversary?]],WithAmt,0))</f>
        <v>0</v>
      </c>
      <c r="F185" s="34">
        <f t="shared" si="33"/>
        <v>0</v>
      </c>
      <c r="G185" s="100">
        <f>ROUND($G$8+VaBenefits[[#This Row],[timeFromValuation]],0)</f>
        <v>144</v>
      </c>
      <c r="H185" s="21">
        <f>ROUND($H$8+VaBenefits[[#This Row],[timeFromValuation]],0)</f>
        <v>154</v>
      </c>
      <c r="I185" s="28" t="b">
        <f>VaBenefits[[#This Row],[Withdrawal Taken  ]]&gt;0</f>
        <v>0</v>
      </c>
      <c r="J185" s="45">
        <f>IF(AND(NOT(VaBenefits[[#This Row],[Is Activation]]),VaBenefits[[#This Row],[Assumed Contract Value ]]&gt;0),VaBenefits[[#This Row],[Withdrawal Taken  ]]/VaBenefits[[#This Row],[Assumed Contract Value ]],0)</f>
        <v>0</v>
      </c>
      <c r="K185"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5" s="28" t="b">
        <f>AND(VaBenefits[[#This Row],[Is Activation]],SUMIFS($E$8:$E185,$C$8:$C185,TRUE)&gt;0)</f>
        <v>0</v>
      </c>
      <c r="M185"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5" s="35" t="b">
        <f>IF(VaBenefits[[#This Row],[timeFromValuation]]=0,0, MOD(VaBenefits[[#This Row],[timeFromValuation]],1)=0)</f>
        <v>0</v>
      </c>
      <c r="O185" s="7">
        <f>IF(VaBenefits[[#This Row],[Is Anniversary?]]=TRUE,VaBenefits[[#This Row],[Assumed Contract Value ]],0)</f>
        <v>0</v>
      </c>
      <c r="P185"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5" s="7" t="b">
        <f>VaBenefits[[#This Row],[Assumed Contract Value ]]&lt;0.1</f>
        <v>1</v>
      </c>
      <c r="R185"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5" s="7">
        <f ca="1">IF(AND(VaBenefits[[#This Row],[Is Activation]]=FALSE,VaBenefits[[#This Row],[Is Anniversary?]]=TRUE),OFFSET( VaBenefits[[#This Row],[Income Credit Base]],-1,0)*ICP,0)</f>
        <v>0</v>
      </c>
      <c r="T185" s="5">
        <f>IF(VaBenefits[[#This Row],[Assumed Contract Value ]]&gt;0,VaBenefits[[#This Row],[Income Base]]*MAWA,0)</f>
        <v>0</v>
      </c>
      <c r="U185" s="99">
        <v>0</v>
      </c>
      <c r="V185" s="96">
        <f>1/(1+InterestRate)^VaBenefits[[#This Row],[timeFromValuation]]</f>
        <v>1.3327449092680592E-2</v>
      </c>
      <c r="W185" s="97">
        <f>VaBenefits[[#This Row],[timeFromValuation]]</f>
        <v>88.5</v>
      </c>
      <c r="X185" s="95">
        <f>IF(($G$8+VaBenefits[[#This Row],[timeFromValuation]])&lt;=120,VLOOKUP(G185,Table2[],Qx!L$6,FALSE),0)</f>
        <v>0</v>
      </c>
      <c r="Y185" s="95">
        <f>IF(($H$8+VaBenefits[[#This Row],[timeFromValuation]])&lt;=120,VLOOKUP(H185,Table2[],Qx!M$6,FALSE),0)</f>
        <v>0</v>
      </c>
      <c r="Z185" s="95">
        <v>0</v>
      </c>
      <c r="AA185" s="95">
        <v>0</v>
      </c>
      <c r="AB185" s="95">
        <v>0</v>
      </c>
      <c r="AC185" s="95">
        <v>0</v>
      </c>
      <c r="AD185" s="103">
        <f>PV(1.03,20,-VaBenefits[[#This Row],[Protected Income Payment]])</f>
        <v>0</v>
      </c>
    </row>
    <row r="186" spans="1:30" x14ac:dyDescent="0.3">
      <c r="A186" s="35">
        <f t="shared" si="28"/>
        <v>178</v>
      </c>
      <c r="B186" s="33">
        <f t="shared" si="29"/>
        <v>89</v>
      </c>
      <c r="C186" s="30" t="b">
        <f>AND(VaBenefits[[#This Row],[timeFromValuation]]&gt;=ACT,VaBenefits[[#This Row],[Assumed Contract Value ]]&gt;0)</f>
        <v>0</v>
      </c>
      <c r="D186" s="34">
        <f t="shared" si="32"/>
        <v>0</v>
      </c>
      <c r="E186" s="34">
        <f>IF(Use_Base_Case, AI186,IF(VaBenefits[[#This Row],[Is Anniversary?]],WithAmt,0))</f>
        <v>0</v>
      </c>
      <c r="F186" s="34">
        <f t="shared" si="33"/>
        <v>0</v>
      </c>
      <c r="G186" s="100">
        <f>ROUND($G$8+VaBenefits[[#This Row],[timeFromValuation]],0)</f>
        <v>144</v>
      </c>
      <c r="H186" s="21">
        <f>ROUND($H$8+VaBenefits[[#This Row],[timeFromValuation]],0)</f>
        <v>154</v>
      </c>
      <c r="I186" s="28" t="b">
        <f>VaBenefits[[#This Row],[Withdrawal Taken  ]]&gt;0</f>
        <v>0</v>
      </c>
      <c r="J186" s="45">
        <f>IF(AND(NOT(VaBenefits[[#This Row],[Is Activation]]),VaBenefits[[#This Row],[Assumed Contract Value ]]&gt;0),VaBenefits[[#This Row],[Withdrawal Taken  ]]/VaBenefits[[#This Row],[Assumed Contract Value ]],0)</f>
        <v>0</v>
      </c>
      <c r="K186"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6" s="28" t="b">
        <f>AND(VaBenefits[[#This Row],[Is Activation]],SUMIFS($E$8:$E186,$C$8:$C186,TRUE)&gt;0)</f>
        <v>0</v>
      </c>
      <c r="M186"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6" s="35" t="b">
        <f>IF(VaBenefits[[#This Row],[timeFromValuation]]=0,0, MOD(VaBenefits[[#This Row],[timeFromValuation]],1)=0)</f>
        <v>1</v>
      </c>
      <c r="O186" s="7">
        <f>IF(VaBenefits[[#This Row],[Is Anniversary?]]=TRUE,VaBenefits[[#This Row],[Assumed Contract Value ]],0)</f>
        <v>0</v>
      </c>
      <c r="P186"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6" s="7" t="b">
        <f>VaBenefits[[#This Row],[Assumed Contract Value ]]&lt;0.1</f>
        <v>1</v>
      </c>
      <c r="R186"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6" s="7">
        <f ca="1">IF(AND(VaBenefits[[#This Row],[Is Activation]]=FALSE,VaBenefits[[#This Row],[Is Anniversary?]]=TRUE),OFFSET( VaBenefits[[#This Row],[Income Credit Base]],-1,0)*ICP,0)</f>
        <v>0</v>
      </c>
      <c r="T186" s="5">
        <f>IF(VaBenefits[[#This Row],[Assumed Contract Value ]]&gt;0,VaBenefits[[#This Row],[Income Base]]*MAWA,0)</f>
        <v>0</v>
      </c>
      <c r="U186" s="99">
        <v>0</v>
      </c>
      <c r="V186" s="96">
        <f>1/(1+InterestRate)^VaBenefits[[#This Row],[timeFromValuation]]</f>
        <v>1.3006258541764888E-2</v>
      </c>
      <c r="W186" s="97">
        <f>VaBenefits[[#This Row],[timeFromValuation]]</f>
        <v>89</v>
      </c>
      <c r="X186" s="95">
        <f>IF(($G$8+VaBenefits[[#This Row],[timeFromValuation]])&lt;=120,VLOOKUP(G186,Table2[],Qx!L$6,FALSE),0)</f>
        <v>0</v>
      </c>
      <c r="Y186" s="95">
        <f>IF(($H$8+VaBenefits[[#This Row],[timeFromValuation]])&lt;=120,VLOOKUP(H186,Table2[],Qx!M$6,FALSE),0)</f>
        <v>0</v>
      </c>
      <c r="Z186" s="95">
        <v>0</v>
      </c>
      <c r="AA186" s="95">
        <v>0</v>
      </c>
      <c r="AB186" s="95">
        <v>0</v>
      </c>
      <c r="AC186" s="95">
        <v>0</v>
      </c>
      <c r="AD186" s="103">
        <f>PV(1.03,20,-VaBenefits[[#This Row],[Protected Income Payment]])</f>
        <v>0</v>
      </c>
    </row>
    <row r="187" spans="1:30" x14ac:dyDescent="0.3">
      <c r="A187" s="35">
        <f t="shared" si="28"/>
        <v>179</v>
      </c>
      <c r="B187" s="33">
        <f t="shared" si="29"/>
        <v>89.5</v>
      </c>
      <c r="C187" s="30" t="b">
        <f>AND(VaBenefits[[#This Row],[timeFromValuation]]&gt;=ACT,VaBenefits[[#This Row],[Assumed Contract Value ]]&gt;0)</f>
        <v>0</v>
      </c>
      <c r="D187" s="34">
        <f t="shared" si="32"/>
        <v>0</v>
      </c>
      <c r="E187" s="34">
        <f>IF(Use_Base_Case, AI187,IF(VaBenefits[[#This Row],[Is Anniversary?]],WithAmt,0))</f>
        <v>0</v>
      </c>
      <c r="F187" s="34">
        <f t="shared" si="33"/>
        <v>0</v>
      </c>
      <c r="G187" s="100">
        <f>ROUND($G$8+VaBenefits[[#This Row],[timeFromValuation]],0)</f>
        <v>145</v>
      </c>
      <c r="H187" s="21">
        <f>ROUND($H$8+VaBenefits[[#This Row],[timeFromValuation]],0)</f>
        <v>155</v>
      </c>
      <c r="I187" s="28" t="b">
        <f>VaBenefits[[#This Row],[Withdrawal Taken  ]]&gt;0</f>
        <v>0</v>
      </c>
      <c r="J187" s="45">
        <f>IF(AND(NOT(VaBenefits[[#This Row],[Is Activation]]),VaBenefits[[#This Row],[Assumed Contract Value ]]&gt;0),VaBenefits[[#This Row],[Withdrawal Taken  ]]/VaBenefits[[#This Row],[Assumed Contract Value ]],0)</f>
        <v>0</v>
      </c>
      <c r="K187"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7" s="28" t="b">
        <f>AND(VaBenefits[[#This Row],[Is Activation]],SUMIFS($E$8:$E187,$C$8:$C187,TRUE)&gt;0)</f>
        <v>0</v>
      </c>
      <c r="M187"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7" s="35" t="b">
        <f>IF(VaBenefits[[#This Row],[timeFromValuation]]=0,0, MOD(VaBenefits[[#This Row],[timeFromValuation]],1)=0)</f>
        <v>0</v>
      </c>
      <c r="O187" s="7">
        <f>IF(VaBenefits[[#This Row],[Is Anniversary?]]=TRUE,VaBenefits[[#This Row],[Assumed Contract Value ]],0)</f>
        <v>0</v>
      </c>
      <c r="P187"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7" s="7" t="b">
        <f>VaBenefits[[#This Row],[Assumed Contract Value ]]&lt;0.1</f>
        <v>1</v>
      </c>
      <c r="R187"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7" s="7">
        <f ca="1">IF(AND(VaBenefits[[#This Row],[Is Activation]]=FALSE,VaBenefits[[#This Row],[Is Anniversary?]]=TRUE),OFFSET( VaBenefits[[#This Row],[Income Credit Base]],-1,0)*ICP,0)</f>
        <v>0</v>
      </c>
      <c r="T187" s="5">
        <f>IF(VaBenefits[[#This Row],[Assumed Contract Value ]]&gt;0,VaBenefits[[#This Row],[Income Base]]*MAWA,0)</f>
        <v>0</v>
      </c>
      <c r="U187" s="99">
        <v>0</v>
      </c>
      <c r="V187" s="96">
        <f>1/(1+InterestRate)^VaBenefits[[#This Row],[timeFromValuation]]</f>
        <v>1.26928086596958E-2</v>
      </c>
      <c r="W187" s="97">
        <f>VaBenefits[[#This Row],[timeFromValuation]]</f>
        <v>89.5</v>
      </c>
      <c r="X187" s="95">
        <f>IF(($G$8+VaBenefits[[#This Row],[timeFromValuation]])&lt;=120,VLOOKUP(G187,Table2[],Qx!L$6,FALSE),0)</f>
        <v>0</v>
      </c>
      <c r="Y187" s="95">
        <f>IF(($H$8+VaBenefits[[#This Row],[timeFromValuation]])&lt;=120,VLOOKUP(H187,Table2[],Qx!M$6,FALSE),0)</f>
        <v>0</v>
      </c>
      <c r="Z187" s="95">
        <v>0</v>
      </c>
      <c r="AA187" s="95">
        <v>0</v>
      </c>
      <c r="AB187" s="95">
        <v>0</v>
      </c>
      <c r="AC187" s="95">
        <v>0</v>
      </c>
      <c r="AD187" s="103">
        <f>PV(1.03,20,-VaBenefits[[#This Row],[Protected Income Payment]])</f>
        <v>0</v>
      </c>
    </row>
    <row r="188" spans="1:30" x14ac:dyDescent="0.3">
      <c r="A188" s="35">
        <f t="shared" si="28"/>
        <v>180</v>
      </c>
      <c r="B188" s="33">
        <f t="shared" si="29"/>
        <v>90</v>
      </c>
      <c r="C188" s="30" t="b">
        <f>AND(VaBenefits[[#This Row],[timeFromValuation]]&gt;=ACT,VaBenefits[[#This Row],[Assumed Contract Value ]]&gt;0)</f>
        <v>0</v>
      </c>
      <c r="D188" s="34">
        <f t="shared" si="32"/>
        <v>0</v>
      </c>
      <c r="E188" s="34">
        <f>IF(Use_Base_Case, AI188,IF(VaBenefits[[#This Row],[Is Anniversary?]],WithAmt,0))</f>
        <v>0</v>
      </c>
      <c r="F188" s="34">
        <f t="shared" si="33"/>
        <v>0</v>
      </c>
      <c r="G188" s="100">
        <f>ROUND($G$8+VaBenefits[[#This Row],[timeFromValuation]],0)</f>
        <v>145</v>
      </c>
      <c r="H188" s="21">
        <f>ROUND($H$8+VaBenefits[[#This Row],[timeFromValuation]],0)</f>
        <v>155</v>
      </c>
      <c r="I188" s="28" t="b">
        <f>VaBenefits[[#This Row],[Withdrawal Taken  ]]&gt;0</f>
        <v>0</v>
      </c>
      <c r="J188" s="45">
        <f>IF(AND(NOT(VaBenefits[[#This Row],[Is Activation]]),VaBenefits[[#This Row],[Assumed Contract Value ]]&gt;0),VaBenefits[[#This Row],[Withdrawal Taken  ]]/VaBenefits[[#This Row],[Assumed Contract Value ]],0)</f>
        <v>0</v>
      </c>
      <c r="K188"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8" s="28" t="b">
        <f>AND(VaBenefits[[#This Row],[Is Activation]],SUMIFS($E$8:$E188,$C$8:$C188,TRUE)&gt;0)</f>
        <v>0</v>
      </c>
      <c r="M188"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8" s="35" t="b">
        <f>IF(VaBenefits[[#This Row],[timeFromValuation]]=0,0, MOD(VaBenefits[[#This Row],[timeFromValuation]],1)=0)</f>
        <v>1</v>
      </c>
      <c r="O188" s="7">
        <f>IF(VaBenefits[[#This Row],[Is Anniversary?]]=TRUE,VaBenefits[[#This Row],[Assumed Contract Value ]],0)</f>
        <v>0</v>
      </c>
      <c r="P188"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8" s="7" t="b">
        <f>VaBenefits[[#This Row],[Assumed Contract Value ]]&lt;0.1</f>
        <v>1</v>
      </c>
      <c r="R188"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8" s="7">
        <f ca="1">IF(AND(VaBenefits[[#This Row],[Is Activation]]=FALSE,VaBenefits[[#This Row],[Is Anniversary?]]=TRUE),OFFSET( VaBenefits[[#This Row],[Income Credit Base]],-1,0)*ICP,0)</f>
        <v>0</v>
      </c>
      <c r="T188" s="5">
        <f>IF(VaBenefits[[#This Row],[Assumed Contract Value ]]&gt;0,VaBenefits[[#This Row],[Income Base]]*MAWA,0)</f>
        <v>0</v>
      </c>
      <c r="U188" s="99">
        <v>0</v>
      </c>
      <c r="V188" s="96">
        <f>1/(1+InterestRate)^VaBenefits[[#This Row],[timeFromValuation]]</f>
        <v>1.2386912896918942E-2</v>
      </c>
      <c r="W188" s="97">
        <f>VaBenefits[[#This Row],[timeFromValuation]]</f>
        <v>90</v>
      </c>
      <c r="X188" s="95">
        <f>IF(($G$8+VaBenefits[[#This Row],[timeFromValuation]])&lt;=120,VLOOKUP(G188,Table2[],Qx!L$6,FALSE),0)</f>
        <v>0</v>
      </c>
      <c r="Y188" s="95">
        <f>IF(($H$8+VaBenefits[[#This Row],[timeFromValuation]])&lt;=120,VLOOKUP(H188,Table2[],Qx!M$6,FALSE),0)</f>
        <v>0</v>
      </c>
      <c r="Z188" s="95">
        <v>0</v>
      </c>
      <c r="AA188" s="95">
        <v>0</v>
      </c>
      <c r="AB188" s="95">
        <v>0</v>
      </c>
      <c r="AC188" s="95">
        <v>0</v>
      </c>
      <c r="AD188" s="103">
        <f>PV(1.03,20,-VaBenefits[[#This Row],[Protected Income Payment]])</f>
        <v>0</v>
      </c>
    </row>
    <row r="189" spans="1:30" x14ac:dyDescent="0.3">
      <c r="A189" s="35">
        <f t="shared" si="28"/>
        <v>181</v>
      </c>
      <c r="B189" s="33">
        <f t="shared" si="29"/>
        <v>90.5</v>
      </c>
      <c r="C189" s="30" t="b">
        <f>AND(VaBenefits[[#This Row],[timeFromValuation]]&gt;=ACT,VaBenefits[[#This Row],[Assumed Contract Value ]]&gt;0)</f>
        <v>0</v>
      </c>
      <c r="D189" s="34">
        <f t="shared" si="32"/>
        <v>0</v>
      </c>
      <c r="E189" s="34">
        <f>IF(Use_Base_Case, AI189,IF(VaBenefits[[#This Row],[Is Anniversary?]],WithAmt,0))</f>
        <v>0</v>
      </c>
      <c r="F189" s="34">
        <f t="shared" si="33"/>
        <v>0</v>
      </c>
      <c r="G189" s="100">
        <f>ROUND($G$8+VaBenefits[[#This Row],[timeFromValuation]],0)</f>
        <v>146</v>
      </c>
      <c r="H189" s="21">
        <f>ROUND($H$8+VaBenefits[[#This Row],[timeFromValuation]],0)</f>
        <v>156</v>
      </c>
      <c r="I189" s="28" t="b">
        <f>VaBenefits[[#This Row],[Withdrawal Taken  ]]&gt;0</f>
        <v>0</v>
      </c>
      <c r="J189" s="45">
        <f>IF(AND(NOT(VaBenefits[[#This Row],[Is Activation]]),VaBenefits[[#This Row],[Assumed Contract Value ]]&gt;0),VaBenefits[[#This Row],[Withdrawal Taken  ]]/VaBenefits[[#This Row],[Assumed Contract Value ]],0)</f>
        <v>0</v>
      </c>
      <c r="K189"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89" s="28" t="b">
        <f>AND(VaBenefits[[#This Row],[Is Activation]],SUMIFS($E$8:$E189,$C$8:$C189,TRUE)&gt;0)</f>
        <v>0</v>
      </c>
      <c r="M189"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89" s="35" t="b">
        <f>IF(VaBenefits[[#This Row],[timeFromValuation]]=0,0, MOD(VaBenefits[[#This Row],[timeFromValuation]],1)=0)</f>
        <v>0</v>
      </c>
      <c r="O189" s="7">
        <f>IF(VaBenefits[[#This Row],[Is Anniversary?]]=TRUE,VaBenefits[[#This Row],[Assumed Contract Value ]],0)</f>
        <v>0</v>
      </c>
      <c r="P189"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89" s="7" t="b">
        <f>VaBenefits[[#This Row],[Assumed Contract Value ]]&lt;0.1</f>
        <v>1</v>
      </c>
      <c r="R189"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89" s="7">
        <f ca="1">IF(AND(VaBenefits[[#This Row],[Is Activation]]=FALSE,VaBenefits[[#This Row],[Is Anniversary?]]=TRUE),OFFSET( VaBenefits[[#This Row],[Income Credit Base]],-1,0)*ICP,0)</f>
        <v>0</v>
      </c>
      <c r="T189" s="5">
        <f>IF(VaBenefits[[#This Row],[Assumed Contract Value ]]&gt;0,VaBenefits[[#This Row],[Income Base]]*MAWA,0)</f>
        <v>0</v>
      </c>
      <c r="U189" s="99">
        <v>0</v>
      </c>
      <c r="V189" s="96">
        <f>1/(1+InterestRate)^VaBenefits[[#This Row],[timeFromValuation]]</f>
        <v>1.2088389199710283E-2</v>
      </c>
      <c r="W189" s="97">
        <f>VaBenefits[[#This Row],[timeFromValuation]]</f>
        <v>90.5</v>
      </c>
      <c r="X189" s="95">
        <f>IF(($G$8+VaBenefits[[#This Row],[timeFromValuation]])&lt;=120,VLOOKUP(G189,Table2[],Qx!L$6,FALSE),0)</f>
        <v>0</v>
      </c>
      <c r="Y189" s="95">
        <f>IF(($H$8+VaBenefits[[#This Row],[timeFromValuation]])&lt;=120,VLOOKUP(H189,Table2[],Qx!M$6,FALSE),0)</f>
        <v>0</v>
      </c>
      <c r="Z189" s="95">
        <v>0</v>
      </c>
      <c r="AA189" s="95">
        <v>0</v>
      </c>
      <c r="AB189" s="95">
        <v>0</v>
      </c>
      <c r="AC189" s="95">
        <v>0</v>
      </c>
      <c r="AD189" s="103">
        <f>PV(1.03,20,-VaBenefits[[#This Row],[Protected Income Payment]])</f>
        <v>0</v>
      </c>
    </row>
    <row r="190" spans="1:30" x14ac:dyDescent="0.3">
      <c r="A190" s="35">
        <f t="shared" si="28"/>
        <v>182</v>
      </c>
      <c r="B190" s="33">
        <f t="shared" si="29"/>
        <v>91</v>
      </c>
      <c r="C190" s="30" t="b">
        <f>AND(VaBenefits[[#This Row],[timeFromValuation]]&gt;=ACT,VaBenefits[[#This Row],[Assumed Contract Value ]]&gt;0)</f>
        <v>0</v>
      </c>
      <c r="D190" s="34">
        <f t="shared" si="32"/>
        <v>0</v>
      </c>
      <c r="E190" s="34">
        <f>IF(Use_Base_Case, AI190,IF(VaBenefits[[#This Row],[Is Anniversary?]],WithAmt,0))</f>
        <v>0</v>
      </c>
      <c r="F190" s="34">
        <f t="shared" si="33"/>
        <v>0</v>
      </c>
      <c r="G190" s="100">
        <f>ROUND($G$8+VaBenefits[[#This Row],[timeFromValuation]],0)</f>
        <v>146</v>
      </c>
      <c r="H190" s="21">
        <f>ROUND($H$8+VaBenefits[[#This Row],[timeFromValuation]],0)</f>
        <v>156</v>
      </c>
      <c r="I190" s="28" t="b">
        <f>VaBenefits[[#This Row],[Withdrawal Taken  ]]&gt;0</f>
        <v>0</v>
      </c>
      <c r="J190" s="45">
        <f>IF(AND(NOT(VaBenefits[[#This Row],[Is Activation]]),VaBenefits[[#This Row],[Assumed Contract Value ]]&gt;0),VaBenefits[[#This Row],[Withdrawal Taken  ]]/VaBenefits[[#This Row],[Assumed Contract Value ]],0)</f>
        <v>0</v>
      </c>
      <c r="K190" s="45">
        <f ca="1">_xlfn.LET(_xlpm.prevMawa,OFFSET(VaBenefits[[#This Row],[Maximum Annual Withdrawal Amount upon Activation]],-1,0), _xlpm.haircut,(VaBenefits[[#This Row],[Withdrawal Taken  ]]-_xlpm.prevMawa)/(OFFSET(VaBenefits[[#This Row],[Assumed Contract Value ]],-1,0)-_xlpm.prevMawa),IF(AND(VaBenefits[[#This Row],[Is Activation]],VaBenefits[[#This Row],[Withdrawal Taken  ]]&gt;_xlpm.prevMawa),_xlpm.haircut,0))</f>
        <v>0</v>
      </c>
      <c r="L190" s="28" t="b">
        <f>AND(VaBenefits[[#This Row],[Is Activation]],SUMIFS($E$8:$E190,$C$8:$C190,TRUE)&gt;0)</f>
        <v>0</v>
      </c>
      <c r="M190" s="37">
        <f ca="1">1-IF(NOT(VaBenefits[[#This Row],[Withdrawal Taken  ]]&gt;0), VaBenefits[[#This Row],[Withdrawal Haircut Before Activation]]+VaBenefits[[#This Row],[Withdrawal Haircut After Activation]],0)*0-IF((VaBenefits[[#This Row],[Withdrawal Taken  ]]&gt;0), VaBenefits[[#This Row],[Withdrawal Haircut Before Activation]]+VaBenefits[[#This Row],[Withdrawal Haircut After Activation]],0)</f>
        <v>1</v>
      </c>
      <c r="N190" s="35" t="b">
        <f>IF(VaBenefits[[#This Row],[timeFromValuation]]=0,0, MOD(VaBenefits[[#This Row],[timeFromValuation]],1)=0)</f>
        <v>1</v>
      </c>
      <c r="O190" s="7">
        <f>IF(VaBenefits[[#This Row],[Is Anniversary?]]=TRUE,VaBenefits[[#This Row],[Assumed Contract Value ]],0)</f>
        <v>0</v>
      </c>
      <c r="P190" s="7">
        <f ca="1">(IF(VaBenefits[[#This Row],[Is Anniversary?]], MAX(OFFSET(VaBenefits[[#This Row],[Income Base]],-1,0)+VaBenefits[[#This Row],[Income Credit]],VaBenefits[[#This Row],[Anniversary Value  ]]),OFFSET(VaBenefits[[#This Row],[Income Base]],-1,0))+VaBenefits[[#This Row],[Purchase Payments]])*VaBenefits[[#This Row],[Withdrawal Penalty]]</f>
        <v>300650.170013414</v>
      </c>
      <c r="Q190" s="7" t="b">
        <f>VaBenefits[[#This Row],[Assumed Contract Value ]]&lt;0.1</f>
        <v>1</v>
      </c>
      <c r="R190" s="7">
        <f ca="1">IF(VaBenefits[[#This Row],[timeFromValuation]]&lt;ACT,(IF(AND(VaBenefits[[#This Row],[Is Anniversary?]],NOT(VaBenefits[[#This Row],[Has Income Credit]])), MAX(OFFSET(VaBenefits[[#This Row],[Income Credit Base]],-1,0),VaBenefits[[#This Row],[Anniversary Value  ]]),OFFSET(VaBenefits[[#This Row],[Income Credit Base]],-1,0))+VaBenefits[[#This Row],[Purchase Payments]]),0)*VaBenefits[[#This Row],[Withdrawal Penalty]]</f>
        <v>0</v>
      </c>
      <c r="S190" s="7">
        <f ca="1">IF(AND(VaBenefits[[#This Row],[Is Activation]]=FALSE,VaBenefits[[#This Row],[Is Anniversary?]]=TRUE),OFFSET( VaBenefits[[#This Row],[Income Credit Base]],-1,0)*ICP,0)</f>
        <v>0</v>
      </c>
      <c r="T190" s="5">
        <f>IF(VaBenefits[[#This Row],[Assumed Contract Value ]]&gt;0,VaBenefits[[#This Row],[Income Base]]*MAWA,0)</f>
        <v>0</v>
      </c>
      <c r="U190" s="99">
        <v>0</v>
      </c>
      <c r="V190" s="96">
        <f>1/(1+InterestRate)^VaBenefits[[#This Row],[timeFromValuation]]</f>
        <v>1.1797059901827561E-2</v>
      </c>
      <c r="W190" s="97">
        <f>VaBenefits[[#This Row],[timeFromValuation]]</f>
        <v>91</v>
      </c>
      <c r="X190" s="95">
        <f>IF(($G$8+VaBenefits[[#This Row],[timeFromValuation]])&lt;=120,VLOOKUP(G190,Table2[],Qx!L$6,FALSE),0)</f>
        <v>0</v>
      </c>
      <c r="Y190" s="95">
        <f>IF(($H$8+VaBenefits[[#This Row],[timeFromValuation]])&lt;=120,VLOOKUP(H190,Table2[],Qx!M$6,FALSE),0)</f>
        <v>0</v>
      </c>
      <c r="Z190" s="95">
        <v>0</v>
      </c>
      <c r="AA190" s="95">
        <v>0</v>
      </c>
      <c r="AB190" s="95">
        <v>0</v>
      </c>
      <c r="AC190" s="95">
        <v>0</v>
      </c>
      <c r="AD190" s="104">
        <f>PV(1.03,20,-VaBenefits[[#This Row],[Protected Income Payment]])</f>
        <v>0</v>
      </c>
    </row>
    <row r="191" spans="1:30" x14ac:dyDescent="0.3">
      <c r="L191" s="7"/>
    </row>
  </sheetData>
  <mergeCells count="3">
    <mergeCell ref="AD6:AM6"/>
    <mergeCell ref="V5:Y6"/>
    <mergeCell ref="A1:B1"/>
  </mergeCells>
  <phoneticPr fontId="24" type="noConversion"/>
  <conditionalFormatting sqref="AD8:AE30 O8:Q190 V181:W190 S8:U190 AD26:AD180">
    <cfRule type="expression" dxfId="7" priority="11">
      <formula>#REF!</formula>
    </cfRule>
  </conditionalFormatting>
  <conditionalFormatting sqref="N8:N190">
    <cfRule type="containsText" dxfId="6" priority="7" operator="containsText" text="TRUE">
      <formula>NOT(ISERROR(SEARCH("TRUE",N8)))</formula>
    </cfRule>
    <cfRule type="expression" dxfId="5" priority="8">
      <formula>#REF!</formula>
    </cfRule>
  </conditionalFormatting>
  <conditionalFormatting sqref="L191">
    <cfRule type="expression" dxfId="4" priority="6">
      <formula>#REF!</formula>
    </cfRule>
  </conditionalFormatting>
  <conditionalFormatting sqref="J8:K190">
    <cfRule type="colorScale" priority="5">
      <colorScale>
        <cfvo type="min"/>
        <cfvo type="percentile" val="50"/>
        <cfvo type="max"/>
        <color rgb="FFF8696B"/>
        <color rgb="FFFFEB84"/>
        <color rgb="FF63BE7B"/>
      </colorScale>
    </cfRule>
  </conditionalFormatting>
  <conditionalFormatting sqref="M8:M190">
    <cfRule type="colorScale" priority="4">
      <colorScale>
        <cfvo type="min"/>
        <cfvo type="percentile" val="50"/>
        <cfvo type="max"/>
        <color rgb="FFF8696B"/>
        <color rgb="FFFFEB84"/>
        <color rgb="FF63BE7B"/>
      </colorScale>
    </cfRule>
  </conditionalFormatting>
  <conditionalFormatting sqref="R8:R190">
    <cfRule type="expression" dxfId="3" priority="3">
      <formula>#REF!</formula>
    </cfRule>
  </conditionalFormatting>
  <conditionalFormatting sqref="W8:X8 Y8:AC190 W9:W180 X9:X190">
    <cfRule type="expression" dxfId="2" priority="2">
      <formula>#REF!</formula>
    </cfRule>
  </conditionalFormatting>
  <conditionalFormatting sqref="V8:V180">
    <cfRule type="expression" dxfId="1" priority="1">
      <formula>#REF!</formula>
    </cfRule>
  </conditionalFormatting>
  <pageMargins left="0.7" right="0.7" top="0.75" bottom="0.75" header="0.3" footer="0.3"/>
  <pageSetup orientation="portrait" r:id="rId1"/>
  <ignoredErrors>
    <ignoredError sqref="B8 S8"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EFC-C4F7-474D-9B3C-B2EF4920411A}">
  <sheetPr>
    <tabColor theme="5" tint="-0.249977111117893"/>
  </sheetPr>
  <dimension ref="A1:K29"/>
  <sheetViews>
    <sheetView topLeftCell="A5" workbookViewId="0">
      <selection activeCell="J15" sqref="J15"/>
    </sheetView>
  </sheetViews>
  <sheetFormatPr defaultRowHeight="14.4" x14ac:dyDescent="0.3"/>
  <cols>
    <col min="1" max="1" width="37.109375" customWidth="1"/>
    <col min="2" max="3" width="7" bestFit="1" customWidth="1"/>
    <col min="4" max="4" width="10.44140625" customWidth="1"/>
    <col min="6" max="6" width="9.6640625" bestFit="1" customWidth="1"/>
    <col min="8" max="8" width="11" customWidth="1"/>
  </cols>
  <sheetData>
    <row r="1" spans="1:11" x14ac:dyDescent="0.3">
      <c r="A1" s="117" t="s">
        <v>101</v>
      </c>
      <c r="B1" s="117"/>
      <c r="C1" s="117"/>
      <c r="D1" s="118"/>
      <c r="E1" s="118"/>
      <c r="F1" s="118"/>
      <c r="G1" s="118"/>
      <c r="H1" s="118"/>
    </row>
    <row r="2" spans="1:11" x14ac:dyDescent="0.3">
      <c r="A2" s="119" t="s">
        <v>100</v>
      </c>
      <c r="B2" s="119"/>
      <c r="C2" s="119"/>
      <c r="D2" s="118"/>
      <c r="E2" s="118"/>
      <c r="F2" s="118"/>
      <c r="G2" s="118"/>
      <c r="H2" s="118"/>
    </row>
    <row r="3" spans="1:11" x14ac:dyDescent="0.3">
      <c r="A3" s="120" t="s">
        <v>99</v>
      </c>
      <c r="B3" s="120"/>
      <c r="C3" s="120"/>
      <c r="D3" s="118"/>
      <c r="E3" s="118"/>
      <c r="F3" s="118"/>
      <c r="G3" s="118"/>
      <c r="H3" s="118"/>
    </row>
    <row r="4" spans="1:11" x14ac:dyDescent="0.3">
      <c r="A4" s="119" t="s">
        <v>98</v>
      </c>
      <c r="B4" s="119"/>
      <c r="C4" s="119"/>
      <c r="D4" s="118"/>
      <c r="E4" s="118"/>
      <c r="F4" s="118"/>
      <c r="G4" s="118"/>
      <c r="H4" s="118"/>
    </row>
    <row r="5" spans="1:11" ht="93.75" customHeight="1" thickBot="1" x14ac:dyDescent="0.35">
      <c r="A5" s="126" t="s">
        <v>97</v>
      </c>
      <c r="B5" s="126"/>
      <c r="C5" s="126"/>
      <c r="D5" s="127"/>
      <c r="E5" s="127"/>
      <c r="F5" s="127"/>
      <c r="G5" s="127"/>
      <c r="H5" s="127"/>
      <c r="I5" s="127"/>
    </row>
    <row r="6" spans="1:11" ht="31.5" customHeight="1" thickBot="1" x14ac:dyDescent="0.35">
      <c r="A6" s="121" t="s">
        <v>96</v>
      </c>
      <c r="B6" s="62"/>
      <c r="C6" s="62"/>
      <c r="D6" s="124" t="s">
        <v>95</v>
      </c>
      <c r="E6" s="125"/>
      <c r="F6" s="124" t="s">
        <v>94</v>
      </c>
      <c r="G6" s="125"/>
      <c r="H6" s="124" t="s">
        <v>93</v>
      </c>
      <c r="I6" s="125"/>
    </row>
    <row r="7" spans="1:11" x14ac:dyDescent="0.3">
      <c r="A7" s="122"/>
      <c r="B7" s="60"/>
      <c r="C7" s="60"/>
      <c r="D7" s="61" t="s">
        <v>92</v>
      </c>
      <c r="E7" s="60" t="s">
        <v>91</v>
      </c>
      <c r="F7" s="61" t="s">
        <v>92</v>
      </c>
      <c r="G7" s="60" t="s">
        <v>91</v>
      </c>
      <c r="H7" s="61" t="s">
        <v>92</v>
      </c>
      <c r="I7" s="60" t="s">
        <v>91</v>
      </c>
    </row>
    <row r="8" spans="1:11" x14ac:dyDescent="0.3">
      <c r="A8" s="122"/>
      <c r="B8" s="60"/>
      <c r="C8" s="60"/>
      <c r="D8" s="60" t="s">
        <v>90</v>
      </c>
      <c r="E8" s="60" t="s">
        <v>89</v>
      </c>
      <c r="F8" s="60" t="s">
        <v>90</v>
      </c>
      <c r="G8" s="60" t="s">
        <v>89</v>
      </c>
      <c r="H8" s="60" t="s">
        <v>90</v>
      </c>
      <c r="I8" s="60" t="s">
        <v>89</v>
      </c>
    </row>
    <row r="9" spans="1:11" x14ac:dyDescent="0.3">
      <c r="A9" s="122"/>
      <c r="B9" s="60"/>
      <c r="C9" s="60"/>
      <c r="D9" s="61" t="s">
        <v>88</v>
      </c>
      <c r="E9" s="60" t="s">
        <v>87</v>
      </c>
      <c r="F9" s="61" t="s">
        <v>88</v>
      </c>
      <c r="G9" s="60" t="s">
        <v>87</v>
      </c>
      <c r="H9" s="61" t="s">
        <v>88</v>
      </c>
      <c r="I9" s="60" t="s">
        <v>87</v>
      </c>
    </row>
    <row r="10" spans="1:11" ht="27" thickBot="1" x14ac:dyDescent="0.35">
      <c r="A10" s="123"/>
      <c r="B10" s="70" t="s">
        <v>86</v>
      </c>
      <c r="C10" s="70" t="s">
        <v>85</v>
      </c>
      <c r="D10" s="59" t="s">
        <v>84</v>
      </c>
      <c r="E10" s="59" t="s">
        <v>84</v>
      </c>
      <c r="F10" s="59" t="s">
        <v>84</v>
      </c>
      <c r="G10" s="59" t="s">
        <v>84</v>
      </c>
      <c r="H10" s="59" t="s">
        <v>84</v>
      </c>
      <c r="I10" s="59" t="s">
        <v>84</v>
      </c>
    </row>
    <row r="11" spans="1:11" ht="15" thickBot="1" x14ac:dyDescent="0.35">
      <c r="A11" s="69" t="s">
        <v>83</v>
      </c>
      <c r="B11" s="71">
        <v>45</v>
      </c>
      <c r="C11" s="72">
        <v>59</v>
      </c>
      <c r="D11" s="58">
        <v>0.04</v>
      </c>
      <c r="E11" s="58">
        <v>0.03</v>
      </c>
      <c r="F11" s="65">
        <v>0.04</v>
      </c>
      <c r="G11" s="65">
        <v>0.03</v>
      </c>
      <c r="H11" s="66">
        <v>0.03</v>
      </c>
      <c r="I11" s="66">
        <v>0.03</v>
      </c>
      <c r="J11">
        <f>SUM(WithdrawalPercentages)</f>
        <v>0.36</v>
      </c>
      <c r="K11" s="63">
        <f>SUM(F11:G14)</f>
        <v>0.36499999999999999</v>
      </c>
    </row>
    <row r="12" spans="1:11" ht="15" thickBot="1" x14ac:dyDescent="0.35">
      <c r="A12" s="69" t="s">
        <v>82</v>
      </c>
      <c r="B12" s="73">
        <v>60</v>
      </c>
      <c r="C12" s="74">
        <v>64</v>
      </c>
      <c r="D12" s="58">
        <v>0.05</v>
      </c>
      <c r="E12" s="58">
        <v>0.03</v>
      </c>
      <c r="F12" s="65">
        <v>0.05</v>
      </c>
      <c r="G12" s="65">
        <v>0.03</v>
      </c>
      <c r="H12" s="66">
        <v>3.5000000000000003E-2</v>
      </c>
      <c r="I12" s="66">
        <v>3.5000000000000003E-2</v>
      </c>
    </row>
    <row r="13" spans="1:11" ht="15" thickBot="1" x14ac:dyDescent="0.35">
      <c r="A13" s="69" t="s">
        <v>81</v>
      </c>
      <c r="B13" s="73">
        <v>65</v>
      </c>
      <c r="C13" s="74">
        <v>71</v>
      </c>
      <c r="D13" s="58">
        <v>6.25E-2</v>
      </c>
      <c r="E13" s="58">
        <v>0.04</v>
      </c>
      <c r="F13" s="65">
        <v>7.4999999999999997E-2</v>
      </c>
      <c r="G13" s="65">
        <v>0.03</v>
      </c>
      <c r="H13" s="66">
        <v>0.05</v>
      </c>
      <c r="I13" s="66">
        <v>0.05</v>
      </c>
    </row>
    <row r="14" spans="1:11" ht="15" thickBot="1" x14ac:dyDescent="0.35">
      <c r="A14" s="69" t="s">
        <v>80</v>
      </c>
      <c r="B14" s="75">
        <v>72</v>
      </c>
      <c r="C14" s="76">
        <v>99</v>
      </c>
      <c r="D14" s="58">
        <v>6.7500000000000004E-2</v>
      </c>
      <c r="E14" s="58">
        <v>0.04</v>
      </c>
      <c r="F14" s="65">
        <v>0.08</v>
      </c>
      <c r="G14" s="65">
        <v>0.03</v>
      </c>
      <c r="H14" s="66">
        <v>5.2499999999999998E-2</v>
      </c>
      <c r="I14" s="66">
        <v>5.2499999999999998E-2</v>
      </c>
    </row>
    <row r="15" spans="1:11" ht="15" thickBot="1" x14ac:dyDescent="0.35">
      <c r="A15" s="57" t="s">
        <v>79</v>
      </c>
      <c r="B15" s="77">
        <v>45</v>
      </c>
      <c r="C15" s="77">
        <v>59</v>
      </c>
      <c r="D15" s="56">
        <v>3.5000000000000003E-2</v>
      </c>
      <c r="E15" s="56">
        <v>0.03</v>
      </c>
      <c r="F15" s="67">
        <v>3.5000000000000003E-2</v>
      </c>
      <c r="G15" s="67">
        <v>0.03</v>
      </c>
      <c r="H15" s="68">
        <v>2.75E-2</v>
      </c>
      <c r="I15" s="68">
        <v>2.75E-2</v>
      </c>
      <c r="J15" s="63">
        <f>SUM(D15:E18)</f>
        <v>0.34</v>
      </c>
    </row>
    <row r="16" spans="1:11" ht="15" thickBot="1" x14ac:dyDescent="0.35">
      <c r="A16" s="57" t="s">
        <v>78</v>
      </c>
      <c r="B16" s="77">
        <v>60</v>
      </c>
      <c r="C16" s="77">
        <v>64</v>
      </c>
      <c r="D16" s="56">
        <v>4.4999999999999998E-2</v>
      </c>
      <c r="E16" s="56">
        <v>0.03</v>
      </c>
      <c r="F16" s="67">
        <v>4.4999999999999998E-2</v>
      </c>
      <c r="G16" s="67">
        <v>0.03</v>
      </c>
      <c r="H16" s="68">
        <v>3.2500000000000001E-2</v>
      </c>
      <c r="I16" s="68">
        <v>3.2500000000000001E-2</v>
      </c>
    </row>
    <row r="17" spans="1:9" ht="15" thickBot="1" x14ac:dyDescent="0.35">
      <c r="A17" s="57" t="s">
        <v>77</v>
      </c>
      <c r="B17" s="77">
        <v>65</v>
      </c>
      <c r="C17" s="77">
        <v>71</v>
      </c>
      <c r="D17" s="56">
        <v>5.7500000000000002E-2</v>
      </c>
      <c r="E17" s="56">
        <v>0.04</v>
      </c>
      <c r="F17" s="67">
        <v>7.0000000000000007E-2</v>
      </c>
      <c r="G17" s="67">
        <v>0.03</v>
      </c>
      <c r="H17" s="68">
        <v>4.4999999999999998E-2</v>
      </c>
      <c r="I17" s="68">
        <v>4.4999999999999998E-2</v>
      </c>
    </row>
    <row r="18" spans="1:9" ht="15" thickBot="1" x14ac:dyDescent="0.35">
      <c r="A18" s="57" t="s">
        <v>76</v>
      </c>
      <c r="B18" s="77">
        <v>72</v>
      </c>
      <c r="C18" s="77">
        <v>99</v>
      </c>
      <c r="D18" s="56">
        <v>6.25E-2</v>
      </c>
      <c r="E18" s="56">
        <v>0.04</v>
      </c>
      <c r="F18" s="67">
        <v>7.4999999999999997E-2</v>
      </c>
      <c r="G18" s="67">
        <v>0.03</v>
      </c>
      <c r="H18" s="68">
        <v>4.7500000000000001E-2</v>
      </c>
      <c r="I18" s="68">
        <v>4.7500000000000001E-2</v>
      </c>
    </row>
    <row r="19" spans="1:9" x14ac:dyDescent="0.3">
      <c r="A19" s="55" t="s">
        <v>75</v>
      </c>
      <c r="B19" s="55"/>
      <c r="C19" s="55"/>
    </row>
    <row r="20" spans="1:9" x14ac:dyDescent="0.3">
      <c r="A20" s="55" t="s">
        <v>74</v>
      </c>
      <c r="B20" s="55"/>
      <c r="C20" s="55"/>
    </row>
    <row r="21" spans="1:9" x14ac:dyDescent="0.3">
      <c r="A21" s="55" t="s">
        <v>73</v>
      </c>
      <c r="B21" s="55"/>
      <c r="C21" s="55"/>
    </row>
    <row r="22" spans="1:9" x14ac:dyDescent="0.3">
      <c r="A22" s="54" t="s">
        <v>72</v>
      </c>
      <c r="B22" s="54"/>
      <c r="C22" s="54"/>
    </row>
    <row r="23" spans="1:9" x14ac:dyDescent="0.3">
      <c r="A23" s="53"/>
      <c r="B23" s="53"/>
      <c r="C23" s="53"/>
    </row>
    <row r="26" spans="1:9" ht="77.25" customHeight="1" x14ac:dyDescent="0.3"/>
    <row r="27" spans="1:9" ht="79.5" customHeight="1" x14ac:dyDescent="0.3"/>
    <row r="28" spans="1:9" ht="15" customHeight="1" x14ac:dyDescent="0.3"/>
    <row r="29" spans="1:9" ht="15.75" customHeight="1" x14ac:dyDescent="0.3"/>
  </sheetData>
  <mergeCells count="9">
    <mergeCell ref="A1:H1"/>
    <mergeCell ref="A2:H2"/>
    <mergeCell ref="A3:H3"/>
    <mergeCell ref="A4:H4"/>
    <mergeCell ref="A6:A10"/>
    <mergeCell ref="D6:E6"/>
    <mergeCell ref="F6:G6"/>
    <mergeCell ref="H6:I6"/>
    <mergeCell ref="A5:I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workbookViewId="0">
      <selection activeCell="B2" sqref="B2"/>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Word.Document.12" shapeId="5121" r:id="rId3">
          <objectPr defaultSize="0" r:id="rId4">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3"/>
      </mc:Fallback>
    </mc:AlternateContent>
    <mc:AlternateContent xmlns:mc="http://schemas.openxmlformats.org/markup-compatibility/2006">
      <mc:Choice Requires="x14">
        <oleObject progId="Word.Document.12" shapeId="5122" r:id="rId5">
          <objectPr defaultSize="0" r:id="rId6">
            <anchor moveWithCells="1">
              <from>
                <xdr:col>1</xdr:col>
                <xdr:colOff>502920</xdr:colOff>
                <xdr:row>18</xdr:row>
                <xdr:rowOff>76200</xdr:rowOff>
              </from>
              <to>
                <xdr:col>11</xdr:col>
                <xdr:colOff>350520</xdr:colOff>
                <xdr:row>46</xdr:row>
                <xdr:rowOff>22860</xdr:rowOff>
              </to>
            </anchor>
          </objectPr>
        </oleObject>
      </mc:Choice>
      <mc:Fallback>
        <oleObject progId="Word.Document.12" shapeId="5122" r:id="rId5"/>
      </mc:Fallback>
    </mc:AlternateContent>
    <mc:AlternateContent xmlns:mc="http://schemas.openxmlformats.org/markup-compatibility/2006">
      <mc:Choice Requires="x14">
        <oleObject progId="Word.Document.12" shapeId="5123" r:id="rId7">
          <objectPr defaultSize="0" r:id="rId8">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7"/>
      </mc:Fallback>
    </mc:AlternateContent>
    <mc:AlternateContent xmlns:mc="http://schemas.openxmlformats.org/markup-compatibility/2006">
      <mc:Choice Requires="x14">
        <oleObject progId="Word.Document.12" shapeId="5124" r:id="rId9">
          <objectPr defaultSize="0" r:id="rId10">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9"/>
      </mc:Fallback>
    </mc:AlternateContent>
    <mc:AlternateContent xmlns:mc="http://schemas.openxmlformats.org/markup-compatibility/2006">
      <mc:Choice Requires="x14">
        <oleObject progId="Word.Document.12" shapeId="5125" r:id="rId11">
          <objectPr defaultSize="0" r:id="rId12">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1"/>
      </mc:Fallback>
    </mc:AlternateContent>
    <mc:AlternateContent xmlns:mc="http://schemas.openxmlformats.org/markup-compatibility/2006">
      <mc:Choice Requires="x14">
        <oleObject progId="Word.Document.12" shapeId="5126" r:id="rId13">
          <objectPr defaultSize="0" r:id="rId14">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3"/>
      </mc:Fallback>
    </mc:AlternateContent>
    <mc:AlternateContent xmlns:mc="http://schemas.openxmlformats.org/markup-compatibility/2006">
      <mc:Choice Requires="x14">
        <oleObject progId="Word.Document.12" shapeId="5127" r:id="rId15">
          <objectPr defaultSize="0" r:id="rId16">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3"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0A159-4FE4-47BD-B82B-B305F14512F5}">
  <sheetPr>
    <tabColor theme="7" tint="-0.249977111117893"/>
  </sheetPr>
  <dimension ref="A1:Q128"/>
  <sheetViews>
    <sheetView topLeftCell="H5" workbookViewId="0">
      <selection activeCell="M10" sqref="M10"/>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138</v>
      </c>
      <c r="B1">
        <f>MAX(A8:A128)</f>
        <v>120</v>
      </c>
    </row>
    <row r="2" spans="1:17" ht="15.6" x14ac:dyDescent="0.3">
      <c r="A2" s="91">
        <v>2012</v>
      </c>
      <c r="B2" s="90" t="s">
        <v>137</v>
      </c>
      <c r="C2" s="89"/>
    </row>
    <row r="3" spans="1:17" ht="21" x14ac:dyDescent="0.4">
      <c r="A3" s="88" t="s">
        <v>136</v>
      </c>
      <c r="B3" s="87" t="s">
        <v>135</v>
      </c>
      <c r="C3" s="86"/>
      <c r="I3" s="128" t="s">
        <v>134</v>
      </c>
      <c r="J3" s="129"/>
      <c r="K3" s="129"/>
      <c r="L3" s="129"/>
      <c r="M3" s="129"/>
      <c r="N3" s="129"/>
      <c r="O3" s="129"/>
      <c r="P3" s="129"/>
      <c r="Q3" s="129"/>
    </row>
    <row r="4" spans="1:17" ht="16.2" thickBot="1" x14ac:dyDescent="0.35">
      <c r="A4" s="85" t="s">
        <v>124</v>
      </c>
      <c r="B4" s="84" t="s">
        <v>133</v>
      </c>
      <c r="C4" s="83" t="s">
        <v>132</v>
      </c>
    </row>
    <row r="5" spans="1:17" x14ac:dyDescent="0.3">
      <c r="B5" s="26" t="s">
        <v>131</v>
      </c>
      <c r="C5" s="26" t="s">
        <v>130</v>
      </c>
      <c r="D5" s="82" t="s">
        <v>131</v>
      </c>
      <c r="E5" s="82" t="s">
        <v>130</v>
      </c>
      <c r="F5" s="82" t="s">
        <v>131</v>
      </c>
      <c r="G5" s="82" t="s">
        <v>130</v>
      </c>
      <c r="H5" s="82"/>
      <c r="I5" s="82"/>
      <c r="J5" s="82" t="s">
        <v>129</v>
      </c>
      <c r="K5" s="82" t="s">
        <v>128</v>
      </c>
    </row>
    <row r="6" spans="1:17" x14ac:dyDescent="0.3">
      <c r="B6" s="26" t="s">
        <v>127</v>
      </c>
      <c r="C6" s="26" t="s">
        <v>127</v>
      </c>
      <c r="D6" s="82" t="s">
        <v>126</v>
      </c>
      <c r="E6" s="82" t="s">
        <v>126</v>
      </c>
      <c r="F6" s="82" t="s">
        <v>125</v>
      </c>
      <c r="G6" s="82" t="s">
        <v>125</v>
      </c>
      <c r="H6" s="82"/>
      <c r="I6" s="82"/>
      <c r="J6">
        <v>55</v>
      </c>
      <c r="K6">
        <v>65</v>
      </c>
      <c r="L6">
        <v>6</v>
      </c>
      <c r="M6">
        <f>L6+1</f>
        <v>7</v>
      </c>
    </row>
    <row r="7" spans="1:17" x14ac:dyDescent="0.3">
      <c r="A7" s="26" t="s">
        <v>124</v>
      </c>
      <c r="B7" s="26" t="s">
        <v>123</v>
      </c>
      <c r="C7" s="26" t="s">
        <v>122</v>
      </c>
      <c r="D7" s="82" t="s">
        <v>121</v>
      </c>
      <c r="E7" s="82" t="s">
        <v>120</v>
      </c>
      <c r="F7" s="82" t="s">
        <v>119</v>
      </c>
      <c r="G7" s="82" t="s">
        <v>118</v>
      </c>
      <c r="H7" s="82"/>
      <c r="I7" s="82" t="s">
        <v>117</v>
      </c>
      <c r="J7" s="26" t="s">
        <v>116</v>
      </c>
      <c r="K7" s="26" t="s">
        <v>115</v>
      </c>
      <c r="L7" s="26" t="s">
        <v>114</v>
      </c>
      <c r="M7" s="26" t="s">
        <v>113</v>
      </c>
      <c r="N7" s="26" t="s">
        <v>112</v>
      </c>
      <c r="O7" s="26" t="s">
        <v>111</v>
      </c>
      <c r="P7" s="26" t="s">
        <v>110</v>
      </c>
      <c r="Q7" s="26" t="s">
        <v>109</v>
      </c>
    </row>
    <row r="8" spans="1:17" x14ac:dyDescent="0.3">
      <c r="A8">
        <v>0</v>
      </c>
      <c r="B8" s="81">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 t="shared" ref="N8:N39" si="0">"P"&amp;J8&amp;","&amp;K8</f>
        <v>P55,65</v>
      </c>
      <c r="O8">
        <f>Table3[[#This Row],[Px]]+Table3[[#This Row],[Py]]-Table3[[#This Row],[Px]]*Table3[[#This Row],[Py]]</f>
        <v>0.99998419329999988</v>
      </c>
      <c r="P8" t="str">
        <f t="shared" ref="P8:P39" si="1">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 t="shared" ref="I9:I40" si="2">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si="0"/>
        <v>P56,66</v>
      </c>
      <c r="O9">
        <f>Table3[[#This Row],[Px]]+Table3[[#This Row],[Py]]-Table3[[#This Row],[Px]]*Table3[[#This Row],[Py]]</f>
        <v>0.99998158760800004</v>
      </c>
      <c r="P9" t="str">
        <f t="shared" si="1"/>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 t="shared" si="2"/>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si="2"/>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ref="N40:N71" si="3">"P"&amp;J40&amp;","&amp;K40</f>
        <v>P87,97</v>
      </c>
      <c r="O40">
        <f>Table3[[#This Row],[Px]]+Table3[[#This Row],[Py]]-Table3[[#This Row],[Px]]*Table3[[#This Row],[Py]]</f>
        <v>0.98644062186000014</v>
      </c>
      <c r="P40" t="str">
        <f t="shared" ref="P40:P71" si="4">I40+1&amp;" P"&amp;$J$8&amp;","&amp;$K$8</f>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ref="I41:I72" si="5">I40+1</f>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3"/>
        <v>P88,98</v>
      </c>
      <c r="O41">
        <f>Table3[[#This Row],[Px]]+Table3[[#This Row],[Py]]-Table3[[#This Row],[Px]]*Table3[[#This Row],[Py]]</f>
        <v>0.98347665753799984</v>
      </c>
      <c r="P41" t="str">
        <f t="shared" si="4"/>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5"/>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3"/>
        <v>P89,99</v>
      </c>
      <c r="O42">
        <f>Table3[[#This Row],[Px]]+Table3[[#This Row],[Py]]-Table3[[#This Row],[Px]]*Table3[[#This Row],[Py]]</f>
        <v>0.98009293770600003</v>
      </c>
      <c r="P42" t="str">
        <f t="shared" si="4"/>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5"/>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3"/>
        <v>P90,100</v>
      </c>
      <c r="O43">
        <f>Table3[[#This Row],[Px]]+Table3[[#This Row],[Py]]-Table3[[#This Row],[Px]]*Table3[[#This Row],[Py]]</f>
        <v>0.9762613191609999</v>
      </c>
      <c r="P43" t="str">
        <f t="shared" si="4"/>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5"/>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3"/>
        <v>P91,101</v>
      </c>
      <c r="O44">
        <f>Table3[[#This Row],[Px]]+Table3[[#This Row],[Py]]-Table3[[#This Row],[Px]]*Table3[[#This Row],[Py]]</f>
        <v>0.97172605014400004</v>
      </c>
      <c r="P44" t="str">
        <f t="shared" si="4"/>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5"/>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3"/>
        <v>P92,102</v>
      </c>
      <c r="O45">
        <f>Table3[[#This Row],[Px]]+Table3[[#This Row],[Py]]-Table3[[#This Row],[Px]]*Table3[[#This Row],[Py]]</f>
        <v>0.96654826961899998</v>
      </c>
      <c r="P45" t="str">
        <f t="shared" si="4"/>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5"/>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3"/>
        <v>P93,103</v>
      </c>
      <c r="O46">
        <f>Table3[[#This Row],[Px]]+Table3[[#This Row],[Py]]-Table3[[#This Row],[Px]]*Table3[[#This Row],[Py]]</f>
        <v>0.96052535763799984</v>
      </c>
      <c r="P46" t="str">
        <f t="shared" si="4"/>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5"/>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3"/>
        <v>P94,104</v>
      </c>
      <c r="O47">
        <f>Table3[[#This Row],[Px]]+Table3[[#This Row],[Py]]-Table3[[#This Row],[Px]]*Table3[[#This Row],[Py]]</f>
        <v>0.95334792541700009</v>
      </c>
      <c r="P47" t="str">
        <f t="shared" si="4"/>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5"/>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3"/>
        <v>P95,105</v>
      </c>
      <c r="O48">
        <f>Table3[[#This Row],[Px]]+Table3[[#This Row],[Py]]-Table3[[#This Row],[Px]]*Table3[[#This Row],[Py]]</f>
        <v>0.94434938000000013</v>
      </c>
      <c r="P48" t="str">
        <f t="shared" si="4"/>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5"/>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3"/>
        <v>P96,106</v>
      </c>
      <c r="O49">
        <f>Table3[[#This Row],[Px]]+Table3[[#This Row],[Py]]-Table3[[#This Row],[Px]]*Table3[[#This Row],[Py]]</f>
        <v>0.93443679999999996</v>
      </c>
      <c r="P49" t="str">
        <f t="shared" si="4"/>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5"/>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3"/>
        <v>P97,107</v>
      </c>
      <c r="O50">
        <f>Table3[[#This Row],[Px]]+Table3[[#This Row],[Py]]-Table3[[#This Row],[Px]]*Table3[[#This Row],[Py]]</f>
        <v>0.92812199999999989</v>
      </c>
      <c r="P50" t="str">
        <f t="shared" si="4"/>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5"/>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3"/>
        <v>P98,108</v>
      </c>
      <c r="O51">
        <f>Table3[[#This Row],[Px]]+Table3[[#This Row],[Py]]-Table3[[#This Row],[Px]]*Table3[[#This Row],[Py]]</f>
        <v>0.92153960000000013</v>
      </c>
      <c r="P51" t="str">
        <f t="shared" si="4"/>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5"/>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3"/>
        <v>P99,109</v>
      </c>
      <c r="O52">
        <f>Table3[[#This Row],[Px]]+Table3[[#This Row],[Py]]-Table3[[#This Row],[Px]]*Table3[[#This Row],[Py]]</f>
        <v>0.91473999999999989</v>
      </c>
      <c r="P52" t="str">
        <f t="shared" si="4"/>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5"/>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3"/>
        <v>P100,110</v>
      </c>
      <c r="O53">
        <f>Table3[[#This Row],[Px]]+Table3[[#This Row],[Py]]-Table3[[#This Row],[Px]]*Table3[[#This Row],[Py]]</f>
        <v>0.90771120000000005</v>
      </c>
      <c r="P53" t="str">
        <f t="shared" si="4"/>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5"/>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3"/>
        <v>P101,111</v>
      </c>
      <c r="O54">
        <f>Table3[[#This Row],[Px]]+Table3[[#This Row],[Py]]-Table3[[#This Row],[Px]]*Table3[[#This Row],[Py]]</f>
        <v>0.89939799999999992</v>
      </c>
      <c r="P54" t="str">
        <f t="shared" si="4"/>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5"/>
        <v>47</v>
      </c>
      <c r="J55">
        <f>MIN(Qx!MaxAge,Table3[[#This Row],[Survivng t Years]]+$J$6)</f>
        <v>102</v>
      </c>
      <c r="K55">
        <f>MIN(Table3[[#This Row],[Survivng t Years]]+$K$6,Qx!MaxAge)</f>
        <v>112</v>
      </c>
      <c r="L55">
        <f>VLOOKUP(Table3[[#This Row],[To Age]],$A$8:$G$128,L$6,FALSE)</f>
        <v>0.726993</v>
      </c>
      <c r="M55">
        <f>VLOOKUP(Table3[[#This Row],[To Age2]],$A$8:$G$128,M$6,FALSE)</f>
        <v>0.6</v>
      </c>
      <c r="N55" t="str">
        <f t="shared" si="3"/>
        <v>P102,112</v>
      </c>
      <c r="O55">
        <f>Table3[[#This Row],[Px]]+Table3[[#This Row],[Py]]-Table3[[#This Row],[Px]]*Table3[[#This Row],[Py]]</f>
        <v>0.89079719999999996</v>
      </c>
      <c r="P55" t="str">
        <f t="shared" si="4"/>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5"/>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3"/>
        <v>P103,113</v>
      </c>
      <c r="O56">
        <f>Table3[[#This Row],[Px]]+Table3[[#This Row],[Py]]-Table3[[#This Row],[Px]]*Table3[[#This Row],[Py]]</f>
        <v>0.88196560000000013</v>
      </c>
      <c r="P56" t="str">
        <f t="shared" si="4"/>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5"/>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3"/>
        <v>P104,114</v>
      </c>
      <c r="O57">
        <f>Table3[[#This Row],[Px]]+Table3[[#This Row],[Py]]-Table3[[#This Row],[Px]]*Table3[[#This Row],[Py]]</f>
        <v>0.87296359999999984</v>
      </c>
      <c r="P57" t="str">
        <f t="shared" si="4"/>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5"/>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3"/>
        <v>P105,115</v>
      </c>
      <c r="O58">
        <f>Table3[[#This Row],[Px]]+Table3[[#This Row],[Py]]-Table3[[#This Row],[Px]]*Table3[[#This Row],[Py]]</f>
        <v>0.86385519999999993</v>
      </c>
      <c r="P58" t="str">
        <f t="shared" si="4"/>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5"/>
        <v>51</v>
      </c>
      <c r="J59">
        <f>MIN(Qx!MaxAge,Table3[[#This Row],[Survivng t Years]]+$J$6)</f>
        <v>106</v>
      </c>
      <c r="K59">
        <f>MIN(Table3[[#This Row],[Survivng t Years]]+$K$6,Qx!MaxAge)</f>
        <v>116</v>
      </c>
      <c r="L59">
        <f>VLOOKUP(Table3[[#This Row],[To Age]],$A$8:$G$128,L$6,FALSE)</f>
        <v>0.637629</v>
      </c>
      <c r="M59">
        <f>VLOOKUP(Table3[[#This Row],[To Age2]],$A$8:$G$128,M$6,FALSE)</f>
        <v>0.6</v>
      </c>
      <c r="N59" t="str">
        <f t="shared" si="3"/>
        <v>P106,116</v>
      </c>
      <c r="O59">
        <f>Table3[[#This Row],[Px]]+Table3[[#This Row],[Py]]-Table3[[#This Row],[Px]]*Table3[[#This Row],[Py]]</f>
        <v>0.85505160000000013</v>
      </c>
      <c r="P59" t="str">
        <f t="shared" si="4"/>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5"/>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3"/>
        <v>P107,117</v>
      </c>
      <c r="O60">
        <f>Table3[[#This Row],[Px]]+Table3[[#This Row],[Py]]-Table3[[#This Row],[Px]]*Table3[[#This Row],[Py]]</f>
        <v>0.84635479999999985</v>
      </c>
      <c r="P60" t="str">
        <f t="shared" si="4"/>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5"/>
        <v>53</v>
      </c>
      <c r="J61">
        <f>MIN(Qx!MaxAge,Table3[[#This Row],[Survivng t Years]]+$J$6)</f>
        <v>108</v>
      </c>
      <c r="K61">
        <f>MIN(Table3[[#This Row],[Survivng t Years]]+$K$6,Qx!MaxAge)</f>
        <v>118</v>
      </c>
      <c r="L61">
        <f>VLOOKUP(Table3[[#This Row],[To Age]],$A$8:$G$128,L$6,FALSE)</f>
        <v>0.6</v>
      </c>
      <c r="M61">
        <f>VLOOKUP(Table3[[#This Row],[To Age2]],$A$8:$G$128,M$6,FALSE)</f>
        <v>0.6</v>
      </c>
      <c r="N61" t="str">
        <f t="shared" si="3"/>
        <v>P108,118</v>
      </c>
      <c r="O61">
        <f>Table3[[#This Row],[Px]]+Table3[[#This Row],[Py]]-Table3[[#This Row],[Px]]*Table3[[#This Row],[Py]]</f>
        <v>0.84</v>
      </c>
      <c r="P61" t="str">
        <f t="shared" si="4"/>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5"/>
        <v>54</v>
      </c>
      <c r="J62">
        <f>MIN(Qx!MaxAge,Table3[[#This Row],[Survivng t Years]]+$J$6)</f>
        <v>109</v>
      </c>
      <c r="K62">
        <f>MIN(Table3[[#This Row],[Survivng t Years]]+$K$6,Qx!MaxAge)</f>
        <v>119</v>
      </c>
      <c r="L62">
        <f>VLOOKUP(Table3[[#This Row],[To Age]],$A$8:$G$128,L$6,FALSE)</f>
        <v>0.6</v>
      </c>
      <c r="M62">
        <f>VLOOKUP(Table3[[#This Row],[To Age2]],$A$8:$G$128,M$6,FALSE)</f>
        <v>0.6</v>
      </c>
      <c r="N62" t="str">
        <f t="shared" si="3"/>
        <v>P109,119</v>
      </c>
      <c r="O62">
        <f>Table3[[#This Row],[Px]]+Table3[[#This Row],[Py]]-Table3[[#This Row],[Px]]*Table3[[#This Row],[Py]]</f>
        <v>0.84</v>
      </c>
      <c r="P62" t="str">
        <f t="shared" si="4"/>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5"/>
        <v>55</v>
      </c>
      <c r="J63">
        <f>MIN(Qx!MaxAge,Table3[[#This Row],[Survivng t Years]]+$J$6)</f>
        <v>110</v>
      </c>
      <c r="K63">
        <f>MIN(Table3[[#This Row],[Survivng t Years]]+$K$6,Qx!MaxAge)</f>
        <v>120</v>
      </c>
      <c r="L63">
        <f>VLOOKUP(Table3[[#This Row],[To Age]],$A$8:$G$128,L$6,FALSE)</f>
        <v>0.6</v>
      </c>
      <c r="M63">
        <f>VLOOKUP(Table3[[#This Row],[To Age2]],$A$8:$G$128,M$6,FALSE)</f>
        <v>0</v>
      </c>
      <c r="N63" t="str">
        <f t="shared" si="3"/>
        <v>P110,120</v>
      </c>
      <c r="O63">
        <f>Table3[[#This Row],[Px]]+Table3[[#This Row],[Py]]-Table3[[#This Row],[Px]]*Table3[[#This Row],[Py]]</f>
        <v>0.6</v>
      </c>
      <c r="P63" t="str">
        <f t="shared" si="4"/>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5"/>
        <v>56</v>
      </c>
      <c r="J64">
        <f>MIN(Qx!MaxAge,Table3[[#This Row],[Survivng t Years]]+$J$6)</f>
        <v>111</v>
      </c>
      <c r="K64">
        <f>MIN(Table3[[#This Row],[Survivng t Years]]+$K$6,Qx!MaxAge)</f>
        <v>120</v>
      </c>
      <c r="L64">
        <f>VLOOKUP(Table3[[#This Row],[To Age]],$A$8:$G$128,L$6,FALSE)</f>
        <v>0.6</v>
      </c>
      <c r="M64">
        <f>VLOOKUP(Table3[[#This Row],[To Age2]],$A$8:$G$128,M$6,FALSE)</f>
        <v>0</v>
      </c>
      <c r="N64" t="str">
        <f t="shared" si="3"/>
        <v>P111,120</v>
      </c>
      <c r="O64">
        <f>Table3[[#This Row],[Px]]+Table3[[#This Row],[Py]]-Table3[[#This Row],[Px]]*Table3[[#This Row],[Py]]</f>
        <v>0.6</v>
      </c>
      <c r="P64" t="str">
        <f t="shared" si="4"/>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5"/>
        <v>57</v>
      </c>
      <c r="J65">
        <f>MIN(Qx!MaxAge,Table3[[#This Row],[Survivng t Years]]+$J$6)</f>
        <v>112</v>
      </c>
      <c r="K65">
        <f>MIN(Table3[[#This Row],[Survivng t Years]]+$K$6,Qx!MaxAge)</f>
        <v>120</v>
      </c>
      <c r="L65">
        <f>VLOOKUP(Table3[[#This Row],[To Age]],$A$8:$G$128,L$6,FALSE)</f>
        <v>0.6</v>
      </c>
      <c r="M65">
        <f>VLOOKUP(Table3[[#This Row],[To Age2]],$A$8:$G$128,M$6,FALSE)</f>
        <v>0</v>
      </c>
      <c r="N65" t="str">
        <f t="shared" si="3"/>
        <v>P112,120</v>
      </c>
      <c r="O65">
        <f>Table3[[#This Row],[Px]]+Table3[[#This Row],[Py]]-Table3[[#This Row],[Px]]*Table3[[#This Row],[Py]]</f>
        <v>0.6</v>
      </c>
      <c r="P65" t="str">
        <f t="shared" si="4"/>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5"/>
        <v>58</v>
      </c>
      <c r="J66">
        <f>MIN(Qx!MaxAge,Table3[[#This Row],[Survivng t Years]]+$J$6)</f>
        <v>113</v>
      </c>
      <c r="K66">
        <f>MIN(Table3[[#This Row],[Survivng t Years]]+$K$6,Qx!MaxAge)</f>
        <v>120</v>
      </c>
      <c r="L66">
        <f>VLOOKUP(Table3[[#This Row],[To Age]],$A$8:$G$128,L$6,FALSE)</f>
        <v>0.6</v>
      </c>
      <c r="M66">
        <f>VLOOKUP(Table3[[#This Row],[To Age2]],$A$8:$G$128,M$6,FALSE)</f>
        <v>0</v>
      </c>
      <c r="N66" t="str">
        <f t="shared" si="3"/>
        <v>P113,120</v>
      </c>
      <c r="O66">
        <f>Table3[[#This Row],[Px]]+Table3[[#This Row],[Py]]-Table3[[#This Row],[Px]]*Table3[[#This Row],[Py]]</f>
        <v>0.6</v>
      </c>
      <c r="P66" t="str">
        <f t="shared" si="4"/>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5"/>
        <v>59</v>
      </c>
      <c r="J67">
        <f>MIN(Qx!MaxAge,Table3[[#This Row],[Survivng t Years]]+$J$6)</f>
        <v>114</v>
      </c>
      <c r="K67">
        <f>MIN(Table3[[#This Row],[Survivng t Years]]+$K$6,Qx!MaxAge)</f>
        <v>120</v>
      </c>
      <c r="L67">
        <f>VLOOKUP(Table3[[#This Row],[To Age]],$A$8:$G$128,L$6,FALSE)</f>
        <v>0.6</v>
      </c>
      <c r="M67">
        <f>VLOOKUP(Table3[[#This Row],[To Age2]],$A$8:$G$128,M$6,FALSE)</f>
        <v>0</v>
      </c>
      <c r="N67" t="str">
        <f t="shared" si="3"/>
        <v>P114,120</v>
      </c>
      <c r="O67">
        <f>Table3[[#This Row],[Px]]+Table3[[#This Row],[Py]]-Table3[[#This Row],[Px]]*Table3[[#This Row],[Py]]</f>
        <v>0.6</v>
      </c>
      <c r="P67" t="str">
        <f t="shared" si="4"/>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5"/>
        <v>60</v>
      </c>
      <c r="J68">
        <f>MIN(Qx!MaxAge,Table3[[#This Row],[Survivng t Years]]+$J$6)</f>
        <v>115</v>
      </c>
      <c r="K68">
        <f>MIN(Table3[[#This Row],[Survivng t Years]]+$K$6,Qx!MaxAge)</f>
        <v>120</v>
      </c>
      <c r="L68">
        <f>VLOOKUP(Table3[[#This Row],[To Age]],$A$8:$G$128,L$6,FALSE)</f>
        <v>0.6</v>
      </c>
      <c r="M68">
        <f>VLOOKUP(Table3[[#This Row],[To Age2]],$A$8:$G$128,M$6,FALSE)</f>
        <v>0</v>
      </c>
      <c r="N68" t="str">
        <f t="shared" si="3"/>
        <v>P115,120</v>
      </c>
      <c r="O68">
        <f>Table3[[#This Row],[Px]]+Table3[[#This Row],[Py]]-Table3[[#This Row],[Px]]*Table3[[#This Row],[Py]]</f>
        <v>0.6</v>
      </c>
      <c r="P68" t="str">
        <f t="shared" si="4"/>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5"/>
        <v>61</v>
      </c>
      <c r="J69">
        <f>MIN(Qx!MaxAge,Table3[[#This Row],[Survivng t Years]]+$J$6)</f>
        <v>116</v>
      </c>
      <c r="K69">
        <f>MIN(Table3[[#This Row],[Survivng t Years]]+$K$6,Qx!MaxAge)</f>
        <v>120</v>
      </c>
      <c r="L69">
        <f>VLOOKUP(Table3[[#This Row],[To Age]],$A$8:$G$128,L$6,FALSE)</f>
        <v>0.6</v>
      </c>
      <c r="M69">
        <f>VLOOKUP(Table3[[#This Row],[To Age2]],$A$8:$G$128,M$6,FALSE)</f>
        <v>0</v>
      </c>
      <c r="N69" t="str">
        <f t="shared" si="3"/>
        <v>P116,120</v>
      </c>
      <c r="O69">
        <f>Table3[[#This Row],[Px]]+Table3[[#This Row],[Py]]-Table3[[#This Row],[Px]]*Table3[[#This Row],[Py]]</f>
        <v>0.6</v>
      </c>
      <c r="P69" t="str">
        <f t="shared" si="4"/>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5"/>
        <v>62</v>
      </c>
      <c r="J70">
        <f>MIN(Qx!MaxAge,Table3[[#This Row],[Survivng t Years]]+$J$6)</f>
        <v>117</v>
      </c>
      <c r="K70">
        <f>MIN(Table3[[#This Row],[Survivng t Years]]+$K$6,Qx!MaxAge)</f>
        <v>120</v>
      </c>
      <c r="L70">
        <f>VLOOKUP(Table3[[#This Row],[To Age]],$A$8:$G$128,L$6,FALSE)</f>
        <v>0.6</v>
      </c>
      <c r="M70">
        <f>VLOOKUP(Table3[[#This Row],[To Age2]],$A$8:$G$128,M$6,FALSE)</f>
        <v>0</v>
      </c>
      <c r="N70" t="str">
        <f t="shared" si="3"/>
        <v>P117,120</v>
      </c>
      <c r="O70">
        <f>Table3[[#This Row],[Px]]+Table3[[#This Row],[Py]]-Table3[[#This Row],[Px]]*Table3[[#This Row],[Py]]</f>
        <v>0.6</v>
      </c>
      <c r="P70" t="str">
        <f t="shared" si="4"/>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5"/>
        <v>63</v>
      </c>
      <c r="J71">
        <f>MIN(Qx!MaxAge,Table3[[#This Row],[Survivng t Years]]+$J$6)</f>
        <v>118</v>
      </c>
      <c r="K71">
        <f>MIN(Table3[[#This Row],[Survivng t Years]]+$K$6,Qx!MaxAge)</f>
        <v>120</v>
      </c>
      <c r="L71">
        <f>VLOOKUP(Table3[[#This Row],[To Age]],$A$8:$G$128,L$6,FALSE)</f>
        <v>0.6</v>
      </c>
      <c r="M71">
        <f>VLOOKUP(Table3[[#This Row],[To Age2]],$A$8:$G$128,M$6,FALSE)</f>
        <v>0</v>
      </c>
      <c r="N71" t="str">
        <f t="shared" si="3"/>
        <v>P118,120</v>
      </c>
      <c r="O71">
        <f>Table3[[#This Row],[Px]]+Table3[[#This Row],[Py]]-Table3[[#This Row],[Px]]*Table3[[#This Row],[Py]]</f>
        <v>0.6</v>
      </c>
      <c r="P71" t="str">
        <f t="shared" si="4"/>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5"/>
        <v>64</v>
      </c>
      <c r="J72">
        <f>MIN(Qx!MaxAge,Table3[[#This Row],[Survivng t Years]]+$J$6)</f>
        <v>119</v>
      </c>
      <c r="K72">
        <f>MIN(Table3[[#This Row],[Survivng t Years]]+$K$6,Qx!MaxAge)</f>
        <v>120</v>
      </c>
      <c r="L72">
        <f>VLOOKUP(Table3[[#This Row],[To Age]],$A$8:$G$128,L$6,FALSE)</f>
        <v>0.6</v>
      </c>
      <c r="M72">
        <f>VLOOKUP(Table3[[#This Row],[To Age2]],$A$8:$G$128,M$6,FALSE)</f>
        <v>0</v>
      </c>
      <c r="N72" t="str">
        <f t="shared" ref="N72:N78" si="6">"P"&amp;J72&amp;","&amp;K72</f>
        <v>P119,120</v>
      </c>
      <c r="O72">
        <f>Table3[[#This Row],[Px]]+Table3[[#This Row],[Py]]-Table3[[#This Row],[Px]]*Table3[[#This Row],[Py]]</f>
        <v>0.6</v>
      </c>
      <c r="P72" t="str">
        <f t="shared" ref="P72:P78" si="7">I72+1&amp;" P"&amp;$J$8&amp;","&amp;$K$8</f>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ref="I73:I78" si="8">I72+1</f>
        <v>65</v>
      </c>
      <c r="J73">
        <f>MIN(Qx!MaxAge,Table3[[#This Row],[Survivng t Years]]+$J$6)</f>
        <v>120</v>
      </c>
      <c r="K73">
        <f>MIN(Table3[[#This Row],[Survivng t Years]]+$K$6,Qx!MaxAge)</f>
        <v>120</v>
      </c>
      <c r="L73">
        <f>VLOOKUP(Table3[[#This Row],[To Age]],$A$8:$G$128,L$6,FALSE)</f>
        <v>0</v>
      </c>
      <c r="M73">
        <f>VLOOKUP(Table3[[#This Row],[To Age2]],$A$8:$G$128,M$6,FALSE)</f>
        <v>0</v>
      </c>
      <c r="N73" t="str">
        <f t="shared" si="6"/>
        <v>P120,120</v>
      </c>
      <c r="O73">
        <f>Table3[[#This Row],[Px]]+Table3[[#This Row],[Py]]-Table3[[#This Row],[Px]]*Table3[[#This Row],[Py]]</f>
        <v>0</v>
      </c>
      <c r="P73" t="str">
        <f t="shared" si="7"/>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8"/>
        <v>66</v>
      </c>
      <c r="J74">
        <f>MIN(Qx!MaxAge,Table3[[#This Row],[Survivng t Years]]+$J$6)</f>
        <v>120</v>
      </c>
      <c r="K74">
        <f>MIN(Table3[[#This Row],[Survivng t Years]]+$K$6,Qx!MaxAge)</f>
        <v>120</v>
      </c>
      <c r="L74">
        <f>VLOOKUP(Table3[[#This Row],[To Age]],$A$8:$G$128,L$6,FALSE)</f>
        <v>0</v>
      </c>
      <c r="M74">
        <f>VLOOKUP(Table3[[#This Row],[To Age2]],$A$8:$G$128,M$6,FALSE)</f>
        <v>0</v>
      </c>
      <c r="N74" t="str">
        <f t="shared" si="6"/>
        <v>P120,120</v>
      </c>
      <c r="O74">
        <f>Table3[[#This Row],[Px]]+Table3[[#This Row],[Py]]-Table3[[#This Row],[Px]]*Table3[[#This Row],[Py]]</f>
        <v>0</v>
      </c>
      <c r="P74" t="str">
        <f t="shared" si="7"/>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si="8"/>
        <v>67</v>
      </c>
      <c r="J75">
        <f>MIN(Qx!MaxAge,Table3[[#This Row],[Survivng t Years]]+$J$6)</f>
        <v>120</v>
      </c>
      <c r="K75">
        <f>MIN(Table3[[#This Row],[Survivng t Years]]+$K$6,Qx!MaxAge)</f>
        <v>120</v>
      </c>
      <c r="L75">
        <f>VLOOKUP(Table3[[#This Row],[To Age]],$A$8:$G$128,L$6,FALSE)</f>
        <v>0</v>
      </c>
      <c r="M75">
        <f>VLOOKUP(Table3[[#This Row],[To Age2]],$A$8:$G$128,M$6,FALSE)</f>
        <v>0</v>
      </c>
      <c r="N75" t="str">
        <f t="shared" si="6"/>
        <v>P120,120</v>
      </c>
      <c r="O75">
        <f>Table3[[#This Row],[Px]]+Table3[[#This Row],[Py]]-Table3[[#This Row],[Px]]*Table3[[#This Row],[Py]]</f>
        <v>0</v>
      </c>
      <c r="P75" t="str">
        <f t="shared" si="7"/>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8"/>
        <v>68</v>
      </c>
      <c r="J76">
        <f>MIN(Qx!MaxAge,Table3[[#This Row],[Survivng t Years]]+$J$6)</f>
        <v>120</v>
      </c>
      <c r="K76">
        <f>MIN(Table3[[#This Row],[Survivng t Years]]+$K$6,Qx!MaxAge)</f>
        <v>120</v>
      </c>
      <c r="L76">
        <f>VLOOKUP(Table3[[#This Row],[To Age]],$A$8:$G$128,L$6,FALSE)</f>
        <v>0</v>
      </c>
      <c r="M76">
        <f>VLOOKUP(Table3[[#This Row],[To Age2]],$A$8:$G$128,M$6,FALSE)</f>
        <v>0</v>
      </c>
      <c r="N76" t="str">
        <f t="shared" si="6"/>
        <v>P120,120</v>
      </c>
      <c r="O76">
        <f>Table3[[#This Row],[Px]]+Table3[[#This Row],[Py]]-Table3[[#This Row],[Px]]*Table3[[#This Row],[Py]]</f>
        <v>0</v>
      </c>
      <c r="P76" t="str">
        <f t="shared" si="7"/>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8"/>
        <v>69</v>
      </c>
      <c r="J77">
        <f>MIN(Qx!MaxAge,Table3[[#This Row],[Survivng t Years]]+$J$6)</f>
        <v>120</v>
      </c>
      <c r="K77">
        <f>MIN(Table3[[#This Row],[Survivng t Years]]+$K$6,Qx!MaxAge)</f>
        <v>120</v>
      </c>
      <c r="L77">
        <f>VLOOKUP(Table3[[#This Row],[To Age]],$A$8:$G$128,L$6,FALSE)</f>
        <v>0</v>
      </c>
      <c r="M77">
        <f>VLOOKUP(Table3[[#This Row],[To Age2]],$A$8:$G$128,M$6,FALSE)</f>
        <v>0</v>
      </c>
      <c r="N77" t="str">
        <f t="shared" si="6"/>
        <v>P120,120</v>
      </c>
      <c r="O77">
        <f>Table3[[#This Row],[Px]]+Table3[[#This Row],[Py]]-Table3[[#This Row],[Px]]*Table3[[#This Row],[Py]]</f>
        <v>0</v>
      </c>
      <c r="P77" t="str">
        <f t="shared" si="7"/>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8"/>
        <v>70</v>
      </c>
      <c r="J78">
        <f>MIN(Qx!MaxAge,Table3[[#This Row],[Survivng t Years]]+$J$6)</f>
        <v>120</v>
      </c>
      <c r="K78">
        <f>MIN(Table3[[#This Row],[Survivng t Years]]+$K$6,Qx!MaxAge)</f>
        <v>120</v>
      </c>
      <c r="L78">
        <f>VLOOKUP(Table3[[#This Row],[To Age]],$A$8:$G$128,L$6,FALSE)</f>
        <v>0</v>
      </c>
      <c r="M78">
        <f>VLOOKUP(Table3[[#This Row],[To Age2]],$A$8:$G$128,M$6,FALSE)</f>
        <v>0</v>
      </c>
      <c r="N78" t="str">
        <f t="shared" si="6"/>
        <v>P120,120</v>
      </c>
      <c r="O78">
        <f>Table3[[#This Row],[Px]]+Table3[[#This Row],[Py]]-Table3[[#This Row],[Px]]*Table3[[#This Row],[Py]]</f>
        <v>0</v>
      </c>
      <c r="P78" t="str">
        <f t="shared" si="7"/>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A69E-9F78-4E3E-9DF9-D0EFBCD934B9}">
  <sheetPr>
    <tabColor rgb="FFFFFF00"/>
  </sheetPr>
  <dimension ref="A2:N101"/>
  <sheetViews>
    <sheetView tabSelected="1" zoomScale="90" zoomScaleNormal="90" workbookViewId="0">
      <pane xSplit="2" ySplit="2" topLeftCell="C3" activePane="bottomRight" state="frozen"/>
      <selection pane="topRight" activeCell="C1" sqref="C1"/>
      <selection pane="bottomLeft" activeCell="A3" sqref="A3"/>
      <selection pane="bottomRight" activeCell="H17" sqref="H17"/>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8" width="52.6640625" customWidth="1"/>
    <col min="9" max="9" width="18.109375" customWidth="1"/>
    <col min="10" max="10" width="37.5546875" customWidth="1"/>
    <col min="11" max="11" width="15" customWidth="1"/>
    <col min="12" max="12" width="14.21875" bestFit="1" customWidth="1"/>
    <col min="13" max="13" width="16.88671875" bestFit="1" customWidth="1"/>
    <col min="14" max="14" width="18" bestFit="1" customWidth="1"/>
  </cols>
  <sheetData>
    <row r="2" spans="1:14" ht="16.5" customHeight="1" x14ac:dyDescent="0.3">
      <c r="A2" s="132" t="s">
        <v>26</v>
      </c>
      <c r="B2" s="132" t="s">
        <v>27</v>
      </c>
      <c r="C2" s="133" t="s">
        <v>211</v>
      </c>
      <c r="D2" s="132" t="s">
        <v>210</v>
      </c>
      <c r="E2" s="132" t="s">
        <v>209</v>
      </c>
      <c r="F2" s="132" t="s">
        <v>208</v>
      </c>
      <c r="G2" s="132" t="s">
        <v>207</v>
      </c>
      <c r="H2" s="132" t="s">
        <v>221</v>
      </c>
      <c r="I2" s="132" t="s">
        <v>206</v>
      </c>
      <c r="J2" s="132" t="s">
        <v>205</v>
      </c>
      <c r="K2" s="132" t="s">
        <v>204</v>
      </c>
      <c r="L2" s="26" t="s">
        <v>218</v>
      </c>
      <c r="M2" s="132" t="s">
        <v>219</v>
      </c>
      <c r="N2" s="26" t="s">
        <v>220</v>
      </c>
    </row>
    <row r="3" spans="1:14" ht="57.6" x14ac:dyDescent="0.3">
      <c r="A3">
        <v>0</v>
      </c>
      <c r="B3" t="s">
        <v>42</v>
      </c>
      <c r="C3" t="s">
        <v>203</v>
      </c>
      <c r="D3" s="3" t="s">
        <v>202</v>
      </c>
      <c r="E3" s="3" t="s">
        <v>201</v>
      </c>
      <c r="F3" t="s">
        <v>197</v>
      </c>
      <c r="G3" t="s">
        <v>200</v>
      </c>
      <c r="H3" t="s">
        <v>200</v>
      </c>
      <c r="I3" s="10">
        <v>2313827.4812808409</v>
      </c>
      <c r="J3" s="10">
        <v>2313827.4812808409</v>
      </c>
      <c r="K3" s="10">
        <v>0</v>
      </c>
      <c r="L3" s="26">
        <v>692917.2635</v>
      </c>
      <c r="M3" s="26">
        <v>294858.40999999997</v>
      </c>
      <c r="N3" s="26">
        <v>398058.85350000003</v>
      </c>
    </row>
    <row r="4" spans="1:14" x14ac:dyDescent="0.3">
      <c r="A4">
        <v>1</v>
      </c>
      <c r="B4" t="s">
        <v>44</v>
      </c>
      <c r="D4" s="3"/>
      <c r="E4" s="3"/>
      <c r="F4" t="s">
        <v>155</v>
      </c>
      <c r="I4" s="10"/>
      <c r="J4" s="131"/>
      <c r="K4" s="10"/>
      <c r="L4" s="26"/>
      <c r="M4" s="26"/>
      <c r="N4" s="26"/>
    </row>
    <row r="5" spans="1:14" ht="115.2" x14ac:dyDescent="0.3">
      <c r="A5">
        <v>2</v>
      </c>
      <c r="B5" t="s">
        <v>45</v>
      </c>
      <c r="C5" t="s">
        <v>199</v>
      </c>
      <c r="D5" s="3" t="s">
        <v>198</v>
      </c>
      <c r="E5" s="3" t="s">
        <v>194</v>
      </c>
      <c r="F5" t="s">
        <v>197</v>
      </c>
      <c r="G5" s="3" t="s">
        <v>193</v>
      </c>
      <c r="H5" s="3" t="s">
        <v>222</v>
      </c>
      <c r="I5" s="10">
        <v>1578993.2281952591</v>
      </c>
      <c r="J5" s="131">
        <v>2313827.48128084</v>
      </c>
      <c r="K5" s="10">
        <v>-734834.25308558182</v>
      </c>
      <c r="L5" s="130">
        <v>466411.57559223135</v>
      </c>
      <c r="M5" s="130">
        <v>198473.01089031121</v>
      </c>
      <c r="N5" s="130">
        <v>267938.56470192014</v>
      </c>
    </row>
    <row r="6" spans="1:14" ht="115.2" x14ac:dyDescent="0.3">
      <c r="A6">
        <v>3</v>
      </c>
      <c r="B6" t="s">
        <v>46</v>
      </c>
      <c r="C6" t="s">
        <v>196</v>
      </c>
      <c r="D6" s="3" t="s">
        <v>195</v>
      </c>
      <c r="E6" s="3" t="s">
        <v>194</v>
      </c>
      <c r="F6" t="s">
        <v>155</v>
      </c>
      <c r="G6" s="3" t="s">
        <v>193</v>
      </c>
      <c r="H6" s="3" t="s">
        <v>223</v>
      </c>
      <c r="I6" s="10">
        <v>1578993.2281952591</v>
      </c>
      <c r="J6" s="131">
        <v>2313827.48128084</v>
      </c>
      <c r="K6" s="10">
        <v>-734834.25308558182</v>
      </c>
      <c r="L6" s="130">
        <v>467348.82281260635</v>
      </c>
      <c r="M6" s="130">
        <v>198871.8394947261</v>
      </c>
      <c r="N6" s="130">
        <v>268476.98331788025</v>
      </c>
    </row>
    <row r="7" spans="1:14" ht="86.4" x14ac:dyDescent="0.3">
      <c r="A7">
        <v>4</v>
      </c>
      <c r="B7" t="s">
        <v>47</v>
      </c>
      <c r="C7" t="s">
        <v>192</v>
      </c>
      <c r="D7" s="3" t="s">
        <v>191</v>
      </c>
      <c r="E7" s="3" t="s">
        <v>188</v>
      </c>
      <c r="F7" t="s">
        <v>155</v>
      </c>
      <c r="G7" s="3" t="s">
        <v>187</v>
      </c>
      <c r="H7" s="3" t="s">
        <v>224</v>
      </c>
      <c r="I7" s="10">
        <v>1578993.2281952591</v>
      </c>
      <c r="J7" s="131">
        <v>2313827.48128084</v>
      </c>
      <c r="K7" s="10">
        <v>-734834.25308558182</v>
      </c>
      <c r="L7" s="130">
        <v>714886.80385154055</v>
      </c>
      <c r="M7" s="130">
        <v>304207.15057512361</v>
      </c>
      <c r="N7" s="130">
        <v>410679.65327641694</v>
      </c>
    </row>
    <row r="8" spans="1:14" ht="86.4" x14ac:dyDescent="0.3">
      <c r="A8">
        <v>5</v>
      </c>
      <c r="B8" t="s">
        <v>48</v>
      </c>
      <c r="C8" t="s">
        <v>190</v>
      </c>
      <c r="D8" t="s">
        <v>189</v>
      </c>
      <c r="E8" s="3" t="s">
        <v>188</v>
      </c>
      <c r="F8" t="s">
        <v>155</v>
      </c>
      <c r="G8" s="3" t="s">
        <v>187</v>
      </c>
      <c r="H8" s="3" t="s">
        <v>225</v>
      </c>
      <c r="I8" s="10">
        <v>1578993.2281952591</v>
      </c>
      <c r="J8" s="131">
        <v>2313827.48128084</v>
      </c>
      <c r="K8" s="10">
        <v>-734834.25308558182</v>
      </c>
      <c r="L8" s="130">
        <v>746715.58137139131</v>
      </c>
      <c r="M8" s="130">
        <v>317751.31122186861</v>
      </c>
      <c r="N8" s="130">
        <v>428964.27014952269</v>
      </c>
    </row>
    <row r="9" spans="1:14" ht="57.6" x14ac:dyDescent="0.3">
      <c r="A9">
        <v>6</v>
      </c>
      <c r="B9" t="s">
        <v>49</v>
      </c>
      <c r="C9" t="s">
        <v>186</v>
      </c>
      <c r="D9" s="3" t="s">
        <v>185</v>
      </c>
      <c r="E9" s="3" t="s">
        <v>172</v>
      </c>
      <c r="F9" t="s">
        <v>155</v>
      </c>
      <c r="G9" s="3" t="s">
        <v>171</v>
      </c>
      <c r="I9" s="10">
        <v>1578993.2281952591</v>
      </c>
      <c r="J9" s="131">
        <v>2313827.48128084</v>
      </c>
      <c r="K9" s="10">
        <v>-734834.25308558182</v>
      </c>
      <c r="L9" s="130">
        <v>802946.47035407473</v>
      </c>
      <c r="M9" s="130">
        <v>341679.34908684029</v>
      </c>
      <c r="N9" s="130">
        <v>461267.12126723444</v>
      </c>
    </row>
    <row r="10" spans="1:14" ht="57.6" x14ac:dyDescent="0.3">
      <c r="A10">
        <v>7</v>
      </c>
      <c r="B10" t="s">
        <v>50</v>
      </c>
      <c r="C10" t="s">
        <v>184</v>
      </c>
      <c r="D10" s="3" t="s">
        <v>183</v>
      </c>
      <c r="E10" s="3" t="s">
        <v>182</v>
      </c>
      <c r="F10" t="s">
        <v>155</v>
      </c>
      <c r="G10" s="3" t="s">
        <v>181</v>
      </c>
      <c r="I10" s="10">
        <v>1578993.2281952591</v>
      </c>
      <c r="J10" s="131">
        <v>2313827.48128084</v>
      </c>
      <c r="K10" s="10">
        <v>-734834.25308558182</v>
      </c>
      <c r="L10" s="130">
        <v>528143.15433026559</v>
      </c>
      <c r="M10" s="130">
        <v>224741.76780011301</v>
      </c>
      <c r="N10" s="130">
        <v>303401.38653015258</v>
      </c>
    </row>
    <row r="11" spans="1:14" ht="72" x14ac:dyDescent="0.3">
      <c r="A11">
        <v>8</v>
      </c>
      <c r="B11" t="s">
        <v>51</v>
      </c>
      <c r="C11" t="s">
        <v>180</v>
      </c>
      <c r="D11" s="3" t="s">
        <v>179</v>
      </c>
      <c r="E11" s="3" t="s">
        <v>172</v>
      </c>
      <c r="F11" t="s">
        <v>155</v>
      </c>
      <c r="G11" s="3" t="s">
        <v>171</v>
      </c>
      <c r="H11" s="3" t="s">
        <v>226</v>
      </c>
      <c r="I11" s="10">
        <v>1578993.2281952591</v>
      </c>
      <c r="J11" s="131">
        <v>2313827.48128084</v>
      </c>
      <c r="K11" s="10">
        <v>-734834.25308558182</v>
      </c>
      <c r="L11" s="130">
        <v>668387.97651381325</v>
      </c>
      <c r="M11" s="130">
        <v>284420.41553779284</v>
      </c>
      <c r="N11" s="130">
        <v>383967.56097602041</v>
      </c>
    </row>
    <row r="12" spans="1:14" ht="72" x14ac:dyDescent="0.3">
      <c r="A12">
        <v>9</v>
      </c>
      <c r="B12" t="s">
        <v>52</v>
      </c>
      <c r="C12" t="s">
        <v>178</v>
      </c>
      <c r="D12" s="3" t="s">
        <v>177</v>
      </c>
      <c r="E12" s="3" t="s">
        <v>172</v>
      </c>
      <c r="F12" t="s">
        <v>155</v>
      </c>
      <c r="G12" s="3" t="s">
        <v>171</v>
      </c>
      <c r="H12" s="3" t="s">
        <v>227</v>
      </c>
      <c r="I12" s="10">
        <v>1578993.2281952591</v>
      </c>
      <c r="J12" s="131">
        <v>2313827.48128084</v>
      </c>
      <c r="K12" s="10">
        <v>-734834.25308558182</v>
      </c>
      <c r="L12" s="130">
        <v>711127.01880093664</v>
      </c>
      <c r="M12" s="130">
        <v>302607.24204295175</v>
      </c>
      <c r="N12" s="130">
        <v>408519.77675798489</v>
      </c>
    </row>
    <row r="13" spans="1:14" ht="72" x14ac:dyDescent="0.3">
      <c r="A13">
        <v>10</v>
      </c>
      <c r="B13" t="s">
        <v>53</v>
      </c>
      <c r="C13" t="s">
        <v>176</v>
      </c>
      <c r="D13" s="3" t="s">
        <v>175</v>
      </c>
      <c r="E13" s="3" t="s">
        <v>172</v>
      </c>
      <c r="F13" t="s">
        <v>155</v>
      </c>
      <c r="G13" s="3" t="s">
        <v>171</v>
      </c>
      <c r="H13" s="3" t="s">
        <v>228</v>
      </c>
      <c r="I13" s="10">
        <v>1578993.2281952591</v>
      </c>
      <c r="J13" s="131">
        <v>2313827.48128084</v>
      </c>
      <c r="K13" s="10">
        <v>-734834.25308558182</v>
      </c>
      <c r="L13" s="130">
        <v>666749.07160735386</v>
      </c>
      <c r="M13" s="130">
        <v>283723.00919461867</v>
      </c>
      <c r="N13" s="130">
        <v>383026.06241273519</v>
      </c>
    </row>
    <row r="14" spans="1:14" ht="15" customHeight="1" x14ac:dyDescent="0.3">
      <c r="A14">
        <v>11</v>
      </c>
      <c r="B14" t="s">
        <v>54</v>
      </c>
      <c r="C14" t="s">
        <v>174</v>
      </c>
      <c r="D14" s="3" t="s">
        <v>173</v>
      </c>
      <c r="E14" s="3" t="s">
        <v>172</v>
      </c>
      <c r="F14" t="s">
        <v>155</v>
      </c>
      <c r="G14" s="3" t="s">
        <v>171</v>
      </c>
      <c r="H14" s="3" t="s">
        <v>229</v>
      </c>
      <c r="I14" s="10">
        <v>1578993.2281952591</v>
      </c>
      <c r="J14" s="131">
        <v>2313827.48128084</v>
      </c>
      <c r="K14" s="10">
        <v>-734834.25308558182</v>
      </c>
      <c r="L14" s="130">
        <v>701615.53054639429</v>
      </c>
      <c r="M14" s="130">
        <v>298559.80023250822</v>
      </c>
      <c r="N14" s="130">
        <v>403055.73031388607</v>
      </c>
    </row>
    <row r="15" spans="1:14" ht="86.4" x14ac:dyDescent="0.3">
      <c r="A15">
        <v>12</v>
      </c>
      <c r="B15" t="s">
        <v>55</v>
      </c>
      <c r="C15" t="s">
        <v>170</v>
      </c>
      <c r="D15" s="3" t="s">
        <v>169</v>
      </c>
      <c r="E15" s="3" t="s">
        <v>166</v>
      </c>
      <c r="F15" t="s">
        <v>155</v>
      </c>
      <c r="G15" s="3" t="s">
        <v>165</v>
      </c>
      <c r="H15" s="3" t="s">
        <v>230</v>
      </c>
      <c r="I15" s="10">
        <v>1578993.2281952591</v>
      </c>
      <c r="J15" s="131">
        <v>2313827.48128084</v>
      </c>
      <c r="K15" s="10">
        <v>-734834.25308558182</v>
      </c>
      <c r="L15" s="130">
        <v>578962.36926438019</v>
      </c>
      <c r="M15" s="130">
        <v>246366.96564441707</v>
      </c>
      <c r="N15" s="130">
        <v>332595.40361996309</v>
      </c>
    </row>
    <row r="16" spans="1:14" ht="86.4" x14ac:dyDescent="0.3">
      <c r="A16">
        <v>13</v>
      </c>
      <c r="B16" t="s">
        <v>56</v>
      </c>
      <c r="C16" t="s">
        <v>168</v>
      </c>
      <c r="D16" s="3" t="s">
        <v>167</v>
      </c>
      <c r="E16" s="3" t="s">
        <v>166</v>
      </c>
      <c r="F16" t="s">
        <v>155</v>
      </c>
      <c r="G16" s="3" t="s">
        <v>165</v>
      </c>
      <c r="H16" s="3" t="s">
        <v>231</v>
      </c>
      <c r="I16" s="10">
        <v>1578993.2281952591</v>
      </c>
      <c r="J16" s="131">
        <v>2313827.48128084</v>
      </c>
      <c r="K16" s="10">
        <v>-734834.25308558182</v>
      </c>
      <c r="L16" s="130">
        <v>609167.47431027459</v>
      </c>
      <c r="M16" s="130">
        <v>259220.20183415941</v>
      </c>
      <c r="N16" s="130">
        <v>349947.27247611515</v>
      </c>
    </row>
    <row r="17" spans="1:14" ht="115.2" x14ac:dyDescent="0.3">
      <c r="A17">
        <v>14</v>
      </c>
      <c r="B17" t="s">
        <v>57</v>
      </c>
      <c r="C17" t="s">
        <v>164</v>
      </c>
      <c r="D17" s="3" t="s">
        <v>157</v>
      </c>
      <c r="E17" s="3" t="s">
        <v>163</v>
      </c>
      <c r="F17" t="s">
        <v>155</v>
      </c>
      <c r="G17" s="3" t="s">
        <v>162</v>
      </c>
      <c r="H17" s="3" t="s">
        <v>232</v>
      </c>
      <c r="I17" s="10">
        <v>1578993.2281952591</v>
      </c>
      <c r="J17" s="131">
        <v>2313827.48128084</v>
      </c>
      <c r="K17" s="10">
        <v>-734834.25308558182</v>
      </c>
      <c r="L17" s="130">
        <v>371584.28566603229</v>
      </c>
      <c r="M17" s="130">
        <v>158120.97262384353</v>
      </c>
      <c r="N17" s="130">
        <v>213463.31304218876</v>
      </c>
    </row>
    <row r="18" spans="1:14" ht="72" x14ac:dyDescent="0.3">
      <c r="A18">
        <v>15</v>
      </c>
      <c r="B18" t="s">
        <v>59</v>
      </c>
      <c r="C18" t="s">
        <v>161</v>
      </c>
      <c r="D18" s="3" t="s">
        <v>157</v>
      </c>
      <c r="E18" s="3" t="s">
        <v>160</v>
      </c>
      <c r="F18" t="s">
        <v>155</v>
      </c>
      <c r="G18" s="3" t="s">
        <v>159</v>
      </c>
      <c r="H18" s="3" t="s">
        <v>233</v>
      </c>
      <c r="I18" s="10">
        <v>1578993.2281952591</v>
      </c>
      <c r="J18" s="131">
        <v>2313827.48128084</v>
      </c>
      <c r="K18" s="10">
        <v>-734834.25308558182</v>
      </c>
      <c r="L18" s="130">
        <v>608172.43479037448</v>
      </c>
      <c r="M18" s="130">
        <v>258796.78076186148</v>
      </c>
      <c r="N18" s="130">
        <v>349375.654028513</v>
      </c>
    </row>
    <row r="19" spans="1:14" ht="72" x14ac:dyDescent="0.3">
      <c r="A19">
        <v>16</v>
      </c>
      <c r="B19" t="s">
        <v>60</v>
      </c>
      <c r="C19" t="s">
        <v>158</v>
      </c>
      <c r="D19" s="3" t="s">
        <v>157</v>
      </c>
      <c r="E19" s="3" t="s">
        <v>156</v>
      </c>
      <c r="F19" t="s">
        <v>155</v>
      </c>
      <c r="G19" s="3" t="s">
        <v>154</v>
      </c>
      <c r="H19" s="3" t="s">
        <v>233</v>
      </c>
      <c r="I19" s="10">
        <v>1578993.2281952591</v>
      </c>
      <c r="J19" s="131">
        <v>2313827.48128084</v>
      </c>
      <c r="K19" s="10">
        <v>-734834.25308558182</v>
      </c>
      <c r="L19" s="130">
        <v>641493.69404780085</v>
      </c>
      <c r="M19" s="130">
        <v>272976.04002034076</v>
      </c>
      <c r="N19" s="130">
        <v>368517.65402746008</v>
      </c>
    </row>
    <row r="20" spans="1:14" x14ac:dyDescent="0.3">
      <c r="A20" t="str">
        <f>IF(NOT(ISBLANK('[2]Test Cases'!A19)),'[2]Test Cases'!A19,"")</f>
        <v/>
      </c>
      <c r="B20" t="str">
        <f>IF(NOT(ISBLANK('[2]Test Cases'!B19)),'[2]Test Cases'!B19,"")</f>
        <v/>
      </c>
    </row>
    <row r="21" spans="1:14" x14ac:dyDescent="0.3">
      <c r="A21" t="str">
        <f>IF(NOT(ISBLANK('[2]Test Cases'!A20)),'[2]Test Cases'!A20,"")</f>
        <v/>
      </c>
      <c r="B21" t="str">
        <f>IF(NOT(ISBLANK('[2]Test Cases'!B20)),'[2]Test Cases'!B20,"")</f>
        <v/>
      </c>
    </row>
    <row r="22" spans="1:14" x14ac:dyDescent="0.3">
      <c r="A22" t="str">
        <f>IF(NOT(ISBLANK('[2]Test Cases'!A21)),'[2]Test Cases'!A21,"")</f>
        <v/>
      </c>
      <c r="B22" t="str">
        <f>IF(NOT(ISBLANK('[2]Test Cases'!B21)),'[2]Test Cases'!B21,"")</f>
        <v/>
      </c>
    </row>
    <row r="23" spans="1:14" x14ac:dyDescent="0.3">
      <c r="A23" t="str">
        <f>IF(NOT(ISBLANK('[2]Test Cases'!A22)),'[2]Test Cases'!A22,"")</f>
        <v/>
      </c>
      <c r="B23" t="str">
        <f>IF(NOT(ISBLANK('[2]Test Cases'!B22)),'[2]Test Cases'!B22,"")</f>
        <v/>
      </c>
    </row>
    <row r="24" spans="1:14" x14ac:dyDescent="0.3">
      <c r="A24" t="str">
        <f>IF(NOT(ISBLANK('[2]Test Cases'!A23)),'[2]Test Cases'!A23,"")</f>
        <v/>
      </c>
      <c r="B24" t="str">
        <f>IF(NOT(ISBLANK('[2]Test Cases'!B23)),'[2]Test Cases'!B23,"")</f>
        <v/>
      </c>
    </row>
    <row r="25" spans="1:14" x14ac:dyDescent="0.3">
      <c r="A25" t="str">
        <f>IF(NOT(ISBLANK('[2]Test Cases'!A24)),'[2]Test Cases'!A24,"")</f>
        <v/>
      </c>
      <c r="B25" t="str">
        <f>IF(NOT(ISBLANK('[2]Test Cases'!B24)),'[2]Test Cases'!B24,"")</f>
        <v/>
      </c>
    </row>
    <row r="26" spans="1:14" x14ac:dyDescent="0.3">
      <c r="A26" t="str">
        <f>IF(NOT(ISBLANK('[2]Test Cases'!A25)),'[2]Test Cases'!A25,"")</f>
        <v/>
      </c>
      <c r="B26" t="str">
        <f>IF(NOT(ISBLANK('[2]Test Cases'!B25)),'[2]Test Cases'!B25,"")</f>
        <v/>
      </c>
    </row>
    <row r="27" spans="1:14" x14ac:dyDescent="0.3">
      <c r="A27" t="str">
        <f>IF(NOT(ISBLANK('[2]Test Cases'!A26)),'[2]Test Cases'!A26,"")</f>
        <v/>
      </c>
      <c r="B27" t="str">
        <f>IF(NOT(ISBLANK('[2]Test Cases'!B26)),'[2]Test Cases'!B26,"")</f>
        <v/>
      </c>
    </row>
    <row r="28" spans="1:14" x14ac:dyDescent="0.3">
      <c r="A28" t="str">
        <f>IF(NOT(ISBLANK('[2]Test Cases'!A27)),'[2]Test Cases'!A27,"")</f>
        <v/>
      </c>
      <c r="B28" t="str">
        <f>IF(NOT(ISBLANK('[2]Test Cases'!B27)),'[2]Test Cases'!B27,"")</f>
        <v/>
      </c>
    </row>
    <row r="29" spans="1:14" x14ac:dyDescent="0.3">
      <c r="A29" t="str">
        <f>IF(NOT(ISBLANK('[2]Test Cases'!A28)),'[2]Test Cases'!A28,"")</f>
        <v/>
      </c>
      <c r="B29" t="str">
        <f>IF(NOT(ISBLANK('[2]Test Cases'!B28)),'[2]Test Cases'!B28,"")</f>
        <v/>
      </c>
    </row>
    <row r="30" spans="1:14" x14ac:dyDescent="0.3">
      <c r="A30" t="str">
        <f>IF(NOT(ISBLANK('[2]Test Cases'!A29)),'[2]Test Cases'!A29,"")</f>
        <v/>
      </c>
      <c r="B30" t="str">
        <f>IF(NOT(ISBLANK('[2]Test Cases'!B29)),'[2]Test Cases'!B29,"")</f>
        <v/>
      </c>
    </row>
    <row r="31" spans="1:14" x14ac:dyDescent="0.3">
      <c r="A31" t="str">
        <f>IF(NOT(ISBLANK('[2]Test Cases'!A30)),'[2]Test Cases'!A30,"")</f>
        <v/>
      </c>
      <c r="B31" t="str">
        <f>IF(NOT(ISBLANK('[2]Test Cases'!B30)),'[2]Test Cases'!B30,"")</f>
        <v/>
      </c>
    </row>
    <row r="32" spans="1:14" x14ac:dyDescent="0.3">
      <c r="A32" t="str">
        <f>IF(NOT(ISBLANK('[2]Test Cases'!A31)),'[2]Test Cases'!A31,"")</f>
        <v/>
      </c>
      <c r="B32" t="str">
        <f>IF(NOT(ISBLANK('[2]Test Cases'!B31)),'[2]Test Cases'!B31,"")</f>
        <v/>
      </c>
    </row>
    <row r="33" spans="1:2" x14ac:dyDescent="0.3">
      <c r="A33" t="str">
        <f>IF(NOT(ISBLANK('[2]Test Cases'!A32)),'[2]Test Cases'!A32,"")</f>
        <v/>
      </c>
      <c r="B33" t="str">
        <f>IF(NOT(ISBLANK('[2]Test Cases'!B32)),'[2]Test Cases'!B32,"")</f>
        <v/>
      </c>
    </row>
    <row r="34" spans="1:2" x14ac:dyDescent="0.3">
      <c r="A34" t="str">
        <f>IF(NOT(ISBLANK('[2]Test Cases'!A33)),'[2]Test Cases'!A33,"")</f>
        <v/>
      </c>
      <c r="B34" t="str">
        <f>IF(NOT(ISBLANK('[2]Test Cases'!B33)),'[2]Test Cases'!B33,"")</f>
        <v/>
      </c>
    </row>
    <row r="35" spans="1:2" x14ac:dyDescent="0.3">
      <c r="A35" t="str">
        <f>IF(NOT(ISBLANK('[2]Test Cases'!A34)),'[2]Test Cases'!A34,"")</f>
        <v/>
      </c>
      <c r="B35" t="str">
        <f>IF(NOT(ISBLANK('[2]Test Cases'!B34)),'[2]Test Cases'!B34,"")</f>
        <v/>
      </c>
    </row>
    <row r="36" spans="1:2" x14ac:dyDescent="0.3">
      <c r="A36" t="str">
        <f>IF(NOT(ISBLANK('[2]Test Cases'!A35)),'[2]Test Cases'!A35,"")</f>
        <v/>
      </c>
      <c r="B36" t="str">
        <f>IF(NOT(ISBLANK('[2]Test Cases'!B35)),'[2]Test Cases'!B35,"")</f>
        <v/>
      </c>
    </row>
    <row r="37" spans="1:2" x14ac:dyDescent="0.3">
      <c r="A37" t="str">
        <f>IF(NOT(ISBLANK('[2]Test Cases'!A36)),'[2]Test Cases'!A36,"")</f>
        <v/>
      </c>
      <c r="B37" t="str">
        <f>IF(NOT(ISBLANK('[2]Test Cases'!B36)),'[2]Test Cases'!B36,"")</f>
        <v/>
      </c>
    </row>
    <row r="38" spans="1:2" x14ac:dyDescent="0.3">
      <c r="A38" t="str">
        <f>IF(NOT(ISBLANK('[2]Test Cases'!A37)),'[2]Test Cases'!A37,"")</f>
        <v/>
      </c>
      <c r="B38" t="str">
        <f>IF(NOT(ISBLANK('[2]Test Cases'!B37)),'[2]Test Cases'!B37,"")</f>
        <v/>
      </c>
    </row>
    <row r="39" spans="1:2" x14ac:dyDescent="0.3">
      <c r="A39" t="str">
        <f>IF(NOT(ISBLANK('[2]Test Cases'!A38)),'[2]Test Cases'!A38,"")</f>
        <v/>
      </c>
      <c r="B39" t="str">
        <f>IF(NOT(ISBLANK('[2]Test Cases'!B38)),'[2]Test Cases'!B38,"")</f>
        <v/>
      </c>
    </row>
    <row r="40" spans="1:2" x14ac:dyDescent="0.3">
      <c r="A40" t="str">
        <f>IF(NOT(ISBLANK('[2]Test Cases'!A39)),'[2]Test Cases'!A39,"")</f>
        <v/>
      </c>
      <c r="B40" t="str">
        <f>IF(NOT(ISBLANK('[2]Test Cases'!B39)),'[2]Test Cases'!B39,"")</f>
        <v/>
      </c>
    </row>
    <row r="41" spans="1:2" x14ac:dyDescent="0.3">
      <c r="A41" t="str">
        <f>IF(NOT(ISBLANK('[2]Test Cases'!A40)),'[2]Test Cases'!A40,"")</f>
        <v/>
      </c>
      <c r="B41" t="str">
        <f>IF(NOT(ISBLANK('[2]Test Cases'!B40)),'[2]Test Cases'!B40,"")</f>
        <v/>
      </c>
    </row>
    <row r="42" spans="1:2" x14ac:dyDescent="0.3">
      <c r="A42" t="str">
        <f>IF(NOT(ISBLANK('[2]Test Cases'!A41)),'[2]Test Cases'!A41,"")</f>
        <v/>
      </c>
      <c r="B42" t="str">
        <f>IF(NOT(ISBLANK('[2]Test Cases'!B41)),'[2]Test Cases'!B41,"")</f>
        <v/>
      </c>
    </row>
    <row r="43" spans="1:2" x14ac:dyDescent="0.3">
      <c r="A43" t="str">
        <f>IF(NOT(ISBLANK('[2]Test Cases'!A42)),'[2]Test Cases'!A42,"")</f>
        <v/>
      </c>
      <c r="B43" t="str">
        <f>IF(NOT(ISBLANK('[2]Test Cases'!B42)),'[2]Test Cases'!B42,"")</f>
        <v/>
      </c>
    </row>
    <row r="44" spans="1:2" x14ac:dyDescent="0.3">
      <c r="A44" t="str">
        <f>IF(NOT(ISBLANK('[2]Test Cases'!A43)),'[2]Test Cases'!A43,"")</f>
        <v/>
      </c>
      <c r="B44" t="str">
        <f>IF(NOT(ISBLANK('[2]Test Cases'!B43)),'[2]Test Cases'!B43,"")</f>
        <v/>
      </c>
    </row>
    <row r="45" spans="1:2" x14ac:dyDescent="0.3">
      <c r="A45" t="str">
        <f>IF(NOT(ISBLANK('[2]Test Cases'!A44)),'[2]Test Cases'!A44,"")</f>
        <v/>
      </c>
      <c r="B45" t="str">
        <f>IF(NOT(ISBLANK('[2]Test Cases'!B44)),'[2]Test Cases'!B44,"")</f>
        <v/>
      </c>
    </row>
    <row r="46" spans="1:2" x14ac:dyDescent="0.3">
      <c r="A46" t="str">
        <f>IF(NOT(ISBLANK('[2]Test Cases'!A45)),'[2]Test Cases'!A45,"")</f>
        <v/>
      </c>
      <c r="B46" t="str">
        <f>IF(NOT(ISBLANK('[2]Test Cases'!B45)),'[2]Test Cases'!B45,"")</f>
        <v/>
      </c>
    </row>
    <row r="47" spans="1:2" x14ac:dyDescent="0.3">
      <c r="A47" t="str">
        <f>IF(NOT(ISBLANK('[2]Test Cases'!A46)),'[2]Test Cases'!A46,"")</f>
        <v/>
      </c>
      <c r="B47" t="str">
        <f>IF(NOT(ISBLANK('[2]Test Cases'!B46)),'[2]Test Cases'!B46,"")</f>
        <v/>
      </c>
    </row>
    <row r="48" spans="1:2" x14ac:dyDescent="0.3">
      <c r="A48" t="str">
        <f>IF(NOT(ISBLANK('[2]Test Cases'!A47)),'[2]Test Cases'!A47,"")</f>
        <v/>
      </c>
      <c r="B48" t="str">
        <f>IF(NOT(ISBLANK('[2]Test Cases'!B47)),'[2]Test Cases'!B47,"")</f>
        <v/>
      </c>
    </row>
    <row r="49" spans="1:2" x14ac:dyDescent="0.3">
      <c r="A49" t="str">
        <f>IF(NOT(ISBLANK('[2]Test Cases'!A48)),'[2]Test Cases'!A48,"")</f>
        <v/>
      </c>
      <c r="B49" t="str">
        <f>IF(NOT(ISBLANK('[2]Test Cases'!B48)),'[2]Test Cases'!B48,"")</f>
        <v/>
      </c>
    </row>
    <row r="50" spans="1:2" x14ac:dyDescent="0.3">
      <c r="A50" t="str">
        <f>IF(NOT(ISBLANK('[2]Test Cases'!A49)),'[2]Test Cases'!A49,"")</f>
        <v/>
      </c>
      <c r="B50" t="str">
        <f>IF(NOT(ISBLANK('[2]Test Cases'!B49)),'[2]Test Cases'!B49,"")</f>
        <v/>
      </c>
    </row>
    <row r="51" spans="1:2" x14ac:dyDescent="0.3">
      <c r="A51" t="str">
        <f>IF(NOT(ISBLANK('[2]Test Cases'!A50)),'[2]Test Cases'!A50,"")</f>
        <v/>
      </c>
      <c r="B51" t="str">
        <f>IF(NOT(ISBLANK('[2]Test Cases'!B50)),'[2]Test Cases'!B50,"")</f>
        <v/>
      </c>
    </row>
    <row r="52" spans="1:2" x14ac:dyDescent="0.3">
      <c r="A52" t="str">
        <f>IF(NOT(ISBLANK('[2]Test Cases'!A51)),'[2]Test Cases'!A51,"")</f>
        <v/>
      </c>
      <c r="B52" t="str">
        <f>IF(NOT(ISBLANK('[2]Test Cases'!B51)),'[2]Test Cases'!B51,"")</f>
        <v/>
      </c>
    </row>
    <row r="53" spans="1:2" x14ac:dyDescent="0.3">
      <c r="A53" t="str">
        <f>IF(NOT(ISBLANK('[2]Test Cases'!A52)),'[2]Test Cases'!A52,"")</f>
        <v/>
      </c>
      <c r="B53" t="str">
        <f>IF(NOT(ISBLANK('[2]Test Cases'!B52)),'[2]Test Cases'!B52,"")</f>
        <v/>
      </c>
    </row>
    <row r="54" spans="1:2" x14ac:dyDescent="0.3">
      <c r="A54" t="str">
        <f>IF(NOT(ISBLANK('[2]Test Cases'!A53)),'[2]Test Cases'!A53,"")</f>
        <v/>
      </c>
      <c r="B54" t="str">
        <f>IF(NOT(ISBLANK('[2]Test Cases'!B53)),'[2]Test Cases'!B53,"")</f>
        <v/>
      </c>
    </row>
    <row r="55" spans="1:2" x14ac:dyDescent="0.3">
      <c r="A55" t="str">
        <f>IF(NOT(ISBLANK('[2]Test Cases'!A54)),'[2]Test Cases'!A54,"")</f>
        <v/>
      </c>
      <c r="B55" t="str">
        <f>IF(NOT(ISBLANK('[2]Test Cases'!B54)),'[2]Test Cases'!B54,"")</f>
        <v/>
      </c>
    </row>
    <row r="56" spans="1:2" x14ac:dyDescent="0.3">
      <c r="A56" t="str">
        <f>IF(NOT(ISBLANK('[2]Test Cases'!A55)),'[2]Test Cases'!A55,"")</f>
        <v/>
      </c>
      <c r="B56" t="str">
        <f>IF(NOT(ISBLANK('[2]Test Cases'!B55)),'[2]Test Cases'!B55,"")</f>
        <v/>
      </c>
    </row>
    <row r="57" spans="1:2" x14ac:dyDescent="0.3">
      <c r="A57" t="str">
        <f>IF(NOT(ISBLANK('[2]Test Cases'!A56)),'[2]Test Cases'!A56,"")</f>
        <v/>
      </c>
      <c r="B57" t="str">
        <f>IF(NOT(ISBLANK('[2]Test Cases'!B56)),'[2]Test Cases'!B56,"")</f>
        <v/>
      </c>
    </row>
    <row r="58" spans="1:2" x14ac:dyDescent="0.3">
      <c r="A58" t="str">
        <f>IF(NOT(ISBLANK('[2]Test Cases'!A57)),'[2]Test Cases'!A57,"")</f>
        <v/>
      </c>
      <c r="B58" t="str">
        <f>IF(NOT(ISBLANK('[2]Test Cases'!B57)),'[2]Test Cases'!B57,"")</f>
        <v/>
      </c>
    </row>
    <row r="59" spans="1:2" x14ac:dyDescent="0.3">
      <c r="A59" t="str">
        <f>IF(NOT(ISBLANK('[2]Test Cases'!A58)),'[2]Test Cases'!A58,"")</f>
        <v/>
      </c>
      <c r="B59" t="str">
        <f>IF(NOT(ISBLANK('[2]Test Cases'!B58)),'[2]Test Cases'!B58,"")</f>
        <v/>
      </c>
    </row>
    <row r="60" spans="1:2" x14ac:dyDescent="0.3">
      <c r="A60" t="str">
        <f>IF(NOT(ISBLANK('[2]Test Cases'!A59)),'[2]Test Cases'!A59,"")</f>
        <v/>
      </c>
      <c r="B60" t="str">
        <f>IF(NOT(ISBLANK('[2]Test Cases'!B59)),'[2]Test Cases'!B59,"")</f>
        <v/>
      </c>
    </row>
    <row r="61" spans="1:2" x14ac:dyDescent="0.3">
      <c r="A61" t="str">
        <f>IF(NOT(ISBLANK('[2]Test Cases'!A60)),'[2]Test Cases'!A60,"")</f>
        <v/>
      </c>
      <c r="B61" t="str">
        <f>IF(NOT(ISBLANK('[2]Test Cases'!B60)),'[2]Test Cases'!B60,"")</f>
        <v/>
      </c>
    </row>
    <row r="62" spans="1:2" x14ac:dyDescent="0.3">
      <c r="A62" t="str">
        <f>IF(NOT(ISBLANK('[2]Test Cases'!A61)),'[2]Test Cases'!A61,"")</f>
        <v/>
      </c>
      <c r="B62" t="str">
        <f>IF(NOT(ISBLANK('[2]Test Cases'!B61)),'[2]Test Cases'!B61,"")</f>
        <v/>
      </c>
    </row>
    <row r="63" spans="1:2" x14ac:dyDescent="0.3">
      <c r="A63" t="str">
        <f>IF(NOT(ISBLANK('[2]Test Cases'!A62)),'[2]Test Cases'!A62,"")</f>
        <v/>
      </c>
      <c r="B63" t="str">
        <f>IF(NOT(ISBLANK('[2]Test Cases'!B62)),'[2]Test Cases'!B62,"")</f>
        <v/>
      </c>
    </row>
    <row r="64" spans="1:2" x14ac:dyDescent="0.3">
      <c r="A64" t="str">
        <f>IF(NOT(ISBLANK('[2]Test Cases'!A63)),'[2]Test Cases'!A63,"")</f>
        <v/>
      </c>
      <c r="B64" t="str">
        <f>IF(NOT(ISBLANK('[2]Test Cases'!B63)),'[2]Test Cases'!B63,"")</f>
        <v/>
      </c>
    </row>
    <row r="65" spans="1:2" x14ac:dyDescent="0.3">
      <c r="A65" t="str">
        <f>IF(NOT(ISBLANK('[2]Test Cases'!A64)),'[2]Test Cases'!A64,"")</f>
        <v/>
      </c>
      <c r="B65" t="str">
        <f>IF(NOT(ISBLANK('[2]Test Cases'!B64)),'[2]Test Cases'!B64,"")</f>
        <v/>
      </c>
    </row>
    <row r="66" spans="1:2" x14ac:dyDescent="0.3">
      <c r="A66" t="str">
        <f>IF(NOT(ISBLANK('[2]Test Cases'!A65)),'[2]Test Cases'!A65,"")</f>
        <v/>
      </c>
      <c r="B66" t="str">
        <f>IF(NOT(ISBLANK('[2]Test Cases'!B65)),'[2]Test Cases'!B65,"")</f>
        <v/>
      </c>
    </row>
    <row r="67" spans="1:2" x14ac:dyDescent="0.3">
      <c r="A67" t="str">
        <f>IF(NOT(ISBLANK('[2]Test Cases'!A66)),'[2]Test Cases'!A66,"")</f>
        <v/>
      </c>
      <c r="B67" t="str">
        <f>IF(NOT(ISBLANK('[2]Test Cases'!B66)),'[2]Test Cases'!B66,"")</f>
        <v/>
      </c>
    </row>
    <row r="68" spans="1:2" x14ac:dyDescent="0.3">
      <c r="A68" t="str">
        <f>IF(NOT(ISBLANK('[2]Test Cases'!A67)),'[2]Test Cases'!A67,"")</f>
        <v/>
      </c>
      <c r="B68" t="str">
        <f>IF(NOT(ISBLANK('[2]Test Cases'!B67)),'[2]Test Cases'!B67,"")</f>
        <v/>
      </c>
    </row>
    <row r="69" spans="1:2" x14ac:dyDescent="0.3">
      <c r="A69" t="str">
        <f>IF(NOT(ISBLANK('[2]Test Cases'!A68)),'[2]Test Cases'!A68,"")</f>
        <v/>
      </c>
      <c r="B69" t="str">
        <f>IF(NOT(ISBLANK('[2]Test Cases'!B68)),'[2]Test Cases'!B68,"")</f>
        <v/>
      </c>
    </row>
    <row r="70" spans="1:2" x14ac:dyDescent="0.3">
      <c r="A70" t="str">
        <f>IF(NOT(ISBLANK('[2]Test Cases'!A69)),'[2]Test Cases'!A69,"")</f>
        <v/>
      </c>
      <c r="B70" t="str">
        <f>IF(NOT(ISBLANK('[2]Test Cases'!B69)),'[2]Test Cases'!B69,"")</f>
        <v/>
      </c>
    </row>
    <row r="71" spans="1:2" x14ac:dyDescent="0.3">
      <c r="A71" t="str">
        <f>IF(NOT(ISBLANK('[2]Test Cases'!A70)),'[2]Test Cases'!A70,"")</f>
        <v/>
      </c>
      <c r="B71" t="str">
        <f>IF(NOT(ISBLANK('[2]Test Cases'!B70)),'[2]Test Cases'!B70,"")</f>
        <v/>
      </c>
    </row>
    <row r="72" spans="1:2" x14ac:dyDescent="0.3">
      <c r="A72" t="str">
        <f>IF(NOT(ISBLANK('[2]Test Cases'!A71)),'[2]Test Cases'!A71,"")</f>
        <v/>
      </c>
      <c r="B72" t="str">
        <f>IF(NOT(ISBLANK('[2]Test Cases'!B71)),'[2]Test Cases'!B71,"")</f>
        <v/>
      </c>
    </row>
    <row r="73" spans="1:2" x14ac:dyDescent="0.3">
      <c r="A73" t="str">
        <f>IF(NOT(ISBLANK('[2]Test Cases'!A72)),'[2]Test Cases'!A72,"")</f>
        <v/>
      </c>
      <c r="B73" t="str">
        <f>IF(NOT(ISBLANK('[2]Test Cases'!B72)),'[2]Test Cases'!B72,"")</f>
        <v/>
      </c>
    </row>
    <row r="74" spans="1:2" x14ac:dyDescent="0.3">
      <c r="A74" t="str">
        <f>IF(NOT(ISBLANK('[2]Test Cases'!A73)),'[2]Test Cases'!A73,"")</f>
        <v/>
      </c>
      <c r="B74" t="str">
        <f>IF(NOT(ISBLANK('[2]Test Cases'!B73)),'[2]Test Cases'!B73,"")</f>
        <v/>
      </c>
    </row>
    <row r="75" spans="1:2" x14ac:dyDescent="0.3">
      <c r="A75" t="str">
        <f>IF(NOT(ISBLANK('[2]Test Cases'!A74)),'[2]Test Cases'!A74,"")</f>
        <v/>
      </c>
      <c r="B75" t="str">
        <f>IF(NOT(ISBLANK('[2]Test Cases'!B74)),'[2]Test Cases'!B74,"")</f>
        <v/>
      </c>
    </row>
    <row r="76" spans="1:2" x14ac:dyDescent="0.3">
      <c r="A76" t="str">
        <f>IF(NOT(ISBLANK('[2]Test Cases'!A75)),'[2]Test Cases'!A75,"")</f>
        <v/>
      </c>
      <c r="B76" t="str">
        <f>IF(NOT(ISBLANK('[2]Test Cases'!B75)),'[2]Test Cases'!B75,"")</f>
        <v/>
      </c>
    </row>
    <row r="77" spans="1:2" x14ac:dyDescent="0.3">
      <c r="A77" t="str">
        <f>IF(NOT(ISBLANK('[2]Test Cases'!A76)),'[2]Test Cases'!A76,"")</f>
        <v/>
      </c>
      <c r="B77" t="str">
        <f>IF(NOT(ISBLANK('[2]Test Cases'!B76)),'[2]Test Cases'!B76,"")</f>
        <v/>
      </c>
    </row>
    <row r="78" spans="1:2" x14ac:dyDescent="0.3">
      <c r="A78" t="str">
        <f>IF(NOT(ISBLANK('[2]Test Cases'!A77)),'[2]Test Cases'!A77,"")</f>
        <v/>
      </c>
      <c r="B78" t="str">
        <f>IF(NOT(ISBLANK('[2]Test Cases'!B77)),'[2]Test Cases'!B77,"")</f>
        <v/>
      </c>
    </row>
    <row r="79" spans="1:2" x14ac:dyDescent="0.3">
      <c r="A79" t="str">
        <f>IF(NOT(ISBLANK('[2]Test Cases'!A78)),'[2]Test Cases'!A78,"")</f>
        <v/>
      </c>
      <c r="B79" t="str">
        <f>IF(NOT(ISBLANK('[2]Test Cases'!B78)),'[2]Test Cases'!B78,"")</f>
        <v/>
      </c>
    </row>
    <row r="80" spans="1:2" x14ac:dyDescent="0.3">
      <c r="A80" t="str">
        <f>IF(NOT(ISBLANK('[2]Test Cases'!A79)),'[2]Test Cases'!A79,"")</f>
        <v/>
      </c>
      <c r="B80" t="str">
        <f>IF(NOT(ISBLANK('[2]Test Cases'!B79)),'[2]Test Cases'!B79,"")</f>
        <v/>
      </c>
    </row>
    <row r="81" spans="1:2" x14ac:dyDescent="0.3">
      <c r="A81" t="str">
        <f>IF(NOT(ISBLANK('[2]Test Cases'!A80)),'[2]Test Cases'!A80,"")</f>
        <v/>
      </c>
      <c r="B81" t="str">
        <f>IF(NOT(ISBLANK('[2]Test Cases'!B80)),'[2]Test Cases'!B80,"")</f>
        <v/>
      </c>
    </row>
    <row r="82" spans="1:2" x14ac:dyDescent="0.3">
      <c r="A82" t="str">
        <f>IF(NOT(ISBLANK('[2]Test Cases'!A81)),'[2]Test Cases'!A81,"")</f>
        <v/>
      </c>
      <c r="B82" t="str">
        <f>IF(NOT(ISBLANK('[2]Test Cases'!B81)),'[2]Test Cases'!B81,"")</f>
        <v/>
      </c>
    </row>
    <row r="83" spans="1:2" x14ac:dyDescent="0.3">
      <c r="A83" t="str">
        <f>IF(NOT(ISBLANK('[2]Test Cases'!A82)),'[2]Test Cases'!A82,"")</f>
        <v/>
      </c>
      <c r="B83" t="str">
        <f>IF(NOT(ISBLANK('[2]Test Cases'!B82)),'[2]Test Cases'!B82,"")</f>
        <v/>
      </c>
    </row>
    <row r="84" spans="1:2" x14ac:dyDescent="0.3">
      <c r="A84" t="str">
        <f>IF(NOT(ISBLANK('[2]Test Cases'!A83)),'[2]Test Cases'!A83,"")</f>
        <v/>
      </c>
      <c r="B84" t="str">
        <f>IF(NOT(ISBLANK('[2]Test Cases'!B83)),'[2]Test Cases'!B83,"")</f>
        <v/>
      </c>
    </row>
    <row r="85" spans="1:2" x14ac:dyDescent="0.3">
      <c r="A85" t="str">
        <f>IF(NOT(ISBLANK('[2]Test Cases'!A84)),'[2]Test Cases'!A84,"")</f>
        <v/>
      </c>
      <c r="B85" t="str">
        <f>IF(NOT(ISBLANK('[2]Test Cases'!B84)),'[2]Test Cases'!B84,"")</f>
        <v/>
      </c>
    </row>
    <row r="86" spans="1:2" x14ac:dyDescent="0.3">
      <c r="A86" t="str">
        <f>IF(NOT(ISBLANK('[2]Test Cases'!A85)),'[2]Test Cases'!A85,"")</f>
        <v/>
      </c>
      <c r="B86" t="str">
        <f>IF(NOT(ISBLANK('[2]Test Cases'!B85)),'[2]Test Cases'!B85,"")</f>
        <v/>
      </c>
    </row>
    <row r="87" spans="1:2" x14ac:dyDescent="0.3">
      <c r="A87" t="str">
        <f>IF(NOT(ISBLANK('[2]Test Cases'!A86)),'[2]Test Cases'!A86,"")</f>
        <v/>
      </c>
      <c r="B87" t="str">
        <f>IF(NOT(ISBLANK('[2]Test Cases'!B86)),'[2]Test Cases'!B86,"")</f>
        <v/>
      </c>
    </row>
    <row r="88" spans="1:2" x14ac:dyDescent="0.3">
      <c r="A88" t="str">
        <f>IF(NOT(ISBLANK('[2]Test Cases'!A87)),'[2]Test Cases'!A87,"")</f>
        <v/>
      </c>
      <c r="B88" t="str">
        <f>IF(NOT(ISBLANK('[2]Test Cases'!B87)),'[2]Test Cases'!B87,"")</f>
        <v/>
      </c>
    </row>
    <row r="89" spans="1:2" x14ac:dyDescent="0.3">
      <c r="A89" t="str">
        <f>IF(NOT(ISBLANK('[2]Test Cases'!A88)),'[2]Test Cases'!A88,"")</f>
        <v/>
      </c>
      <c r="B89" t="str">
        <f>IF(NOT(ISBLANK('[2]Test Cases'!B88)),'[2]Test Cases'!B88,"")</f>
        <v/>
      </c>
    </row>
    <row r="90" spans="1:2" x14ac:dyDescent="0.3">
      <c r="A90" t="str">
        <f>IF(NOT(ISBLANK('[2]Test Cases'!A89)),'[2]Test Cases'!A89,"")</f>
        <v/>
      </c>
      <c r="B90" t="str">
        <f>IF(NOT(ISBLANK('[2]Test Cases'!B89)),'[2]Test Cases'!B89,"")</f>
        <v/>
      </c>
    </row>
    <row r="91" spans="1:2" x14ac:dyDescent="0.3">
      <c r="A91" t="str">
        <f>IF(NOT(ISBLANK('[2]Test Cases'!A90)),'[2]Test Cases'!A90,"")</f>
        <v/>
      </c>
      <c r="B91" t="str">
        <f>IF(NOT(ISBLANK('[2]Test Cases'!B90)),'[2]Test Cases'!B90,"")</f>
        <v/>
      </c>
    </row>
    <row r="92" spans="1:2" x14ac:dyDescent="0.3">
      <c r="A92" t="str">
        <f>IF(NOT(ISBLANK('[2]Test Cases'!A91)),'[2]Test Cases'!A91,"")</f>
        <v/>
      </c>
      <c r="B92" t="str">
        <f>IF(NOT(ISBLANK('[2]Test Cases'!B91)),'[2]Test Cases'!B91,"")</f>
        <v/>
      </c>
    </row>
    <row r="93" spans="1:2" x14ac:dyDescent="0.3">
      <c r="A93" t="str">
        <f>IF(NOT(ISBLANK('[2]Test Cases'!A92)),'[2]Test Cases'!A92,"")</f>
        <v/>
      </c>
      <c r="B93" t="str">
        <f>IF(NOT(ISBLANK('[2]Test Cases'!B92)),'[2]Test Cases'!B92,"")</f>
        <v/>
      </c>
    </row>
    <row r="94" spans="1:2" x14ac:dyDescent="0.3">
      <c r="A94" t="str">
        <f>IF(NOT(ISBLANK('[2]Test Cases'!A93)),'[2]Test Cases'!A93,"")</f>
        <v/>
      </c>
      <c r="B94" t="str">
        <f>IF(NOT(ISBLANK('[2]Test Cases'!B93)),'[2]Test Cases'!B93,"")</f>
        <v/>
      </c>
    </row>
    <row r="95" spans="1:2" x14ac:dyDescent="0.3">
      <c r="A95" t="str">
        <f>IF(NOT(ISBLANK('[2]Test Cases'!A94)),'[2]Test Cases'!A94,"")</f>
        <v/>
      </c>
      <c r="B95" t="str">
        <f>IF(NOT(ISBLANK('[2]Test Cases'!B94)),'[2]Test Cases'!B94,"")</f>
        <v/>
      </c>
    </row>
    <row r="96" spans="1:2" x14ac:dyDescent="0.3">
      <c r="A96" t="str">
        <f>IF(NOT(ISBLANK('[2]Test Cases'!A95)),'[2]Test Cases'!A95,"")</f>
        <v/>
      </c>
      <c r="B96" t="str">
        <f>IF(NOT(ISBLANK('[2]Test Cases'!B95)),'[2]Test Cases'!B95,"")</f>
        <v/>
      </c>
    </row>
    <row r="97" spans="1:2" x14ac:dyDescent="0.3">
      <c r="A97" t="str">
        <f>IF(NOT(ISBLANK('[2]Test Cases'!A96)),'[2]Test Cases'!A96,"")</f>
        <v/>
      </c>
      <c r="B97" t="str">
        <f>IF(NOT(ISBLANK('[2]Test Cases'!B96)),'[2]Test Cases'!B96,"")</f>
        <v/>
      </c>
    </row>
    <row r="98" spans="1:2" x14ac:dyDescent="0.3">
      <c r="A98" t="str">
        <f>IF(NOT(ISBLANK('[2]Test Cases'!A97)),'[2]Test Cases'!A97,"")</f>
        <v/>
      </c>
      <c r="B98" t="str">
        <f>IF(NOT(ISBLANK('[2]Test Cases'!B97)),'[2]Test Cases'!B97,"")</f>
        <v/>
      </c>
    </row>
    <row r="99" spans="1:2" x14ac:dyDescent="0.3">
      <c r="A99" t="str">
        <f>IF(NOT(ISBLANK('[2]Test Cases'!A98)),'[2]Test Cases'!A98,"")</f>
        <v/>
      </c>
      <c r="B99" t="str">
        <f>IF(NOT(ISBLANK('[2]Test Cases'!B98)),'[2]Test Cases'!B98,"")</f>
        <v/>
      </c>
    </row>
    <row r="100" spans="1:2" x14ac:dyDescent="0.3">
      <c r="A100" t="str">
        <f>IF(NOT(ISBLANK('[2]Test Cases'!A99)),'[2]Test Cases'!A99,"")</f>
        <v/>
      </c>
      <c r="B100" t="str">
        <f>IF(NOT(ISBLANK('[2]Test Cases'!B99)),'[2]Test Cases'!B99,"")</f>
        <v/>
      </c>
    </row>
    <row r="101" spans="1:2" x14ac:dyDescent="0.3">
      <c r="A101" t="str">
        <f>IF(NOT(ISBLANK('[2]Test Cases'!A100)),'[2]Test Cases'!A100,"")</f>
        <v/>
      </c>
      <c r="B101" t="str">
        <f>IF(NOT(ISBLANK('[2]Test Cases'!B100)),'[2]Test Cases'!B100,"")</f>
        <v/>
      </c>
    </row>
  </sheetData>
  <conditionalFormatting sqref="I3:K19">
    <cfRule type="expression" dxfId="0" priority="1">
      <formula>$K3&lt;&gt;0</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9A03-6499-4CCB-A955-23DD31FE7F37}">
  <dimension ref="A1:B13"/>
  <sheetViews>
    <sheetView workbookViewId="0">
      <selection activeCell="C4" sqref="C4"/>
    </sheetView>
  </sheetViews>
  <sheetFormatPr defaultRowHeight="14.4" x14ac:dyDescent="0.3"/>
  <cols>
    <col min="1" max="1" width="49.109375" customWidth="1"/>
  </cols>
  <sheetData>
    <row r="1" spans="1:2" x14ac:dyDescent="0.3">
      <c r="A1" s="140" t="s">
        <v>213</v>
      </c>
      <c r="B1" s="138"/>
    </row>
    <row r="2" spans="1:2" x14ac:dyDescent="0.3">
      <c r="A2" s="134" t="s">
        <v>146</v>
      </c>
      <c r="B2" s="136"/>
    </row>
    <row r="3" spans="1:2" x14ac:dyDescent="0.3">
      <c r="A3" s="135" t="s">
        <v>139</v>
      </c>
      <c r="B3" s="136"/>
    </row>
    <row r="4" spans="1:2" x14ac:dyDescent="0.3">
      <c r="A4" s="135" t="s">
        <v>214</v>
      </c>
      <c r="B4" s="136"/>
    </row>
    <row r="5" spans="1:2" x14ac:dyDescent="0.3">
      <c r="A5" s="135" t="s">
        <v>215</v>
      </c>
      <c r="B5" s="136"/>
    </row>
    <row r="6" spans="1:2" x14ac:dyDescent="0.3">
      <c r="A6" s="135" t="s">
        <v>142</v>
      </c>
      <c r="B6" s="136"/>
    </row>
    <row r="7" spans="1:2" x14ac:dyDescent="0.3">
      <c r="A7" s="135" t="s">
        <v>143</v>
      </c>
      <c r="B7" s="136"/>
    </row>
    <row r="8" spans="1:2" x14ac:dyDescent="0.3">
      <c r="A8" s="135" t="s">
        <v>144</v>
      </c>
      <c r="B8" s="136"/>
    </row>
    <row r="9" spans="1:2" x14ac:dyDescent="0.3">
      <c r="A9" s="135" t="s">
        <v>145</v>
      </c>
      <c r="B9" s="136"/>
    </row>
    <row r="10" spans="1:2" x14ac:dyDescent="0.3">
      <c r="A10" s="135" t="s">
        <v>151</v>
      </c>
      <c r="B10" s="136"/>
    </row>
    <row r="12" spans="1:2" x14ac:dyDescent="0.3">
      <c r="A12" s="139" t="s">
        <v>216</v>
      </c>
    </row>
    <row r="13" spans="1:2" ht="105" customHeight="1" x14ac:dyDescent="0.3">
      <c r="A13" s="137"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35</vt:i4>
      </vt:variant>
    </vt:vector>
  </HeadingPairs>
  <TitlesOfParts>
    <vt:vector size="46" baseType="lpstr">
      <vt:lpstr>Glossary</vt:lpstr>
      <vt:lpstr>Control</vt:lpstr>
      <vt:lpstr>Test Cases</vt:lpstr>
      <vt:lpstr>Calculation</vt:lpstr>
      <vt:lpstr>WdTables</vt:lpstr>
      <vt:lpstr>Example Doc</vt:lpstr>
      <vt:lpstr>How It Works</vt:lpstr>
      <vt:lpstr>Orders of Operation</vt:lpstr>
      <vt:lpstr>Qx</vt:lpstr>
      <vt:lpstr>TestCaseExplinations</vt:lpstr>
      <vt:lpstr>Documentation</vt:lpstr>
      <vt:lpstr>AccountValue</vt:lpstr>
      <vt:lpstr>ACT</vt:lpstr>
      <vt:lpstr>Age</vt:lpstr>
      <vt:lpstr>AnnCount</vt:lpstr>
      <vt:lpstr>Bob</vt:lpstr>
      <vt:lpstr>CurrPer</vt:lpstr>
      <vt:lpstr>FIx</vt:lpstr>
      <vt:lpstr>ICP</vt:lpstr>
      <vt:lpstr>IncomeOption</vt:lpstr>
      <vt:lpstr>InitialPurchasePayment</vt:lpstr>
      <vt:lpstr>Is_Issued</vt:lpstr>
      <vt:lpstr>Is_Joint</vt:lpstr>
      <vt:lpstr>Issue_Date</vt:lpstr>
      <vt:lpstr>LbWdAgesPrimaryPer</vt:lpstr>
      <vt:lpstr>MAWA</vt:lpstr>
      <vt:lpstr>Qx!MaxAge</vt:lpstr>
      <vt:lpstr>MidWdAge</vt:lpstr>
      <vt:lpstr>MIx</vt:lpstr>
      <vt:lpstr>P_I_P</vt:lpstr>
      <vt:lpstr>PIP</vt:lpstr>
      <vt:lpstr>PrimaryBirthdate</vt:lpstr>
      <vt:lpstr>PrimaryGender</vt:lpstr>
      <vt:lpstr>PrimaryIssueAge</vt:lpstr>
      <vt:lpstr>Reserves</vt:lpstr>
      <vt:lpstr>SecondaryBirthdate</vt:lpstr>
      <vt:lpstr>SecondaryGender</vt:lpstr>
      <vt:lpstr>SecondaryIssueAge</vt:lpstr>
      <vt:lpstr>StartingIncomeBase</vt:lpstr>
      <vt:lpstr>StartingIncomeCreditBase</vt:lpstr>
      <vt:lpstr>Use_Base_Case</vt:lpstr>
      <vt:lpstr>Valuation_Date</vt:lpstr>
      <vt:lpstr>WithAmt</vt:lpstr>
      <vt:lpstr>WithdrawalDate</vt:lpstr>
      <vt:lpstr>WithdrawalPercentages</vt:lpstr>
      <vt:lpstr>YearsLeft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2023-04-10T04:04:05Z</dcterms:modified>
</cp:coreProperties>
</file>