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711e9dc8cfa85/Desktop/Maryville/"/>
    </mc:Choice>
  </mc:AlternateContent>
  <xr:revisionPtr revIDLastSave="86" documentId="14_{27C4FB49-E9AF-4977-9908-F1CA35E9193A}" xr6:coauthVersionLast="47" xr6:coauthVersionMax="47" xr10:uidLastSave="{4497FB00-2064-4208-AFD0-82229623CAAB}"/>
  <bookViews>
    <workbookView xWindow="-108" yWindow="-108" windowWidth="23256" windowHeight="12456" tabRatio="536" firstSheet="2" activeTab="2" xr2:uid="{CEBF006A-A518-4AB7-9A76-15366DBD2099}"/>
  </bookViews>
  <sheets>
    <sheet name="Glossary" sheetId="14" r:id="rId1"/>
    <sheet name="Calculation D" sheetId="13" r:id="rId2"/>
    <sheet name="Controls" sheetId="18" r:id="rId3"/>
    <sheet name="Example Doc" sheetId="17" r:id="rId4"/>
    <sheet name="How It Works" sheetId="15" r:id="rId5"/>
    <sheet name="Orders of Operation" sheetId="16" r:id="rId6"/>
    <sheet name="Test Cases" sheetId="20" r:id="rId7"/>
  </sheets>
  <externalReferences>
    <externalReference r:id="rId8"/>
  </externalReferences>
  <definedNames>
    <definedName name="Activation_Time">'Calculation D'!$C$2</definedName>
    <definedName name="Anniversery_Value">'Calculation D'!$H$9:$H$30</definedName>
    <definedName name="Assumed_Contract_Value">'Calculation D'!$F$8:$F$29</definedName>
    <definedName name="Assumed_Contract_Value2">'Calculation D'!$F$8:$F$30</definedName>
    <definedName name="Covered_Person">'Calculation D'!$C$4</definedName>
    <definedName name="Dash">'Calculation D'!$F$8</definedName>
    <definedName name="ICP">'Calculation D'!$C$3</definedName>
    <definedName name="Income_Base">'Calculation D'!#REF!</definedName>
    <definedName name="Income_Credit_Base">'Calculation D'!$I$8:$I$30</definedName>
    <definedName name="Initial_Purchase_Payment">'Calculation D'!$F$1</definedName>
    <definedName name="InitialPurchasePayment">[1]Homework!$B$2</definedName>
    <definedName name="invest1">[1]Homework!$B$21</definedName>
    <definedName name="invest2">[1]Homework!$B$22</definedName>
    <definedName name="Is_Activation">'Calculation D'!$E$8:$E$30</definedName>
    <definedName name="Is_Anniversery">'Calculation D'!$G$8:$G$30</definedName>
    <definedName name="Lifetime_Income">'Calculation D'!$P$8:$P$30</definedName>
    <definedName name="MAW">'Calculation D'!$C$5</definedName>
    <definedName name="MAWAA">'Calculation D'!$N$8:$N$30</definedName>
    <definedName name="PIP">'Calculation D'!$C$6</definedName>
    <definedName name="Protected_Income_Payment">'Calculation D'!$O$8:$O$30</definedName>
    <definedName name="Purchase_Payments">'Calculation D'!$C$8:$C$30</definedName>
    <definedName name="Time_From_Valuation">'Calculation D'!$B$8:$B$30</definedName>
    <definedName name="Withdrawal">'Calculation D'!$D$8:$D$30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8" l="1"/>
  <c r="K8" i="13"/>
  <c r="P30" i="13" l="1"/>
  <c r="N30" i="13" s="1"/>
  <c r="F29" i="13"/>
  <c r="P29" i="13" s="1"/>
  <c r="F9" i="13"/>
  <c r="P9" i="13" s="1"/>
  <c r="D9" i="13" l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C9" i="13" l="1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I8" i="13"/>
  <c r="C8" i="13" l="1"/>
  <c r="D8" i="13"/>
  <c r="A9" i="13" l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B8" i="13" l="1"/>
  <c r="F8" i="13"/>
  <c r="F10" i="13"/>
  <c r="P10" i="13" s="1"/>
  <c r="F11" i="13"/>
  <c r="F12" i="13"/>
  <c r="P12" i="13" s="1"/>
  <c r="F13" i="13"/>
  <c r="F14" i="13"/>
  <c r="P14" i="13" s="1"/>
  <c r="F15" i="13"/>
  <c r="F16" i="13"/>
  <c r="P16" i="13" s="1"/>
  <c r="F17" i="13"/>
  <c r="F18" i="13"/>
  <c r="P18" i="13" s="1"/>
  <c r="F19" i="13"/>
  <c r="F20" i="13"/>
  <c r="P20" i="13" s="1"/>
  <c r="F21" i="13"/>
  <c r="P21" i="13" s="1"/>
  <c r="F22" i="13"/>
  <c r="P22" i="13" s="1"/>
  <c r="F23" i="13"/>
  <c r="P23" i="13" s="1"/>
  <c r="F24" i="13"/>
  <c r="P24" i="13" s="1"/>
  <c r="F25" i="13"/>
  <c r="P25" i="13" s="1"/>
  <c r="F26" i="13"/>
  <c r="P26" i="13" s="1"/>
  <c r="F27" i="13"/>
  <c r="P27" i="13" s="1"/>
  <c r="F28" i="13"/>
  <c r="P28" i="13" s="1"/>
  <c r="R9" i="13"/>
  <c r="P8" i="13" l="1"/>
  <c r="P17" i="13"/>
  <c r="P11" i="13"/>
  <c r="P19" i="13"/>
  <c r="P13" i="13"/>
  <c r="P15" i="13"/>
  <c r="G8" i="13"/>
  <c r="E8" i="13"/>
  <c r="R10" i="13"/>
  <c r="B9" i="13"/>
  <c r="AM28" i="13"/>
  <c r="AL28" i="13"/>
  <c r="AK28" i="13"/>
  <c r="AJ28" i="13"/>
  <c r="AI28" i="13"/>
  <c r="AM26" i="13"/>
  <c r="AL26" i="13"/>
  <c r="AK26" i="13"/>
  <c r="AJ26" i="13"/>
  <c r="AI26" i="13"/>
  <c r="AM24" i="13"/>
  <c r="AL24" i="13"/>
  <c r="AK24" i="13"/>
  <c r="AJ24" i="13"/>
  <c r="AI24" i="13"/>
  <c r="AM13" i="13"/>
  <c r="AL13" i="13"/>
  <c r="AK13" i="13"/>
  <c r="AJ13" i="13"/>
  <c r="AI13" i="13"/>
  <c r="M8" i="13" l="1"/>
  <c r="O8" i="13"/>
  <c r="N8" i="13"/>
  <c r="L8" i="13"/>
  <c r="G9" i="13"/>
  <c r="O9" i="13" s="1"/>
  <c r="E9" i="13"/>
  <c r="R11" i="13"/>
  <c r="B10" i="13"/>
  <c r="H9" i="13" l="1"/>
  <c r="K9" i="13"/>
  <c r="L9" i="13"/>
  <c r="J9" i="13"/>
  <c r="I9" i="13" s="1"/>
  <c r="E10" i="13"/>
  <c r="G10" i="13"/>
  <c r="O10" i="13" s="1"/>
  <c r="R12" i="13"/>
  <c r="B11" i="13"/>
  <c r="N9" i="13" l="1"/>
  <c r="M9" i="13" s="1"/>
  <c r="L10" i="13"/>
  <c r="K10" i="13" s="1"/>
  <c r="N10" i="13" s="1"/>
  <c r="H10" i="13"/>
  <c r="J10" i="13"/>
  <c r="I10" i="13" s="1"/>
  <c r="E11" i="13"/>
  <c r="J11" i="13" s="1"/>
  <c r="G11" i="13"/>
  <c r="R13" i="13"/>
  <c r="B12" i="13"/>
  <c r="H11" i="13" l="1"/>
  <c r="O11" i="13"/>
  <c r="K11" i="13"/>
  <c r="N11" i="13" s="1"/>
  <c r="L11" i="13"/>
  <c r="I11" i="13"/>
  <c r="G12" i="13"/>
  <c r="O12" i="13" s="1"/>
  <c r="E12" i="13"/>
  <c r="R14" i="13"/>
  <c r="B13" i="13"/>
  <c r="J12" i="13" l="1"/>
  <c r="L12" i="13"/>
  <c r="K12" i="13" s="1"/>
  <c r="N12" i="13" s="1"/>
  <c r="M10" i="13"/>
  <c r="H12" i="13"/>
  <c r="G13" i="13"/>
  <c r="E13" i="13"/>
  <c r="J13" i="13" s="1"/>
  <c r="R15" i="13"/>
  <c r="B14" i="13"/>
  <c r="H13" i="13" l="1"/>
  <c r="O13" i="13"/>
  <c r="L13" i="13"/>
  <c r="M11" i="13"/>
  <c r="G14" i="13"/>
  <c r="O14" i="13" s="1"/>
  <c r="E14" i="13"/>
  <c r="R16" i="13"/>
  <c r="B15" i="13"/>
  <c r="L14" i="13" l="1"/>
  <c r="H14" i="13"/>
  <c r="M12" i="13"/>
  <c r="G15" i="13"/>
  <c r="E15" i="13"/>
  <c r="R17" i="13"/>
  <c r="B16" i="13"/>
  <c r="L15" i="13" l="1"/>
  <c r="J15" i="13"/>
  <c r="H15" i="13"/>
  <c r="O15" i="13"/>
  <c r="E16" i="13"/>
  <c r="G16" i="13"/>
  <c r="O16" i="13" s="1"/>
  <c r="R18" i="13"/>
  <c r="B17" i="13"/>
  <c r="L16" i="13" l="1"/>
  <c r="H16" i="13"/>
  <c r="E17" i="13"/>
  <c r="G17" i="13"/>
  <c r="R19" i="13"/>
  <c r="B18" i="13"/>
  <c r="L17" i="13" l="1"/>
  <c r="I17" i="13"/>
  <c r="H17" i="13"/>
  <c r="O17" i="13"/>
  <c r="G18" i="13"/>
  <c r="O18" i="13" s="1"/>
  <c r="E18" i="13"/>
  <c r="I18" i="13" s="1"/>
  <c r="J17" i="13"/>
  <c r="R20" i="13"/>
  <c r="B19" i="13"/>
  <c r="J18" i="13" l="1"/>
  <c r="L18" i="13"/>
  <c r="H18" i="13"/>
  <c r="G19" i="13"/>
  <c r="E19" i="13"/>
  <c r="I19" i="13" s="1"/>
  <c r="R21" i="13"/>
  <c r="B20" i="13"/>
  <c r="H19" i="13" l="1"/>
  <c r="O19" i="13"/>
  <c r="J19" i="13"/>
  <c r="L19" i="13"/>
  <c r="G20" i="13"/>
  <c r="O20" i="13" s="1"/>
  <c r="E20" i="13"/>
  <c r="I20" i="13" s="1"/>
  <c r="R22" i="13"/>
  <c r="R23" i="13" s="1"/>
  <c r="B21" i="13"/>
  <c r="J20" i="13" l="1"/>
  <c r="L20" i="13"/>
  <c r="H20" i="13"/>
  <c r="G21" i="13"/>
  <c r="O21" i="13" s="1"/>
  <c r="E21" i="13"/>
  <c r="B22" i="13"/>
  <c r="L21" i="13" l="1"/>
  <c r="I21" i="13"/>
  <c r="H21" i="13"/>
  <c r="J21" i="13"/>
  <c r="E22" i="13"/>
  <c r="G22" i="13"/>
  <c r="R24" i="13"/>
  <c r="B23" i="13"/>
  <c r="L22" i="13" l="1"/>
  <c r="I22" i="13"/>
  <c r="H22" i="13"/>
  <c r="O22" i="13"/>
  <c r="E23" i="13"/>
  <c r="G23" i="13"/>
  <c r="O23" i="13" s="1"/>
  <c r="J22" i="13"/>
  <c r="R25" i="13"/>
  <c r="B24" i="13"/>
  <c r="L23" i="13" l="1"/>
  <c r="I23" i="13"/>
  <c r="J23" i="13"/>
  <c r="H23" i="13"/>
  <c r="G24" i="13"/>
  <c r="E24" i="13"/>
  <c r="I24" i="13" s="1"/>
  <c r="R26" i="13"/>
  <c r="B25" i="13"/>
  <c r="H24" i="13" l="1"/>
  <c r="O24" i="13"/>
  <c r="J24" i="13"/>
  <c r="L24" i="13"/>
  <c r="G25" i="13"/>
  <c r="E25" i="13"/>
  <c r="I25" i="13" s="1"/>
  <c r="R27" i="13"/>
  <c r="B26" i="13"/>
  <c r="H25" i="13" l="1"/>
  <c r="O25" i="13"/>
  <c r="J25" i="13"/>
  <c r="L25" i="13"/>
  <c r="G26" i="13"/>
  <c r="O26" i="13" s="1"/>
  <c r="E26" i="13"/>
  <c r="R28" i="13"/>
  <c r="B27" i="13"/>
  <c r="L26" i="13" l="1"/>
  <c r="I26" i="13"/>
  <c r="H26" i="13"/>
  <c r="J26" i="13"/>
  <c r="G27" i="13"/>
  <c r="E27" i="13"/>
  <c r="R29" i="13"/>
  <c r="B28" i="13"/>
  <c r="L27" i="13" l="1"/>
  <c r="I27" i="13"/>
  <c r="H27" i="13"/>
  <c r="O27" i="13"/>
  <c r="J27" i="13"/>
  <c r="E28" i="13"/>
  <c r="G28" i="13"/>
  <c r="O28" i="13" s="1"/>
  <c r="R30" i="13"/>
  <c r="B30" i="13" s="1"/>
  <c r="B29" i="13"/>
  <c r="L28" i="13" l="1"/>
  <c r="I28" i="13"/>
  <c r="H28" i="13"/>
  <c r="G30" i="13"/>
  <c r="H30" i="13" s="1"/>
  <c r="E30" i="13"/>
  <c r="E29" i="13"/>
  <c r="G29" i="13"/>
  <c r="J28" i="13"/>
  <c r="L29" i="13" l="1"/>
  <c r="I29" i="13"/>
  <c r="M30" i="13"/>
  <c r="I30" i="13"/>
  <c r="H29" i="13"/>
  <c r="O29" i="13"/>
  <c r="L30" i="13"/>
  <c r="J29" i="13"/>
  <c r="J30" i="13"/>
  <c r="I12" i="13"/>
  <c r="I13" i="13" s="1"/>
  <c r="J14" i="13" s="1"/>
  <c r="K13" i="13"/>
  <c r="N13" i="13" s="1"/>
  <c r="M13" i="13" s="1"/>
  <c r="K14" i="13" l="1"/>
  <c r="N14" i="13" s="1"/>
  <c r="M14" i="13" s="1"/>
  <c r="I14" i="13"/>
  <c r="I15" i="13" s="1"/>
  <c r="K15" i="13" l="1"/>
  <c r="J16" i="13"/>
  <c r="I16" i="13" s="1"/>
  <c r="N15" i="13" l="1"/>
  <c r="M15" i="13" s="1"/>
  <c r="K16" i="13"/>
  <c r="N16" i="13" l="1"/>
  <c r="M16" i="13" s="1"/>
  <c r="K17" i="13"/>
  <c r="K18" i="13" l="1"/>
  <c r="N17" i="13"/>
  <c r="M17" i="13" s="1"/>
  <c r="K19" i="13" l="1"/>
  <c r="N18" i="13"/>
  <c r="M18" i="13" s="1"/>
  <c r="N19" i="13" l="1"/>
  <c r="M19" i="13" s="1"/>
  <c r="K20" i="13"/>
  <c r="K21" i="13" l="1"/>
  <c r="N20" i="13"/>
  <c r="M20" i="13" s="1"/>
  <c r="N21" i="13" l="1"/>
  <c r="M21" i="13" s="1"/>
  <c r="K22" i="13"/>
  <c r="N22" i="13" l="1"/>
  <c r="M22" i="13" s="1"/>
  <c r="K23" i="13"/>
  <c r="N23" i="13" l="1"/>
  <c r="M23" i="13" s="1"/>
  <c r="K24" i="13"/>
  <c r="N24" i="13" l="1"/>
  <c r="M24" i="13" s="1"/>
  <c r="K25" i="13"/>
  <c r="N25" i="13" l="1"/>
  <c r="M25" i="13" s="1"/>
  <c r="K26" i="13"/>
  <c r="N26" i="13" l="1"/>
  <c r="M26" i="13" s="1"/>
  <c r="K27" i="13"/>
  <c r="N27" i="13" l="1"/>
  <c r="M27" i="13" s="1"/>
  <c r="K28" i="13"/>
  <c r="K29" i="13" l="1"/>
  <c r="N28" i="13"/>
  <c r="M28" i="13" s="1"/>
  <c r="N29" i="13" l="1"/>
  <c r="M29" i="13" s="1"/>
  <c r="K30" i="13"/>
  <c r="O30" i="13" s="1"/>
</calcChain>
</file>

<file path=xl/sharedStrings.xml><?xml version="1.0" encoding="utf-8"?>
<sst xmlns="http://schemas.openxmlformats.org/spreadsheetml/2006/main" count="120" uniqueCount="66">
  <si>
    <t>Income Base</t>
  </si>
  <si>
    <t>Income Credit</t>
  </si>
  <si>
    <t>—</t>
  </si>
  <si>
    <t xml:space="preserve"> contract issue date</t>
  </si>
  <si>
    <t>Maximum Annual Withdrawal Amount upon Activation</t>
  </si>
  <si>
    <t xml:space="preserve">Income Credit Base  </t>
  </si>
  <si>
    <t xml:space="preserve">Income Credit    </t>
  </si>
  <si>
    <t xml:space="preserve">Withdrawal Taken  </t>
  </si>
  <si>
    <t xml:space="preserve">Assumed Contract Value </t>
  </si>
  <si>
    <t xml:space="preserve">Anniversary Value  </t>
  </si>
  <si>
    <t xml:space="preserve">Income Base  </t>
  </si>
  <si>
    <t>Protected Income Payment</t>
  </si>
  <si>
    <t>Purchase Payments</t>
  </si>
  <si>
    <t>Activation Time</t>
  </si>
  <si>
    <t>Income Credit Base</t>
  </si>
  <si>
    <t>Check</t>
  </si>
  <si>
    <t>APPENDIX D TABLE</t>
  </si>
  <si>
    <t xml:space="preserve"> Income Credit Percentage </t>
  </si>
  <si>
    <t xml:space="preserve"> Covered Person </t>
  </si>
  <si>
    <t xml:space="preserve"> Maximum Annual Withdrawal Percentage </t>
  </si>
  <si>
    <t xml:space="preserve">Benefit Effective Date </t>
  </si>
  <si>
    <t>Index</t>
  </si>
  <si>
    <t>Time From Valuation</t>
  </si>
  <si>
    <t>Initial Purchase Payement</t>
  </si>
  <si>
    <t>Is Activation</t>
  </si>
  <si>
    <t>Is Anniversery</t>
  </si>
  <si>
    <t>Has Lifetime Income Started</t>
  </si>
  <si>
    <t>Withdrawal Penalty Before Activation</t>
  </si>
  <si>
    <t>Withdrawal Penalty After Activation</t>
  </si>
  <si>
    <t>Inputs</t>
  </si>
  <si>
    <t>Test Cases</t>
  </si>
  <si>
    <t>F</t>
  </si>
  <si>
    <t>Joint Same Sex Female</t>
  </si>
  <si>
    <t>M</t>
  </si>
  <si>
    <t>Joint Same Sex</t>
  </si>
  <si>
    <t>Joint Diff Age</t>
  </si>
  <si>
    <t>Wda 7.5</t>
  </si>
  <si>
    <t>Wda 6.5</t>
  </si>
  <si>
    <t>Wda 5.5</t>
  </si>
  <si>
    <t>Wda 3.5</t>
  </si>
  <si>
    <t>Wda 2.5</t>
  </si>
  <si>
    <t>Wda 1.5</t>
  </si>
  <si>
    <t>Option 3</t>
  </si>
  <si>
    <t>Option 2</t>
  </si>
  <si>
    <t>Age 85</t>
  </si>
  <si>
    <t>Age 75</t>
  </si>
  <si>
    <t>Age 55</t>
  </si>
  <si>
    <t>Age 45</t>
  </si>
  <si>
    <t>Elevated Income %</t>
  </si>
  <si>
    <t>Base</t>
  </si>
  <si>
    <t>Current Contract Value</t>
  </si>
  <si>
    <t>Withdrawal Amount</t>
  </si>
  <si>
    <t>Current Income Base Credit</t>
  </si>
  <si>
    <t>Current Income Base</t>
  </si>
  <si>
    <t xml:space="preserve">Income Credit Percentage </t>
  </si>
  <si>
    <t>Annuity Income Option</t>
  </si>
  <si>
    <t>Withdrawal Activation Date</t>
  </si>
  <si>
    <t xml:space="preserve">Initial Purchase Payment </t>
  </si>
  <si>
    <t>Secondary Gender</t>
  </si>
  <si>
    <t>Secondary Birthdate</t>
  </si>
  <si>
    <t>Primary Gender</t>
  </si>
  <si>
    <t>Primary Birthdate</t>
  </si>
  <si>
    <t>Valuation Date</t>
  </si>
  <si>
    <t>Use Base Case</t>
  </si>
  <si>
    <t>Test Name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</si>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</sst>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81717"/>
      <name val="Times New Roman"/>
      <family val="1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 tint="0.39997558519241921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0" applyNumberFormat="1"/>
    <xf numFmtId="43" fontId="0" fillId="0" borderId="0" xfId="1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9" fontId="0" fillId="0" borderId="0" xfId="2" applyFont="1"/>
    <xf numFmtId="43" fontId="0" fillId="0" borderId="1" xfId="1" applyFont="1" applyBorder="1"/>
    <xf numFmtId="43" fontId="0" fillId="0" borderId="0" xfId="1" applyFont="1" applyBorder="1"/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right"/>
    </xf>
    <xf numFmtId="164" fontId="0" fillId="0" borderId="3" xfId="1" applyNumberFormat="1" applyFont="1" applyBorder="1"/>
    <xf numFmtId="164" fontId="3" fillId="0" borderId="5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5" xfId="1" applyNumberFormat="1" applyFont="1" applyBorder="1" applyAlignment="1">
      <alignment horizontal="right"/>
    </xf>
    <xf numFmtId="164" fontId="3" fillId="0" borderId="4" xfId="1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164" fontId="0" fillId="3" borderId="1" xfId="0" applyNumberFormat="1" applyFill="1" applyBorder="1"/>
    <xf numFmtId="0" fontId="0" fillId="3" borderId="8" xfId="0" applyFill="1" applyBorder="1"/>
    <xf numFmtId="164" fontId="3" fillId="3" borderId="1" xfId="1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164" fontId="3" fillId="3" borderId="5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4" borderId="0" xfId="0" applyFont="1" applyFill="1" applyAlignment="1">
      <alignment wrapText="1"/>
    </xf>
    <xf numFmtId="0" fontId="0" fillId="0" borderId="1" xfId="0" applyBorder="1"/>
    <xf numFmtId="0" fontId="2" fillId="2" borderId="2" xfId="0" applyFont="1" applyFill="1" applyBorder="1" applyAlignment="1">
      <alignment wrapText="1"/>
    </xf>
    <xf numFmtId="3" fontId="0" fillId="0" borderId="0" xfId="0" applyNumberFormat="1"/>
    <xf numFmtId="0" fontId="0" fillId="0" borderId="14" xfId="0" applyBorder="1"/>
    <xf numFmtId="43" fontId="0" fillId="0" borderId="15" xfId="1" applyFont="1" applyBorder="1"/>
    <xf numFmtId="0" fontId="0" fillId="0" borderId="18" xfId="0" applyBorder="1"/>
    <xf numFmtId="0" fontId="0" fillId="0" borderId="19" xfId="0" applyBorder="1"/>
    <xf numFmtId="164" fontId="0" fillId="3" borderId="19" xfId="0" applyNumberFormat="1" applyFill="1" applyBorder="1"/>
    <xf numFmtId="43" fontId="0" fillId="0" borderId="20" xfId="1" applyFont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7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165" fontId="0" fillId="0" borderId="1" xfId="2" applyNumberFormat="1" applyFont="1" applyBorder="1"/>
    <xf numFmtId="166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6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0" fontId="0" fillId="0" borderId="22" xfId="0" applyBorder="1"/>
    <xf numFmtId="14" fontId="0" fillId="0" borderId="22" xfId="0" applyNumberFormat="1" applyBorder="1"/>
    <xf numFmtId="0" fontId="0" fillId="0" borderId="23" xfId="0" applyBorder="1"/>
    <xf numFmtId="0" fontId="0" fillId="0" borderId="21" xfId="0" applyBorder="1"/>
    <xf numFmtId="0" fontId="2" fillId="2" borderId="0" xfId="0" applyFont="1" applyFill="1" applyAlignment="1">
      <alignment wrapText="1"/>
    </xf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2" fillId="2" borderId="27" xfId="0" applyFont="1" applyFill="1" applyBorder="1" applyAlignment="1">
      <alignment wrapText="1"/>
    </xf>
    <xf numFmtId="0" fontId="0" fillId="0" borderId="28" xfId="0" applyFont="1" applyBorder="1"/>
    <xf numFmtId="0" fontId="0" fillId="0" borderId="29" xfId="0" applyFont="1" applyBorder="1"/>
    <xf numFmtId="14" fontId="0" fillId="0" borderId="29" xfId="0" applyNumberFormat="1" applyFont="1" applyBorder="1"/>
    <xf numFmtId="2" fontId="0" fillId="0" borderId="29" xfId="0" applyNumberFormat="1" applyFont="1" applyBorder="1"/>
    <xf numFmtId="0" fontId="0" fillId="0" borderId="30" xfId="0" applyFont="1" applyBorder="1"/>
  </cellXfs>
  <cellStyles count="3">
    <cellStyle name="Comma" xfId="1" builtinId="3"/>
    <cellStyle name="Normal" xfId="0" builtinId="0"/>
    <cellStyle name="Percent" xfId="2" builtinId="5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numFmt numFmtId="2" formatCode="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579120</xdr:colOff>
          <xdr:row>1</xdr:row>
          <xdr:rowOff>60960</xdr:rowOff>
        </xdr:from>
        <xdr:to>
          <xdr:col>18</xdr:col>
          <xdr:colOff>114300</xdr:colOff>
          <xdr:row>46</xdr:row>
          <xdr:rowOff>175260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1</xdr:row>
          <xdr:rowOff>68580</xdr:rowOff>
        </xdr:from>
        <xdr:to>
          <xdr:col>11</xdr:col>
          <xdr:colOff>373380</xdr:colOff>
          <xdr:row>17</xdr:row>
          <xdr:rowOff>175260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18</xdr:row>
          <xdr:rowOff>99060</xdr:rowOff>
        </xdr:from>
        <xdr:to>
          <xdr:col>11</xdr:col>
          <xdr:colOff>228600</xdr:colOff>
          <xdr:row>47</xdr:row>
          <xdr:rowOff>60960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403860</xdr:colOff>
          <xdr:row>48</xdr:row>
          <xdr:rowOff>144780</xdr:rowOff>
        </xdr:from>
        <xdr:to>
          <xdr:col>11</xdr:col>
          <xdr:colOff>251460</xdr:colOff>
          <xdr:row>59</xdr:row>
          <xdr:rowOff>45720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449580</xdr:colOff>
          <xdr:row>63</xdr:row>
          <xdr:rowOff>160020</xdr:rowOff>
        </xdr:from>
        <xdr:to>
          <xdr:col>11</xdr:col>
          <xdr:colOff>297180</xdr:colOff>
          <xdr:row>75</xdr:row>
          <xdr:rowOff>144780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541020</xdr:colOff>
          <xdr:row>79</xdr:row>
          <xdr:rowOff>160020</xdr:rowOff>
        </xdr:from>
        <xdr:to>
          <xdr:col>11</xdr:col>
          <xdr:colOff>388620</xdr:colOff>
          <xdr:row>91</xdr:row>
          <xdr:rowOff>76200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94</xdr:row>
          <xdr:rowOff>144780</xdr:rowOff>
        </xdr:from>
        <xdr:to>
          <xdr:col>11</xdr:col>
          <xdr:colOff>426720</xdr:colOff>
          <xdr:row>112</xdr:row>
          <xdr:rowOff>30480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116</xdr:row>
          <xdr:rowOff>30480</xdr:rowOff>
        </xdr:from>
        <xdr:to>
          <xdr:col>11</xdr:col>
          <xdr:colOff>441960</xdr:colOff>
          <xdr:row>124</xdr:row>
          <xdr:rowOff>83820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17</xdr:col>
          <xdr:colOff>60960</xdr:colOff>
          <xdr:row>36</xdr:row>
          <xdr:rowOff>121920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556260</xdr:colOff>
          <xdr:row>1</xdr:row>
          <xdr:rowOff>0</xdr:rowOff>
        </xdr:from>
        <xdr:to>
          <xdr:col>15</xdr:col>
          <xdr:colOff>480060</xdr:colOff>
          <xdr:row>36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9132\Google%20Drive\ExcelAnswerKeys\ExcelRedo\Tweak\Week1\TheModelW1withAdditional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Homework"/>
      <sheetName val="How It Works"/>
      <sheetName val="Orders of Operation"/>
    </sheetNames>
    <sheetDataSet>
      <sheetData sheetId="0" refreshError="1"/>
      <sheetData sheetId="1" refreshError="1">
        <row r="2">
          <cell r="B2">
            <v>100000</v>
          </cell>
        </row>
        <row r="21">
          <cell r="B21">
            <v>60000</v>
          </cell>
        </row>
        <row r="22">
          <cell r="B22" t="str">
            <v>—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9FFE7-031C-4BB8-BD7B-73EC8E8379A9}" name="Table1" displayName="Table1" ref="A7:P30" totalsRowShown="0" headerRowDxfId="39" headerRowBorderDxfId="38" tableBorderDxfId="37" totalsRowBorderDxfId="36">
  <autoFilter ref="A7:P30" xr:uid="{E989FFE7-031C-4BB8-BD7B-73EC8E8379A9}"/>
  <tableColumns count="16">
    <tableColumn id="1" xr3:uid="{8746CBD2-352C-4FB2-B735-3C80A9101E03}" name="Index" dataDxfId="35">
      <calculatedColumnFormula>A7+1</calculatedColumnFormula>
    </tableColumn>
    <tableColumn id="2" xr3:uid="{CCBA0368-DDE3-4C18-B157-6489467469AA}" name="Time From Valuation" dataDxfId="34">
      <calculatedColumnFormula>R8</calculatedColumnFormula>
    </tableColumn>
    <tableColumn id="3" xr3:uid="{B42F0FC7-F313-4AD9-B988-372B9E5AF33E}" name="Purchase Payments" dataDxfId="33">
      <calculatedColumnFormula>S8</calculatedColumnFormula>
    </tableColumn>
    <tableColumn id="4" xr3:uid="{D8804332-74C8-4281-B927-B99A4100E1D5}" name="Withdrawal Taken  " dataDxfId="32">
      <calculatedColumnFormula>T8</calculatedColumnFormula>
    </tableColumn>
    <tableColumn id="5" xr3:uid="{5FDE0844-F4FD-4B8B-8E26-42228527CCC9}" name="Is Activation" dataDxfId="31">
      <calculatedColumnFormula>Table1[[#This Row],[Time From Valuation]]&gt;=Activation_Time</calculatedColumnFormula>
    </tableColumn>
    <tableColumn id="6" xr3:uid="{1F676914-9877-41DF-B29B-4C75641FE730}" name="Assumed Contract Value " dataDxfId="30"/>
    <tableColumn id="7" xr3:uid="{01F39826-2714-4B4F-8018-72AA0BF8D1D7}" name="Is Anniversery" dataDxfId="29">
      <calculatedColumnFormula>Table1[[#This Row],[Time From Valuation]]=INT(Table1[[#This Row],[Time From Valuation]])</calculatedColumnFormula>
    </tableColumn>
    <tableColumn id="8" xr3:uid="{ACF76B9B-E69F-4064-A959-CC2FB8100E58}" name="Anniversary Value  " dataDxfId="28">
      <calculatedColumnFormula>_xlfn.LET(_xlpm.Anniversery_Value,,Assumed_Contract_Value),IF(Is_Anniversery,Anniversery_Value=Assumed_Contract_Value,0)</calculatedColumnFormula>
    </tableColumn>
    <tableColumn id="9" xr3:uid="{BE425962-5996-433A-88E0-0EB2D8C237DE}" name="Income Credit Base" dataDxfId="27"/>
    <tableColumn id="10" xr3:uid="{911F8F8A-CF2A-4D88-A316-ED5B6C0A80E9}" name="Income Credit" dataDxfId="26">
      <calculatedColumnFormula>IF(AND(Table1[[#This Row],[Is Activation]]=FALSE,Table1[[#This Row],[Is Anniversery]]=TRUE),Table1[[#This Row],[Income Credit Base]]*ICP,0)</calculatedColumnFormula>
    </tableColumn>
    <tableColumn id="16" xr3:uid="{BB723885-944A-42A8-BE54-B6301EF239B5}" name="Income Base" dataDxfId="25">
      <calculatedColumnFormula>OFFSET(Table1[[#This Row],[Income Base]],-1,0)+Table1[[#This Row],[Purchase Payments]]+OFFSET(Table1[[#This Row],[Income Credit]],-1,0)</calculatedColumnFormula>
    </tableColumn>
    <tableColumn id="17" xr3:uid="{A70BDF7B-DD67-4531-9AC1-2E47C9715339}" name="Withdrawal Penalty Before Activation" dataDxfId="24">
      <calculatedColumnFormula>IF(NOT(Table1[[#This Row],[Is Activation]]),(Table1[[#This Row],[Withdrawal Taken  ]]/Table1[[#This Row],[Assumed Contract Value ]]),0)</calculatedColumnFormula>
    </tableColumn>
    <tableColumn id="15" xr3:uid="{2753BF05-3610-405A-A38D-53DAEE0D08E8}" name="Withdrawal Penalty After Activation" dataDxfId="23">
      <calculatedColumnFormula>IF(Table1[[#This Row],[Is Activation]],ABS(Table1[[#This Row],[Withdrawal Taken  ]]-Table1[[#This Row],[Maximum Annual Withdrawal Amount upon Activation]]),0)</calculatedColumnFormula>
    </tableColumn>
    <tableColumn id="12" xr3:uid="{E65F505B-4E1C-4D3C-93F4-2423DA4885B9}" name="Maximum Annual Withdrawal Amount upon Activation" dataDxfId="22" dataCellStyle="Comma">
      <calculatedColumnFormula>IF(NOT(Table1[[#This Row],[Has Lifetime Income Started]]),Table1[[#This Row],[Income Base]]*MAW,0)</calculatedColumnFormula>
    </tableColumn>
    <tableColumn id="13" xr3:uid="{F7A49EF0-54FC-4B84-B3D1-6732DB8CFD1E}" name="Protected Income Payment" dataDxfId="21" dataCellStyle="Comma">
      <calculatedColumnFormula>IF(AND(Table1[[#This Row],[Has Lifetime Income Started]],Table1[[#This Row],[Is Anniversery]]),Table1[[#This Row],[Income Base]]*PIP,0)</calculatedColumnFormula>
    </tableColumn>
    <tableColumn id="14" xr3:uid="{646C85AC-84AD-40CF-9719-E6F2178FFF14}" name="Has Lifetime Income Started" dataDxfId="20" dataCellStyle="Comma">
      <calculatedColumnFormula>Assumed_Contract_Value2&lt;0.1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FA28F0-407A-4DA8-A159-C9E98EC280BA}" name="TestCases" displayName="TestCases" ref="A1:Q18" totalsRowShown="0" headerRowDxfId="0" tableBorderDxfId="18">
  <autoFilter ref="A1:Q18" xr:uid="{BDFA28F0-407A-4DA8-A159-C9E98EC280BA}"/>
  <tableColumns count="17">
    <tableColumn id="1" xr3:uid="{3C5BCC01-7B15-432D-922A-72E4E8B0F22B}" name="Test" dataDxfId="17"/>
    <tableColumn id="2" xr3:uid="{2698880F-B7BB-4B7E-BFA5-B32A2164B6A7}" name="Test Name" dataDxfId="16"/>
    <tableColumn id="3" xr3:uid="{EBED3377-CFC2-4921-BE73-D69615CCAF9F}" name="Use Base Case" dataDxfId="15"/>
    <tableColumn id="4" xr3:uid="{6EA5DDC6-4E83-4FFA-834B-9D05577DE14B}" name="Valuation Date" dataDxfId="14"/>
    <tableColumn id="5" xr3:uid="{1BF24AF1-6996-4A1A-9CCA-25CAFCFEF34C}" name="Primary Birthdate" dataDxfId="13"/>
    <tableColumn id="6" xr3:uid="{E07AA4A8-87AA-4489-A2EC-B3FA67B99A3A}" name="Primary Gender" dataDxfId="12"/>
    <tableColumn id="7" xr3:uid="{BF50F656-9AA4-45B7-83AF-9AE4ECEC0719}" name="Secondary Birthdate" dataDxfId="11"/>
    <tableColumn id="8" xr3:uid="{CDC8A9F8-7415-4424-9DC7-819994B64A97}" name="Secondary Gender" dataDxfId="10"/>
    <tableColumn id="9" xr3:uid="{BC8BC33A-33FB-4546-A5D2-E39963F580D9}" name="Benefit Effective Date " dataDxfId="9"/>
    <tableColumn id="10" xr3:uid="{68188D4F-D924-4817-9119-A3BA775BD804}" name="Initial Purchase Payment " dataDxfId="8"/>
    <tableColumn id="11" xr3:uid="{35415BB9-6C7D-4EE5-8BDA-6727385A34AC}" name="Withdrawal Activation Date" dataDxfId="7"/>
    <tableColumn id="12" xr3:uid="{AC693910-58B8-46BD-97D2-1E66950819A9}" name="Annuity Income Option" dataDxfId="6"/>
    <tableColumn id="13" xr3:uid="{B9FB4E06-331D-428A-9F46-D7A2B9B5E6E6}" name="Income Credit Percentage " dataDxfId="5"/>
    <tableColumn id="14" xr3:uid="{42BA1DAA-1293-48BA-90CA-561BBC60AA20}" name="Current Income Base" dataDxfId="4"/>
    <tableColumn id="15" xr3:uid="{B816D909-FB67-494D-BA96-9BE5E151A068}" name="Current Income Base Credit" dataDxfId="3"/>
    <tableColumn id="16" xr3:uid="{2DE0EA46-1071-448D-9DE4-5FBF15F7EA0B}" name="Withdrawal Amount" dataDxfId="2"/>
    <tableColumn id="17" xr3:uid="{EACB5392-3CC7-45A7-A45A-3CFE3D54D7A2}" name="Current Contract Valu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13" Type="http://schemas.openxmlformats.org/officeDocument/2006/relationships/image" Target="../media/image6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12" Type="http://schemas.openxmlformats.org/officeDocument/2006/relationships/package" Target="../embeddings/Microsoft_Word_Document5.docx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7.docx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4.emf"/><Relationship Id="rId14" Type="http://schemas.openxmlformats.org/officeDocument/2006/relationships/package" Target="../embeddings/Microsoft_Word_Document6.doc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Word_Document8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0.emf"/><Relationship Id="rId4" Type="http://schemas.openxmlformats.org/officeDocument/2006/relationships/package" Target="../embeddings/Microsoft_Word_Document9.doc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302F-7D29-42AA-B5FE-A74E5682621C}">
  <sheetPr>
    <tabColor theme="5" tint="0.79998168889431442"/>
  </sheetPr>
  <dimension ref="A1"/>
  <sheetViews>
    <sheetView workbookViewId="0">
      <selection activeCell="S25" sqref="S25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579120</xdr:colOff>
                <xdr:row>1</xdr:row>
                <xdr:rowOff>60960</xdr:rowOff>
              </from>
              <to>
                <xdr:col>18</xdr:col>
                <xdr:colOff>114300</xdr:colOff>
                <xdr:row>46</xdr:row>
                <xdr:rowOff>175260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4F5-B572-4B40-A28E-1EE9F560A0DB}">
  <dimension ref="A1:AN30"/>
  <sheetViews>
    <sheetView topLeftCell="A8" workbookViewId="0">
      <selection activeCell="I11" sqref="I11"/>
    </sheetView>
  </sheetViews>
  <sheetFormatPr defaultRowHeight="14.4" x14ac:dyDescent="0.3"/>
  <cols>
    <col min="2" max="2" width="36.109375" customWidth="1"/>
    <col min="3" max="3" width="13.109375" customWidth="1"/>
    <col min="4" max="4" width="18.109375" customWidth="1"/>
    <col min="5" max="5" width="12.88671875" customWidth="1"/>
    <col min="6" max="6" width="13.109375" customWidth="1"/>
    <col min="7" max="7" width="11.6640625" customWidth="1"/>
    <col min="8" max="8" width="14.5546875" customWidth="1"/>
    <col min="9" max="9" width="11.88671875" customWidth="1"/>
    <col min="10" max="10" width="14.6640625" customWidth="1"/>
    <col min="11" max="11" width="13.5546875" customWidth="1"/>
    <col min="12" max="12" width="17.6640625" customWidth="1"/>
    <col min="13" max="13" width="19.77734375" customWidth="1"/>
    <col min="14" max="14" width="12.33203125" bestFit="1" customWidth="1"/>
    <col min="15" max="15" width="10.5546875" bestFit="1" customWidth="1"/>
    <col min="16" max="18" width="10.5546875" customWidth="1"/>
    <col min="19" max="19" width="12" customWidth="1"/>
    <col min="20" max="20" width="10.5546875" customWidth="1"/>
    <col min="21" max="21" width="12" customWidth="1"/>
    <col min="22" max="24" width="10.5546875" customWidth="1"/>
    <col min="25" max="25" width="11.88671875" customWidth="1"/>
    <col min="26" max="26" width="11.5546875" bestFit="1" customWidth="1"/>
    <col min="27" max="32" width="10.5546875" customWidth="1"/>
    <col min="33" max="33" width="12.88671875" customWidth="1"/>
    <col min="34" max="35" width="11.5546875" bestFit="1" customWidth="1"/>
    <col min="36" max="36" width="10.5546875" bestFit="1" customWidth="1"/>
    <col min="37" max="37" width="13.6640625" customWidth="1"/>
    <col min="38" max="38" width="11.88671875" customWidth="1"/>
  </cols>
  <sheetData>
    <row r="1" spans="1:40" x14ac:dyDescent="0.3">
      <c r="B1" s="26" t="s">
        <v>20</v>
      </c>
      <c r="C1" t="s">
        <v>3</v>
      </c>
      <c r="D1" s="26" t="s">
        <v>23</v>
      </c>
      <c r="E1" s="26"/>
      <c r="F1" s="31">
        <v>100000</v>
      </c>
      <c r="G1" s="31"/>
    </row>
    <row r="2" spans="1:40" ht="18" x14ac:dyDescent="0.35">
      <c r="B2" s="26" t="s">
        <v>13</v>
      </c>
      <c r="C2" s="27">
        <v>4.5</v>
      </c>
    </row>
    <row r="3" spans="1:40" x14ac:dyDescent="0.3">
      <c r="B3" s="26" t="s">
        <v>17</v>
      </c>
      <c r="C3" s="1">
        <v>5.2499999999999998E-2</v>
      </c>
    </row>
    <row r="4" spans="1:40" x14ac:dyDescent="0.3">
      <c r="B4" s="26" t="s">
        <v>18</v>
      </c>
      <c r="C4">
        <v>65</v>
      </c>
    </row>
    <row r="5" spans="1:40" ht="15" thickBot="1" x14ac:dyDescent="0.35">
      <c r="B5" s="26" t="s">
        <v>19</v>
      </c>
      <c r="C5" s="1">
        <v>6.25E-2</v>
      </c>
    </row>
    <row r="6" spans="1:40" ht="15" thickBot="1" x14ac:dyDescent="0.35">
      <c r="B6" s="26" t="s">
        <v>11</v>
      </c>
      <c r="C6" s="8">
        <v>0.04</v>
      </c>
      <c r="O6" s="44" t="s">
        <v>16</v>
      </c>
      <c r="P6" s="45"/>
      <c r="Q6" s="45"/>
      <c r="R6" s="45"/>
      <c r="S6" s="45"/>
      <c r="T6" s="45"/>
      <c r="U6" s="45"/>
      <c r="V6" s="45"/>
      <c r="W6" s="45"/>
      <c r="X6" s="46"/>
    </row>
    <row r="7" spans="1:40" ht="71.25" customHeight="1" x14ac:dyDescent="0.3">
      <c r="A7" s="38" t="s">
        <v>21</v>
      </c>
      <c r="B7" s="39" t="s">
        <v>22</v>
      </c>
      <c r="C7" s="40" t="s">
        <v>12</v>
      </c>
      <c r="D7" s="40" t="s">
        <v>7</v>
      </c>
      <c r="E7" s="40" t="s">
        <v>24</v>
      </c>
      <c r="F7" s="40" t="s">
        <v>8</v>
      </c>
      <c r="G7" s="40" t="s">
        <v>25</v>
      </c>
      <c r="H7" s="40" t="s">
        <v>9</v>
      </c>
      <c r="I7" s="40" t="s">
        <v>14</v>
      </c>
      <c r="J7" s="40" t="s">
        <v>1</v>
      </c>
      <c r="K7" s="40" t="s">
        <v>0</v>
      </c>
      <c r="L7" s="40" t="s">
        <v>27</v>
      </c>
      <c r="M7" s="40" t="s">
        <v>28</v>
      </c>
      <c r="N7" s="40" t="s">
        <v>4</v>
      </c>
      <c r="O7" s="40" t="s">
        <v>11</v>
      </c>
      <c r="P7" s="41" t="s">
        <v>26</v>
      </c>
      <c r="Q7" s="28" t="s">
        <v>15</v>
      </c>
      <c r="R7" s="30" t="s">
        <v>22</v>
      </c>
      <c r="S7" s="19" t="s">
        <v>12</v>
      </c>
      <c r="T7" s="19" t="s">
        <v>7</v>
      </c>
      <c r="U7" s="19" t="s">
        <v>8</v>
      </c>
      <c r="V7" s="19" t="s">
        <v>9</v>
      </c>
      <c r="W7" s="19" t="s">
        <v>10</v>
      </c>
      <c r="X7" s="19" t="s">
        <v>5</v>
      </c>
      <c r="Y7" s="19" t="s">
        <v>6</v>
      </c>
      <c r="Z7" s="19" t="s">
        <v>4</v>
      </c>
      <c r="AA7" s="20" t="s">
        <v>11</v>
      </c>
      <c r="AB7" s="3"/>
      <c r="AC7" s="3"/>
      <c r="AD7" s="3"/>
      <c r="AE7" s="3"/>
      <c r="AF7" s="3"/>
      <c r="AG7" s="3"/>
      <c r="AI7" s="3" t="s">
        <v>9</v>
      </c>
      <c r="AJ7" s="3" t="s">
        <v>10</v>
      </c>
      <c r="AK7" s="3" t="s">
        <v>5</v>
      </c>
      <c r="AL7" s="3" t="s">
        <v>6</v>
      </c>
      <c r="AM7" s="3" t="s">
        <v>4</v>
      </c>
      <c r="AN7" s="3" t="s">
        <v>11</v>
      </c>
    </row>
    <row r="8" spans="1:40" x14ac:dyDescent="0.3">
      <c r="A8" s="32">
        <v>0</v>
      </c>
      <c r="B8" s="29">
        <f t="shared" ref="B8:B30" si="0">R8</f>
        <v>0</v>
      </c>
      <c r="C8" s="21">
        <f>S8</f>
        <v>100000</v>
      </c>
      <c r="D8" s="21">
        <f>T8</f>
        <v>0</v>
      </c>
      <c r="E8" s="21" t="b">
        <f>Table1[[#This Row],[Time From Valuation]]&gt;=Activation_Time</f>
        <v>0</v>
      </c>
      <c r="F8" s="21">
        <f t="shared" ref="F8:F28" si="1">U8</f>
        <v>100000</v>
      </c>
      <c r="G8" s="21" t="b">
        <f>Table1[[#This Row],[Time From Valuation]]=INT(Table1[[#This Row],[Time From Valuation]])</f>
        <v>1</v>
      </c>
      <c r="H8" s="7">
        <v>0</v>
      </c>
      <c r="I8" s="7">
        <f>Initial_Purchase_Payment</f>
        <v>100000</v>
      </c>
      <c r="J8" s="7">
        <v>0</v>
      </c>
      <c r="K8" s="7">
        <f>Initial_Purchase_Payment</f>
        <v>100000</v>
      </c>
      <c r="L8" s="42">
        <f>IF(NOT(Table1[[#This Row],[Is Activation]]),(Table1[[#This Row],[Withdrawal Taken  ]]/Table1[[#This Row],[Assumed Contract Value ]]),0)</f>
        <v>0</v>
      </c>
      <c r="M8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8" s="5">
        <f>IF(NOT(Table1[[#This Row],[Has Lifetime Income Started]]),Table1[[#This Row],[Income Base]]*MAW,0)</f>
        <v>6250</v>
      </c>
      <c r="O8" s="9">
        <f>IF(AND(Table1[[#This Row],[Has Lifetime Income Started]],Table1[[#This Row],[Is Anniversery]]),Table1[[#This Row],[Income Base]]*PIP,0)</f>
        <v>0</v>
      </c>
      <c r="P8" s="33" t="b">
        <f t="shared" ref="P8:P30" si="2">Assumed_Contract_Value2&lt;0.1</f>
        <v>0</v>
      </c>
      <c r="Q8" s="2"/>
      <c r="R8" s="22">
        <v>0</v>
      </c>
      <c r="S8" s="23">
        <v>100000</v>
      </c>
      <c r="T8" s="23">
        <v>0</v>
      </c>
      <c r="U8" s="23">
        <v>100000</v>
      </c>
      <c r="V8" s="12">
        <v>0</v>
      </c>
      <c r="W8" s="11">
        <v>100000</v>
      </c>
      <c r="X8" s="11">
        <v>100000</v>
      </c>
      <c r="Y8" s="11">
        <v>0</v>
      </c>
      <c r="Z8" s="11">
        <v>6250</v>
      </c>
      <c r="AA8" s="14">
        <v>0</v>
      </c>
      <c r="AB8" s="10"/>
      <c r="AC8" s="10"/>
      <c r="AD8" s="10"/>
      <c r="AE8" s="10"/>
      <c r="AF8" s="10"/>
      <c r="AG8" s="10"/>
      <c r="AI8" s="4"/>
      <c r="AJ8" s="4">
        <v>100000</v>
      </c>
      <c r="AK8" s="4">
        <v>100000</v>
      </c>
      <c r="AL8" s="4">
        <v>0</v>
      </c>
      <c r="AM8" s="4">
        <v>6250</v>
      </c>
      <c r="AN8" s="4">
        <v>0</v>
      </c>
    </row>
    <row r="9" spans="1:40" x14ac:dyDescent="0.3">
      <c r="A9" s="32">
        <f>A8+1</f>
        <v>1</v>
      </c>
      <c r="B9" s="29">
        <f t="shared" si="0"/>
        <v>0.5</v>
      </c>
      <c r="C9" s="21">
        <f t="shared" ref="C9:C30" si="3">S9</f>
        <v>60000</v>
      </c>
      <c r="D9" s="21">
        <f t="shared" ref="D9:D30" si="4">T9</f>
        <v>0</v>
      </c>
      <c r="E9" s="21" t="b">
        <f>Table1[[#This Row],[Time From Valuation]]&gt;=Activation_Time</f>
        <v>0</v>
      </c>
      <c r="F9" s="21">
        <f>U9</f>
        <v>165000</v>
      </c>
      <c r="G9" s="21" t="b">
        <f>Table1[[#This Row],[Time From Valuation]]=INT(Table1[[#This Row],[Time From Valuation]])</f>
        <v>0</v>
      </c>
      <c r="H9" s="7">
        <f>IF((Table1[[#This Row],[Is Anniversery]]), Table1[[#This Row],[Assumed Contract Value ]],0)</f>
        <v>0</v>
      </c>
      <c r="I9" s="7">
        <f ca="1">IF(NOT(Table1[[#This Row],[Is Activation]]),OFFSET(Table1[[#This Row],[Income Credit Base]],-1,0)+Table1[[#This Row],[Purchase Payments]]+Table1[[#This Row],[Income Credit]],0)</f>
        <v>160000</v>
      </c>
      <c r="J9" s="7">
        <f ca="1">IF(AND(Table1[[#This Row],[Is Activation]]=FALSE,Table1[[#This Row],[Is Anniversery]]=TRUE),OFFSET(Table1[[#This Row],[Income Credit Base]],-1,0)*ICP,0)</f>
        <v>0</v>
      </c>
      <c r="K9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160000</v>
      </c>
      <c r="L9" s="42">
        <f>IF(NOT(Table1[[#This Row],[Is Activation]]),(Table1[[#This Row],[Withdrawal Taken  ]]/Table1[[#This Row],[Assumed Contract Value ]]),0)</f>
        <v>0</v>
      </c>
      <c r="M9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9" s="5">
        <f ca="1">IF(NOT(Table1[[#This Row],[Has Lifetime Income Started]]),Table1[[#This Row],[Income Base]]*MAW,0)</f>
        <v>10000</v>
      </c>
      <c r="O9" s="9">
        <f>IF(AND(Table1[[#This Row],[Has Lifetime Income Started]],Table1[[#This Row],[Is Anniversery]]),Table1[[#This Row],[Income Base]]*PIP,0)</f>
        <v>0</v>
      </c>
      <c r="P9" s="33" t="b">
        <f t="shared" si="2"/>
        <v>0</v>
      </c>
      <c r="Q9" s="2"/>
      <c r="R9" s="22">
        <f>R8+0.5</f>
        <v>0.5</v>
      </c>
      <c r="S9" s="23">
        <v>60000</v>
      </c>
      <c r="T9" s="23">
        <v>0</v>
      </c>
      <c r="U9" s="23">
        <v>165000</v>
      </c>
      <c r="V9" s="12">
        <v>0</v>
      </c>
      <c r="W9" s="11">
        <v>160000</v>
      </c>
      <c r="X9" s="11">
        <v>160000</v>
      </c>
      <c r="Y9" s="11">
        <v>0</v>
      </c>
      <c r="Z9" s="11">
        <v>10000</v>
      </c>
      <c r="AA9" s="14">
        <v>0</v>
      </c>
      <c r="AB9" s="10"/>
      <c r="AC9" s="10"/>
      <c r="AD9" s="10"/>
      <c r="AE9" s="10"/>
      <c r="AF9" s="10"/>
      <c r="AG9" s="10"/>
      <c r="AI9" s="4"/>
      <c r="AJ9" s="4">
        <v>160000</v>
      </c>
      <c r="AK9" s="4">
        <v>160000</v>
      </c>
      <c r="AL9" s="4">
        <v>0</v>
      </c>
      <c r="AM9" s="4">
        <v>10000</v>
      </c>
      <c r="AN9" s="4">
        <v>0</v>
      </c>
    </row>
    <row r="10" spans="1:40" x14ac:dyDescent="0.3">
      <c r="A10" s="32">
        <f t="shared" ref="A10:A30" si="5">A9+1</f>
        <v>2</v>
      </c>
      <c r="B10" s="29">
        <f t="shared" si="0"/>
        <v>1</v>
      </c>
      <c r="C10" s="21">
        <f t="shared" si="3"/>
        <v>0</v>
      </c>
      <c r="D10" s="21">
        <f t="shared" si="4"/>
        <v>0</v>
      </c>
      <c r="E10" s="21" t="b">
        <f>Table1[[#This Row],[Time From Valuation]]&gt;=Activation_Time</f>
        <v>0</v>
      </c>
      <c r="F10" s="21">
        <f t="shared" si="1"/>
        <v>170000</v>
      </c>
      <c r="G10" s="21" t="b">
        <f>Table1[[#This Row],[Time From Valuation]]=INT(Table1[[#This Row],[Time From Valuation]])</f>
        <v>1</v>
      </c>
      <c r="H10" s="7">
        <f>IF((Table1[[#This Row],[Is Anniversery]]), Table1[[#This Row],[Assumed Contract Value ]],0)</f>
        <v>170000</v>
      </c>
      <c r="I10" s="7">
        <f ca="1">IF(NOT(Table1[[#This Row],[Is Activation]]),OFFSET(Table1[[#This Row],[Income Credit Base]],-1,0)+Table1[[#This Row],[Purchase Payments]]+Table1[[#This Row],[Income Credit]],0)</f>
        <v>168400</v>
      </c>
      <c r="J10" s="7">
        <f ca="1">IF(AND(Table1[[#This Row],[Is Activation]]=FALSE,Table1[[#This Row],[Is Anniversery]]=TRUE),OFFSET(Table1[[#This Row],[Income Credit Base]],-1,0)*ICP,0)</f>
        <v>8400</v>
      </c>
      <c r="K10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170000</v>
      </c>
      <c r="L10" s="42">
        <f>IF(NOT(Table1[[#This Row],[Is Activation]]),(Table1[[#This Row],[Withdrawal Taken  ]]/Table1[[#This Row],[Assumed Contract Value ]]),0)</f>
        <v>0</v>
      </c>
      <c r="M10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0" s="5">
        <f ca="1">IF(NOT(Table1[[#This Row],[Has Lifetime Income Started]]),Table1[[#This Row],[Income Base]]*MAW,0)</f>
        <v>10625</v>
      </c>
      <c r="O10" s="9">
        <f>IF(AND(Table1[[#This Row],[Has Lifetime Income Started]],Table1[[#This Row],[Is Anniversery]]),Table1[[#This Row],[Income Base]]*PIP,0)</f>
        <v>0</v>
      </c>
      <c r="P10" s="33" t="b">
        <f t="shared" si="2"/>
        <v>0</v>
      </c>
      <c r="Q10" s="2"/>
      <c r="R10" s="22">
        <f t="shared" ref="R10:R30" si="6">R9+0.5</f>
        <v>1</v>
      </c>
      <c r="S10" s="23">
        <v>0</v>
      </c>
      <c r="T10" s="23">
        <v>0</v>
      </c>
      <c r="U10" s="23">
        <v>170000</v>
      </c>
      <c r="V10" s="12">
        <v>170000</v>
      </c>
      <c r="W10" s="11">
        <v>170000</v>
      </c>
      <c r="X10" s="11">
        <v>170000</v>
      </c>
      <c r="Y10" s="11">
        <v>8400</v>
      </c>
      <c r="Z10" s="11">
        <v>10625</v>
      </c>
      <c r="AA10" s="14">
        <v>0</v>
      </c>
      <c r="AB10" s="10"/>
      <c r="AC10" s="10"/>
      <c r="AD10" s="10"/>
      <c r="AE10" s="10"/>
      <c r="AF10" s="10"/>
      <c r="AG10" s="10"/>
      <c r="AI10" s="4">
        <v>170000</v>
      </c>
      <c r="AJ10" s="4">
        <v>170000</v>
      </c>
      <c r="AK10" s="4">
        <v>170000</v>
      </c>
      <c r="AL10" s="4">
        <v>13912.5</v>
      </c>
      <c r="AM10" s="4">
        <v>10625</v>
      </c>
      <c r="AN10" s="4">
        <v>0</v>
      </c>
    </row>
    <row r="11" spans="1:40" x14ac:dyDescent="0.3">
      <c r="A11" s="32">
        <f t="shared" si="5"/>
        <v>3</v>
      </c>
      <c r="B11" s="29">
        <f t="shared" si="0"/>
        <v>1.5</v>
      </c>
      <c r="C11" s="21">
        <f t="shared" si="3"/>
        <v>90000</v>
      </c>
      <c r="D11" s="21">
        <f t="shared" si="4"/>
        <v>0</v>
      </c>
      <c r="E11" s="21" t="b">
        <f>Table1[[#This Row],[Time From Valuation]]&gt;=Activation_Time</f>
        <v>0</v>
      </c>
      <c r="F11" s="21">
        <f t="shared" si="1"/>
        <v>255000</v>
      </c>
      <c r="G11" s="21" t="b">
        <f>Table1[[#This Row],[Time From Valuation]]=INT(Table1[[#This Row],[Time From Valuation]])</f>
        <v>0</v>
      </c>
      <c r="H11" s="7">
        <f>IF((Table1[[#This Row],[Is Anniversery]]), Table1[[#This Row],[Assumed Contract Value ]],0)</f>
        <v>0</v>
      </c>
      <c r="I11" s="7">
        <f ca="1">IF(NOT(Table1[[#This Row],[Is Activation]]),OFFSET(Table1[[#This Row],[Income Credit Base]],-1,0)+Table1[[#This Row],[Purchase Payments]]+Table1[[#This Row],[Income Credit]],0)</f>
        <v>258400</v>
      </c>
      <c r="J11" s="7">
        <f ca="1">IF(AND(Table1[[#This Row],[Is Activation]]=FALSE,Table1[[#This Row],[Is Anniversery]]=TRUE),OFFSET(Table1[[#This Row],[Income Credit Base]],-1,0)*ICP,0)</f>
        <v>0</v>
      </c>
      <c r="K11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268400</v>
      </c>
      <c r="L11" s="42">
        <f>IF(NOT(Table1[[#This Row],[Is Activation]]),(Table1[[#This Row],[Withdrawal Taken  ]]/Table1[[#This Row],[Assumed Contract Value ]]),0)</f>
        <v>0</v>
      </c>
      <c r="M11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1" s="5">
        <f ca="1">IF(NOT(Table1[[#This Row],[Has Lifetime Income Started]]),Table1[[#This Row],[Income Base]]*MAW,0)</f>
        <v>16775</v>
      </c>
      <c r="O11" s="9">
        <f>IF(AND(Table1[[#This Row],[Has Lifetime Income Started]],Table1[[#This Row],[Is Anniversery]]),Table1[[#This Row],[Income Base]]*PIP,0)</f>
        <v>0</v>
      </c>
      <c r="P11" s="33" t="b">
        <f t="shared" si="2"/>
        <v>0</v>
      </c>
      <c r="Q11" s="2"/>
      <c r="R11" s="22">
        <f t="shared" si="6"/>
        <v>1.5</v>
      </c>
      <c r="S11" s="23">
        <v>90000</v>
      </c>
      <c r="T11" s="23">
        <v>0</v>
      </c>
      <c r="U11" s="23">
        <v>255000</v>
      </c>
      <c r="V11" s="12">
        <v>0</v>
      </c>
      <c r="W11" s="11">
        <v>260000</v>
      </c>
      <c r="X11" s="11">
        <v>260000</v>
      </c>
      <c r="Y11" s="11">
        <v>0</v>
      </c>
      <c r="Z11" s="11">
        <v>16250</v>
      </c>
      <c r="AA11" s="14">
        <v>0</v>
      </c>
      <c r="AB11" s="10"/>
      <c r="AC11" s="10"/>
      <c r="AD11" s="10"/>
      <c r="AE11" s="10"/>
      <c r="AF11" s="10"/>
      <c r="AG11" s="10"/>
      <c r="AI11" s="4"/>
      <c r="AJ11" s="4">
        <v>260000</v>
      </c>
      <c r="AK11" s="4">
        <v>260000</v>
      </c>
      <c r="AL11" s="4">
        <v>0</v>
      </c>
      <c r="AM11" s="4">
        <v>16250</v>
      </c>
      <c r="AN11" s="4">
        <v>0</v>
      </c>
    </row>
    <row r="12" spans="1:40" x14ac:dyDescent="0.3">
      <c r="A12" s="32">
        <f t="shared" si="5"/>
        <v>4</v>
      </c>
      <c r="B12" s="29">
        <f t="shared" si="0"/>
        <v>2</v>
      </c>
      <c r="C12" s="21">
        <f t="shared" si="3"/>
        <v>0</v>
      </c>
      <c r="D12" s="21">
        <f t="shared" si="4"/>
        <v>0</v>
      </c>
      <c r="E12" s="21" t="b">
        <f>Table1[[#This Row],[Time From Valuation]]&gt;=Activation_Time</f>
        <v>0</v>
      </c>
      <c r="F12" s="21">
        <f t="shared" si="1"/>
        <v>287000</v>
      </c>
      <c r="G12" s="21" t="b">
        <f>Table1[[#This Row],[Time From Valuation]]=INT(Table1[[#This Row],[Time From Valuation]])</f>
        <v>1</v>
      </c>
      <c r="H12" s="7">
        <f>IF((Table1[[#This Row],[Is Anniversery]]), Table1[[#This Row],[Assumed Contract Value ]],0)</f>
        <v>287000</v>
      </c>
      <c r="I12" s="7">
        <f ca="1">IF(NOT(Table1[[#This Row],[Is Activation]]),OFFSET(Table1[[#This Row],[Income Credit Base]],-1,0)+Table1[[#This Row],[Purchase Payments]]+Table1[[#This Row],[Income Credit]],0)</f>
        <v>271966</v>
      </c>
      <c r="J12" s="7">
        <f ca="1">IF(AND(Table1[[#This Row],[Is Activation]]=FALSE,Table1[[#This Row],[Is Anniversery]]=TRUE),OFFSET(Table1[[#This Row],[Income Credit Base]],-1,0)*ICP,0)</f>
        <v>13566</v>
      </c>
      <c r="K12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287000</v>
      </c>
      <c r="L12" s="42">
        <f>IF(NOT(Table1[[#This Row],[Is Activation]]),(Table1[[#This Row],[Withdrawal Taken  ]]/Table1[[#This Row],[Assumed Contract Value ]]),0)</f>
        <v>0</v>
      </c>
      <c r="M12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2" s="5">
        <f ca="1">IF(NOT(Table1[[#This Row],[Has Lifetime Income Started]]),Table1[[#This Row],[Income Base]]*MAW,0)</f>
        <v>17937.5</v>
      </c>
      <c r="O12" s="9">
        <f>IF(AND(Table1[[#This Row],[Has Lifetime Income Started]],Table1[[#This Row],[Is Anniversery]]),Table1[[#This Row],[Income Base]]*PIP,0)</f>
        <v>0</v>
      </c>
      <c r="P12" s="33" t="b">
        <f t="shared" si="2"/>
        <v>0</v>
      </c>
      <c r="Q12" s="2"/>
      <c r="R12" s="22">
        <f t="shared" si="6"/>
        <v>2</v>
      </c>
      <c r="S12" s="23">
        <v>0</v>
      </c>
      <c r="T12" s="23">
        <v>0</v>
      </c>
      <c r="U12" s="23">
        <v>287000</v>
      </c>
      <c r="V12" s="12">
        <v>287000</v>
      </c>
      <c r="W12" s="11">
        <v>287000</v>
      </c>
      <c r="X12" s="11">
        <v>287000</v>
      </c>
      <c r="Y12" s="11">
        <v>13650</v>
      </c>
      <c r="Z12" s="11">
        <v>17938</v>
      </c>
      <c r="AA12" s="14">
        <v>0</v>
      </c>
      <c r="AB12" s="10"/>
      <c r="AC12" s="10"/>
      <c r="AD12" s="10"/>
      <c r="AE12" s="10"/>
      <c r="AF12" s="10"/>
      <c r="AG12" s="10"/>
      <c r="AI12" s="4">
        <v>287000</v>
      </c>
      <c r="AJ12" s="4">
        <v>287000</v>
      </c>
      <c r="AK12" s="4">
        <v>287000</v>
      </c>
      <c r="AL12" s="4">
        <v>36225</v>
      </c>
      <c r="AM12" s="4">
        <v>17937.5</v>
      </c>
      <c r="AN12" s="4">
        <v>0</v>
      </c>
    </row>
    <row r="13" spans="1:40" x14ac:dyDescent="0.3">
      <c r="A13" s="32">
        <f t="shared" si="5"/>
        <v>5</v>
      </c>
      <c r="B13" s="29">
        <f t="shared" si="0"/>
        <v>2.5</v>
      </c>
      <c r="C13" s="21">
        <f t="shared" si="3"/>
        <v>0</v>
      </c>
      <c r="D13" s="21">
        <f t="shared" si="4"/>
        <v>0</v>
      </c>
      <c r="E13" s="21" t="b">
        <f>Table1[[#This Row],[Time From Valuation]]&gt;=Activation_Time</f>
        <v>0</v>
      </c>
      <c r="F13" s="21">
        <f t="shared" si="1"/>
        <v>287000</v>
      </c>
      <c r="G13" s="21" t="b">
        <f>Table1[[#This Row],[Time From Valuation]]=INT(Table1[[#This Row],[Time From Valuation]])</f>
        <v>0</v>
      </c>
      <c r="H13" s="7">
        <f>IF((Table1[[#This Row],[Is Anniversery]]), Table1[[#This Row],[Assumed Contract Value ]],0)</f>
        <v>0</v>
      </c>
      <c r="I13" s="7">
        <f ca="1">IF(NOT(Table1[[#This Row],[Is Activation]]),OFFSET(Table1[[#This Row],[Income Credit Base]],-1,0)+Table1[[#This Row],[Purchase Payments]]+Table1[[#This Row],[Income Credit]],0)</f>
        <v>271966</v>
      </c>
      <c r="J13" s="7">
        <f ca="1">IF(AND(Table1[[#This Row],[Is Activation]]=FALSE,Table1[[#This Row],[Is Anniversery]]=TRUE),OFFSET(Table1[[#This Row],[Income Credit Base]],-1,0)*ICP,0)</f>
        <v>0</v>
      </c>
      <c r="K13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300566</v>
      </c>
      <c r="L13" s="42">
        <f>IF(NOT(Table1[[#This Row],[Is Activation]]),(Table1[[#This Row],[Withdrawal Taken  ]]/Table1[[#This Row],[Assumed Contract Value ]]),0)</f>
        <v>0</v>
      </c>
      <c r="M13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3" s="5">
        <f ca="1">IF(NOT(Table1[[#This Row],[Has Lifetime Income Started]]),Table1[[#This Row],[Income Base]]*MAW,0)</f>
        <v>18785.375</v>
      </c>
      <c r="O13" s="9">
        <f>IF(AND(Table1[[#This Row],[Has Lifetime Income Started]],Table1[[#This Row],[Is Anniversery]]),Table1[[#This Row],[Income Base]]*PIP,0)</f>
        <v>0</v>
      </c>
      <c r="P13" s="33" t="b">
        <f t="shared" si="2"/>
        <v>0</v>
      </c>
      <c r="Q13" s="2"/>
      <c r="R13" s="22">
        <f t="shared" si="6"/>
        <v>2.5</v>
      </c>
      <c r="S13" s="23">
        <v>0</v>
      </c>
      <c r="T13" s="23">
        <v>0</v>
      </c>
      <c r="U13" s="23">
        <v>287000</v>
      </c>
      <c r="V13" s="13">
        <v>0</v>
      </c>
      <c r="W13" s="11">
        <v>287000</v>
      </c>
      <c r="X13" s="11">
        <v>287000</v>
      </c>
      <c r="Y13" s="11">
        <v>0</v>
      </c>
      <c r="Z13" s="11">
        <v>17938</v>
      </c>
      <c r="AA13" s="14">
        <v>0</v>
      </c>
      <c r="AB13" s="10"/>
      <c r="AC13" s="10"/>
      <c r="AD13" s="10"/>
      <c r="AE13" s="10"/>
      <c r="AF13" s="10"/>
      <c r="AG13" s="10"/>
      <c r="AI13" s="4">
        <f>AI12</f>
        <v>287000</v>
      </c>
      <c r="AJ13" s="4">
        <f t="shared" ref="AJ13:AM13" si="7">AJ12</f>
        <v>287000</v>
      </c>
      <c r="AK13" s="4">
        <f t="shared" si="7"/>
        <v>287000</v>
      </c>
      <c r="AL13" s="4">
        <f t="shared" si="7"/>
        <v>36225</v>
      </c>
      <c r="AM13" s="4">
        <f t="shared" si="7"/>
        <v>17937.5</v>
      </c>
      <c r="AN13" s="4">
        <v>0</v>
      </c>
    </row>
    <row r="14" spans="1:40" x14ac:dyDescent="0.3">
      <c r="A14" s="32">
        <f t="shared" si="5"/>
        <v>6</v>
      </c>
      <c r="B14" s="29">
        <f t="shared" si="0"/>
        <v>3</v>
      </c>
      <c r="C14" s="21">
        <f t="shared" si="3"/>
        <v>0</v>
      </c>
      <c r="D14" s="21">
        <f t="shared" si="4"/>
        <v>0</v>
      </c>
      <c r="E14" s="21" t="b">
        <f>Table1[[#This Row],[Time From Valuation]]&gt;=Activation_Time</f>
        <v>0</v>
      </c>
      <c r="F14" s="21">
        <f t="shared" si="1"/>
        <v>300000</v>
      </c>
      <c r="G14" s="21" t="b">
        <f>Table1[[#This Row],[Time From Valuation]]=INT(Table1[[#This Row],[Time From Valuation]])</f>
        <v>1</v>
      </c>
      <c r="H14" s="7">
        <f>IF((Table1[[#This Row],[Is Anniversery]]), Table1[[#This Row],[Assumed Contract Value ]],0)</f>
        <v>300000</v>
      </c>
      <c r="I14" s="7">
        <f ca="1">IF(NOT(Table1[[#This Row],[Is Activation]]),OFFSET(Table1[[#This Row],[Income Credit Base]],-1,0)+Table1[[#This Row],[Purchase Payments]]+Table1[[#This Row],[Income Credit]],0)</f>
        <v>286244.21500000003</v>
      </c>
      <c r="J14" s="7">
        <f ca="1">IF(AND(Table1[[#This Row],[Is Activation]]=FALSE,Table1[[#This Row],[Is Anniversery]]=TRUE),OFFSET(Table1[[#This Row],[Income Credit Base]],-1,0)*ICP,0)</f>
        <v>14278.215</v>
      </c>
      <c r="K14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300566</v>
      </c>
      <c r="L14" s="42">
        <f>IF(NOT(Table1[[#This Row],[Is Activation]]),(Table1[[#This Row],[Withdrawal Taken  ]]/Table1[[#This Row],[Assumed Contract Value ]]),0)</f>
        <v>0</v>
      </c>
      <c r="M14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4" s="5">
        <f ca="1">IF(NOT(Table1[[#This Row],[Has Lifetime Income Started]]),Table1[[#This Row],[Income Base]]*MAW,0)</f>
        <v>18785.375</v>
      </c>
      <c r="O14" s="9">
        <f>IF(AND(Table1[[#This Row],[Has Lifetime Income Started]],Table1[[#This Row],[Is Anniversery]]),Table1[[#This Row],[Income Base]]*PIP,0)</f>
        <v>0</v>
      </c>
      <c r="P14" s="33" t="b">
        <f t="shared" si="2"/>
        <v>0</v>
      </c>
      <c r="Q14" s="2"/>
      <c r="R14" s="22">
        <f t="shared" si="6"/>
        <v>3</v>
      </c>
      <c r="S14" s="23">
        <v>0</v>
      </c>
      <c r="T14" s="23">
        <v>0</v>
      </c>
      <c r="U14" s="23">
        <v>300000</v>
      </c>
      <c r="V14" s="12">
        <v>300000</v>
      </c>
      <c r="W14" s="11">
        <v>302068</v>
      </c>
      <c r="X14" s="11">
        <v>287000</v>
      </c>
      <c r="Y14" s="11">
        <v>15068</v>
      </c>
      <c r="Z14" s="11">
        <v>18879</v>
      </c>
      <c r="AA14" s="14">
        <v>0</v>
      </c>
      <c r="AB14" s="10"/>
      <c r="AC14" s="10"/>
      <c r="AD14" s="10"/>
      <c r="AE14" s="10"/>
      <c r="AF14" s="10"/>
      <c r="AG14" s="10"/>
      <c r="AI14" s="4">
        <v>300000</v>
      </c>
      <c r="AJ14" s="4">
        <v>302067.5</v>
      </c>
      <c r="AK14" s="4">
        <v>287000</v>
      </c>
      <c r="AL14" s="4">
        <v>15067.5</v>
      </c>
      <c r="AM14" s="4">
        <v>18879.21875</v>
      </c>
      <c r="AN14" s="4">
        <v>0</v>
      </c>
    </row>
    <row r="15" spans="1:40" x14ac:dyDescent="0.3">
      <c r="A15" s="32">
        <f t="shared" si="5"/>
        <v>7</v>
      </c>
      <c r="B15" s="29">
        <f t="shared" si="0"/>
        <v>3.5</v>
      </c>
      <c r="C15" s="21">
        <f t="shared" si="3"/>
        <v>0</v>
      </c>
      <c r="D15" s="21">
        <f t="shared" si="4"/>
        <v>5000</v>
      </c>
      <c r="E15" s="21" t="b">
        <f>Table1[[#This Row],[Time From Valuation]]&gt;=Activation_Time</f>
        <v>0</v>
      </c>
      <c r="F15" s="21">
        <f t="shared" si="1"/>
        <v>305000</v>
      </c>
      <c r="G15" s="21" t="b">
        <f>Table1[[#This Row],[Time From Valuation]]=INT(Table1[[#This Row],[Time From Valuation]])</f>
        <v>0</v>
      </c>
      <c r="H15" s="7">
        <f>IF((Table1[[#This Row],[Is Anniversery]]), Table1[[#This Row],[Assumed Contract Value ]],0)</f>
        <v>0</v>
      </c>
      <c r="I15" s="7">
        <f ca="1">IF(NOT(Table1[[#This Row],[Is Activation]]),OFFSET(Table1[[#This Row],[Income Credit Base]],-1,0)+Table1[[#This Row],[Purchase Payments]]+Table1[[#This Row],[Income Credit]],0)</f>
        <v>286244.21500000003</v>
      </c>
      <c r="J15" s="7">
        <f ca="1">IF(AND(Table1[[#This Row],[Is Activation]]=FALSE,Table1[[#This Row],[Is Anniversery]]=TRUE),OFFSET(Table1[[#This Row],[Income Credit Base]],-1,0)*ICP,0)</f>
        <v>0</v>
      </c>
      <c r="K15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309926.18221311481</v>
      </c>
      <c r="L15" s="42">
        <f>IF(NOT(Table1[[#This Row],[Is Activation]]),(Table1[[#This Row],[Withdrawal Taken  ]]/Table1[[#This Row],[Assumed Contract Value ]]),0)</f>
        <v>1.6393442622950821E-2</v>
      </c>
      <c r="M15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5" s="5">
        <f ca="1">IF(NOT(Table1[[#This Row],[Has Lifetime Income Started]]),Table1[[#This Row],[Income Base]]*MAW,0)</f>
        <v>19370.386388319675</v>
      </c>
      <c r="O15" s="9">
        <f>IF(AND(Table1[[#This Row],[Has Lifetime Income Started]],Table1[[#This Row],[Is Anniversery]]),Table1[[#This Row],[Income Base]]*PIP,0)</f>
        <v>0</v>
      </c>
      <c r="P15" s="33" t="b">
        <f t="shared" si="2"/>
        <v>0</v>
      </c>
      <c r="Q15" s="2"/>
      <c r="R15" s="22">
        <f t="shared" si="6"/>
        <v>3.5</v>
      </c>
      <c r="S15" s="23">
        <v>0</v>
      </c>
      <c r="T15" s="23">
        <v>5000</v>
      </c>
      <c r="U15" s="23">
        <v>305000</v>
      </c>
      <c r="V15" s="12">
        <v>0</v>
      </c>
      <c r="W15" s="11">
        <v>297116</v>
      </c>
      <c r="X15" s="11">
        <v>282295</v>
      </c>
      <c r="Y15" s="11">
        <v>0</v>
      </c>
      <c r="Z15" s="11">
        <v>18570</v>
      </c>
      <c r="AA15" s="14">
        <v>0</v>
      </c>
      <c r="AB15" s="10"/>
      <c r="AC15" s="10"/>
      <c r="AD15" s="10"/>
      <c r="AE15" s="10"/>
      <c r="AF15" s="10"/>
      <c r="AG15" s="10"/>
      <c r="AI15" s="4"/>
      <c r="AJ15" s="4">
        <v>297115.57377049181</v>
      </c>
      <c r="AK15" s="4">
        <v>282295.08196721313</v>
      </c>
      <c r="AL15" s="4">
        <v>0</v>
      </c>
      <c r="AM15" s="4">
        <v>18569.723360655738</v>
      </c>
      <c r="AN15" s="4">
        <v>0</v>
      </c>
    </row>
    <row r="16" spans="1:40" x14ac:dyDescent="0.3">
      <c r="A16" s="32">
        <f t="shared" si="5"/>
        <v>8</v>
      </c>
      <c r="B16" s="29">
        <f t="shared" si="0"/>
        <v>4</v>
      </c>
      <c r="C16" s="21">
        <f t="shared" si="3"/>
        <v>0</v>
      </c>
      <c r="D16" s="21">
        <f t="shared" si="4"/>
        <v>0</v>
      </c>
      <c r="E16" s="21" t="b">
        <f>Table1[[#This Row],[Time From Valuation]]&gt;=Activation_Time</f>
        <v>0</v>
      </c>
      <c r="F16" s="21">
        <f t="shared" si="1"/>
        <v>312000</v>
      </c>
      <c r="G16" s="21" t="b">
        <f>Table1[[#This Row],[Time From Valuation]]=INT(Table1[[#This Row],[Time From Valuation]])</f>
        <v>1</v>
      </c>
      <c r="H16" s="7">
        <f>IF((Table1[[#This Row],[Is Anniversery]]), Table1[[#This Row],[Assumed Contract Value ]],0)</f>
        <v>312000</v>
      </c>
      <c r="I16" s="7">
        <f ca="1">IF(NOT(Table1[[#This Row],[Is Activation]]),OFFSET(Table1[[#This Row],[Income Credit Base]],-1,0)+Table1[[#This Row],[Purchase Payments]]+Table1[[#This Row],[Income Credit]],0)</f>
        <v>301272.0362875</v>
      </c>
      <c r="J16" s="7">
        <f ca="1">IF(AND(Table1[[#This Row],[Is Activation]]=FALSE,Table1[[#This Row],[Is Anniversery]]=TRUE),OFFSET(Table1[[#This Row],[Income Credit Base]],-1,0)*ICP,0)</f>
        <v>15027.821287500001</v>
      </c>
      <c r="K16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312000</v>
      </c>
      <c r="L16" s="42">
        <f>IF(NOT(Table1[[#This Row],[Is Activation]]),(Table1[[#This Row],[Withdrawal Taken  ]]/Table1[[#This Row],[Assumed Contract Value ]]),0)</f>
        <v>0</v>
      </c>
      <c r="M16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6" s="5">
        <f ca="1">IF(NOT(Table1[[#This Row],[Has Lifetime Income Started]]),Table1[[#This Row],[Income Base]]*MAW,0)</f>
        <v>19500</v>
      </c>
      <c r="O16" s="9">
        <f>IF(AND(Table1[[#This Row],[Has Lifetime Income Started]],Table1[[#This Row],[Is Anniversery]]),Table1[[#This Row],[Income Base]]*PIP,0)</f>
        <v>0</v>
      </c>
      <c r="P16" s="33" t="b">
        <f t="shared" si="2"/>
        <v>0</v>
      </c>
      <c r="Q16" s="2"/>
      <c r="R16" s="22">
        <f t="shared" si="6"/>
        <v>4</v>
      </c>
      <c r="S16" s="23">
        <v>0</v>
      </c>
      <c r="T16" s="23">
        <v>0</v>
      </c>
      <c r="U16" s="23">
        <v>312000</v>
      </c>
      <c r="V16" s="12">
        <v>312000</v>
      </c>
      <c r="W16" s="11">
        <v>312000</v>
      </c>
      <c r="X16" s="11">
        <v>312000</v>
      </c>
      <c r="Y16" s="11">
        <v>14820</v>
      </c>
      <c r="Z16" s="11">
        <v>19500</v>
      </c>
      <c r="AA16" s="14">
        <v>0</v>
      </c>
      <c r="AB16" s="10"/>
      <c r="AC16" s="10"/>
      <c r="AD16" s="10"/>
      <c r="AE16" s="10"/>
      <c r="AF16" s="10"/>
      <c r="AG16" s="10"/>
      <c r="AI16" s="4">
        <v>312000</v>
      </c>
      <c r="AJ16" s="4">
        <v>312000</v>
      </c>
      <c r="AK16" s="4">
        <v>312000</v>
      </c>
      <c r="AL16" s="4">
        <v>14820.491803278688</v>
      </c>
      <c r="AM16" s="4">
        <v>19500</v>
      </c>
      <c r="AN16" s="4">
        <v>0</v>
      </c>
    </row>
    <row r="17" spans="1:40" x14ac:dyDescent="0.3">
      <c r="A17" s="32">
        <f t="shared" si="5"/>
        <v>9</v>
      </c>
      <c r="B17" s="29">
        <f t="shared" si="0"/>
        <v>4.5</v>
      </c>
      <c r="C17" s="21">
        <f t="shared" si="3"/>
        <v>0</v>
      </c>
      <c r="D17" s="21">
        <f t="shared" si="4"/>
        <v>19500</v>
      </c>
      <c r="E17" s="21" t="b">
        <f>Table1[[#This Row],[Time From Valuation]]&gt;=Activation_Time</f>
        <v>1</v>
      </c>
      <c r="F17" s="21">
        <f t="shared" si="1"/>
        <v>302000</v>
      </c>
      <c r="G17" s="21" t="b">
        <f>Table1[[#This Row],[Time From Valuation]]=INT(Table1[[#This Row],[Time From Valuation]])</f>
        <v>0</v>
      </c>
      <c r="H17" s="7">
        <f>IF((Table1[[#This Row],[Is Anniversery]]), Table1[[#This Row],[Assumed Contract Value ]],0)</f>
        <v>0</v>
      </c>
      <c r="I17" s="7">
        <f ca="1">IF(NOT(Table1[[#This Row],[Is Activation]]),OFFSET(Table1[[#This Row],[Income Credit Base]],-1,0)+Table1[[#This Row],[Purchase Payments]]+Table1[[#This Row],[Income Credit]],0)</f>
        <v>0</v>
      </c>
      <c r="J17" s="7">
        <f>IF(AND(Table1[[#This Row],[Is Activation]]=FALSE,Table1[[#This Row],[Is Anniversery]]=TRUE),Table1[[#This Row],[Income Credit Base]]*ICP,0)</f>
        <v>0</v>
      </c>
      <c r="K17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307527.82128749997</v>
      </c>
      <c r="L17" s="42">
        <f>IF(NOT(Table1[[#This Row],[Is Activation]]),(Table1[[#This Row],[Withdrawal Taken  ]]/Table1[[#This Row],[Assumed Contract Value ]]),0)</f>
        <v>0</v>
      </c>
      <c r="M17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8.9586913311298611E-4</v>
      </c>
      <c r="N17" s="5">
        <f ca="1">IF(NOT(Table1[[#This Row],[Has Lifetime Income Started]]),Table1[[#This Row],[Income Base]]*MAW,0)</f>
        <v>19220.488830468748</v>
      </c>
      <c r="O17" s="9">
        <f>IF(AND(Table1[[#This Row],[Has Lifetime Income Started]],Table1[[#This Row],[Is Anniversery]]),Table1[[#This Row],[Income Base]]*PIP,0)</f>
        <v>0</v>
      </c>
      <c r="P17" s="33" t="b">
        <f t="shared" si="2"/>
        <v>0</v>
      </c>
      <c r="Q17" s="2"/>
      <c r="R17" s="22">
        <f t="shared" si="6"/>
        <v>4.5</v>
      </c>
      <c r="S17" s="23">
        <v>0</v>
      </c>
      <c r="T17" s="23">
        <v>19500</v>
      </c>
      <c r="U17" s="23">
        <v>302000</v>
      </c>
      <c r="V17" s="13">
        <v>0</v>
      </c>
      <c r="W17" s="11">
        <v>312000</v>
      </c>
      <c r="X17" s="5">
        <v>0</v>
      </c>
      <c r="Y17" s="5">
        <v>0</v>
      </c>
      <c r="Z17" s="11">
        <v>19500</v>
      </c>
      <c r="AA17" s="14">
        <v>0</v>
      </c>
      <c r="AB17" s="10"/>
      <c r="AC17" s="10"/>
      <c r="AD17" s="10"/>
      <c r="AE17" s="10"/>
      <c r="AF17" s="10"/>
      <c r="AG17" s="10"/>
      <c r="AI17" s="4"/>
      <c r="AJ17" s="4">
        <v>312000</v>
      </c>
      <c r="AK17" s="4"/>
      <c r="AL17" s="4"/>
      <c r="AM17" s="4">
        <v>19500</v>
      </c>
      <c r="AN17" s="4">
        <v>0</v>
      </c>
    </row>
    <row r="18" spans="1:40" x14ac:dyDescent="0.3">
      <c r="A18" s="32">
        <f t="shared" si="5"/>
        <v>10</v>
      </c>
      <c r="B18" s="29">
        <f t="shared" si="0"/>
        <v>5</v>
      </c>
      <c r="C18" s="21">
        <f t="shared" si="3"/>
        <v>0</v>
      </c>
      <c r="D18" s="21">
        <f t="shared" si="4"/>
        <v>0</v>
      </c>
      <c r="E18" s="21" t="b">
        <f>Table1[[#This Row],[Time From Valuation]]&gt;=Activation_Time</f>
        <v>1</v>
      </c>
      <c r="F18" s="21">
        <f t="shared" si="1"/>
        <v>305000</v>
      </c>
      <c r="G18" s="21" t="b">
        <f>Table1[[#This Row],[Time From Valuation]]=INT(Table1[[#This Row],[Time From Valuation]])</f>
        <v>1</v>
      </c>
      <c r="H18" s="7">
        <f>IF((Table1[[#This Row],[Is Anniversery]]), Table1[[#This Row],[Assumed Contract Value ]],0)</f>
        <v>305000</v>
      </c>
      <c r="I18" s="7">
        <f ca="1">IF(NOT(Table1[[#This Row],[Is Activation]]),OFFSET(Table1[[#This Row],[Income Credit Base]],-1,0)+Table1[[#This Row],[Purchase Payments]]+Table1[[#This Row],[Income Credit]],0)</f>
        <v>0</v>
      </c>
      <c r="J18" s="7">
        <f>IF(AND(Table1[[#This Row],[Is Activation]]=FALSE,Table1[[#This Row],[Is Anniversery]]=TRUE),Table1[[#This Row],[Income Credit Base]]*ICP,0)</f>
        <v>0</v>
      </c>
      <c r="K18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307527.82128749997</v>
      </c>
      <c r="L18" s="42">
        <f>IF(NOT(Table1[[#This Row],[Is Activation]]),(Table1[[#This Row],[Withdrawal Taken  ]]/Table1[[#This Row],[Assumed Contract Value ]]),0)</f>
        <v>0</v>
      </c>
      <c r="M18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18" s="5">
        <f ca="1">IF(NOT(Table1[[#This Row],[Has Lifetime Income Started]]),Table1[[#This Row],[Income Base]]*MAW,0)</f>
        <v>19220.488830468748</v>
      </c>
      <c r="O18" s="9">
        <f>IF(AND(Table1[[#This Row],[Has Lifetime Income Started]],Table1[[#This Row],[Is Anniversery]]),Table1[[#This Row],[Income Base]]*PIP,0)</f>
        <v>0</v>
      </c>
      <c r="P18" s="33" t="b">
        <f t="shared" si="2"/>
        <v>0</v>
      </c>
      <c r="Q18" s="2"/>
      <c r="R18" s="22">
        <f t="shared" si="6"/>
        <v>5</v>
      </c>
      <c r="S18" s="23">
        <v>0</v>
      </c>
      <c r="T18" s="23">
        <v>0</v>
      </c>
      <c r="U18" s="23">
        <v>305000</v>
      </c>
      <c r="V18" s="12">
        <v>305000</v>
      </c>
      <c r="W18" s="11">
        <v>312000</v>
      </c>
      <c r="X18" s="5">
        <v>0</v>
      </c>
      <c r="Y18" s="5">
        <v>0</v>
      </c>
      <c r="Z18" s="11">
        <v>19500</v>
      </c>
      <c r="AA18" s="14">
        <v>0</v>
      </c>
      <c r="AB18" s="10"/>
      <c r="AC18" s="6"/>
      <c r="AD18" s="10"/>
      <c r="AE18" s="10"/>
      <c r="AF18" s="10"/>
      <c r="AG18" s="10"/>
      <c r="AI18" s="4">
        <v>305000</v>
      </c>
      <c r="AJ18" s="4">
        <v>312000</v>
      </c>
      <c r="AK18" s="4"/>
      <c r="AL18" s="4"/>
      <c r="AM18" s="4">
        <v>19500</v>
      </c>
      <c r="AN18" s="4">
        <v>0</v>
      </c>
    </row>
    <row r="19" spans="1:40" x14ac:dyDescent="0.3">
      <c r="A19" s="32">
        <f t="shared" si="5"/>
        <v>11</v>
      </c>
      <c r="B19" s="29">
        <f t="shared" si="0"/>
        <v>5.5</v>
      </c>
      <c r="C19" s="21">
        <f t="shared" si="3"/>
        <v>0</v>
      </c>
      <c r="D19" s="21">
        <f t="shared" si="4"/>
        <v>24960</v>
      </c>
      <c r="E19" s="21" t="b">
        <f>Table1[[#This Row],[Time From Valuation]]&gt;=Activation_Time</f>
        <v>1</v>
      </c>
      <c r="F19" s="21">
        <f t="shared" si="1"/>
        <v>280000</v>
      </c>
      <c r="G19" s="21" t="b">
        <f>Table1[[#This Row],[Time From Valuation]]=INT(Table1[[#This Row],[Time From Valuation]])</f>
        <v>0</v>
      </c>
      <c r="H19" s="7">
        <f>IF((Table1[[#This Row],[Is Anniversery]]), Table1[[#This Row],[Assumed Contract Value ]],0)</f>
        <v>0</v>
      </c>
      <c r="I19" s="7">
        <f ca="1">IF(NOT(Table1[[#This Row],[Is Activation]]),OFFSET(Table1[[#This Row],[Income Credit Base]],-1,0)+Table1[[#This Row],[Purchase Payments]]+Table1[[#This Row],[Income Credit]],0)</f>
        <v>0</v>
      </c>
      <c r="J19" s="7">
        <f>IF(AND(Table1[[#This Row],[Is Activation]]=FALSE,Table1[[#This Row],[Is Anniversery]]=TRUE),Table1[[#This Row],[Income Credit Base]]*ICP,0)</f>
        <v>0</v>
      </c>
      <c r="K19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282567.82128749997</v>
      </c>
      <c r="L19" s="42">
        <f>IF(NOT(Table1[[#This Row],[Is Activation]]),(Table1[[#This Row],[Withdrawal Taken  ]]/Table1[[#This Row],[Assumed Contract Value ]]),0)</f>
        <v>0</v>
      </c>
      <c r="M19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2.3932823506659841E-2</v>
      </c>
      <c r="N19" s="5">
        <f ca="1">IF(NOT(Table1[[#This Row],[Has Lifetime Income Started]]),Table1[[#This Row],[Income Base]]*MAW,0)</f>
        <v>17660.488830468748</v>
      </c>
      <c r="O19" s="9">
        <f>IF(AND(Table1[[#This Row],[Has Lifetime Income Started]],Table1[[#This Row],[Is Anniversery]]),Table1[[#This Row],[Income Base]]*PIP,0)</f>
        <v>0</v>
      </c>
      <c r="P19" s="33" t="b">
        <f t="shared" si="2"/>
        <v>0</v>
      </c>
      <c r="Q19" s="2"/>
      <c r="R19" s="22">
        <f t="shared" si="6"/>
        <v>5.5</v>
      </c>
      <c r="S19" s="23">
        <v>0</v>
      </c>
      <c r="T19" s="23">
        <v>24960</v>
      </c>
      <c r="U19" s="23">
        <v>280000</v>
      </c>
      <c r="V19" s="12">
        <v>0</v>
      </c>
      <c r="W19" s="11">
        <v>306033</v>
      </c>
      <c r="X19" s="5">
        <v>0</v>
      </c>
      <c r="Y19" s="5">
        <v>0</v>
      </c>
      <c r="Z19" s="11">
        <v>19127</v>
      </c>
      <c r="AA19" s="14">
        <v>0</v>
      </c>
      <c r="AC19" s="10"/>
      <c r="AD19" s="10"/>
      <c r="AE19" s="10"/>
      <c r="AF19" s="10"/>
      <c r="AG19" s="10"/>
      <c r="AI19" s="4" t="s">
        <v>2</v>
      </c>
      <c r="AJ19" s="4">
        <v>306033</v>
      </c>
      <c r="AK19" s="4"/>
      <c r="AL19" s="4"/>
      <c r="AM19" s="4">
        <v>19127</v>
      </c>
      <c r="AN19" s="4">
        <v>0</v>
      </c>
    </row>
    <row r="20" spans="1:40" x14ac:dyDescent="0.3">
      <c r="A20" s="32">
        <f t="shared" si="5"/>
        <v>12</v>
      </c>
      <c r="B20" s="29">
        <f t="shared" si="0"/>
        <v>6</v>
      </c>
      <c r="C20" s="21">
        <f t="shared" si="3"/>
        <v>0</v>
      </c>
      <c r="D20" s="21">
        <f t="shared" si="4"/>
        <v>0</v>
      </c>
      <c r="E20" s="21" t="b">
        <f>Table1[[#This Row],[Time From Valuation]]&gt;=Activation_Time</f>
        <v>1</v>
      </c>
      <c r="F20" s="21">
        <f t="shared" si="1"/>
        <v>290000</v>
      </c>
      <c r="G20" s="21" t="b">
        <f>Table1[[#This Row],[Time From Valuation]]=INT(Table1[[#This Row],[Time From Valuation]])</f>
        <v>1</v>
      </c>
      <c r="H20" s="7">
        <f>IF((Table1[[#This Row],[Is Anniversery]]), Table1[[#This Row],[Assumed Contract Value ]],0)</f>
        <v>290000</v>
      </c>
      <c r="I20" s="7">
        <f ca="1">IF(NOT(Table1[[#This Row],[Is Activation]]),OFFSET(Table1[[#This Row],[Income Credit Base]],-1,0)+Table1[[#This Row],[Purchase Payments]]+Table1[[#This Row],[Income Credit]],0)</f>
        <v>0</v>
      </c>
      <c r="J20" s="7">
        <f>IF(AND(Table1[[#This Row],[Is Activation]]=FALSE,Table1[[#This Row],[Is Anniversery]]=TRUE),Table1[[#This Row],[Income Credit Base]]*ICP,0)</f>
        <v>0</v>
      </c>
      <c r="K20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290000</v>
      </c>
      <c r="L20" s="42">
        <f>IF(NOT(Table1[[#This Row],[Is Activation]]),(Table1[[#This Row],[Withdrawal Taken  ]]/Table1[[#This Row],[Assumed Contract Value ]]),0)</f>
        <v>0</v>
      </c>
      <c r="M20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0" s="5">
        <f ca="1">IF(NOT(Table1[[#This Row],[Has Lifetime Income Started]]),Table1[[#This Row],[Income Base]]*MAW,0)</f>
        <v>18125</v>
      </c>
      <c r="O20" s="9">
        <f>IF(AND(Table1[[#This Row],[Has Lifetime Income Started]],Table1[[#This Row],[Is Anniversery]]),Table1[[#This Row],[Income Base]]*PIP,0)</f>
        <v>0</v>
      </c>
      <c r="P20" s="33" t="b">
        <f t="shared" si="2"/>
        <v>0</v>
      </c>
      <c r="Q20" s="2"/>
      <c r="R20" s="22">
        <f t="shared" si="6"/>
        <v>6</v>
      </c>
      <c r="S20" s="23">
        <v>0</v>
      </c>
      <c r="T20" s="23">
        <v>0</v>
      </c>
      <c r="U20" s="23">
        <v>290000</v>
      </c>
      <c r="V20" s="12">
        <v>290000</v>
      </c>
      <c r="W20" s="11">
        <v>306033</v>
      </c>
      <c r="X20" s="5">
        <v>0</v>
      </c>
      <c r="Y20" s="5">
        <v>0</v>
      </c>
      <c r="Z20" s="11">
        <v>19127</v>
      </c>
      <c r="AA20" s="14">
        <v>0</v>
      </c>
      <c r="AB20" s="10"/>
      <c r="AC20" s="10"/>
      <c r="AD20" s="10"/>
      <c r="AE20" s="10"/>
      <c r="AF20" s="10"/>
      <c r="AG20" s="10"/>
      <c r="AI20" s="4">
        <v>290000</v>
      </c>
      <c r="AJ20" s="4">
        <v>306033</v>
      </c>
      <c r="AK20" s="4"/>
      <c r="AL20" s="4"/>
      <c r="AM20" s="4">
        <v>19127</v>
      </c>
      <c r="AN20" s="4">
        <v>0</v>
      </c>
    </row>
    <row r="21" spans="1:40" x14ac:dyDescent="0.3">
      <c r="A21" s="32">
        <f t="shared" si="5"/>
        <v>13</v>
      </c>
      <c r="B21" s="29">
        <f t="shared" si="0"/>
        <v>6.5</v>
      </c>
      <c r="C21" s="21">
        <f t="shared" si="3"/>
        <v>0</v>
      </c>
      <c r="D21" s="21">
        <f t="shared" si="4"/>
        <v>24483</v>
      </c>
      <c r="E21" s="21" t="b">
        <f>Table1[[#This Row],[Time From Valuation]]&gt;=Activation_Time</f>
        <v>1</v>
      </c>
      <c r="F21" s="21">
        <f t="shared" si="1"/>
        <v>260000</v>
      </c>
      <c r="G21" s="21" t="b">
        <f>Table1[[#This Row],[Time From Valuation]]=INT(Table1[[#This Row],[Time From Valuation]])</f>
        <v>0</v>
      </c>
      <c r="H21" s="7">
        <f>IF((Table1[[#This Row],[Is Anniversery]]), Table1[[#This Row],[Assumed Contract Value ]],0)</f>
        <v>0</v>
      </c>
      <c r="I21" s="7">
        <f ca="1">IF(NOT(Table1[[#This Row],[Is Activation]]),OFFSET(Table1[[#This Row],[Income Credit Base]],-1,0)+Table1[[#This Row],[Purchase Payments]]+Table1[[#This Row],[Income Credit]],0)</f>
        <v>0</v>
      </c>
      <c r="J21" s="7">
        <f>IF(AND(Table1[[#This Row],[Is Activation]]=FALSE,Table1[[#This Row],[Is Anniversery]]=TRUE),Table1[[#This Row],[Income Credit Base]]*ICP,0)</f>
        <v>0</v>
      </c>
      <c r="K21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1" s="42">
        <f>IF(NOT(Table1[[#This Row],[Is Activation]]),(Table1[[#This Row],[Withdrawal Taken  ]]/Table1[[#This Row],[Assumed Contract Value ]]),0)</f>
        <v>0</v>
      </c>
      <c r="M21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2.7200646551724137E-2</v>
      </c>
      <c r="N21" s="5">
        <f ca="1">IF(NOT(Table1[[#This Row],[Has Lifetime Income Started]]),Table1[[#This Row],[Income Base]]*MAW,0)</f>
        <v>16594.8125</v>
      </c>
      <c r="O21" s="9">
        <f>IF(AND(Table1[[#This Row],[Has Lifetime Income Started]],Table1[[#This Row],[Is Anniversery]]),Table1[[#This Row],[Income Base]]*PIP,0)</f>
        <v>0</v>
      </c>
      <c r="P21" s="33" t="b">
        <f t="shared" si="2"/>
        <v>0</v>
      </c>
      <c r="Q21" s="2"/>
      <c r="R21" s="22">
        <f t="shared" si="6"/>
        <v>6.5</v>
      </c>
      <c r="S21" s="23">
        <v>0</v>
      </c>
      <c r="T21" s="23">
        <v>24483</v>
      </c>
      <c r="U21" s="23">
        <v>260000</v>
      </c>
      <c r="V21" s="12">
        <v>0</v>
      </c>
      <c r="W21" s="11">
        <v>299982</v>
      </c>
      <c r="X21" s="5">
        <v>0</v>
      </c>
      <c r="Y21" s="5">
        <v>0</v>
      </c>
      <c r="Z21" s="11">
        <v>18749</v>
      </c>
      <c r="AA21" s="14">
        <v>0</v>
      </c>
      <c r="AB21" s="10"/>
      <c r="AC21" s="10"/>
      <c r="AD21" s="10"/>
      <c r="AE21" s="10"/>
      <c r="AF21" s="10"/>
      <c r="AG21" s="10"/>
      <c r="AI21" s="4" t="s">
        <v>2</v>
      </c>
      <c r="AJ21" s="4">
        <v>299982</v>
      </c>
      <c r="AK21" s="4"/>
      <c r="AL21" s="4"/>
      <c r="AM21" s="4">
        <v>18749</v>
      </c>
      <c r="AN21" s="4">
        <v>0</v>
      </c>
    </row>
    <row r="22" spans="1:40" x14ac:dyDescent="0.3">
      <c r="A22" s="32">
        <f t="shared" si="5"/>
        <v>14</v>
      </c>
      <c r="B22" s="29">
        <f t="shared" si="0"/>
        <v>7</v>
      </c>
      <c r="C22" s="21">
        <f t="shared" si="3"/>
        <v>0</v>
      </c>
      <c r="D22" s="21">
        <f t="shared" si="4"/>
        <v>0</v>
      </c>
      <c r="E22" s="21" t="b">
        <f>Table1[[#This Row],[Time From Valuation]]&gt;=Activation_Time</f>
        <v>1</v>
      </c>
      <c r="F22" s="21">
        <f t="shared" si="1"/>
        <v>230000</v>
      </c>
      <c r="G22" s="21" t="b">
        <f>Table1[[#This Row],[Time From Valuation]]=INT(Table1[[#This Row],[Time From Valuation]])</f>
        <v>1</v>
      </c>
      <c r="H22" s="7">
        <f>IF((Table1[[#This Row],[Is Anniversery]]), Table1[[#This Row],[Assumed Contract Value ]],0)</f>
        <v>230000</v>
      </c>
      <c r="I22" s="7">
        <f ca="1">IF(NOT(Table1[[#This Row],[Is Activation]]),OFFSET(Table1[[#This Row],[Income Credit Base]],-1,0)+Table1[[#This Row],[Purchase Payments]]+Table1[[#This Row],[Income Credit]],0)</f>
        <v>0</v>
      </c>
      <c r="J22" s="7">
        <f>IF(AND(Table1[[#This Row],[Is Activation]]=FALSE,Table1[[#This Row],[Is Anniversery]]=TRUE),Table1[[#This Row],[Income Credit Base]]*ICP,0)</f>
        <v>0</v>
      </c>
      <c r="K22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2" s="42">
        <f>IF(NOT(Table1[[#This Row],[Is Activation]]),(Table1[[#This Row],[Withdrawal Taken  ]]/Table1[[#This Row],[Assumed Contract Value ]]),0)</f>
        <v>0</v>
      </c>
      <c r="M22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2" s="5">
        <f ca="1">IF(NOT(Table1[[#This Row],[Has Lifetime Income Started]]),Table1[[#This Row],[Income Base]]*MAW,0)</f>
        <v>16594.8125</v>
      </c>
      <c r="O22" s="9">
        <f>IF(AND(Table1[[#This Row],[Has Lifetime Income Started]],Table1[[#This Row],[Is Anniversery]]),Table1[[#This Row],[Income Base]]*PIP,0)</f>
        <v>0</v>
      </c>
      <c r="P22" s="33" t="b">
        <f t="shared" si="2"/>
        <v>0</v>
      </c>
      <c r="Q22" s="2"/>
      <c r="R22" s="22">
        <f t="shared" si="6"/>
        <v>7</v>
      </c>
      <c r="S22" s="23">
        <v>0</v>
      </c>
      <c r="T22" s="23">
        <v>0</v>
      </c>
      <c r="U22" s="23">
        <v>230000</v>
      </c>
      <c r="V22" s="12">
        <v>230000</v>
      </c>
      <c r="W22" s="11">
        <v>299982</v>
      </c>
      <c r="X22" s="5">
        <v>0</v>
      </c>
      <c r="Y22" s="5">
        <v>0</v>
      </c>
      <c r="Z22" s="11">
        <v>18749</v>
      </c>
      <c r="AA22" s="14">
        <v>0</v>
      </c>
      <c r="AB22" s="10"/>
      <c r="AC22" s="10"/>
      <c r="AD22" s="10"/>
      <c r="AE22" s="10"/>
      <c r="AF22" s="10"/>
      <c r="AG22" s="10"/>
      <c r="AI22" s="4">
        <v>230000</v>
      </c>
      <c r="AJ22" s="4">
        <v>299982</v>
      </c>
      <c r="AK22" s="4"/>
      <c r="AL22" s="4"/>
      <c r="AM22" s="4">
        <v>18749</v>
      </c>
      <c r="AN22" s="4">
        <v>0</v>
      </c>
    </row>
    <row r="23" spans="1:40" x14ac:dyDescent="0.3">
      <c r="A23" s="32">
        <f t="shared" si="5"/>
        <v>15</v>
      </c>
      <c r="B23" s="29">
        <f t="shared" si="0"/>
        <v>7.5</v>
      </c>
      <c r="C23" s="21">
        <f t="shared" si="3"/>
        <v>0</v>
      </c>
      <c r="D23" s="21">
        <f t="shared" si="4"/>
        <v>0</v>
      </c>
      <c r="E23" s="21" t="b">
        <f>Table1[[#This Row],[Time From Valuation]]&gt;=Activation_Time</f>
        <v>1</v>
      </c>
      <c r="F23" s="21">
        <f t="shared" si="1"/>
        <v>230000</v>
      </c>
      <c r="G23" s="21" t="b">
        <f>Table1[[#This Row],[Time From Valuation]]=INT(Table1[[#This Row],[Time From Valuation]])</f>
        <v>0</v>
      </c>
      <c r="H23" s="7">
        <f>IF((Table1[[#This Row],[Is Anniversery]]), Table1[[#This Row],[Assumed Contract Value ]],0)</f>
        <v>0</v>
      </c>
      <c r="I23" s="7">
        <f ca="1">IF(NOT(Table1[[#This Row],[Is Activation]]),OFFSET(Table1[[#This Row],[Income Credit Base]],-1,0)+Table1[[#This Row],[Purchase Payments]]+Table1[[#This Row],[Income Credit]],0)</f>
        <v>0</v>
      </c>
      <c r="J23" s="7">
        <f>IF(AND(Table1[[#This Row],[Is Activation]]=FALSE,Table1[[#This Row],[Is Anniversery]]=TRUE),Table1[[#This Row],[Income Credit Base]]*ICP,0)</f>
        <v>0</v>
      </c>
      <c r="K23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3" s="42">
        <f>IF(NOT(Table1[[#This Row],[Is Activation]]),(Table1[[#This Row],[Withdrawal Taken  ]]/Table1[[#This Row],[Assumed Contract Value ]]),0)</f>
        <v>0</v>
      </c>
      <c r="M23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3" s="5">
        <f ca="1">IF(NOT(Table1[[#This Row],[Has Lifetime Income Started]]),Table1[[#This Row],[Income Base]]*MAW,0)</f>
        <v>16594.8125</v>
      </c>
      <c r="O23" s="9">
        <f>IF(AND(Table1[[#This Row],[Has Lifetime Income Started]],Table1[[#This Row],[Is Anniversery]]),Table1[[#This Row],[Income Base]]*PIP,0)</f>
        <v>0</v>
      </c>
      <c r="P23" s="33" t="b">
        <f t="shared" si="2"/>
        <v>0</v>
      </c>
      <c r="Q23" s="2"/>
      <c r="R23" s="22">
        <f>R22+0.5</f>
        <v>7.5</v>
      </c>
      <c r="S23" s="23">
        <v>0</v>
      </c>
      <c r="T23" s="23">
        <v>0</v>
      </c>
      <c r="U23" s="23">
        <v>230000</v>
      </c>
      <c r="V23" s="13">
        <v>0</v>
      </c>
      <c r="W23" s="11">
        <v>299982</v>
      </c>
      <c r="X23" s="5">
        <v>0</v>
      </c>
      <c r="Y23" s="5">
        <v>0</v>
      </c>
      <c r="Z23" s="11">
        <v>18749</v>
      </c>
      <c r="AA23" s="14">
        <v>0</v>
      </c>
      <c r="AB23" s="10"/>
      <c r="AC23" s="10"/>
      <c r="AD23" s="10"/>
      <c r="AE23" s="10"/>
      <c r="AF23" s="10"/>
      <c r="AG23" s="10"/>
      <c r="AI23" s="4">
        <v>150000</v>
      </c>
      <c r="AJ23" s="4">
        <v>299982</v>
      </c>
      <c r="AK23" s="4"/>
      <c r="AL23" s="4"/>
      <c r="AM23" s="4">
        <v>18749</v>
      </c>
      <c r="AN23" s="4">
        <v>0</v>
      </c>
    </row>
    <row r="24" spans="1:40" x14ac:dyDescent="0.3">
      <c r="A24" s="32">
        <f t="shared" si="5"/>
        <v>16</v>
      </c>
      <c r="B24" s="29">
        <f t="shared" si="0"/>
        <v>8</v>
      </c>
      <c r="C24" s="21">
        <f t="shared" si="3"/>
        <v>0</v>
      </c>
      <c r="D24" s="21">
        <f t="shared" si="4"/>
        <v>0</v>
      </c>
      <c r="E24" s="21" t="b">
        <f>Table1[[#This Row],[Time From Valuation]]&gt;=Activation_Time</f>
        <v>1</v>
      </c>
      <c r="F24" s="21">
        <f t="shared" si="1"/>
        <v>150000</v>
      </c>
      <c r="G24" s="21" t="b">
        <f>Table1[[#This Row],[Time From Valuation]]=INT(Table1[[#This Row],[Time From Valuation]])</f>
        <v>1</v>
      </c>
      <c r="H24" s="7">
        <f>IF((Table1[[#This Row],[Is Anniversery]]), Table1[[#This Row],[Assumed Contract Value ]],0)</f>
        <v>150000</v>
      </c>
      <c r="I24" s="7">
        <f ca="1">IF(NOT(Table1[[#This Row],[Is Activation]]),OFFSET(Table1[[#This Row],[Income Credit Base]],-1,0)+Table1[[#This Row],[Purchase Payments]]+Table1[[#This Row],[Income Credit]],0)</f>
        <v>0</v>
      </c>
      <c r="J24" s="7">
        <f>IF(AND(Table1[[#This Row],[Is Activation]]=FALSE,Table1[[#This Row],[Is Anniversery]]=TRUE),Table1[[#This Row],[Income Credit Base]]*ICP,0)</f>
        <v>0</v>
      </c>
      <c r="K24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4" s="42">
        <f>IF(NOT(Table1[[#This Row],[Is Activation]]),(Table1[[#This Row],[Withdrawal Taken  ]]/Table1[[#This Row],[Assumed Contract Value ]]),0)</f>
        <v>0</v>
      </c>
      <c r="M24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4" s="5">
        <f ca="1">IF(NOT(Table1[[#This Row],[Has Lifetime Income Started]]),Table1[[#This Row],[Income Base]]*MAW,0)</f>
        <v>16594.8125</v>
      </c>
      <c r="O24" s="9">
        <f>IF(AND(Table1[[#This Row],[Has Lifetime Income Started]],Table1[[#This Row],[Is Anniversery]]),Table1[[#This Row],[Income Base]]*PIP,0)</f>
        <v>0</v>
      </c>
      <c r="P24" s="33" t="b">
        <f t="shared" si="2"/>
        <v>0</v>
      </c>
      <c r="Q24" s="2"/>
      <c r="R24" s="22">
        <f t="shared" si="6"/>
        <v>8</v>
      </c>
      <c r="S24" s="23">
        <v>0</v>
      </c>
      <c r="T24" s="23">
        <v>0</v>
      </c>
      <c r="U24" s="23">
        <v>150000</v>
      </c>
      <c r="V24" s="12">
        <v>150000</v>
      </c>
      <c r="W24" s="11">
        <v>299982</v>
      </c>
      <c r="X24" s="5">
        <v>0</v>
      </c>
      <c r="Y24" s="5">
        <v>0</v>
      </c>
      <c r="Z24" s="11">
        <v>18749</v>
      </c>
      <c r="AA24" s="14">
        <v>0</v>
      </c>
      <c r="AB24" s="10"/>
      <c r="AC24" s="10"/>
      <c r="AD24" s="10"/>
      <c r="AE24" s="10"/>
      <c r="AF24" s="10"/>
      <c r="AG24" s="10"/>
      <c r="AI24" s="4">
        <f>AI23</f>
        <v>150000</v>
      </c>
      <c r="AJ24" s="4">
        <f t="shared" ref="AJ24:AM24" si="8">AJ23</f>
        <v>299982</v>
      </c>
      <c r="AK24" s="4">
        <f t="shared" si="8"/>
        <v>0</v>
      </c>
      <c r="AL24" s="4">
        <f t="shared" si="8"/>
        <v>0</v>
      </c>
      <c r="AM24" s="4">
        <f t="shared" si="8"/>
        <v>18749</v>
      </c>
      <c r="AN24" s="4">
        <v>0</v>
      </c>
    </row>
    <row r="25" spans="1:40" x14ac:dyDescent="0.3">
      <c r="A25" s="32">
        <f t="shared" si="5"/>
        <v>17</v>
      </c>
      <c r="B25" s="29">
        <f t="shared" si="0"/>
        <v>8.5</v>
      </c>
      <c r="C25" s="21">
        <f t="shared" si="3"/>
        <v>0</v>
      </c>
      <c r="D25" s="21">
        <f t="shared" si="4"/>
        <v>0</v>
      </c>
      <c r="E25" s="21" t="b">
        <f>Table1[[#This Row],[Time From Valuation]]&gt;=Activation_Time</f>
        <v>1</v>
      </c>
      <c r="F25" s="21">
        <f t="shared" si="1"/>
        <v>150000</v>
      </c>
      <c r="G25" s="21" t="b">
        <f>Table1[[#This Row],[Time From Valuation]]=INT(Table1[[#This Row],[Time From Valuation]])</f>
        <v>0</v>
      </c>
      <c r="H25" s="7">
        <f>IF((Table1[[#This Row],[Is Anniversery]]), Table1[[#This Row],[Assumed Contract Value ]],0)</f>
        <v>0</v>
      </c>
      <c r="I25" s="7">
        <f ca="1">IF(NOT(Table1[[#This Row],[Is Activation]]),OFFSET(Table1[[#This Row],[Income Credit Base]],-1,0)+Table1[[#This Row],[Purchase Payments]]+Table1[[#This Row],[Income Credit]],0)</f>
        <v>0</v>
      </c>
      <c r="J25" s="7">
        <f>IF(AND(Table1[[#This Row],[Is Activation]]=FALSE,Table1[[#This Row],[Is Anniversery]]=TRUE),Table1[[#This Row],[Income Credit Base]]*ICP,0)</f>
        <v>0</v>
      </c>
      <c r="K25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5" s="42">
        <f>IF(NOT(Table1[[#This Row],[Is Activation]]),(Table1[[#This Row],[Withdrawal Taken  ]]/Table1[[#This Row],[Assumed Contract Value ]]),0)</f>
        <v>0</v>
      </c>
      <c r="M25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5" s="5">
        <f ca="1">IF(NOT(Table1[[#This Row],[Has Lifetime Income Started]]),Table1[[#This Row],[Income Base]]*MAW,0)</f>
        <v>16594.8125</v>
      </c>
      <c r="O25" s="9">
        <f>IF(AND(Table1[[#This Row],[Has Lifetime Income Started]],Table1[[#This Row],[Is Anniversery]]),Table1[[#This Row],[Income Base]]*PIP,0)</f>
        <v>0</v>
      </c>
      <c r="P25" s="33" t="b">
        <f t="shared" si="2"/>
        <v>0</v>
      </c>
      <c r="Q25" s="2"/>
      <c r="R25" s="22">
        <f t="shared" si="6"/>
        <v>8.5</v>
      </c>
      <c r="S25" s="23">
        <v>0</v>
      </c>
      <c r="T25" s="23">
        <v>0</v>
      </c>
      <c r="U25" s="23">
        <v>150000</v>
      </c>
      <c r="V25" s="13">
        <v>0</v>
      </c>
      <c r="W25" s="11">
        <v>299982</v>
      </c>
      <c r="X25" s="5">
        <v>0</v>
      </c>
      <c r="Y25" s="5">
        <v>0</v>
      </c>
      <c r="Z25" s="11">
        <v>18749</v>
      </c>
      <c r="AA25" s="14">
        <v>0</v>
      </c>
      <c r="AB25" s="10"/>
      <c r="AC25" s="10"/>
      <c r="AD25" s="10"/>
      <c r="AE25" s="10"/>
      <c r="AF25" s="10"/>
      <c r="AG25" s="10"/>
      <c r="AI25" s="4">
        <v>100000</v>
      </c>
      <c r="AJ25" s="4">
        <v>299982</v>
      </c>
      <c r="AK25" s="4"/>
      <c r="AL25" s="4"/>
      <c r="AM25" s="4">
        <v>18749</v>
      </c>
      <c r="AN25" s="4">
        <v>0</v>
      </c>
    </row>
    <row r="26" spans="1:40" x14ac:dyDescent="0.3">
      <c r="A26" s="32">
        <f t="shared" si="5"/>
        <v>18</v>
      </c>
      <c r="B26" s="29">
        <f t="shared" si="0"/>
        <v>9</v>
      </c>
      <c r="C26" s="21">
        <f t="shared" si="3"/>
        <v>0</v>
      </c>
      <c r="D26" s="21">
        <f t="shared" si="4"/>
        <v>0</v>
      </c>
      <c r="E26" s="21" t="b">
        <f>Table1[[#This Row],[Time From Valuation]]&gt;=Activation_Time</f>
        <v>1</v>
      </c>
      <c r="F26" s="21">
        <f t="shared" si="1"/>
        <v>100000</v>
      </c>
      <c r="G26" s="21" t="b">
        <f>Table1[[#This Row],[Time From Valuation]]=INT(Table1[[#This Row],[Time From Valuation]])</f>
        <v>1</v>
      </c>
      <c r="H26" s="7">
        <f>IF((Table1[[#This Row],[Is Anniversery]]), Table1[[#This Row],[Assumed Contract Value ]],0)</f>
        <v>100000</v>
      </c>
      <c r="I26" s="7">
        <f ca="1">IF(NOT(Table1[[#This Row],[Is Activation]]),OFFSET(Table1[[#This Row],[Income Credit Base]],-1,0)+Table1[[#This Row],[Purchase Payments]]+Table1[[#This Row],[Income Credit]],0)</f>
        <v>0</v>
      </c>
      <c r="J26" s="7">
        <f>IF(AND(Table1[[#This Row],[Is Activation]]=FALSE,Table1[[#This Row],[Is Anniversery]]=TRUE),Table1[[#This Row],[Income Credit Base]]*ICP,0)</f>
        <v>0</v>
      </c>
      <c r="K26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6" s="42">
        <f>IF(NOT(Table1[[#This Row],[Is Activation]]),(Table1[[#This Row],[Withdrawal Taken  ]]/Table1[[#This Row],[Assumed Contract Value ]]),0)</f>
        <v>0</v>
      </c>
      <c r="M26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6" s="5">
        <f ca="1">IF(NOT(Table1[[#This Row],[Has Lifetime Income Started]]),Table1[[#This Row],[Income Base]]*MAW,0)</f>
        <v>16594.8125</v>
      </c>
      <c r="O26" s="9">
        <f>IF(AND(Table1[[#This Row],[Has Lifetime Income Started]],Table1[[#This Row],[Is Anniversery]]),Table1[[#This Row],[Income Base]]*PIP,0)</f>
        <v>0</v>
      </c>
      <c r="P26" s="33" t="b">
        <f t="shared" si="2"/>
        <v>0</v>
      </c>
      <c r="Q26" s="2"/>
      <c r="R26" s="22">
        <f t="shared" si="6"/>
        <v>9</v>
      </c>
      <c r="S26" s="23">
        <v>0</v>
      </c>
      <c r="T26" s="23">
        <v>0</v>
      </c>
      <c r="U26" s="23">
        <v>100000</v>
      </c>
      <c r="V26" s="12">
        <v>100000</v>
      </c>
      <c r="W26" s="11">
        <v>299982</v>
      </c>
      <c r="X26" s="5">
        <v>0</v>
      </c>
      <c r="Y26" s="5">
        <v>0</v>
      </c>
      <c r="Z26" s="11">
        <v>18749</v>
      </c>
      <c r="AA26" s="14">
        <v>0</v>
      </c>
      <c r="AB26" s="10"/>
      <c r="AC26" s="10"/>
      <c r="AD26" s="10"/>
      <c r="AE26" s="10"/>
      <c r="AF26" s="10"/>
      <c r="AG26" s="10"/>
      <c r="AI26" s="4">
        <f>AI25</f>
        <v>100000</v>
      </c>
      <c r="AJ26" s="4">
        <f t="shared" ref="AJ26" si="9">AJ25</f>
        <v>299982</v>
      </c>
      <c r="AK26" s="4">
        <f t="shared" ref="AK26" si="10">AK25</f>
        <v>0</v>
      </c>
      <c r="AL26" s="4">
        <f t="shared" ref="AL26" si="11">AL25</f>
        <v>0</v>
      </c>
      <c r="AM26" s="4">
        <f t="shared" ref="AM26" si="12">AM25</f>
        <v>18749</v>
      </c>
      <c r="AN26" s="4">
        <v>0</v>
      </c>
    </row>
    <row r="27" spans="1:40" x14ac:dyDescent="0.3">
      <c r="A27" s="32">
        <f t="shared" si="5"/>
        <v>19</v>
      </c>
      <c r="B27" s="29">
        <f t="shared" si="0"/>
        <v>9.5</v>
      </c>
      <c r="C27" s="21">
        <f t="shared" si="3"/>
        <v>0</v>
      </c>
      <c r="D27" s="21">
        <f t="shared" si="4"/>
        <v>0</v>
      </c>
      <c r="E27" s="21" t="b">
        <f>Table1[[#This Row],[Time From Valuation]]&gt;=Activation_Time</f>
        <v>1</v>
      </c>
      <c r="F27" s="21">
        <f t="shared" si="1"/>
        <v>100000</v>
      </c>
      <c r="G27" s="21" t="b">
        <f>Table1[[#This Row],[Time From Valuation]]=INT(Table1[[#This Row],[Time From Valuation]])</f>
        <v>0</v>
      </c>
      <c r="H27" s="7">
        <f>IF((Table1[[#This Row],[Is Anniversery]]), Table1[[#This Row],[Assumed Contract Value ]],0)</f>
        <v>0</v>
      </c>
      <c r="I27" s="7">
        <f ca="1">IF(NOT(Table1[[#This Row],[Is Activation]]),OFFSET(Table1[[#This Row],[Income Credit Base]],-1,0)+Table1[[#This Row],[Purchase Payments]]+Table1[[#This Row],[Income Credit]],0)</f>
        <v>0</v>
      </c>
      <c r="J27" s="7">
        <f>IF(AND(Table1[[#This Row],[Is Activation]]=FALSE,Table1[[#This Row],[Is Anniversery]]=TRUE),Table1[[#This Row],[Income Credit Base]]*ICP,0)</f>
        <v>0</v>
      </c>
      <c r="K27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7" s="42">
        <f>IF(NOT(Table1[[#This Row],[Is Activation]]),(Table1[[#This Row],[Withdrawal Taken  ]]/Table1[[#This Row],[Assumed Contract Value ]]),0)</f>
        <v>0</v>
      </c>
      <c r="M27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7" s="5">
        <f ca="1">IF(NOT(Table1[[#This Row],[Has Lifetime Income Started]]),Table1[[#This Row],[Income Base]]*MAW,0)</f>
        <v>16594.8125</v>
      </c>
      <c r="O27" s="9">
        <f>IF(AND(Table1[[#This Row],[Has Lifetime Income Started]],Table1[[#This Row],[Is Anniversery]]),Table1[[#This Row],[Income Base]]*PIP,0)</f>
        <v>0</v>
      </c>
      <c r="P27" s="33" t="b">
        <f t="shared" si="2"/>
        <v>0</v>
      </c>
      <c r="Q27" s="2"/>
      <c r="R27" s="22">
        <f t="shared" si="6"/>
        <v>9.5</v>
      </c>
      <c r="S27" s="23">
        <v>0</v>
      </c>
      <c r="T27" s="23">
        <v>0</v>
      </c>
      <c r="U27" s="23">
        <v>100000</v>
      </c>
      <c r="V27" s="13">
        <v>0</v>
      </c>
      <c r="W27" s="11">
        <v>299982</v>
      </c>
      <c r="X27" s="5">
        <v>0</v>
      </c>
      <c r="Y27" s="5">
        <v>0</v>
      </c>
      <c r="Z27" s="11">
        <v>18749</v>
      </c>
      <c r="AA27" s="14">
        <v>0</v>
      </c>
      <c r="AB27" s="10"/>
      <c r="AC27" s="10"/>
      <c r="AD27" s="10"/>
      <c r="AE27" s="10"/>
      <c r="AF27" s="10"/>
      <c r="AG27" s="10"/>
      <c r="AI27" s="4">
        <v>50000</v>
      </c>
      <c r="AJ27" s="4">
        <v>299982</v>
      </c>
      <c r="AK27" s="4"/>
      <c r="AL27" s="4"/>
      <c r="AM27" s="4">
        <v>18749</v>
      </c>
      <c r="AN27" s="4">
        <v>0</v>
      </c>
    </row>
    <row r="28" spans="1:40" x14ac:dyDescent="0.3">
      <c r="A28" s="32">
        <f t="shared" si="5"/>
        <v>20</v>
      </c>
      <c r="B28" s="29">
        <f t="shared" si="0"/>
        <v>10</v>
      </c>
      <c r="C28" s="21">
        <f t="shared" si="3"/>
        <v>0</v>
      </c>
      <c r="D28" s="21">
        <f t="shared" si="4"/>
        <v>0</v>
      </c>
      <c r="E28" s="21" t="b">
        <f>Table1[[#This Row],[Time From Valuation]]&gt;=Activation_Time</f>
        <v>1</v>
      </c>
      <c r="F28" s="21">
        <f t="shared" si="1"/>
        <v>50000</v>
      </c>
      <c r="G28" s="21" t="b">
        <f>Table1[[#This Row],[Time From Valuation]]=INT(Table1[[#This Row],[Time From Valuation]])</f>
        <v>1</v>
      </c>
      <c r="H28" s="7">
        <f>IF((Table1[[#This Row],[Is Anniversery]]), Table1[[#This Row],[Assumed Contract Value ]],0)</f>
        <v>50000</v>
      </c>
      <c r="I28" s="7">
        <f ca="1">IF(NOT(Table1[[#This Row],[Is Activation]]),OFFSET(Table1[[#This Row],[Income Credit Base]],-1,0)+Table1[[#This Row],[Purchase Payments]]+Table1[[#This Row],[Income Credit]],0)</f>
        <v>0</v>
      </c>
      <c r="J28" s="7">
        <f>IF(AND(Table1[[#This Row],[Is Activation]]=FALSE,Table1[[#This Row],[Is Anniversery]]=TRUE),Table1[[#This Row],[Income Credit Base]]*ICP,0)</f>
        <v>0</v>
      </c>
      <c r="K28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8" s="42">
        <f>IF(NOT(Table1[[#This Row],[Is Activation]]),(Table1[[#This Row],[Withdrawal Taken  ]]/Table1[[#This Row],[Assumed Contract Value ]]),0)</f>
        <v>0</v>
      </c>
      <c r="M28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8" s="5">
        <f ca="1">IF(NOT(Table1[[#This Row],[Has Lifetime Income Started]]),Table1[[#This Row],[Income Base]]*MAW,0)</f>
        <v>16594.8125</v>
      </c>
      <c r="O28" s="9">
        <f>IF(AND(Table1[[#This Row],[Has Lifetime Income Started]],Table1[[#This Row],[Is Anniversery]]),Table1[[#This Row],[Income Base]]*PIP,0)</f>
        <v>0</v>
      </c>
      <c r="P28" s="33" t="b">
        <f t="shared" si="2"/>
        <v>0</v>
      </c>
      <c r="Q28" s="2"/>
      <c r="R28" s="22">
        <f t="shared" si="6"/>
        <v>10</v>
      </c>
      <c r="S28" s="23">
        <v>0</v>
      </c>
      <c r="T28" s="23">
        <v>0</v>
      </c>
      <c r="U28" s="23">
        <v>50000</v>
      </c>
      <c r="V28" s="12">
        <v>50000</v>
      </c>
      <c r="W28" s="11">
        <v>299982</v>
      </c>
      <c r="X28" s="5">
        <v>0</v>
      </c>
      <c r="Y28" s="5">
        <v>0</v>
      </c>
      <c r="Z28" s="11">
        <v>18749</v>
      </c>
      <c r="AA28" s="14">
        <v>0</v>
      </c>
      <c r="AB28" s="10"/>
      <c r="AC28" s="10"/>
      <c r="AD28" s="10"/>
      <c r="AE28" s="10"/>
      <c r="AF28" s="10"/>
      <c r="AG28" s="10"/>
      <c r="AI28" s="4">
        <f>AI27</f>
        <v>50000</v>
      </c>
      <c r="AJ28" s="4">
        <f t="shared" ref="AJ28" si="13">AJ27</f>
        <v>299982</v>
      </c>
      <c r="AK28" s="4">
        <f t="shared" ref="AK28" si="14">AK27</f>
        <v>0</v>
      </c>
      <c r="AL28" s="4">
        <f t="shared" ref="AL28" si="15">AL27</f>
        <v>0</v>
      </c>
      <c r="AM28" s="4">
        <f t="shared" ref="AM28" si="16">AM27</f>
        <v>18749</v>
      </c>
      <c r="AN28" s="4">
        <v>0</v>
      </c>
    </row>
    <row r="29" spans="1:40" x14ac:dyDescent="0.3">
      <c r="A29" s="32">
        <f t="shared" si="5"/>
        <v>21</v>
      </c>
      <c r="B29" s="29">
        <f t="shared" si="0"/>
        <v>10.5</v>
      </c>
      <c r="C29" s="21">
        <f t="shared" si="3"/>
        <v>0</v>
      </c>
      <c r="D29" s="21">
        <f t="shared" si="4"/>
        <v>0</v>
      </c>
      <c r="E29" s="21" t="b">
        <f>Table1[[#This Row],[Time From Valuation]]&gt;=Activation_Time</f>
        <v>1</v>
      </c>
      <c r="F29" s="21">
        <f>U29</f>
        <v>50000</v>
      </c>
      <c r="G29" s="21" t="b">
        <f>Table1[[#This Row],[Time From Valuation]]=INT(Table1[[#This Row],[Time From Valuation]])</f>
        <v>0</v>
      </c>
      <c r="H29" s="7">
        <f>IF((Table1[[#This Row],[Is Anniversery]]), Table1[[#This Row],[Assumed Contract Value ]],0)</f>
        <v>0</v>
      </c>
      <c r="I29" s="7">
        <f ca="1">IF(NOT(Table1[[#This Row],[Is Activation]]),OFFSET(Table1[[#This Row],[Income Credit Base]],-1,0)+Table1[[#This Row],[Purchase Payments]]+Table1[[#This Row],[Income Credit]],0)</f>
        <v>0</v>
      </c>
      <c r="J29" s="7">
        <f>IF(AND(Table1[[#This Row],[Is Activation]]=FALSE,Table1[[#This Row],[Is Anniversery]]=TRUE),Table1[[#This Row],[Income Credit Base]]*ICP,0)</f>
        <v>0</v>
      </c>
      <c r="K29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29" s="42">
        <f>IF(NOT(Table1[[#This Row],[Is Activation]]),(Table1[[#This Row],[Withdrawal Taken  ]]/Table1[[#This Row],[Assumed Contract Value ]]),0)</f>
        <v>0</v>
      </c>
      <c r="M29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29" s="5">
        <f ca="1">IF(NOT(Table1[[#This Row],[Has Lifetime Income Started]]),Table1[[#This Row],[Income Base]]*MAW,0)</f>
        <v>16594.8125</v>
      </c>
      <c r="O29" s="9">
        <f>IF(AND(Table1[[#This Row],[Has Lifetime Income Started]],Table1[[#This Row],[Is Anniversery]]),Table1[[#This Row],[Income Base]]*PIP,0)</f>
        <v>0</v>
      </c>
      <c r="P29" s="33" t="b">
        <f t="shared" si="2"/>
        <v>0</v>
      </c>
      <c r="Q29" s="2"/>
      <c r="R29" s="22">
        <f t="shared" si="6"/>
        <v>10.5</v>
      </c>
      <c r="S29" s="23">
        <v>0</v>
      </c>
      <c r="T29" s="23">
        <v>0</v>
      </c>
      <c r="U29" s="23">
        <v>50000</v>
      </c>
      <c r="V29" s="13">
        <v>0</v>
      </c>
      <c r="W29" s="11">
        <v>299982</v>
      </c>
      <c r="X29" s="5">
        <v>0</v>
      </c>
      <c r="Y29" s="5">
        <v>0</v>
      </c>
      <c r="Z29" s="11">
        <v>18749</v>
      </c>
      <c r="AA29" s="14">
        <v>0</v>
      </c>
      <c r="AB29" s="10"/>
      <c r="AC29" s="10"/>
      <c r="AD29" s="10"/>
      <c r="AE29" s="10"/>
      <c r="AF29" s="10"/>
      <c r="AG29" s="10"/>
      <c r="AI29" s="4">
        <v>0</v>
      </c>
      <c r="AJ29" s="4">
        <v>299982</v>
      </c>
      <c r="AK29" s="4"/>
      <c r="AL29" s="4"/>
      <c r="AM29" s="4">
        <v>18749</v>
      </c>
      <c r="AN29" s="4">
        <v>0</v>
      </c>
    </row>
    <row r="30" spans="1:40" ht="15" thickBot="1" x14ac:dyDescent="0.35">
      <c r="A30" s="34">
        <f t="shared" si="5"/>
        <v>22</v>
      </c>
      <c r="B30" s="35">
        <f t="shared" si="0"/>
        <v>11</v>
      </c>
      <c r="C30" s="36">
        <f t="shared" si="3"/>
        <v>0</v>
      </c>
      <c r="D30" s="36">
        <f t="shared" si="4"/>
        <v>0</v>
      </c>
      <c r="E30" s="36" t="b">
        <f>Table1[[#This Row],[Time From Valuation]]&gt;=Activation_Time</f>
        <v>1</v>
      </c>
      <c r="F30" s="36">
        <v>0</v>
      </c>
      <c r="G30" s="36" t="b">
        <f>Table1[[#This Row],[Time From Valuation]]=INT(Table1[[#This Row],[Time From Valuation]])</f>
        <v>1</v>
      </c>
      <c r="H30" s="7">
        <f>IF((Table1[[#This Row],[Is Anniversery]]), Table1[[#This Row],[Assumed Contract Value ]],0)</f>
        <v>0</v>
      </c>
      <c r="I30" s="7">
        <f ca="1">IF(NOT(Table1[[#This Row],[Is Activation]]),OFFSET(Table1[[#This Row],[Income Credit Base]],-1,0)+Table1[[#This Row],[Purchase Payments]]+Table1[[#This Row],[Income Credit]],0)</f>
        <v>0</v>
      </c>
      <c r="J30" s="7">
        <f>IF(AND(Table1[[#This Row],[Is Activation]]=FALSE,Table1[[#This Row],[Is Anniversery]]=TRUE),Table1[[#This Row],[Income Credit Base]]*ICP,0)</f>
        <v>0</v>
      </c>
      <c r="K30" s="7">
        <f ca="1">IF(AND(OFFSET(Table1[[#This Row],[Income Base]],-1,0)+Table1[[#This Row],[Purchase Payments]]+OFFSET(Table1[[#This Row],[Income Credit]],-1,0)&lt;Table1[[#This Row],[Assumed Contract Value ]],Table1[[#This Row],[Is Anniversery]]), Table1[[#This Row],[Assumed Contract Value ]], (OFFSET(Table1[[#This Row],[Income Base]],-1,0))+Table1[[#This Row],[Purchase Payments]]+OFFSET(Table1[[#This Row],[Income Credit]],-1,0))-(Table1[[#This Row],[Withdrawal Taken  ]]*(1-Table1[[#This Row],[Withdrawal Penalty Before Activation]]))</f>
        <v>265517</v>
      </c>
      <c r="L30" s="42">
        <f>IF(NOT(Table1[[#This Row],[Is Activation]]),(Table1[[#This Row],[Withdrawal Taken  ]]/Table1[[#This Row],[Assumed Contract Value ]]),0)</f>
        <v>0</v>
      </c>
      <c r="M30" s="43">
        <f ca="1">IF(AND(Table1[[#This Row],[Is Activation]],(Table1[[#This Row],[Withdrawal Taken  ]]&gt;Table1[[#This Row],[Maximum Annual Withdrawal Amount upon Activation]])),(Table1[[#This Row],[Withdrawal Taken  ]]-Table1[[#This Row],[Maximum Annual Withdrawal Amount upon Activation]])/OFFSET(Table1[[#This Row],[Assumed Contract Value ]],-1,0),  0)</f>
        <v>0</v>
      </c>
      <c r="N30" s="5">
        <f>IF(NOT(Table1[[#This Row],[Has Lifetime Income Started]]),Table1[[#This Row],[Income Base]]*MAW,0)</f>
        <v>0</v>
      </c>
      <c r="O30" s="9">
        <f ca="1">IF(AND(Table1[[#This Row],[Has Lifetime Income Started]],Table1[[#This Row],[Is Anniversery]]),Table1[[#This Row],[Income Base]]*PIP,0)</f>
        <v>10620.68</v>
      </c>
      <c r="P30" s="37" t="b">
        <f t="shared" si="2"/>
        <v>1</v>
      </c>
      <c r="Q30" s="2"/>
      <c r="R30" s="24">
        <f t="shared" si="6"/>
        <v>11</v>
      </c>
      <c r="S30" s="25">
        <v>0</v>
      </c>
      <c r="T30" s="25">
        <v>0</v>
      </c>
      <c r="U30" s="23">
        <v>0</v>
      </c>
      <c r="V30" s="17">
        <v>0</v>
      </c>
      <c r="W30" s="15">
        <v>299982</v>
      </c>
      <c r="X30" s="16">
        <v>0</v>
      </c>
      <c r="Y30" s="16">
        <v>0</v>
      </c>
      <c r="Z30" s="15">
        <v>0</v>
      </c>
      <c r="AA30" s="18">
        <v>11999</v>
      </c>
      <c r="AB30" s="10"/>
      <c r="AC30" s="10"/>
      <c r="AD30" s="10"/>
      <c r="AE30" s="10"/>
      <c r="AF30" s="10"/>
      <c r="AG30" s="10"/>
      <c r="AI30" s="4">
        <v>0</v>
      </c>
      <c r="AJ30" s="4">
        <v>299982</v>
      </c>
      <c r="AK30" s="4"/>
      <c r="AL30" s="4"/>
      <c r="AM30" s="4">
        <v>0</v>
      </c>
      <c r="AN30" s="4">
        <v>11999</v>
      </c>
    </row>
  </sheetData>
  <mergeCells count="1">
    <mergeCell ref="O6:X6"/>
  </mergeCells>
  <conditionalFormatting sqref="H8:P30">
    <cfRule type="expression" dxfId="19" priority="2">
      <formula>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68BE-2E44-4402-B05E-138E7CD0C242}">
  <dimension ref="A1:R5"/>
  <sheetViews>
    <sheetView tabSelected="1" workbookViewId="0">
      <selection activeCell="C9" sqref="C9"/>
    </sheetView>
  </sheetViews>
  <sheetFormatPr defaultRowHeight="14.4" x14ac:dyDescent="0.3"/>
  <cols>
    <col min="1" max="1" width="11.6640625" bestFit="1" customWidth="1"/>
    <col min="2" max="2" width="8.6640625" customWidth="1"/>
    <col min="3" max="3" width="9.5546875" bestFit="1" customWidth="1"/>
  </cols>
  <sheetData>
    <row r="1" spans="1:18" x14ac:dyDescent="0.3">
      <c r="A1" s="47">
        <f>_xlfn.XMATCH(C1,TestCases[Test Name])</f>
        <v>1</v>
      </c>
      <c r="B1">
        <v>1</v>
      </c>
      <c r="C1" t="s">
        <v>49</v>
      </c>
    </row>
    <row r="2" spans="1:18" x14ac:dyDescent="0.3">
      <c r="B2" t="s">
        <v>29</v>
      </c>
      <c r="C2" t="s">
        <v>30</v>
      </c>
    </row>
    <row r="4" spans="1:18" ht="58.2" thickBot="1" x14ac:dyDescent="0.35">
      <c r="B4" s="60" t="s">
        <v>65</v>
      </c>
      <c r="C4" s="60" t="s">
        <v>64</v>
      </c>
      <c r="D4" s="60" t="s">
        <v>63</v>
      </c>
      <c r="E4" s="60" t="s">
        <v>62</v>
      </c>
      <c r="F4" s="60" t="s">
        <v>61</v>
      </c>
      <c r="G4" s="60" t="s">
        <v>60</v>
      </c>
      <c r="H4" s="60" t="s">
        <v>59</v>
      </c>
      <c r="I4" s="60" t="s">
        <v>58</v>
      </c>
      <c r="J4" s="60" t="s">
        <v>20</v>
      </c>
      <c r="K4" s="60" t="s">
        <v>57</v>
      </c>
      <c r="L4" s="60" t="s">
        <v>56</v>
      </c>
      <c r="M4" s="60" t="s">
        <v>55</v>
      </c>
      <c r="N4" s="60" t="s">
        <v>54</v>
      </c>
      <c r="O4" s="60" t="s">
        <v>53</v>
      </c>
      <c r="P4" s="60" t="s">
        <v>52</v>
      </c>
      <c r="Q4" s="60" t="s">
        <v>51</v>
      </c>
      <c r="R4" s="60" t="s">
        <v>50</v>
      </c>
    </row>
    <row r="5" spans="1:18" x14ac:dyDescent="0.3">
      <c r="B5" s="61">
        <v>1</v>
      </c>
      <c r="C5" s="62" t="s">
        <v>48</v>
      </c>
      <c r="D5" s="62" t="b">
        <v>0</v>
      </c>
      <c r="E5" s="63">
        <v>42465</v>
      </c>
      <c r="F5" s="63">
        <v>18720</v>
      </c>
      <c r="G5" s="62" t="s">
        <v>33</v>
      </c>
      <c r="H5" s="62"/>
      <c r="I5" s="62"/>
      <c r="J5" s="63">
        <v>42465</v>
      </c>
      <c r="K5" s="62">
        <v>762282.17661630618</v>
      </c>
      <c r="L5" s="63">
        <v>44109</v>
      </c>
      <c r="M5" s="62">
        <v>1</v>
      </c>
      <c r="N5" s="62">
        <v>5.2499999999999998E-2</v>
      </c>
      <c r="O5" s="64">
        <v>95325.473432383646</v>
      </c>
      <c r="P5" s="64">
        <v>95325.473432383646</v>
      </c>
      <c r="Q5" s="64">
        <v>4221.541103677775</v>
      </c>
      <c r="R5" s="65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9D1-20EE-47CD-B6DF-DD6CE2D54FB3}">
  <sheetPr>
    <tabColor theme="9" tint="0.79998168889431442"/>
  </sheetPr>
  <dimension ref="A1"/>
  <sheetViews>
    <sheetView topLeftCell="A62" workbookViewId="0">
      <selection activeCell="A88" sqref="A88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r:id="rId5">
            <anchor moveWithCells="1">
              <from>
                <xdr:col>1</xdr:col>
                <xdr:colOff>525780</xdr:colOff>
                <xdr:row>1</xdr:row>
                <xdr:rowOff>68580</xdr:rowOff>
              </from>
              <to>
                <xdr:col>11</xdr:col>
                <xdr:colOff>373380</xdr:colOff>
                <xdr:row>17</xdr:row>
                <xdr:rowOff>175260</xdr:rowOff>
              </to>
            </anchor>
          </objectPr>
        </oleObject>
      </mc:Choice>
      <mc:Fallback>
        <oleObject progId="Word.Document.12" shapeId="5121" r:id="rId4"/>
      </mc:Fallback>
    </mc:AlternateContent>
    <mc:AlternateContent xmlns:mc="http://schemas.openxmlformats.org/markup-compatibility/2006">
      <mc:Choice Requires="x14">
        <oleObject progId="Word.Document.12" shapeId="5122" r:id="rId6">
          <objectPr defaultSize="0" r:id="rId7">
            <anchor moveWithCells="1">
              <from>
                <xdr:col>1</xdr:col>
                <xdr:colOff>381000</xdr:colOff>
                <xdr:row>18</xdr:row>
                <xdr:rowOff>99060</xdr:rowOff>
              </from>
              <to>
                <xdr:col>11</xdr:col>
                <xdr:colOff>228600</xdr:colOff>
                <xdr:row>47</xdr:row>
                <xdr:rowOff>60960</xdr:rowOff>
              </to>
            </anchor>
          </objectPr>
        </oleObject>
      </mc:Choice>
      <mc:Fallback>
        <oleObject progId="Word.Document.12" shapeId="5122" r:id="rId6"/>
      </mc:Fallback>
    </mc:AlternateContent>
    <mc:AlternateContent xmlns:mc="http://schemas.openxmlformats.org/markup-compatibility/2006">
      <mc:Choice Requires="x14">
        <oleObject progId="Word.Document.12" shapeId="5123" r:id="rId8">
          <objectPr defaultSize="0" r:id="rId9">
            <anchor moveWithCells="1">
              <from>
                <xdr:col>1</xdr:col>
                <xdr:colOff>403860</xdr:colOff>
                <xdr:row>48</xdr:row>
                <xdr:rowOff>144780</xdr:rowOff>
              </from>
              <to>
                <xdr:col>11</xdr:col>
                <xdr:colOff>251460</xdr:colOff>
                <xdr:row>59</xdr:row>
                <xdr:rowOff>45720</xdr:rowOff>
              </to>
            </anchor>
          </objectPr>
        </oleObject>
      </mc:Choice>
      <mc:Fallback>
        <oleObject progId="Word.Document.12" shapeId="5123" r:id="rId8"/>
      </mc:Fallback>
    </mc:AlternateContent>
    <mc:AlternateContent xmlns:mc="http://schemas.openxmlformats.org/markup-compatibility/2006">
      <mc:Choice Requires="x14">
        <oleObject progId="Word.Document.12" shapeId="5124" r:id="rId10">
          <objectPr defaultSize="0" r:id="rId11">
            <anchor moveWithCells="1">
              <from>
                <xdr:col>1</xdr:col>
                <xdr:colOff>449580</xdr:colOff>
                <xdr:row>63</xdr:row>
                <xdr:rowOff>160020</xdr:rowOff>
              </from>
              <to>
                <xdr:col>11</xdr:col>
                <xdr:colOff>297180</xdr:colOff>
                <xdr:row>75</xdr:row>
                <xdr:rowOff>144780</xdr:rowOff>
              </to>
            </anchor>
          </objectPr>
        </oleObject>
      </mc:Choice>
      <mc:Fallback>
        <oleObject progId="Word.Document.12" shapeId="5124" r:id="rId10"/>
      </mc:Fallback>
    </mc:AlternateContent>
    <mc:AlternateContent xmlns:mc="http://schemas.openxmlformats.org/markup-compatibility/2006">
      <mc:Choice Requires="x14">
        <oleObject progId="Word.Document.12" shapeId="5125" r:id="rId12">
          <objectPr defaultSize="0" r:id="rId13">
            <anchor moveWithCells="1">
              <from>
                <xdr:col>1</xdr:col>
                <xdr:colOff>541020</xdr:colOff>
                <xdr:row>79</xdr:row>
                <xdr:rowOff>160020</xdr:rowOff>
              </from>
              <to>
                <xdr:col>11</xdr:col>
                <xdr:colOff>388620</xdr:colOff>
                <xdr:row>91</xdr:row>
                <xdr:rowOff>76200</xdr:rowOff>
              </to>
            </anchor>
          </objectPr>
        </oleObject>
      </mc:Choice>
      <mc:Fallback>
        <oleObject progId="Word.Document.12" shapeId="5125" r:id="rId12"/>
      </mc:Fallback>
    </mc:AlternateContent>
    <mc:AlternateContent xmlns:mc="http://schemas.openxmlformats.org/markup-compatibility/2006">
      <mc:Choice Requires="x14">
        <oleObject progId="Word.Document.12" shapeId="5126" r:id="rId14">
          <objectPr defaultSize="0" r:id="rId15">
            <anchor moveWithCells="1">
              <from>
                <xdr:col>1</xdr:col>
                <xdr:colOff>579120</xdr:colOff>
                <xdr:row>94</xdr:row>
                <xdr:rowOff>144780</xdr:rowOff>
              </from>
              <to>
                <xdr:col>11</xdr:col>
                <xdr:colOff>426720</xdr:colOff>
                <xdr:row>112</xdr:row>
                <xdr:rowOff>30480</xdr:rowOff>
              </to>
            </anchor>
          </objectPr>
        </oleObject>
      </mc:Choice>
      <mc:Fallback>
        <oleObject progId="Word.Document.12" shapeId="5126" r:id="rId14"/>
      </mc:Fallback>
    </mc:AlternateContent>
    <mc:AlternateContent xmlns:mc="http://schemas.openxmlformats.org/markup-compatibility/2006">
      <mc:Choice Requires="x14">
        <oleObject progId="Word.Document.12" shapeId="5127" r:id="rId16">
          <objectPr defaultSize="0" r:id="rId17">
            <anchor moveWithCells="1">
              <from>
                <xdr:col>1</xdr:col>
                <xdr:colOff>594360</xdr:colOff>
                <xdr:row>116</xdr:row>
                <xdr:rowOff>30480</xdr:rowOff>
              </from>
              <to>
                <xdr:col>11</xdr:col>
                <xdr:colOff>441960</xdr:colOff>
                <xdr:row>124</xdr:row>
                <xdr:rowOff>83820</xdr:rowOff>
              </to>
            </anchor>
          </objectPr>
        </oleObject>
      </mc:Choice>
      <mc:Fallback>
        <oleObject progId="Word.Document.12" shapeId="5127" r:id="rId1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559F-9EFD-46FC-9F16-41EAE84F8BE1}">
  <sheetPr>
    <tabColor theme="9" tint="0.79998168889431442"/>
  </sheetPr>
  <dimension ref="A1"/>
  <sheetViews>
    <sheetView topLeftCell="A9" workbookViewId="0">
      <selection activeCell="T51" sqref="T51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17</xdr:col>
                <xdr:colOff>60960</xdr:colOff>
                <xdr:row>36</xdr:row>
                <xdr:rowOff>121920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2AF8-B2A2-427B-87D8-092C4A496479}">
  <sheetPr>
    <tabColor theme="9" tint="0.79998168889431442"/>
  </sheetPr>
  <dimension ref="A1"/>
  <sheetViews>
    <sheetView topLeftCell="A15" workbookViewId="0">
      <selection activeCell="S25" sqref="S25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556260</xdr:colOff>
                <xdr:row>1</xdr:row>
                <xdr:rowOff>0</xdr:rowOff>
              </from>
              <to>
                <xdr:col>15</xdr:col>
                <xdr:colOff>480060</xdr:colOff>
                <xdr:row>36</xdr:row>
                <xdr:rowOff>76200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7B1D-EA56-4DBE-93D7-1F0DD0865D25}">
  <sheetPr>
    <tabColor rgb="FF00B050"/>
  </sheetPr>
  <dimension ref="A1:Q18"/>
  <sheetViews>
    <sheetView workbookViewId="0">
      <selection activeCell="A3" sqref="A3:Q3"/>
    </sheetView>
  </sheetViews>
  <sheetFormatPr defaultRowHeight="14.4" x14ac:dyDescent="0.3"/>
  <cols>
    <col min="1" max="1" width="6.33203125" customWidth="1"/>
    <col min="2" max="2" width="21.5546875" bestFit="1" customWidth="1"/>
    <col min="3" max="3" width="14.6640625" customWidth="1"/>
    <col min="4" max="4" width="15.33203125" customWidth="1"/>
    <col min="5" max="5" width="17.6640625" customWidth="1"/>
    <col min="6" max="6" width="16" customWidth="1"/>
    <col min="7" max="7" width="20" customWidth="1"/>
    <col min="8" max="8" width="18.33203125" customWidth="1"/>
    <col min="9" max="9" width="21.44140625" customWidth="1"/>
    <col min="10" max="10" width="24.109375" customWidth="1"/>
    <col min="11" max="11" width="25.88671875" customWidth="1"/>
    <col min="12" max="12" width="22.5546875" customWidth="1"/>
    <col min="13" max="13" width="25" customWidth="1"/>
    <col min="14" max="14" width="20.33203125" customWidth="1"/>
    <col min="15" max="15" width="25.77734375" customWidth="1"/>
    <col min="16" max="16" width="19.88671875" customWidth="1"/>
    <col min="17" max="17" width="22.109375" customWidth="1"/>
  </cols>
  <sheetData>
    <row r="1" spans="1:17" x14ac:dyDescent="0.3">
      <c r="A1" s="54" t="s">
        <v>65</v>
      </c>
      <c r="B1" s="54" t="s">
        <v>64</v>
      </c>
      <c r="C1" s="54" t="s">
        <v>63</v>
      </c>
      <c r="D1" s="54" t="s">
        <v>62</v>
      </c>
      <c r="E1" s="54" t="s">
        <v>61</v>
      </c>
      <c r="F1" s="54" t="s">
        <v>60</v>
      </c>
      <c r="G1" s="54" t="s">
        <v>59</v>
      </c>
      <c r="H1" s="54" t="s">
        <v>58</v>
      </c>
      <c r="I1" s="54" t="s">
        <v>20</v>
      </c>
      <c r="J1" s="54" t="s">
        <v>57</v>
      </c>
      <c r="K1" s="54" t="s">
        <v>56</v>
      </c>
      <c r="L1" s="54" t="s">
        <v>55</v>
      </c>
      <c r="M1" s="54" t="s">
        <v>54</v>
      </c>
      <c r="N1" s="54" t="s">
        <v>53</v>
      </c>
      <c r="O1" s="54" t="s">
        <v>52</v>
      </c>
      <c r="P1" s="54" t="s">
        <v>51</v>
      </c>
      <c r="Q1" s="54" t="s">
        <v>50</v>
      </c>
    </row>
    <row r="2" spans="1:17" x14ac:dyDescent="0.3">
      <c r="A2" s="52">
        <v>0</v>
      </c>
      <c r="B2" s="50" t="s">
        <v>49</v>
      </c>
      <c r="C2" s="50" t="b">
        <v>1</v>
      </c>
      <c r="D2" s="51">
        <v>42465</v>
      </c>
      <c r="E2" s="51">
        <v>18720</v>
      </c>
      <c r="F2" s="50" t="s">
        <v>33</v>
      </c>
      <c r="G2" s="50"/>
      <c r="H2" s="50"/>
      <c r="I2" s="51">
        <v>42465</v>
      </c>
      <c r="J2" s="50">
        <v>100000</v>
      </c>
      <c r="K2" s="51">
        <v>44109</v>
      </c>
      <c r="L2" s="50">
        <v>1</v>
      </c>
      <c r="M2" s="50">
        <v>5.2499999999999998E-2</v>
      </c>
      <c r="N2" s="50">
        <v>100000</v>
      </c>
      <c r="O2" s="50">
        <v>100000</v>
      </c>
      <c r="P2" s="50">
        <v>999</v>
      </c>
      <c r="Q2" s="53">
        <v>100000</v>
      </c>
    </row>
    <row r="3" spans="1:17" x14ac:dyDescent="0.3">
      <c r="A3" s="52">
        <v>1</v>
      </c>
      <c r="B3" s="50" t="s">
        <v>48</v>
      </c>
      <c r="C3" s="50" t="b">
        <v>0</v>
      </c>
      <c r="D3" s="51">
        <v>42465</v>
      </c>
      <c r="E3" s="51">
        <v>18720</v>
      </c>
      <c r="F3" s="50" t="s">
        <v>33</v>
      </c>
      <c r="G3" s="50"/>
      <c r="H3" s="50"/>
      <c r="I3" s="51">
        <v>42465</v>
      </c>
      <c r="J3" s="50">
        <v>762282.17661630618</v>
      </c>
      <c r="K3" s="51">
        <v>44109</v>
      </c>
      <c r="L3" s="50">
        <v>1</v>
      </c>
      <c r="M3" s="50">
        <v>5.2499999999999998E-2</v>
      </c>
      <c r="N3" s="49">
        <v>95325.473432383646</v>
      </c>
      <c r="O3" s="49">
        <v>95325.473432383646</v>
      </c>
      <c r="P3" s="49">
        <v>4221.541103677775</v>
      </c>
      <c r="Q3" s="53">
        <v>100000</v>
      </c>
    </row>
    <row r="4" spans="1:17" x14ac:dyDescent="0.3">
      <c r="A4" s="52">
        <v>2</v>
      </c>
      <c r="B4" s="50" t="s">
        <v>47</v>
      </c>
      <c r="C4" s="50" t="b">
        <v>0</v>
      </c>
      <c r="D4" s="51">
        <v>42465</v>
      </c>
      <c r="E4" s="51">
        <v>26020</v>
      </c>
      <c r="F4" s="50" t="s">
        <v>33</v>
      </c>
      <c r="G4" s="50"/>
      <c r="H4" s="50"/>
      <c r="I4" s="51">
        <v>42465</v>
      </c>
      <c r="J4" s="49">
        <v>152456.43532326125</v>
      </c>
      <c r="K4" s="51">
        <v>44109</v>
      </c>
      <c r="L4" s="50">
        <v>1</v>
      </c>
      <c r="M4" s="50">
        <v>5.2499999999999998E-2</v>
      </c>
      <c r="N4" s="49">
        <v>152456.43532326125</v>
      </c>
      <c r="O4" s="49">
        <v>152456.43532326125</v>
      </c>
      <c r="P4" s="49">
        <v>8114.6383236774336</v>
      </c>
      <c r="Q4" s="48">
        <v>152456.43532326125</v>
      </c>
    </row>
    <row r="5" spans="1:17" x14ac:dyDescent="0.3">
      <c r="A5" s="52">
        <v>3</v>
      </c>
      <c r="B5" s="50" t="s">
        <v>46</v>
      </c>
      <c r="C5" s="50" t="b">
        <v>0</v>
      </c>
      <c r="D5" s="51">
        <v>42465</v>
      </c>
      <c r="E5" s="51">
        <v>22370</v>
      </c>
      <c r="F5" s="50" t="s">
        <v>33</v>
      </c>
      <c r="G5" s="50"/>
      <c r="H5" s="50"/>
      <c r="I5" s="51">
        <v>42465</v>
      </c>
      <c r="J5" s="49">
        <v>182203.00216090496</v>
      </c>
      <c r="K5" s="51">
        <v>44109</v>
      </c>
      <c r="L5" s="50">
        <v>1</v>
      </c>
      <c r="M5" s="50">
        <v>5.2499999999999998E-2</v>
      </c>
      <c r="N5" s="49">
        <v>182203.00216090496</v>
      </c>
      <c r="O5" s="49">
        <v>182203.00216090496</v>
      </c>
      <c r="P5" s="49">
        <v>14523.798553991892</v>
      </c>
      <c r="Q5" s="48">
        <v>182203.00216090496</v>
      </c>
    </row>
    <row r="6" spans="1:17" x14ac:dyDescent="0.3">
      <c r="A6" s="52">
        <v>4</v>
      </c>
      <c r="B6" s="50" t="s">
        <v>45</v>
      </c>
      <c r="C6" s="50" t="b">
        <v>0</v>
      </c>
      <c r="D6" s="51">
        <v>42465</v>
      </c>
      <c r="E6" s="51">
        <v>15070</v>
      </c>
      <c r="F6" s="50" t="s">
        <v>33</v>
      </c>
      <c r="G6" s="50"/>
      <c r="H6" s="50"/>
      <c r="I6" s="51">
        <v>42465</v>
      </c>
      <c r="J6" s="49">
        <v>69184.946238427947</v>
      </c>
      <c r="K6" s="51">
        <v>44109</v>
      </c>
      <c r="L6" s="50">
        <v>1</v>
      </c>
      <c r="M6" s="50">
        <v>5.2499999999999998E-2</v>
      </c>
      <c r="N6" s="49">
        <v>69184.946238427947</v>
      </c>
      <c r="O6" s="49">
        <v>69184.946238427947</v>
      </c>
      <c r="P6" s="49">
        <v>8143.3285014251214</v>
      </c>
      <c r="Q6" s="48">
        <v>69184.946238427947</v>
      </c>
    </row>
    <row r="7" spans="1:17" x14ac:dyDescent="0.3">
      <c r="A7" s="52">
        <v>5</v>
      </c>
      <c r="B7" s="50" t="s">
        <v>44</v>
      </c>
      <c r="C7" s="50" t="b">
        <v>0</v>
      </c>
      <c r="D7" s="51">
        <v>42465</v>
      </c>
      <c r="E7" s="51">
        <v>11420</v>
      </c>
      <c r="F7" s="50" t="s">
        <v>33</v>
      </c>
      <c r="G7" s="50"/>
      <c r="H7" s="50"/>
      <c r="I7" s="51">
        <v>42465</v>
      </c>
      <c r="J7" s="49">
        <v>150298.66258566288</v>
      </c>
      <c r="K7" s="51">
        <v>44109</v>
      </c>
      <c r="L7" s="50">
        <v>1</v>
      </c>
      <c r="M7" s="50">
        <v>5.2499999999999998E-2</v>
      </c>
      <c r="N7" s="49">
        <v>150298.66258566288</v>
      </c>
      <c r="O7" s="49">
        <v>150298.66258566288</v>
      </c>
      <c r="P7" s="49">
        <v>13684.105061322096</v>
      </c>
      <c r="Q7" s="48">
        <v>150298.66258566288</v>
      </c>
    </row>
    <row r="8" spans="1:17" x14ac:dyDescent="0.3">
      <c r="A8" s="52">
        <v>6</v>
      </c>
      <c r="B8" s="50" t="s">
        <v>43</v>
      </c>
      <c r="C8" s="50" t="b">
        <v>0</v>
      </c>
      <c r="D8" s="51">
        <v>42465</v>
      </c>
      <c r="E8" s="51">
        <v>18720</v>
      </c>
      <c r="F8" s="50" t="s">
        <v>33</v>
      </c>
      <c r="G8" s="50"/>
      <c r="H8" s="50"/>
      <c r="I8" s="51">
        <v>42465</v>
      </c>
      <c r="J8" s="49">
        <v>105606.93882617053</v>
      </c>
      <c r="K8" s="51">
        <v>44109</v>
      </c>
      <c r="L8" s="50">
        <v>2</v>
      </c>
      <c r="M8" s="50">
        <v>5.2499999999999998E-2</v>
      </c>
      <c r="N8" s="49">
        <v>105606.93882617053</v>
      </c>
      <c r="O8" s="49">
        <v>105606.93882617053</v>
      </c>
      <c r="P8" s="49">
        <v>10085.128879183343</v>
      </c>
      <c r="Q8" s="48">
        <v>105606.93882617053</v>
      </c>
    </row>
    <row r="9" spans="1:17" x14ac:dyDescent="0.3">
      <c r="A9" s="52">
        <v>7</v>
      </c>
      <c r="B9" s="50" t="s">
        <v>42</v>
      </c>
      <c r="C9" s="50" t="b">
        <v>0</v>
      </c>
      <c r="D9" s="51">
        <v>42465</v>
      </c>
      <c r="E9" s="51">
        <v>18720</v>
      </c>
      <c r="F9" s="50" t="s">
        <v>33</v>
      </c>
      <c r="G9" s="50"/>
      <c r="H9" s="50"/>
      <c r="I9" s="51">
        <v>42465</v>
      </c>
      <c r="J9" s="49">
        <v>42427.11718072473</v>
      </c>
      <c r="K9" s="51">
        <v>44109</v>
      </c>
      <c r="L9" s="50">
        <v>3</v>
      </c>
      <c r="M9" s="50">
        <v>5.2499999999999998E-2</v>
      </c>
      <c r="N9" s="49">
        <v>42427.11718072473</v>
      </c>
      <c r="O9" s="49">
        <v>42427.11718072473</v>
      </c>
      <c r="P9" s="49">
        <v>5578.9796538104865</v>
      </c>
      <c r="Q9" s="48">
        <v>42427.11718072473</v>
      </c>
    </row>
    <row r="10" spans="1:17" x14ac:dyDescent="0.3">
      <c r="A10" s="52">
        <v>8</v>
      </c>
      <c r="B10" s="50" t="s">
        <v>41</v>
      </c>
      <c r="C10" s="50" t="b">
        <v>0</v>
      </c>
      <c r="D10" s="51">
        <v>42465</v>
      </c>
      <c r="E10" s="51">
        <v>18720</v>
      </c>
      <c r="F10" s="50" t="s">
        <v>33</v>
      </c>
      <c r="G10" s="50"/>
      <c r="H10" s="50"/>
      <c r="I10" s="51">
        <v>42465</v>
      </c>
      <c r="J10" s="49">
        <v>47603.469194453544</v>
      </c>
      <c r="K10" s="51">
        <v>43013</v>
      </c>
      <c r="L10" s="50">
        <v>1</v>
      </c>
      <c r="M10" s="50">
        <v>5.2499999999999998E-2</v>
      </c>
      <c r="N10" s="49">
        <v>47603.469194453544</v>
      </c>
      <c r="O10" s="49">
        <v>47603.469194453544</v>
      </c>
      <c r="P10" s="49">
        <v>18541.617782629564</v>
      </c>
      <c r="Q10" s="48">
        <v>47603.469194453544</v>
      </c>
    </row>
    <row r="11" spans="1:17" x14ac:dyDescent="0.3">
      <c r="A11" s="52">
        <v>9</v>
      </c>
      <c r="B11" s="50" t="s">
        <v>40</v>
      </c>
      <c r="C11" s="50" t="b">
        <v>0</v>
      </c>
      <c r="D11" s="51">
        <v>42465</v>
      </c>
      <c r="E11" s="51">
        <v>18720</v>
      </c>
      <c r="F11" s="50" t="s">
        <v>33</v>
      </c>
      <c r="G11" s="50"/>
      <c r="H11" s="50"/>
      <c r="I11" s="51">
        <v>42465</v>
      </c>
      <c r="J11" s="49">
        <v>157110.87938977685</v>
      </c>
      <c r="K11" s="51">
        <v>43378</v>
      </c>
      <c r="L11" s="50">
        <v>1</v>
      </c>
      <c r="M11" s="50">
        <v>5.2499999999999998E-2</v>
      </c>
      <c r="N11" s="49">
        <v>157110.87938977685</v>
      </c>
      <c r="O11" s="49">
        <v>157110.87938977685</v>
      </c>
      <c r="P11" s="49">
        <v>12472.756690167882</v>
      </c>
      <c r="Q11" s="48">
        <v>157110.87938977685</v>
      </c>
    </row>
    <row r="12" spans="1:17" x14ac:dyDescent="0.3">
      <c r="A12" s="52">
        <v>10</v>
      </c>
      <c r="B12" s="50" t="s">
        <v>39</v>
      </c>
      <c r="C12" s="50" t="b">
        <v>0</v>
      </c>
      <c r="D12" s="51">
        <v>42465</v>
      </c>
      <c r="E12" s="51">
        <v>18720</v>
      </c>
      <c r="F12" s="50" t="s">
        <v>33</v>
      </c>
      <c r="G12" s="50"/>
      <c r="H12" s="50"/>
      <c r="I12" s="51">
        <v>42465</v>
      </c>
      <c r="J12" s="49">
        <v>28106.899207877428</v>
      </c>
      <c r="K12" s="51">
        <v>43743</v>
      </c>
      <c r="L12" s="50">
        <v>1</v>
      </c>
      <c r="M12" s="50">
        <v>5.2499999999999998E-2</v>
      </c>
      <c r="N12" s="49">
        <v>28106.899207877428</v>
      </c>
      <c r="O12" s="49">
        <v>28106.899207877428</v>
      </c>
      <c r="P12" s="49">
        <v>3862.4017537345594</v>
      </c>
      <c r="Q12" s="48">
        <v>28106.899207877428</v>
      </c>
    </row>
    <row r="13" spans="1:17" x14ac:dyDescent="0.3">
      <c r="A13" s="52">
        <v>11</v>
      </c>
      <c r="B13" s="50" t="s">
        <v>38</v>
      </c>
      <c r="C13" s="50" t="b">
        <v>0</v>
      </c>
      <c r="D13" s="51">
        <v>42465</v>
      </c>
      <c r="E13" s="51">
        <v>18720</v>
      </c>
      <c r="F13" s="50" t="s">
        <v>33</v>
      </c>
      <c r="G13" s="50"/>
      <c r="H13" s="50"/>
      <c r="I13" s="51">
        <v>42465</v>
      </c>
      <c r="J13" s="49">
        <v>96931.426475781816</v>
      </c>
      <c r="K13" s="51">
        <v>44474</v>
      </c>
      <c r="L13" s="50">
        <v>1</v>
      </c>
      <c r="M13" s="50">
        <v>5.2499999999999998E-2</v>
      </c>
      <c r="N13" s="49">
        <v>96931.426475781816</v>
      </c>
      <c r="O13" s="49">
        <v>96931.426475781816</v>
      </c>
      <c r="P13" s="49">
        <v>1796.8830721520278</v>
      </c>
      <c r="Q13" s="48">
        <v>96931.426475781816</v>
      </c>
    </row>
    <row r="14" spans="1:17" x14ac:dyDescent="0.3">
      <c r="A14" s="52">
        <v>12</v>
      </c>
      <c r="B14" s="50" t="s">
        <v>37</v>
      </c>
      <c r="C14" s="50" t="b">
        <v>0</v>
      </c>
      <c r="D14" s="51">
        <v>42465</v>
      </c>
      <c r="E14" s="51">
        <v>18720</v>
      </c>
      <c r="F14" s="50" t="s">
        <v>33</v>
      </c>
      <c r="G14" s="50"/>
      <c r="H14" s="50"/>
      <c r="I14" s="51">
        <v>42465</v>
      </c>
      <c r="J14" s="49">
        <v>92382.669600073219</v>
      </c>
      <c r="K14" s="51">
        <v>44839</v>
      </c>
      <c r="L14" s="50">
        <v>1</v>
      </c>
      <c r="M14" s="50">
        <v>5.2499999999999998E-2</v>
      </c>
      <c r="N14" s="49">
        <v>92382.669600073219</v>
      </c>
      <c r="O14" s="49">
        <v>92382.669600073219</v>
      </c>
      <c r="P14" s="49">
        <v>24938.25284851898</v>
      </c>
      <c r="Q14" s="48">
        <v>92382.669600073219</v>
      </c>
    </row>
    <row r="15" spans="1:17" x14ac:dyDescent="0.3">
      <c r="A15" s="52">
        <v>13</v>
      </c>
      <c r="B15" s="50" t="s">
        <v>36</v>
      </c>
      <c r="C15" s="50" t="b">
        <v>0</v>
      </c>
      <c r="D15" s="51">
        <v>42465</v>
      </c>
      <c r="E15" s="51">
        <v>18720</v>
      </c>
      <c r="F15" s="50" t="s">
        <v>33</v>
      </c>
      <c r="G15" s="50"/>
      <c r="H15" s="50"/>
      <c r="I15" s="51">
        <v>42465</v>
      </c>
      <c r="J15" s="49">
        <v>58832.783356219523</v>
      </c>
      <c r="K15" s="51">
        <v>45204</v>
      </c>
      <c r="L15" s="50">
        <v>1</v>
      </c>
      <c r="M15" s="50">
        <v>5.2499999999999998E-2</v>
      </c>
      <c r="N15" s="49">
        <v>58832.783356219523</v>
      </c>
      <c r="O15" s="49">
        <v>58832.783356219523</v>
      </c>
      <c r="P15" s="49">
        <v>19049.832245647714</v>
      </c>
      <c r="Q15" s="48">
        <v>58832.783356219523</v>
      </c>
    </row>
    <row r="16" spans="1:17" x14ac:dyDescent="0.3">
      <c r="A16" s="52">
        <v>14</v>
      </c>
      <c r="B16" s="50" t="s">
        <v>35</v>
      </c>
      <c r="C16" s="50" t="b">
        <v>0</v>
      </c>
      <c r="D16" s="51">
        <v>42465</v>
      </c>
      <c r="E16" s="51">
        <v>22370</v>
      </c>
      <c r="F16" s="50" t="s">
        <v>33</v>
      </c>
      <c r="G16" s="51">
        <v>18805</v>
      </c>
      <c r="H16" s="50" t="s">
        <v>31</v>
      </c>
      <c r="I16" s="51">
        <v>42465</v>
      </c>
      <c r="J16" s="49">
        <v>77254.968706246742</v>
      </c>
      <c r="K16" s="51">
        <v>44109</v>
      </c>
      <c r="L16" s="50">
        <v>1</v>
      </c>
      <c r="M16" s="50">
        <v>5.2499999999999998E-2</v>
      </c>
      <c r="N16" s="49">
        <v>77254.968706246742</v>
      </c>
      <c r="O16" s="49">
        <v>77254.968706246742</v>
      </c>
      <c r="P16" s="49">
        <v>8328.878719952414</v>
      </c>
      <c r="Q16" s="48">
        <v>77254.968706246742</v>
      </c>
    </row>
    <row r="17" spans="1:17" x14ac:dyDescent="0.3">
      <c r="A17" s="52">
        <v>15</v>
      </c>
      <c r="B17" s="50" t="s">
        <v>34</v>
      </c>
      <c r="C17" s="50" t="b">
        <v>0</v>
      </c>
      <c r="D17" s="51">
        <v>42465</v>
      </c>
      <c r="E17" s="51">
        <v>18720</v>
      </c>
      <c r="F17" s="50" t="s">
        <v>33</v>
      </c>
      <c r="G17" s="51">
        <v>15171</v>
      </c>
      <c r="H17" s="50" t="s">
        <v>33</v>
      </c>
      <c r="I17" s="51">
        <v>42465</v>
      </c>
      <c r="J17" s="49">
        <v>102897.29750340692</v>
      </c>
      <c r="K17" s="51">
        <v>44109</v>
      </c>
      <c r="L17" s="50">
        <v>1</v>
      </c>
      <c r="M17" s="50">
        <v>5.2499999999999998E-2</v>
      </c>
      <c r="N17" s="49">
        <v>102897.29750340692</v>
      </c>
      <c r="O17" s="49">
        <v>102897.29750340692</v>
      </c>
      <c r="P17" s="49">
        <v>17308.417559792819</v>
      </c>
      <c r="Q17" s="48">
        <v>102897.29750340692</v>
      </c>
    </row>
    <row r="18" spans="1:17" x14ac:dyDescent="0.3">
      <c r="A18" s="55">
        <v>16</v>
      </c>
      <c r="B18" s="56" t="s">
        <v>32</v>
      </c>
      <c r="C18" s="56" t="b">
        <v>0</v>
      </c>
      <c r="D18" s="57">
        <v>42465</v>
      </c>
      <c r="E18" s="57">
        <v>13245</v>
      </c>
      <c r="F18" s="56" t="s">
        <v>31</v>
      </c>
      <c r="G18" s="57">
        <v>13244</v>
      </c>
      <c r="H18" s="56" t="s">
        <v>31</v>
      </c>
      <c r="I18" s="57">
        <v>42465</v>
      </c>
      <c r="J18" s="58">
        <v>146058.38404748004</v>
      </c>
      <c r="K18" s="57">
        <v>44109</v>
      </c>
      <c r="L18" s="56">
        <v>1</v>
      </c>
      <c r="M18" s="56">
        <v>5.2499999999999998E-2</v>
      </c>
      <c r="N18" s="58">
        <v>146058.38404748004</v>
      </c>
      <c r="O18" s="58">
        <v>146058.38404748004</v>
      </c>
      <c r="P18" s="58">
        <v>23365.275131770417</v>
      </c>
      <c r="Q18" s="59">
        <v>146058.38404748004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Glossary</vt:lpstr>
      <vt:lpstr>Calculation D</vt:lpstr>
      <vt:lpstr>Controls</vt:lpstr>
      <vt:lpstr>Example Doc</vt:lpstr>
      <vt:lpstr>How It Works</vt:lpstr>
      <vt:lpstr>Orders of Operation</vt:lpstr>
      <vt:lpstr>Test Cases</vt:lpstr>
      <vt:lpstr>Activation_Time</vt:lpstr>
      <vt:lpstr>Anniversery_Value</vt:lpstr>
      <vt:lpstr>Assumed_Contract_Value</vt:lpstr>
      <vt:lpstr>Assumed_Contract_Value2</vt:lpstr>
      <vt:lpstr>Covered_Person</vt:lpstr>
      <vt:lpstr>Dash</vt:lpstr>
      <vt:lpstr>ICP</vt:lpstr>
      <vt:lpstr>Income_Credit_Base</vt:lpstr>
      <vt:lpstr>Initial_Purchase_Payment</vt:lpstr>
      <vt:lpstr>Is_Activation</vt:lpstr>
      <vt:lpstr>Is_Anniversery</vt:lpstr>
      <vt:lpstr>Lifetime_Income</vt:lpstr>
      <vt:lpstr>MAW</vt:lpstr>
      <vt:lpstr>MAWAA</vt:lpstr>
      <vt:lpstr>PIP</vt:lpstr>
      <vt:lpstr>Protected_Income_Payment</vt:lpstr>
      <vt:lpstr>Purchase_Payments</vt:lpstr>
      <vt:lpstr>Time_From_Valuation</vt:lpstr>
      <vt:lpstr>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 Robidoux</dc:creator>
  <cp:lastModifiedBy>Alissa Whitlock</cp:lastModifiedBy>
  <dcterms:created xsi:type="dcterms:W3CDTF">2020-11-27T19:30:22Z</dcterms:created>
  <dcterms:modified xsi:type="dcterms:W3CDTF">2023-04-02T02:46:41Z</dcterms:modified>
</cp:coreProperties>
</file>