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464711e9dc8cfa85/Desktop/Maryville/"/>
    </mc:Choice>
  </mc:AlternateContent>
  <xr:revisionPtr revIDLastSave="0" documentId="8_{BD5941BD-022F-4510-BB52-3705E9FCA0A8}" xr6:coauthVersionLast="47" xr6:coauthVersionMax="47" xr10:uidLastSave="{00000000-0000-0000-0000-000000000000}"/>
  <bookViews>
    <workbookView xWindow="-108" yWindow="-108" windowWidth="23256" windowHeight="12456" tabRatio="536" activeTab="1" xr2:uid="{CEBF006A-A518-4AB7-9A76-15366DBD2099}"/>
  </bookViews>
  <sheets>
    <sheet name="Glossary" sheetId="14" r:id="rId1"/>
    <sheet name="Calculation D" sheetId="13" r:id="rId2"/>
    <sheet name="Controls" sheetId="18" r:id="rId3"/>
    <sheet name="Example Doc" sheetId="17" r:id="rId4"/>
    <sheet name="How It Works" sheetId="15" r:id="rId5"/>
    <sheet name="Orders of Operation" sheetId="16" r:id="rId6"/>
    <sheet name="Test Cases" sheetId="20" r:id="rId7"/>
    <sheet name="WdAges" sheetId="21" r:id="rId8"/>
    <sheet name="TestCaseExplinations" sheetId="22" r:id="rId9"/>
    <sheet name="Qx" sheetId="23" r:id="rId10"/>
  </sheets>
  <externalReferences>
    <externalReference r:id="rId11"/>
    <externalReference r:id="rId12"/>
  </externalReferences>
  <definedNames>
    <definedName name="Activation_Time">'Calculation D'!$C$2</definedName>
    <definedName name="ActivationDate">[1]Control!$C$12</definedName>
    <definedName name="ActivationPeriod">[1]Control!$C$27</definedName>
    <definedName name="Actual">Controls!$S$37:$S$54</definedName>
    <definedName name="Age">Qx!$A$8:$A$128</definedName>
    <definedName name="Anniversery_Value">'Calculation D'!$I$9:$I$30</definedName>
    <definedName name="AnnuitantCount">[1]Control!$C$20</definedName>
    <definedName name="AnnuityIncomeOption">[1]Control!$C$13</definedName>
    <definedName name="Assumed_Contract_Value">'Calculation D'!$G$8:$G$29</definedName>
    <definedName name="Assumed_Contract_Value2">'Calculation D'!$G$8:$G$180</definedName>
    <definedName name="Benefit_Effective_Date">TestCases[[Benefit Effective Date ]]</definedName>
    <definedName name="Birthdate1">[1]Control!$C$6</definedName>
    <definedName name="Birthdate2">[1]Control!$C$8</definedName>
    <definedName name="ContractFee">#REF!</definedName>
    <definedName name="ContractFeePercent">#REF!</definedName>
    <definedName name="Covered_Person">'Calculation D'!$C$4</definedName>
    <definedName name="Current_Contract">Controls!$R$34</definedName>
    <definedName name="Current_IBC">Controls!$P$34</definedName>
    <definedName name="Current_Income_Base">Controls!$O$34</definedName>
    <definedName name="Current_Income_Credit_Base">Controls!$P$33</definedName>
    <definedName name="CurrentIncomeBase">[1]Control!$C$15</definedName>
    <definedName name="CurrentIncomeCreditBase">[1]Control!$C$16</definedName>
    <definedName name="CurrentPeriod">[1]Control!$C$19</definedName>
    <definedName name="DailyFlexChargeY1">#REF!</definedName>
    <definedName name="DailyFlexChargeY2plus">#REF!</definedName>
    <definedName name="Dash">'Calculation D'!$G$8</definedName>
    <definedName name="Expected">Controls!$U$37:$U$54</definedName>
    <definedName name="FIx">Qx!$B$8:$B$128</definedName>
    <definedName name="FundExpense">#REF!</definedName>
    <definedName name="GivenPrimaryPx">[1]Calculation!#REF!</definedName>
    <definedName name="GivenSecondaryPx">[1]Calculation!#REF!</definedName>
    <definedName name="ICP">'Calculation D'!$C$3</definedName>
    <definedName name="IncCredRate">[1]Control!$C$14</definedName>
    <definedName name="Income_Base">'Calculation D'!#REF!</definedName>
    <definedName name="Income_Credit_Base">'Calculation D'!$J$8:$J$180</definedName>
    <definedName name="Initial_Purchase_Payment">'Calculation D'!$F$1</definedName>
    <definedName name="InitialPurchasePayment">[2]Homework!$B$2</definedName>
    <definedName name="InterestRate">Controls!$F$2</definedName>
    <definedName name="invest1">[2]Homework!$B$21</definedName>
    <definedName name="invest2">[2]Homework!$B$22</definedName>
    <definedName name="IPP">Controls!$D$81</definedName>
    <definedName name="Is_Activation">'Calculation D'!$F$8:$F$180</definedName>
    <definedName name="Is_Anniversery">'Calculation D'!$H$8:$H$180</definedName>
    <definedName name="IsJoint">[1]Control!$C$21</definedName>
    <definedName name="Issue_Date">'Calculation D'!$C$1</definedName>
    <definedName name="IssueAge">[1]Control!$C$22</definedName>
    <definedName name="IssueAge2">[1]Control!$C$23</definedName>
    <definedName name="IssueDate">[1]Control!$C$10</definedName>
    <definedName name="LB_Age1">WdAges!$B$11:$B$14</definedName>
    <definedName name="LB_Ages2">WdAges!$B$15:$B$18</definedName>
    <definedName name="Lifetime_Income">'Calculation D'!$Q$8:$Q$180</definedName>
    <definedName name="MAW">Controls!$A$85</definedName>
    <definedName name="MAW_1">Controls!$G$38:$G$54</definedName>
    <definedName name="MAWAA">'Calculation D'!$O$8:$O$180</definedName>
    <definedName name="MawRate">[1]Control!$C$25</definedName>
    <definedName name="Max_Withdrawal">Table17[Maximum Annual Withdrawal Amount upon Activation]</definedName>
    <definedName name="MaxAge" localSheetId="9">Qx!$B$1</definedName>
    <definedName name="MaxAge">#REF!</definedName>
    <definedName name="MaxAgeLb">#REF!</definedName>
    <definedName name="MaxAgeLbDb">#REF!</definedName>
    <definedName name="MaxAgeNoRider">#REF!</definedName>
    <definedName name="Maximum_Withdrawal_Amount">Table17[Maximum Annual Withdrawal Amount upon Activation]</definedName>
    <definedName name="MaxParRate">#REF!</definedName>
    <definedName name="MaxParTenor">#REF!</definedName>
    <definedName name="MaxWithdrawal_PIP">Controls!$A$3</definedName>
    <definedName name="Minimum_Withdrawal_Age">Controls!$F$38:$F$54</definedName>
    <definedName name="MinWdAge">[1]Control!$C$24</definedName>
    <definedName name="MIx">Qx!$C$8:$C$128</definedName>
    <definedName name="Number_Of_Annuitants">Controls!$B$38:$B$54</definedName>
    <definedName name="ParRates">#REF!</definedName>
    <definedName name="ParTenors">#REF!</definedName>
    <definedName name="PIP">'Calculation D'!$C$6</definedName>
    <definedName name="PIP_2">Controls!$A$86</definedName>
    <definedName name="pipRate">[1]Control!$C$26</definedName>
    <definedName name="Primary_Issue_Age">Controls!$D$38:$D$54</definedName>
    <definedName name="Protected_Income_Payment">'Calculation D'!$P$8:$P$180</definedName>
    <definedName name="Protected_Income_Payment2">Table17[Protected Income Payment]</definedName>
    <definedName name="Purchase_Payments">'Calculation D'!$D$8:$D$180</definedName>
    <definedName name="px">#REF!</definedName>
    <definedName name="ROI">#REF!</definedName>
    <definedName name="SaExp">#REF!</definedName>
    <definedName name="Secondary_Issue_Age">Controls!$E$38:$E$54</definedName>
    <definedName name="SniffTest">[1]Calculation!$U$6</definedName>
    <definedName name="SpotRates">#REF!</definedName>
    <definedName name="SurrenderCharge">#REF!</definedName>
    <definedName name="Time_From_Valuation">'Calculation D'!$C$8:$C$180</definedName>
    <definedName name="TotalReserve">[1]Calculation!#REF!</definedName>
    <definedName name="UB_AGE1">WdAges!$C$11:$C$14</definedName>
    <definedName name="UB_Ages2">WdAges!$C$15:$C$18</definedName>
    <definedName name="Valuation_Date">TestCases[Valuation Date]</definedName>
    <definedName name="ValuationDate">[1]Control!$C$5</definedName>
    <definedName name="WdBeforeActivation">[1]Calculation!$Z$15</definedName>
    <definedName name="Withdrawal">'Calculation D'!$E$8:$E$180</definedName>
    <definedName name="Withdrawal_Activation_Date">TestCases[Withdrawal Activation Date]</definedName>
    <definedName name="WithdrawalAmount">[1]Control!$C$17</definedName>
    <definedName name="WithdrawalPercentages">[1]WdTables!$B$11:$I$14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8" i="13" l="1"/>
  <c r="S9" i="13"/>
  <c r="S10" i="13"/>
  <c r="S11" i="13"/>
  <c r="S12" i="13"/>
  <c r="S13" i="13"/>
  <c r="S14" i="13"/>
  <c r="S15" i="13"/>
  <c r="S16" i="13"/>
  <c r="S17" i="13"/>
  <c r="S18" i="13"/>
  <c r="S19" i="13"/>
  <c r="S20" i="13"/>
  <c r="S21" i="13"/>
  <c r="S22" i="13"/>
  <c r="S23" i="13"/>
  <c r="S24" i="13"/>
  <c r="S25" i="13"/>
  <c r="S26" i="13"/>
  <c r="S27" i="13"/>
  <c r="S28" i="13"/>
  <c r="S29" i="13"/>
  <c r="S30" i="13"/>
  <c r="S31" i="13"/>
  <c r="S32" i="13"/>
  <c r="S33" i="13"/>
  <c r="S34" i="13"/>
  <c r="S35" i="13"/>
  <c r="S36" i="13"/>
  <c r="S37" i="13"/>
  <c r="S38" i="13"/>
  <c r="S39" i="13"/>
  <c r="S40" i="13"/>
  <c r="S41" i="13"/>
  <c r="S42" i="13"/>
  <c r="S43" i="13"/>
  <c r="S44" i="13"/>
  <c r="S45" i="13"/>
  <c r="S46" i="13"/>
  <c r="S47" i="13"/>
  <c r="S48" i="13"/>
  <c r="S49" i="13"/>
  <c r="S50" i="13"/>
  <c r="S51" i="13"/>
  <c r="S52" i="13"/>
  <c r="S53" i="13"/>
  <c r="S54" i="13"/>
  <c r="S55" i="13"/>
  <c r="S56" i="13"/>
  <c r="S57" i="13"/>
  <c r="S58" i="13"/>
  <c r="S59" i="13"/>
  <c r="S60" i="13"/>
  <c r="S61" i="13"/>
  <c r="S62" i="13"/>
  <c r="S63" i="13"/>
  <c r="S64" i="13"/>
  <c r="S65" i="13"/>
  <c r="S66" i="13"/>
  <c r="S67" i="13"/>
  <c r="S68" i="13"/>
  <c r="S69" i="13"/>
  <c r="S70" i="13"/>
  <c r="S71" i="13"/>
  <c r="S72" i="13"/>
  <c r="S73" i="13"/>
  <c r="S74" i="13"/>
  <c r="S75" i="13"/>
  <c r="S76" i="13"/>
  <c r="S77" i="13"/>
  <c r="S78" i="13"/>
  <c r="S79" i="13"/>
  <c r="S80" i="13"/>
  <c r="S81" i="13"/>
  <c r="S82" i="13"/>
  <c r="S83" i="13"/>
  <c r="S84" i="13"/>
  <c r="S85" i="13"/>
  <c r="S86" i="13"/>
  <c r="S87" i="13"/>
  <c r="S88" i="13"/>
  <c r="S89" i="13"/>
  <c r="S90" i="13"/>
  <c r="S91" i="13"/>
  <c r="S92" i="13"/>
  <c r="S93" i="13"/>
  <c r="S94" i="13"/>
  <c r="S95" i="13"/>
  <c r="S96" i="13"/>
  <c r="S97" i="13"/>
  <c r="S98" i="13"/>
  <c r="S99" i="13"/>
  <c r="S100" i="13"/>
  <c r="S101" i="13"/>
  <c r="S102" i="13"/>
  <c r="S103" i="13"/>
  <c r="S104" i="13"/>
  <c r="S105" i="13"/>
  <c r="S106" i="13"/>
  <c r="S107" i="13"/>
  <c r="S108" i="13"/>
  <c r="S109" i="13"/>
  <c r="S110" i="13"/>
  <c r="S111" i="13"/>
  <c r="S112" i="13"/>
  <c r="S113" i="13"/>
  <c r="S114" i="13"/>
  <c r="S115" i="13"/>
  <c r="S116" i="13"/>
  <c r="S117" i="13"/>
  <c r="S118" i="13"/>
  <c r="S119" i="13"/>
  <c r="S120" i="13"/>
  <c r="S121" i="13"/>
  <c r="S122" i="13"/>
  <c r="S123" i="13"/>
  <c r="S124" i="13"/>
  <c r="S125" i="13"/>
  <c r="S126" i="13"/>
  <c r="S127" i="13"/>
  <c r="S128" i="13"/>
  <c r="S129" i="13"/>
  <c r="S130" i="13"/>
  <c r="S131" i="13"/>
  <c r="S132" i="13"/>
  <c r="S133" i="13"/>
  <c r="S134" i="13"/>
  <c r="S135" i="13"/>
  <c r="S136" i="13"/>
  <c r="S137" i="13"/>
  <c r="S138" i="13"/>
  <c r="S139" i="13"/>
  <c r="S140" i="13"/>
  <c r="S141" i="13"/>
  <c r="S142" i="13"/>
  <c r="S143" i="13"/>
  <c r="S144" i="13"/>
  <c r="S145" i="13"/>
  <c r="S146" i="13"/>
  <c r="S147" i="13"/>
  <c r="S148" i="13"/>
  <c r="S149" i="13"/>
  <c r="S150" i="13"/>
  <c r="S151" i="13"/>
  <c r="S152" i="13"/>
  <c r="S153" i="13"/>
  <c r="S154" i="13"/>
  <c r="S155" i="13"/>
  <c r="S156" i="13"/>
  <c r="S157" i="13"/>
  <c r="S158" i="13"/>
  <c r="S159" i="13"/>
  <c r="S160" i="13"/>
  <c r="S161" i="13"/>
  <c r="S162" i="13"/>
  <c r="S163" i="13"/>
  <c r="S164" i="13"/>
  <c r="S165" i="13"/>
  <c r="S166" i="13"/>
  <c r="S167" i="13"/>
  <c r="S168" i="13"/>
  <c r="S169" i="13"/>
  <c r="S170" i="13"/>
  <c r="S171" i="13"/>
  <c r="S172" i="13"/>
  <c r="S173" i="13"/>
  <c r="S174" i="13"/>
  <c r="S175" i="13"/>
  <c r="S176" i="13"/>
  <c r="S177" i="13"/>
  <c r="S178" i="13"/>
  <c r="S179" i="13"/>
  <c r="S180" i="13"/>
  <c r="Y8" i="13"/>
  <c r="Y9" i="13"/>
  <c r="Y10" i="13"/>
  <c r="Y11" i="13"/>
  <c r="Y12" i="13"/>
  <c r="Y13" i="13"/>
  <c r="Y14" i="13"/>
  <c r="Y15" i="13"/>
  <c r="Y16" i="13"/>
  <c r="Y17" i="13"/>
  <c r="Y18" i="13"/>
  <c r="Y19" i="13"/>
  <c r="Y20" i="13"/>
  <c r="Y21" i="13"/>
  <c r="Y22" i="13"/>
  <c r="Y23" i="13"/>
  <c r="Y24" i="13"/>
  <c r="Y25" i="13"/>
  <c r="Y26" i="13"/>
  <c r="Y27" i="13"/>
  <c r="Y28" i="13"/>
  <c r="Y29" i="13"/>
  <c r="Y30" i="13"/>
  <c r="Y31" i="13"/>
  <c r="Y32" i="13"/>
  <c r="Y33" i="13"/>
  <c r="Y34" i="13"/>
  <c r="Y35" i="13"/>
  <c r="Y36" i="13"/>
  <c r="Y37" i="13"/>
  <c r="Y38" i="13"/>
  <c r="Y39" i="13"/>
  <c r="Y40" i="13"/>
  <c r="Y41" i="13"/>
  <c r="Y42" i="13"/>
  <c r="Y43" i="13"/>
  <c r="Y44" i="13"/>
  <c r="Y45" i="13"/>
  <c r="Y46" i="13"/>
  <c r="Y47" i="13"/>
  <c r="Y48" i="13"/>
  <c r="Y49" i="13"/>
  <c r="Y50" i="13"/>
  <c r="Y51" i="13"/>
  <c r="Y52" i="13"/>
  <c r="Y53" i="13"/>
  <c r="Y54" i="13"/>
  <c r="Y55" i="13"/>
  <c r="Y56" i="13"/>
  <c r="Y57" i="13"/>
  <c r="Y58" i="13"/>
  <c r="Y59" i="13"/>
  <c r="Y60" i="13"/>
  <c r="Y61" i="13"/>
  <c r="Y62" i="13"/>
  <c r="Y63" i="13"/>
  <c r="Y64" i="13"/>
  <c r="Y65" i="13"/>
  <c r="Y66" i="13"/>
  <c r="Y67" i="13"/>
  <c r="Y68" i="13"/>
  <c r="Y69" i="13"/>
  <c r="Y70" i="13"/>
  <c r="Y71" i="13"/>
  <c r="Y72" i="13"/>
  <c r="Y73" i="13"/>
  <c r="Y74" i="13"/>
  <c r="Y75" i="13"/>
  <c r="Y76" i="13"/>
  <c r="Y77" i="13"/>
  <c r="Y78" i="13"/>
  <c r="Y79" i="13"/>
  <c r="Y80" i="13"/>
  <c r="Y81" i="13"/>
  <c r="Y82" i="13"/>
  <c r="Y83" i="13"/>
  <c r="Y84" i="13"/>
  <c r="Y85" i="13"/>
  <c r="Y86" i="13"/>
  <c r="Y87" i="13"/>
  <c r="Y88" i="13"/>
  <c r="Y89" i="13"/>
  <c r="Y90" i="13"/>
  <c r="Y91" i="13"/>
  <c r="Y92" i="13"/>
  <c r="Y93" i="13"/>
  <c r="Y94" i="13"/>
  <c r="Y95" i="13"/>
  <c r="Y96" i="13"/>
  <c r="Y97" i="13"/>
  <c r="Y98" i="13"/>
  <c r="Y99" i="13"/>
  <c r="Y100" i="13"/>
  <c r="Y101" i="13"/>
  <c r="Y102" i="13"/>
  <c r="Y103" i="13"/>
  <c r="Y104" i="13"/>
  <c r="Y105" i="13"/>
  <c r="Y106" i="13"/>
  <c r="Y107" i="13"/>
  <c r="Y108" i="13"/>
  <c r="Y109" i="13"/>
  <c r="Y110" i="13"/>
  <c r="Y111" i="13"/>
  <c r="Y112" i="13"/>
  <c r="Y113" i="13"/>
  <c r="Y114" i="13"/>
  <c r="Y115" i="13"/>
  <c r="Y116" i="13"/>
  <c r="Y117" i="13"/>
  <c r="Y118" i="13"/>
  <c r="Y119" i="13"/>
  <c r="Y120" i="13"/>
  <c r="Y121" i="13"/>
  <c r="Y122" i="13"/>
  <c r="Y123" i="13"/>
  <c r="Y124" i="13"/>
  <c r="Y125" i="13"/>
  <c r="Y126" i="13"/>
  <c r="Y127" i="13"/>
  <c r="Y128" i="13"/>
  <c r="Y129" i="13"/>
  <c r="Y130" i="13"/>
  <c r="Y131" i="13"/>
  <c r="Y132" i="13"/>
  <c r="Y133" i="13"/>
  <c r="Y134" i="13"/>
  <c r="Y135" i="13"/>
  <c r="Y136" i="13"/>
  <c r="Y137" i="13"/>
  <c r="Y138" i="13"/>
  <c r="Y139" i="13"/>
  <c r="Y140" i="13"/>
  <c r="Y141" i="13"/>
  <c r="Y142" i="13"/>
  <c r="Y143" i="13"/>
  <c r="Y144" i="13"/>
  <c r="Y145" i="13"/>
  <c r="Y146" i="13"/>
  <c r="Y147" i="13"/>
  <c r="Y148" i="13"/>
  <c r="Y149" i="13"/>
  <c r="Y150" i="13"/>
  <c r="Y151" i="13"/>
  <c r="Y152" i="13"/>
  <c r="Y153" i="13"/>
  <c r="Y154" i="13"/>
  <c r="Y155" i="13"/>
  <c r="Y156" i="13"/>
  <c r="Y157" i="13"/>
  <c r="Y158" i="13"/>
  <c r="Y159" i="13"/>
  <c r="Y160" i="13"/>
  <c r="Y161" i="13"/>
  <c r="Y162" i="13"/>
  <c r="Y163" i="13"/>
  <c r="Y164" i="13"/>
  <c r="Y165" i="13"/>
  <c r="Y166" i="13"/>
  <c r="Y167" i="13"/>
  <c r="Y168" i="13"/>
  <c r="Y169" i="13"/>
  <c r="Y170" i="13"/>
  <c r="Y171" i="13"/>
  <c r="Y172" i="13"/>
  <c r="Y173" i="13"/>
  <c r="Y174" i="13"/>
  <c r="Y175" i="13"/>
  <c r="Y176" i="13"/>
  <c r="Y177" i="13"/>
  <c r="Y178" i="13"/>
  <c r="Y179" i="13"/>
  <c r="Y180" i="13"/>
  <c r="W8" i="13"/>
  <c r="W9" i="13"/>
  <c r="W10" i="13"/>
  <c r="W11" i="13"/>
  <c r="W12" i="13"/>
  <c r="W13" i="13"/>
  <c r="W14" i="13"/>
  <c r="W15" i="13"/>
  <c r="W16" i="13"/>
  <c r="W17" i="13"/>
  <c r="W18" i="13"/>
  <c r="W19" i="13"/>
  <c r="W20" i="13"/>
  <c r="W21" i="13"/>
  <c r="W22" i="13"/>
  <c r="W23" i="13"/>
  <c r="W24" i="13"/>
  <c r="W25" i="13"/>
  <c r="W26" i="13"/>
  <c r="W27" i="13"/>
  <c r="W28" i="13"/>
  <c r="W29" i="13"/>
  <c r="W30" i="13"/>
  <c r="W31" i="13"/>
  <c r="W32" i="13"/>
  <c r="W33" i="13"/>
  <c r="W34" i="13"/>
  <c r="W35" i="13"/>
  <c r="W36" i="13"/>
  <c r="W37" i="13"/>
  <c r="W38" i="13"/>
  <c r="W39" i="13"/>
  <c r="W40" i="13"/>
  <c r="W41" i="13"/>
  <c r="W42" i="13"/>
  <c r="W43" i="13"/>
  <c r="W44" i="13"/>
  <c r="W45" i="13"/>
  <c r="W46" i="13"/>
  <c r="W47" i="13"/>
  <c r="W48" i="13"/>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148" i="13"/>
  <c r="W149" i="13"/>
  <c r="W150" i="13"/>
  <c r="W151" i="13"/>
  <c r="W152" i="13"/>
  <c r="W153" i="13"/>
  <c r="W154" i="13"/>
  <c r="W155" i="13"/>
  <c r="W156" i="13"/>
  <c r="W157" i="13"/>
  <c r="W158" i="13"/>
  <c r="W159" i="13"/>
  <c r="W160" i="13"/>
  <c r="W161" i="13"/>
  <c r="W162" i="13"/>
  <c r="W163" i="13"/>
  <c r="W164" i="13"/>
  <c r="W165" i="13"/>
  <c r="W166" i="13"/>
  <c r="W167" i="13"/>
  <c r="W168" i="13"/>
  <c r="W169" i="13"/>
  <c r="W170" i="13"/>
  <c r="W171" i="13"/>
  <c r="W172" i="13"/>
  <c r="W173" i="13"/>
  <c r="W174" i="13"/>
  <c r="W175" i="13"/>
  <c r="W176" i="13"/>
  <c r="W177" i="13"/>
  <c r="W178" i="13"/>
  <c r="W179" i="13"/>
  <c r="W180" i="13"/>
  <c r="V8" i="13"/>
  <c r="V9" i="13"/>
  <c r="V10" i="13"/>
  <c r="V11" i="13"/>
  <c r="V12" i="13"/>
  <c r="V13" i="13"/>
  <c r="V14" i="13"/>
  <c r="V15" i="13"/>
  <c r="V16" i="13"/>
  <c r="V17" i="13"/>
  <c r="V18" i="13"/>
  <c r="V19" i="13"/>
  <c r="V20" i="13"/>
  <c r="V21" i="13"/>
  <c r="V22" i="13"/>
  <c r="V23" i="13"/>
  <c r="V24" i="13"/>
  <c r="V25" i="13"/>
  <c r="V26" i="13"/>
  <c r="V27" i="13"/>
  <c r="V28" i="13"/>
  <c r="V29" i="13"/>
  <c r="V30" i="13"/>
  <c r="V31" i="13"/>
  <c r="V32" i="13"/>
  <c r="V33" i="13"/>
  <c r="V34" i="13"/>
  <c r="V35" i="13"/>
  <c r="V36" i="13"/>
  <c r="V37" i="13"/>
  <c r="V38" i="13"/>
  <c r="V39" i="13"/>
  <c r="V40" i="13"/>
  <c r="V41" i="13"/>
  <c r="V42" i="13"/>
  <c r="V43" i="13"/>
  <c r="V44" i="13"/>
  <c r="V45" i="13"/>
  <c r="V46" i="13"/>
  <c r="V47" i="13"/>
  <c r="V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148" i="13"/>
  <c r="V149" i="13"/>
  <c r="V150" i="13"/>
  <c r="V151" i="13"/>
  <c r="V152" i="13"/>
  <c r="V153" i="13"/>
  <c r="V154" i="13"/>
  <c r="V155" i="13"/>
  <c r="V156" i="13"/>
  <c r="V157" i="13"/>
  <c r="V158" i="13"/>
  <c r="V159" i="13"/>
  <c r="V160" i="13"/>
  <c r="V161" i="13"/>
  <c r="V162" i="13"/>
  <c r="V163" i="13"/>
  <c r="V164" i="13"/>
  <c r="V165" i="13"/>
  <c r="V166" i="13"/>
  <c r="V167" i="13"/>
  <c r="V168" i="13"/>
  <c r="V169" i="13"/>
  <c r="V170" i="13"/>
  <c r="V171" i="13"/>
  <c r="V172" i="13"/>
  <c r="V173" i="13"/>
  <c r="V174" i="13"/>
  <c r="V175" i="13"/>
  <c r="V176" i="13"/>
  <c r="V177" i="13"/>
  <c r="V178" i="13"/>
  <c r="V179" i="13"/>
  <c r="V180" i="13"/>
  <c r="X8" i="13"/>
  <c r="X9" i="13"/>
  <c r="X10" i="13"/>
  <c r="X11" i="13"/>
  <c r="X12" i="13"/>
  <c r="X13" i="13"/>
  <c r="X14" i="13"/>
  <c r="X15" i="13"/>
  <c r="X16" i="13"/>
  <c r="X17" i="13"/>
  <c r="X18" i="13"/>
  <c r="X19" i="13"/>
  <c r="X20" i="13"/>
  <c r="X21" i="13"/>
  <c r="X22" i="13"/>
  <c r="X23" i="13"/>
  <c r="X24" i="13"/>
  <c r="X25" i="13"/>
  <c r="X26" i="13"/>
  <c r="X27" i="13"/>
  <c r="X28" i="13"/>
  <c r="X29" i="13"/>
  <c r="X30" i="13"/>
  <c r="X31" i="13"/>
  <c r="X32" i="13"/>
  <c r="X33" i="13"/>
  <c r="X34" i="13"/>
  <c r="X35" i="13"/>
  <c r="X36" i="13"/>
  <c r="X37" i="13"/>
  <c r="X38" i="13"/>
  <c r="X39" i="13"/>
  <c r="X40" i="13"/>
  <c r="X41" i="13"/>
  <c r="X42" i="13"/>
  <c r="X43" i="13"/>
  <c r="X44" i="13"/>
  <c r="X45" i="13"/>
  <c r="X46" i="13"/>
  <c r="X47" i="13"/>
  <c r="X48" i="13"/>
  <c r="X49" i="13"/>
  <c r="X50" i="13"/>
  <c r="X51" i="13"/>
  <c r="X52" i="13"/>
  <c r="X53" i="13"/>
  <c r="X54" i="13"/>
  <c r="X55" i="13"/>
  <c r="X56" i="13"/>
  <c r="X57" i="13"/>
  <c r="X58" i="13"/>
  <c r="X59" i="13"/>
  <c r="X60" i="13"/>
  <c r="X61" i="13"/>
  <c r="X62" i="13"/>
  <c r="X63" i="13"/>
  <c r="X64" i="13"/>
  <c r="X65" i="13"/>
  <c r="X66" i="13"/>
  <c r="X67" i="13"/>
  <c r="X68" i="13"/>
  <c r="X69" i="13"/>
  <c r="X70" i="13"/>
  <c r="X71" i="13"/>
  <c r="X72" i="13"/>
  <c r="X73" i="13"/>
  <c r="X74" i="13"/>
  <c r="X75" i="13"/>
  <c r="X76" i="13"/>
  <c r="X77" i="13"/>
  <c r="X78" i="13"/>
  <c r="X79" i="13"/>
  <c r="X80" i="13"/>
  <c r="X81" i="13"/>
  <c r="X82" i="13"/>
  <c r="X83" i="13"/>
  <c r="X84" i="13"/>
  <c r="X85" i="13"/>
  <c r="X86" i="13"/>
  <c r="X87" i="13"/>
  <c r="X88" i="13"/>
  <c r="X89" i="13"/>
  <c r="X90" i="13"/>
  <c r="X91" i="13"/>
  <c r="X92" i="13"/>
  <c r="X93" i="13"/>
  <c r="X94" i="13"/>
  <c r="X95" i="13"/>
  <c r="X96" i="13"/>
  <c r="X97" i="13"/>
  <c r="X98" i="13"/>
  <c r="X99" i="13"/>
  <c r="X100" i="13"/>
  <c r="X101" i="13"/>
  <c r="X102" i="13"/>
  <c r="X103" i="13"/>
  <c r="X104" i="13"/>
  <c r="X105" i="13"/>
  <c r="X106" i="13"/>
  <c r="X107" i="13"/>
  <c r="X108" i="13"/>
  <c r="X109" i="13"/>
  <c r="X110" i="13"/>
  <c r="X111" i="13"/>
  <c r="X112" i="13"/>
  <c r="X113" i="13"/>
  <c r="X114" i="13"/>
  <c r="X115" i="13"/>
  <c r="X116" i="13"/>
  <c r="X117" i="13"/>
  <c r="X118" i="13"/>
  <c r="X119" i="13"/>
  <c r="X120" i="13"/>
  <c r="X121" i="13"/>
  <c r="X122" i="13"/>
  <c r="X123" i="13"/>
  <c r="X124" i="13"/>
  <c r="X125" i="13"/>
  <c r="X126" i="13"/>
  <c r="X127" i="13"/>
  <c r="X128" i="13"/>
  <c r="X129" i="13"/>
  <c r="X130" i="13"/>
  <c r="X131" i="13"/>
  <c r="X132" i="13"/>
  <c r="X133" i="13"/>
  <c r="X134" i="13"/>
  <c r="X135" i="13"/>
  <c r="X136" i="13"/>
  <c r="X137" i="13"/>
  <c r="X138" i="13"/>
  <c r="X139" i="13"/>
  <c r="X140" i="13"/>
  <c r="X141" i="13"/>
  <c r="X142" i="13"/>
  <c r="X143" i="13"/>
  <c r="X144" i="13"/>
  <c r="X145" i="13"/>
  <c r="X146" i="13"/>
  <c r="X147" i="13"/>
  <c r="X148" i="13"/>
  <c r="X149" i="13"/>
  <c r="X150" i="13"/>
  <c r="X151" i="13"/>
  <c r="X152" i="13"/>
  <c r="X153" i="13"/>
  <c r="X154" i="13"/>
  <c r="X155" i="13"/>
  <c r="X156" i="13"/>
  <c r="X157" i="13"/>
  <c r="X158" i="13"/>
  <c r="X159" i="13"/>
  <c r="X160" i="13"/>
  <c r="X161" i="13"/>
  <c r="X162" i="13"/>
  <c r="X163" i="13"/>
  <c r="X164" i="13"/>
  <c r="X165" i="13"/>
  <c r="X166" i="13"/>
  <c r="X167" i="13"/>
  <c r="X168" i="13"/>
  <c r="X169" i="13"/>
  <c r="X170" i="13"/>
  <c r="X171" i="13"/>
  <c r="X172" i="13"/>
  <c r="X173" i="13"/>
  <c r="X174" i="13"/>
  <c r="X175" i="13"/>
  <c r="X176" i="13"/>
  <c r="X177" i="13"/>
  <c r="X178" i="13"/>
  <c r="X179" i="13"/>
  <c r="X180" i="13"/>
  <c r="T8" i="13"/>
  <c r="T9" i="13"/>
  <c r="T10" i="13"/>
  <c r="T11" i="13"/>
  <c r="T12" i="13"/>
  <c r="T13" i="13"/>
  <c r="T14" i="13"/>
  <c r="T15" i="13"/>
  <c r="T16" i="13"/>
  <c r="T17" i="13"/>
  <c r="T18" i="13"/>
  <c r="T19" i="13"/>
  <c r="T20" i="13"/>
  <c r="T21" i="13"/>
  <c r="T22" i="13"/>
  <c r="T23" i="13"/>
  <c r="T24" i="13"/>
  <c r="T25" i="13"/>
  <c r="T26" i="13"/>
  <c r="T27" i="13"/>
  <c r="T28" i="13"/>
  <c r="T29" i="13"/>
  <c r="T30" i="13"/>
  <c r="T31" i="13"/>
  <c r="T32" i="13"/>
  <c r="T33" i="13"/>
  <c r="T34" i="13"/>
  <c r="T35" i="13"/>
  <c r="T36" i="13"/>
  <c r="T37" i="13"/>
  <c r="T38" i="13"/>
  <c r="T39" i="13"/>
  <c r="T40" i="13"/>
  <c r="T41" i="13"/>
  <c r="T42" i="13"/>
  <c r="T43" i="13"/>
  <c r="T44" i="13"/>
  <c r="T45" i="13"/>
  <c r="T46" i="13"/>
  <c r="T47" i="13"/>
  <c r="T48" i="13"/>
  <c r="T49" i="13"/>
  <c r="T50" i="13"/>
  <c r="T51" i="13"/>
  <c r="T52" i="13"/>
  <c r="T53" i="13"/>
  <c r="T54" i="13"/>
  <c r="T55" i="13"/>
  <c r="T56" i="13"/>
  <c r="T57" i="13"/>
  <c r="T58" i="13"/>
  <c r="T59" i="13"/>
  <c r="T60" i="13"/>
  <c r="T61" i="13"/>
  <c r="T62" i="13"/>
  <c r="T63" i="13"/>
  <c r="T64" i="13"/>
  <c r="T65" i="13"/>
  <c r="T66" i="13"/>
  <c r="T67" i="13"/>
  <c r="T68" i="13"/>
  <c r="T69" i="13"/>
  <c r="T70" i="13"/>
  <c r="T71" i="13"/>
  <c r="T72" i="13"/>
  <c r="T73" i="13"/>
  <c r="T74" i="13"/>
  <c r="T75" i="13"/>
  <c r="T76" i="13"/>
  <c r="T77" i="13"/>
  <c r="T78" i="13"/>
  <c r="U8" i="13"/>
  <c r="U9" i="13"/>
  <c r="U10" i="13"/>
  <c r="U11" i="13"/>
  <c r="U12" i="13"/>
  <c r="U13" i="13"/>
  <c r="U14" i="13"/>
  <c r="U15" i="13"/>
  <c r="U16" i="13"/>
  <c r="U17" i="13"/>
  <c r="U18" i="13"/>
  <c r="U19" i="13"/>
  <c r="U20" i="13"/>
  <c r="U21" i="13"/>
  <c r="U22" i="13"/>
  <c r="U23" i="13"/>
  <c r="U24" i="13"/>
  <c r="U25" i="13"/>
  <c r="U26" i="13"/>
  <c r="U27" i="13"/>
  <c r="U28" i="13"/>
  <c r="U29" i="13"/>
  <c r="U30" i="13"/>
  <c r="U31" i="13"/>
  <c r="U32" i="13"/>
  <c r="U33" i="13"/>
  <c r="U34" i="13"/>
  <c r="U35" i="13"/>
  <c r="U36" i="13"/>
  <c r="U37" i="13"/>
  <c r="U38" i="13"/>
  <c r="U39" i="13"/>
  <c r="U40" i="13"/>
  <c r="U41" i="13"/>
  <c r="U42" i="13"/>
  <c r="U43" i="13"/>
  <c r="U44" i="13"/>
  <c r="U45" i="13"/>
  <c r="U46" i="13"/>
  <c r="U47" i="13"/>
  <c r="U48" i="13"/>
  <c r="U49" i="13"/>
  <c r="U50" i="13"/>
  <c r="U51" i="13"/>
  <c r="U52" i="13"/>
  <c r="U53" i="13"/>
  <c r="U54" i="13"/>
  <c r="U55" i="13"/>
  <c r="U56" i="13"/>
  <c r="U57" i="13"/>
  <c r="U58" i="13"/>
  <c r="U59" i="13"/>
  <c r="U60" i="13"/>
  <c r="U61" i="13"/>
  <c r="U62" i="13"/>
  <c r="U63" i="13"/>
  <c r="U64" i="13"/>
  <c r="U65" i="13"/>
  <c r="U66" i="13"/>
  <c r="U67" i="13"/>
  <c r="U68" i="13"/>
  <c r="U69" i="13"/>
  <c r="U70" i="13"/>
  <c r="U71" i="13"/>
  <c r="U72" i="13"/>
  <c r="U73" i="13"/>
  <c r="U74" i="13"/>
  <c r="U75" i="13"/>
  <c r="U76" i="13"/>
  <c r="U77" i="13"/>
  <c r="U78" i="13"/>
  <c r="M8" i="23"/>
  <c r="M9" i="23"/>
  <c r="M10" i="23"/>
  <c r="M11" i="23"/>
  <c r="M14" i="23"/>
  <c r="M15" i="23"/>
  <c r="M16" i="23"/>
  <c r="M17" i="23"/>
  <c r="M20" i="23"/>
  <c r="M21" i="23"/>
  <c r="M22" i="23"/>
  <c r="M23" i="23"/>
  <c r="M26" i="23"/>
  <c r="M27" i="23"/>
  <c r="M28" i="23"/>
  <c r="M29" i="23"/>
  <c r="M32" i="23"/>
  <c r="M33" i="23"/>
  <c r="M34" i="23"/>
  <c r="M35" i="23"/>
  <c r="M38" i="23"/>
  <c r="M39" i="23"/>
  <c r="M40" i="23"/>
  <c r="M41" i="23"/>
  <c r="M44" i="23"/>
  <c r="M45" i="23"/>
  <c r="M46" i="23"/>
  <c r="M47" i="23"/>
  <c r="M50" i="23"/>
  <c r="M51" i="23"/>
  <c r="M52" i="23"/>
  <c r="M53" i="23"/>
  <c r="M56" i="23"/>
  <c r="M57" i="23"/>
  <c r="M58" i="23"/>
  <c r="M59" i="23"/>
  <c r="M62" i="23"/>
  <c r="M63" i="23"/>
  <c r="M64" i="23"/>
  <c r="M65" i="23"/>
  <c r="M68" i="23"/>
  <c r="M69" i="23"/>
  <c r="M70" i="23"/>
  <c r="M71" i="23"/>
  <c r="M74" i="23"/>
  <c r="M75" i="23"/>
  <c r="M76" i="23"/>
  <c r="M77" i="23"/>
  <c r="K8" i="23"/>
  <c r="K9" i="23"/>
  <c r="K10" i="23"/>
  <c r="K11" i="23"/>
  <c r="N11" i="23" s="1"/>
  <c r="K12" i="23"/>
  <c r="M12" i="23" s="1"/>
  <c r="K13" i="23"/>
  <c r="M13" i="23" s="1"/>
  <c r="K14" i="23"/>
  <c r="K15" i="23"/>
  <c r="N15" i="23" s="1"/>
  <c r="K16" i="23"/>
  <c r="N16" i="23" s="1"/>
  <c r="K17" i="23"/>
  <c r="N17" i="23" s="1"/>
  <c r="K18" i="23"/>
  <c r="M18" i="23" s="1"/>
  <c r="K19" i="23"/>
  <c r="M19" i="23" s="1"/>
  <c r="K20" i="23"/>
  <c r="K21" i="23"/>
  <c r="N21" i="23" s="1"/>
  <c r="K22" i="23"/>
  <c r="N22" i="23" s="1"/>
  <c r="K23" i="23"/>
  <c r="N23" i="23" s="1"/>
  <c r="K24" i="23"/>
  <c r="N24" i="23" s="1"/>
  <c r="K25" i="23"/>
  <c r="M25" i="23" s="1"/>
  <c r="K26" i="23"/>
  <c r="K27" i="23"/>
  <c r="N27" i="23" s="1"/>
  <c r="K28" i="23"/>
  <c r="N28" i="23" s="1"/>
  <c r="K29" i="23"/>
  <c r="N29" i="23" s="1"/>
  <c r="K30" i="23"/>
  <c r="M30" i="23" s="1"/>
  <c r="K31" i="23"/>
  <c r="M31" i="23" s="1"/>
  <c r="K32" i="23"/>
  <c r="K33" i="23"/>
  <c r="N33" i="23" s="1"/>
  <c r="K34" i="23"/>
  <c r="N34" i="23" s="1"/>
  <c r="K35" i="23"/>
  <c r="N35" i="23" s="1"/>
  <c r="K36" i="23"/>
  <c r="M36" i="23" s="1"/>
  <c r="K37" i="23"/>
  <c r="M37" i="23" s="1"/>
  <c r="K38" i="23"/>
  <c r="K39" i="23"/>
  <c r="N39" i="23" s="1"/>
  <c r="K40" i="23"/>
  <c r="N40" i="23" s="1"/>
  <c r="K41" i="23"/>
  <c r="N41" i="23" s="1"/>
  <c r="K42" i="23"/>
  <c r="N42" i="23" s="1"/>
  <c r="K43" i="23"/>
  <c r="M43" i="23" s="1"/>
  <c r="K44" i="23"/>
  <c r="K45" i="23"/>
  <c r="N45" i="23" s="1"/>
  <c r="K46" i="23"/>
  <c r="N46" i="23" s="1"/>
  <c r="K47" i="23"/>
  <c r="N47" i="23" s="1"/>
  <c r="K48" i="23"/>
  <c r="M48" i="23" s="1"/>
  <c r="K49" i="23"/>
  <c r="M49" i="23" s="1"/>
  <c r="K50" i="23"/>
  <c r="K51" i="23"/>
  <c r="N51" i="23" s="1"/>
  <c r="K52" i="23"/>
  <c r="N52" i="23" s="1"/>
  <c r="K53" i="23"/>
  <c r="N53" i="23" s="1"/>
  <c r="K54" i="23"/>
  <c r="M54" i="23" s="1"/>
  <c r="K55" i="23"/>
  <c r="M55" i="23" s="1"/>
  <c r="K56" i="23"/>
  <c r="K57" i="23"/>
  <c r="N57" i="23" s="1"/>
  <c r="K58" i="23"/>
  <c r="N58" i="23" s="1"/>
  <c r="K59" i="23"/>
  <c r="N59" i="23" s="1"/>
  <c r="K60" i="23"/>
  <c r="N60" i="23" s="1"/>
  <c r="K61" i="23"/>
  <c r="M61" i="23" s="1"/>
  <c r="K62" i="23"/>
  <c r="K63" i="23"/>
  <c r="N63" i="23" s="1"/>
  <c r="K64" i="23"/>
  <c r="N64" i="23" s="1"/>
  <c r="K65" i="23"/>
  <c r="N65" i="23" s="1"/>
  <c r="K66" i="23"/>
  <c r="M66" i="23" s="1"/>
  <c r="K67" i="23"/>
  <c r="M67" i="23" s="1"/>
  <c r="K68" i="23"/>
  <c r="K69" i="23"/>
  <c r="N69" i="23" s="1"/>
  <c r="K70" i="23"/>
  <c r="N70" i="23" s="1"/>
  <c r="K71" i="23"/>
  <c r="N71" i="23" s="1"/>
  <c r="K72" i="23"/>
  <c r="M72" i="23" s="1"/>
  <c r="K73" i="23"/>
  <c r="M73" i="23" s="1"/>
  <c r="K74" i="23"/>
  <c r="K75" i="23"/>
  <c r="N75" i="23" s="1"/>
  <c r="K76" i="23"/>
  <c r="N76" i="23" s="1"/>
  <c r="K77" i="23"/>
  <c r="N77" i="23" s="1"/>
  <c r="K78" i="23"/>
  <c r="N78" i="23" s="1"/>
  <c r="J8" i="23"/>
  <c r="L8" i="23" s="1"/>
  <c r="J9" i="23"/>
  <c r="L9" i="23" s="1"/>
  <c r="J10" i="23"/>
  <c r="L10" i="23" s="1"/>
  <c r="J11" i="23"/>
  <c r="L11" i="23" s="1"/>
  <c r="J12" i="23"/>
  <c r="L12" i="23" s="1"/>
  <c r="J13" i="23"/>
  <c r="L13" i="23" s="1"/>
  <c r="J14" i="23"/>
  <c r="L14" i="23" s="1"/>
  <c r="J15" i="23"/>
  <c r="L15" i="23" s="1"/>
  <c r="J16" i="23"/>
  <c r="L16" i="23" s="1"/>
  <c r="J17" i="23"/>
  <c r="L17" i="23" s="1"/>
  <c r="J18" i="23"/>
  <c r="L18" i="23" s="1"/>
  <c r="J19" i="23"/>
  <c r="L19" i="23" s="1"/>
  <c r="J20" i="23"/>
  <c r="L20" i="23" s="1"/>
  <c r="J21" i="23"/>
  <c r="L21" i="23" s="1"/>
  <c r="J22" i="23"/>
  <c r="L22" i="23" s="1"/>
  <c r="J23" i="23"/>
  <c r="L23" i="23" s="1"/>
  <c r="J24" i="23"/>
  <c r="L24" i="23" s="1"/>
  <c r="J25" i="23"/>
  <c r="L25" i="23" s="1"/>
  <c r="J26" i="23"/>
  <c r="L26" i="23" s="1"/>
  <c r="J27" i="23"/>
  <c r="L27" i="23" s="1"/>
  <c r="J28" i="23"/>
  <c r="L28" i="23" s="1"/>
  <c r="J29" i="23"/>
  <c r="L29" i="23" s="1"/>
  <c r="J30" i="23"/>
  <c r="L30" i="23" s="1"/>
  <c r="J31" i="23"/>
  <c r="L31" i="23" s="1"/>
  <c r="J32" i="23"/>
  <c r="L32" i="23" s="1"/>
  <c r="J33" i="23"/>
  <c r="L33" i="23" s="1"/>
  <c r="J34" i="23"/>
  <c r="L34" i="23" s="1"/>
  <c r="J35" i="23"/>
  <c r="L35" i="23" s="1"/>
  <c r="J36" i="23"/>
  <c r="L36" i="23" s="1"/>
  <c r="J37" i="23"/>
  <c r="L37" i="23" s="1"/>
  <c r="J38" i="23"/>
  <c r="L38" i="23" s="1"/>
  <c r="J39" i="23"/>
  <c r="L39" i="23" s="1"/>
  <c r="J40" i="23"/>
  <c r="L40" i="23" s="1"/>
  <c r="J41" i="23"/>
  <c r="L41" i="23" s="1"/>
  <c r="J42" i="23"/>
  <c r="L42" i="23" s="1"/>
  <c r="J43" i="23"/>
  <c r="L43" i="23" s="1"/>
  <c r="J44" i="23"/>
  <c r="L44" i="23" s="1"/>
  <c r="J45" i="23"/>
  <c r="L45" i="23" s="1"/>
  <c r="J46" i="23"/>
  <c r="L46" i="23" s="1"/>
  <c r="J47" i="23"/>
  <c r="L47" i="23" s="1"/>
  <c r="J48" i="23"/>
  <c r="L48" i="23" s="1"/>
  <c r="J49" i="23"/>
  <c r="L49" i="23" s="1"/>
  <c r="J50" i="23"/>
  <c r="L50" i="23" s="1"/>
  <c r="J51" i="23"/>
  <c r="L51" i="23" s="1"/>
  <c r="J52" i="23"/>
  <c r="L52" i="23" s="1"/>
  <c r="J53" i="23"/>
  <c r="L53" i="23" s="1"/>
  <c r="J54" i="23"/>
  <c r="L54" i="23" s="1"/>
  <c r="J55" i="23"/>
  <c r="L55" i="23" s="1"/>
  <c r="J56" i="23"/>
  <c r="L56" i="23" s="1"/>
  <c r="J57" i="23"/>
  <c r="L57" i="23" s="1"/>
  <c r="J58" i="23"/>
  <c r="L58" i="23" s="1"/>
  <c r="J59" i="23"/>
  <c r="L59" i="23" s="1"/>
  <c r="J60" i="23"/>
  <c r="L60" i="23" s="1"/>
  <c r="J61" i="23"/>
  <c r="L61" i="23" s="1"/>
  <c r="J62" i="23"/>
  <c r="L62" i="23" s="1"/>
  <c r="J63" i="23"/>
  <c r="L63" i="23" s="1"/>
  <c r="J64" i="23"/>
  <c r="L64" i="23" s="1"/>
  <c r="J65" i="23"/>
  <c r="L65" i="23" s="1"/>
  <c r="J66" i="23"/>
  <c r="L66" i="23" s="1"/>
  <c r="J67" i="23"/>
  <c r="L67" i="23" s="1"/>
  <c r="J68" i="23"/>
  <c r="L68" i="23" s="1"/>
  <c r="J69" i="23"/>
  <c r="L69" i="23" s="1"/>
  <c r="J70" i="23"/>
  <c r="L70" i="23" s="1"/>
  <c r="J71" i="23"/>
  <c r="L71" i="23" s="1"/>
  <c r="J72" i="23"/>
  <c r="L72" i="23" s="1"/>
  <c r="J73" i="23"/>
  <c r="L73" i="23" s="1"/>
  <c r="J74" i="23"/>
  <c r="L74" i="23" s="1"/>
  <c r="J75" i="23"/>
  <c r="L75" i="23" s="1"/>
  <c r="J76" i="23"/>
  <c r="L76" i="23" s="1"/>
  <c r="J77" i="23"/>
  <c r="L77" i="23" s="1"/>
  <c r="J78" i="23"/>
  <c r="L78" i="23" s="1"/>
  <c r="P9" i="23"/>
  <c r="P10" i="23"/>
  <c r="P11" i="23"/>
  <c r="P12" i="23"/>
  <c r="P13" i="23"/>
  <c r="P14" i="23"/>
  <c r="P15" i="23"/>
  <c r="P16" i="23"/>
  <c r="P17" i="23"/>
  <c r="P18" i="23"/>
  <c r="P19" i="23"/>
  <c r="P20" i="23"/>
  <c r="P21" i="23"/>
  <c r="P22" i="23"/>
  <c r="P23" i="23"/>
  <c r="P24" i="23"/>
  <c r="P25" i="23"/>
  <c r="P26" i="23"/>
  <c r="P27" i="23"/>
  <c r="P28" i="23"/>
  <c r="P29" i="23"/>
  <c r="P30" i="23"/>
  <c r="P31" i="23"/>
  <c r="P32" i="23"/>
  <c r="P33" i="23"/>
  <c r="P34" i="23"/>
  <c r="P35" i="23"/>
  <c r="P36" i="23"/>
  <c r="P37" i="23"/>
  <c r="P38" i="23"/>
  <c r="P39" i="23"/>
  <c r="P40" i="23"/>
  <c r="P41" i="23"/>
  <c r="P42" i="23"/>
  <c r="P43" i="23"/>
  <c r="P44" i="23"/>
  <c r="P45" i="23"/>
  <c r="P46" i="23"/>
  <c r="P47" i="23"/>
  <c r="P48" i="23"/>
  <c r="P49" i="23"/>
  <c r="P50" i="23"/>
  <c r="P51" i="23"/>
  <c r="P52" i="23"/>
  <c r="P53" i="23"/>
  <c r="P54" i="23"/>
  <c r="P55" i="23"/>
  <c r="P56" i="23"/>
  <c r="P57" i="23"/>
  <c r="P58" i="23"/>
  <c r="P59" i="23"/>
  <c r="P60" i="23"/>
  <c r="P61" i="23"/>
  <c r="P62" i="23"/>
  <c r="P63" i="23"/>
  <c r="P64" i="23"/>
  <c r="P65" i="23"/>
  <c r="P66" i="23"/>
  <c r="P67" i="23"/>
  <c r="P68" i="23"/>
  <c r="P69" i="23"/>
  <c r="P70" i="23"/>
  <c r="P71" i="23"/>
  <c r="P72" i="23"/>
  <c r="P73" i="23"/>
  <c r="P74" i="23"/>
  <c r="P75" i="23"/>
  <c r="P76" i="23"/>
  <c r="P77" i="23"/>
  <c r="P78" i="23"/>
  <c r="P8" i="23"/>
  <c r="N13" i="23"/>
  <c r="N14" i="23"/>
  <c r="N19" i="23"/>
  <c r="N20" i="23"/>
  <c r="N25" i="23"/>
  <c r="N26" i="23"/>
  <c r="N31" i="23"/>
  <c r="N32" i="23"/>
  <c r="N37" i="23"/>
  <c r="N38" i="23"/>
  <c r="N43" i="23"/>
  <c r="N44" i="23"/>
  <c r="N49" i="23"/>
  <c r="N50" i="23"/>
  <c r="N55" i="23"/>
  <c r="N56" i="23"/>
  <c r="N61" i="23"/>
  <c r="N62" i="23"/>
  <c r="N67" i="23"/>
  <c r="N68" i="23"/>
  <c r="N73" i="23"/>
  <c r="N74" i="23"/>
  <c r="N9" i="23"/>
  <c r="N10" i="23"/>
  <c r="N8" i="23"/>
  <c r="M6" i="23"/>
  <c r="I11" i="23"/>
  <c r="I12" i="23"/>
  <c r="I13" i="23"/>
  <c r="I14" i="23" s="1"/>
  <c r="I15" i="23" s="1"/>
  <c r="I16" i="23" s="1"/>
  <c r="I17" i="23" s="1"/>
  <c r="I18" i="23" s="1"/>
  <c r="I19" i="23" s="1"/>
  <c r="I20" i="23" s="1"/>
  <c r="I21" i="23" s="1"/>
  <c r="I22" i="23" s="1"/>
  <c r="I23" i="23" s="1"/>
  <c r="I24" i="23" s="1"/>
  <c r="I25" i="23" s="1"/>
  <c r="I26" i="23" s="1"/>
  <c r="I27" i="23" s="1"/>
  <c r="I28" i="23" s="1"/>
  <c r="I29" i="23" s="1"/>
  <c r="I30" i="23" s="1"/>
  <c r="I31" i="23" s="1"/>
  <c r="I32" i="23" s="1"/>
  <c r="I33" i="23" s="1"/>
  <c r="I34" i="23" s="1"/>
  <c r="I35" i="23" s="1"/>
  <c r="I36" i="23" s="1"/>
  <c r="I37" i="23" s="1"/>
  <c r="I38" i="23" s="1"/>
  <c r="I39" i="23" s="1"/>
  <c r="I40" i="23" s="1"/>
  <c r="I41" i="23" s="1"/>
  <c r="I42" i="23" s="1"/>
  <c r="I43" i="23" s="1"/>
  <c r="I44" i="23" s="1"/>
  <c r="I45" i="23" s="1"/>
  <c r="I46" i="23" s="1"/>
  <c r="I47" i="23" s="1"/>
  <c r="I48" i="23" s="1"/>
  <c r="I49" i="23" s="1"/>
  <c r="I50" i="23" s="1"/>
  <c r="I51" i="23" s="1"/>
  <c r="I52" i="23" s="1"/>
  <c r="I53" i="23" s="1"/>
  <c r="I54" i="23" s="1"/>
  <c r="I55" i="23" s="1"/>
  <c r="I56" i="23" s="1"/>
  <c r="I57" i="23" s="1"/>
  <c r="I58" i="23" s="1"/>
  <c r="I59" i="23" s="1"/>
  <c r="I60" i="23" s="1"/>
  <c r="I61" i="23" s="1"/>
  <c r="I62" i="23" s="1"/>
  <c r="I63" i="23" s="1"/>
  <c r="I64" i="23" s="1"/>
  <c r="I65" i="23" s="1"/>
  <c r="I66" i="23" s="1"/>
  <c r="I67" i="23" s="1"/>
  <c r="I68" i="23" s="1"/>
  <c r="I69" i="23" s="1"/>
  <c r="I70" i="23" s="1"/>
  <c r="I71" i="23" s="1"/>
  <c r="I72" i="23" s="1"/>
  <c r="I73" i="23" s="1"/>
  <c r="I74" i="23" s="1"/>
  <c r="I75" i="23" s="1"/>
  <c r="I76" i="23" s="1"/>
  <c r="I77" i="23" s="1"/>
  <c r="I78" i="23" s="1"/>
  <c r="I10" i="23"/>
  <c r="I9" i="23"/>
  <c r="E128" i="23"/>
  <c r="G128" i="23" s="1"/>
  <c r="E127" i="23"/>
  <c r="G127" i="23" s="1"/>
  <c r="E126" i="23"/>
  <c r="G126" i="23" s="1"/>
  <c r="E125" i="23"/>
  <c r="G125" i="23" s="1"/>
  <c r="E124" i="23"/>
  <c r="G124" i="23" s="1"/>
  <c r="E123" i="23"/>
  <c r="G123" i="23" s="1"/>
  <c r="E122" i="23"/>
  <c r="G122" i="23" s="1"/>
  <c r="E121" i="23"/>
  <c r="G121" i="23" s="1"/>
  <c r="E120" i="23"/>
  <c r="G120" i="23" s="1"/>
  <c r="E119" i="23"/>
  <c r="G119" i="23" s="1"/>
  <c r="E118" i="23"/>
  <c r="G118" i="23" s="1"/>
  <c r="E117" i="23"/>
  <c r="G117" i="23" s="1"/>
  <c r="E116" i="23"/>
  <c r="G116" i="23" s="1"/>
  <c r="E115" i="23"/>
  <c r="G115" i="23" s="1"/>
  <c r="E114" i="23"/>
  <c r="G114" i="23" s="1"/>
  <c r="E113" i="23"/>
  <c r="G113" i="23" s="1"/>
  <c r="E112" i="23"/>
  <c r="G112" i="23" s="1"/>
  <c r="E111" i="23"/>
  <c r="G111" i="23" s="1"/>
  <c r="E110" i="23"/>
  <c r="G110" i="23" s="1"/>
  <c r="E109" i="23"/>
  <c r="G109" i="23" s="1"/>
  <c r="E108" i="23"/>
  <c r="G108" i="23" s="1"/>
  <c r="E107" i="23"/>
  <c r="G107" i="23" s="1"/>
  <c r="E106" i="23"/>
  <c r="G106" i="23" s="1"/>
  <c r="E105" i="23"/>
  <c r="G105" i="23" s="1"/>
  <c r="E104" i="23"/>
  <c r="G104" i="23" s="1"/>
  <c r="E103" i="23"/>
  <c r="G103" i="23" s="1"/>
  <c r="E102" i="23"/>
  <c r="G102" i="23" s="1"/>
  <c r="E101" i="23"/>
  <c r="G101" i="23" s="1"/>
  <c r="E100" i="23"/>
  <c r="G100" i="23" s="1"/>
  <c r="E99" i="23"/>
  <c r="G99" i="23" s="1"/>
  <c r="E98" i="23"/>
  <c r="G98" i="23" s="1"/>
  <c r="E97" i="23"/>
  <c r="G97" i="23" s="1"/>
  <c r="E96" i="23"/>
  <c r="G96" i="23" s="1"/>
  <c r="E95" i="23"/>
  <c r="G95" i="23" s="1"/>
  <c r="E94" i="23"/>
  <c r="G94" i="23" s="1"/>
  <c r="E93" i="23"/>
  <c r="G93" i="23" s="1"/>
  <c r="E92" i="23"/>
  <c r="G92" i="23" s="1"/>
  <c r="E91" i="23"/>
  <c r="G91" i="23" s="1"/>
  <c r="E90" i="23"/>
  <c r="G90" i="23" s="1"/>
  <c r="E89" i="23"/>
  <c r="G89" i="23" s="1"/>
  <c r="E88" i="23"/>
  <c r="G88" i="23" s="1"/>
  <c r="E87" i="23"/>
  <c r="G87" i="23" s="1"/>
  <c r="E86" i="23"/>
  <c r="G86" i="23" s="1"/>
  <c r="E85" i="23"/>
  <c r="G85" i="23" s="1"/>
  <c r="E84" i="23"/>
  <c r="G84" i="23" s="1"/>
  <c r="E83" i="23"/>
  <c r="G83" i="23" s="1"/>
  <c r="E82" i="23"/>
  <c r="G82" i="23" s="1"/>
  <c r="E81" i="23"/>
  <c r="G81" i="23" s="1"/>
  <c r="E80" i="23"/>
  <c r="G80" i="23" s="1"/>
  <c r="E79" i="23"/>
  <c r="G79" i="23" s="1"/>
  <c r="E78" i="23"/>
  <c r="G78" i="23" s="1"/>
  <c r="E77" i="23"/>
  <c r="G77" i="23" s="1"/>
  <c r="E76" i="23"/>
  <c r="G76" i="23" s="1"/>
  <c r="E75" i="23"/>
  <c r="G75" i="23" s="1"/>
  <c r="E74" i="23"/>
  <c r="G74" i="23" s="1"/>
  <c r="E73" i="23"/>
  <c r="G73" i="23" s="1"/>
  <c r="E72" i="23"/>
  <c r="G72" i="23" s="1"/>
  <c r="E71" i="23"/>
  <c r="G71" i="23" s="1"/>
  <c r="E70" i="23"/>
  <c r="G70" i="23" s="1"/>
  <c r="E69" i="23"/>
  <c r="G69" i="23" s="1"/>
  <c r="E68" i="23"/>
  <c r="G68" i="23" s="1"/>
  <c r="E67" i="23"/>
  <c r="G67" i="23" s="1"/>
  <c r="E66" i="23"/>
  <c r="G66" i="23" s="1"/>
  <c r="E65" i="23"/>
  <c r="G65" i="23" s="1"/>
  <c r="E64" i="23"/>
  <c r="G64" i="23" s="1"/>
  <c r="E63" i="23"/>
  <c r="G63" i="23" s="1"/>
  <c r="E62" i="23"/>
  <c r="G62" i="23" s="1"/>
  <c r="E61" i="23"/>
  <c r="G61" i="23" s="1"/>
  <c r="E60" i="23"/>
  <c r="G60" i="23" s="1"/>
  <c r="E59" i="23"/>
  <c r="G59" i="23" s="1"/>
  <c r="E58" i="23"/>
  <c r="G58" i="23" s="1"/>
  <c r="E57" i="23"/>
  <c r="G57" i="23" s="1"/>
  <c r="E56" i="23"/>
  <c r="G56" i="23" s="1"/>
  <c r="E55" i="23"/>
  <c r="G55" i="23" s="1"/>
  <c r="E54" i="23"/>
  <c r="G54" i="23" s="1"/>
  <c r="E53" i="23"/>
  <c r="G53" i="23" s="1"/>
  <c r="E52" i="23"/>
  <c r="G52" i="23" s="1"/>
  <c r="E51" i="23"/>
  <c r="G51" i="23" s="1"/>
  <c r="E50" i="23"/>
  <c r="G50" i="23" s="1"/>
  <c r="E49" i="23"/>
  <c r="G49" i="23" s="1"/>
  <c r="E48" i="23"/>
  <c r="G48" i="23" s="1"/>
  <c r="E47" i="23"/>
  <c r="G47" i="23" s="1"/>
  <c r="E46" i="23"/>
  <c r="G46" i="23" s="1"/>
  <c r="E45" i="23"/>
  <c r="G45" i="23" s="1"/>
  <c r="E44" i="23"/>
  <c r="G44" i="23" s="1"/>
  <c r="E43" i="23"/>
  <c r="G43" i="23" s="1"/>
  <c r="E42" i="23"/>
  <c r="G42" i="23" s="1"/>
  <c r="E41" i="23"/>
  <c r="G41" i="23" s="1"/>
  <c r="E40" i="23"/>
  <c r="G40" i="23" s="1"/>
  <c r="E39" i="23"/>
  <c r="G39" i="23" s="1"/>
  <c r="E38" i="23"/>
  <c r="G38" i="23" s="1"/>
  <c r="E37" i="23"/>
  <c r="G37" i="23" s="1"/>
  <c r="E36" i="23"/>
  <c r="G36" i="23" s="1"/>
  <c r="E35" i="23"/>
  <c r="G35" i="23" s="1"/>
  <c r="E34" i="23"/>
  <c r="G34" i="23" s="1"/>
  <c r="E33" i="23"/>
  <c r="G33" i="23" s="1"/>
  <c r="E32" i="23"/>
  <c r="G32" i="23" s="1"/>
  <c r="E31" i="23"/>
  <c r="G31" i="23" s="1"/>
  <c r="E30" i="23"/>
  <c r="G30" i="23" s="1"/>
  <c r="E29" i="23"/>
  <c r="G29" i="23" s="1"/>
  <c r="E28" i="23"/>
  <c r="G28" i="23" s="1"/>
  <c r="E27" i="23"/>
  <c r="G27" i="23" s="1"/>
  <c r="E26" i="23"/>
  <c r="G26" i="23" s="1"/>
  <c r="E25" i="23"/>
  <c r="G25" i="23" s="1"/>
  <c r="E24" i="23"/>
  <c r="G24" i="23" s="1"/>
  <c r="E23" i="23"/>
  <c r="G23" i="23" s="1"/>
  <c r="E22" i="23"/>
  <c r="G22" i="23" s="1"/>
  <c r="E21" i="23"/>
  <c r="G21" i="23" s="1"/>
  <c r="E20" i="23"/>
  <c r="G20" i="23" s="1"/>
  <c r="E19" i="23"/>
  <c r="G19" i="23" s="1"/>
  <c r="E18" i="23"/>
  <c r="G18" i="23" s="1"/>
  <c r="E17" i="23"/>
  <c r="G17" i="23" s="1"/>
  <c r="E16" i="23"/>
  <c r="G16" i="23" s="1"/>
  <c r="E9" i="23"/>
  <c r="G9" i="23" s="1"/>
  <c r="E10" i="23"/>
  <c r="G10" i="23" s="1"/>
  <c r="E11" i="23"/>
  <c r="G11" i="23" s="1"/>
  <c r="E12" i="23"/>
  <c r="G12" i="23" s="1"/>
  <c r="E13" i="23"/>
  <c r="G13" i="23" s="1"/>
  <c r="E14" i="23"/>
  <c r="G14" i="23" s="1"/>
  <c r="E15" i="23"/>
  <c r="G15" i="23" s="1"/>
  <c r="E8" i="23"/>
  <c r="G8" i="23" s="1"/>
  <c r="D11" i="23"/>
  <c r="F11" i="23" s="1"/>
  <c r="D12" i="23"/>
  <c r="F12" i="23" s="1"/>
  <c r="D13" i="23"/>
  <c r="F13" i="23" s="1"/>
  <c r="D14" i="23"/>
  <c r="F14" i="23" s="1"/>
  <c r="D15" i="23"/>
  <c r="F15" i="23" s="1"/>
  <c r="D16" i="23"/>
  <c r="F16" i="23" s="1"/>
  <c r="D17" i="23"/>
  <c r="F17" i="23" s="1"/>
  <c r="D18" i="23"/>
  <c r="F18" i="23" s="1"/>
  <c r="D19" i="23"/>
  <c r="F19" i="23" s="1"/>
  <c r="D20" i="23"/>
  <c r="F20" i="23" s="1"/>
  <c r="D21" i="23"/>
  <c r="F21" i="23" s="1"/>
  <c r="D22" i="23"/>
  <c r="F22" i="23" s="1"/>
  <c r="D23" i="23"/>
  <c r="F23" i="23" s="1"/>
  <c r="D24" i="23"/>
  <c r="F24" i="23" s="1"/>
  <c r="D25" i="23"/>
  <c r="F25" i="23" s="1"/>
  <c r="D26" i="23"/>
  <c r="F26" i="23" s="1"/>
  <c r="D27" i="23"/>
  <c r="F27" i="23" s="1"/>
  <c r="D28" i="23"/>
  <c r="F28" i="23" s="1"/>
  <c r="D29" i="23"/>
  <c r="F29" i="23" s="1"/>
  <c r="D30" i="23"/>
  <c r="F30" i="23" s="1"/>
  <c r="D31" i="23"/>
  <c r="F31" i="23" s="1"/>
  <c r="D32" i="23"/>
  <c r="F32" i="23" s="1"/>
  <c r="D33" i="23"/>
  <c r="F33" i="23" s="1"/>
  <c r="D34" i="23"/>
  <c r="F34" i="23" s="1"/>
  <c r="D35" i="23"/>
  <c r="F35" i="23" s="1"/>
  <c r="D36" i="23"/>
  <c r="F36" i="23" s="1"/>
  <c r="D37" i="23"/>
  <c r="F37" i="23" s="1"/>
  <c r="D38" i="23"/>
  <c r="F38" i="23" s="1"/>
  <c r="D39" i="23"/>
  <c r="F39" i="23" s="1"/>
  <c r="D40" i="23"/>
  <c r="F40" i="23" s="1"/>
  <c r="D41" i="23"/>
  <c r="F41" i="23" s="1"/>
  <c r="D42" i="23"/>
  <c r="F42" i="23" s="1"/>
  <c r="D43" i="23"/>
  <c r="F43" i="23" s="1"/>
  <c r="D44" i="23"/>
  <c r="F44" i="23" s="1"/>
  <c r="D45" i="23"/>
  <c r="F45" i="23" s="1"/>
  <c r="D46" i="23"/>
  <c r="F46" i="23" s="1"/>
  <c r="D47" i="23"/>
  <c r="F47" i="23" s="1"/>
  <c r="D48" i="23"/>
  <c r="F48" i="23" s="1"/>
  <c r="D49" i="23"/>
  <c r="F49" i="23" s="1"/>
  <c r="D50" i="23"/>
  <c r="F50" i="23" s="1"/>
  <c r="D51" i="23"/>
  <c r="F51" i="23" s="1"/>
  <c r="D52" i="23"/>
  <c r="F52" i="23" s="1"/>
  <c r="D53" i="23"/>
  <c r="F53" i="23" s="1"/>
  <c r="D54" i="23"/>
  <c r="F54" i="23" s="1"/>
  <c r="D55" i="23"/>
  <c r="F55" i="23" s="1"/>
  <c r="D56" i="23"/>
  <c r="F56" i="23" s="1"/>
  <c r="D57" i="23"/>
  <c r="F57" i="23" s="1"/>
  <c r="D58" i="23"/>
  <c r="F58" i="23" s="1"/>
  <c r="D59" i="23"/>
  <c r="F59" i="23" s="1"/>
  <c r="D60" i="23"/>
  <c r="F60" i="23" s="1"/>
  <c r="D61" i="23"/>
  <c r="F61" i="23" s="1"/>
  <c r="D62" i="23"/>
  <c r="F62" i="23" s="1"/>
  <c r="D63" i="23"/>
  <c r="F63" i="23" s="1"/>
  <c r="D64" i="23"/>
  <c r="F64" i="23" s="1"/>
  <c r="D65" i="23"/>
  <c r="F65" i="23" s="1"/>
  <c r="D66" i="23"/>
  <c r="F66" i="23" s="1"/>
  <c r="D67" i="23"/>
  <c r="F67" i="23" s="1"/>
  <c r="D68" i="23"/>
  <c r="F68" i="23" s="1"/>
  <c r="D69" i="23"/>
  <c r="F69" i="23" s="1"/>
  <c r="D70" i="23"/>
  <c r="F70" i="23" s="1"/>
  <c r="D71" i="23"/>
  <c r="F71" i="23" s="1"/>
  <c r="D72" i="23"/>
  <c r="F72" i="23" s="1"/>
  <c r="D73" i="23"/>
  <c r="F73" i="23" s="1"/>
  <c r="D74" i="23"/>
  <c r="F74" i="23" s="1"/>
  <c r="D75" i="23"/>
  <c r="F75" i="23" s="1"/>
  <c r="D76" i="23"/>
  <c r="F76" i="23" s="1"/>
  <c r="D77" i="23"/>
  <c r="F77" i="23" s="1"/>
  <c r="D78" i="23"/>
  <c r="F78" i="23" s="1"/>
  <c r="D79" i="23"/>
  <c r="F79" i="23" s="1"/>
  <c r="D80" i="23"/>
  <c r="F80" i="23" s="1"/>
  <c r="D81" i="23"/>
  <c r="F81" i="23" s="1"/>
  <c r="D82" i="23"/>
  <c r="F82" i="23" s="1"/>
  <c r="D83" i="23"/>
  <c r="F83" i="23" s="1"/>
  <c r="D84" i="23"/>
  <c r="F84" i="23" s="1"/>
  <c r="D85" i="23"/>
  <c r="F85" i="23" s="1"/>
  <c r="D86" i="23"/>
  <c r="F86" i="23" s="1"/>
  <c r="D87" i="23"/>
  <c r="F87" i="23" s="1"/>
  <c r="D88" i="23"/>
  <c r="F88" i="23" s="1"/>
  <c r="D89" i="23"/>
  <c r="F89" i="23" s="1"/>
  <c r="D90" i="23"/>
  <c r="F90" i="23" s="1"/>
  <c r="D91" i="23"/>
  <c r="F91" i="23" s="1"/>
  <c r="D92" i="23"/>
  <c r="F92" i="23" s="1"/>
  <c r="D93" i="23"/>
  <c r="F93" i="23" s="1"/>
  <c r="D94" i="23"/>
  <c r="F94" i="23" s="1"/>
  <c r="D95" i="23"/>
  <c r="F95" i="23" s="1"/>
  <c r="D96" i="23"/>
  <c r="F96" i="23" s="1"/>
  <c r="D97" i="23"/>
  <c r="F97" i="23" s="1"/>
  <c r="D98" i="23"/>
  <c r="F98" i="23" s="1"/>
  <c r="D99" i="23"/>
  <c r="F99" i="23" s="1"/>
  <c r="D100" i="23"/>
  <c r="F100" i="23" s="1"/>
  <c r="D101" i="23"/>
  <c r="F101" i="23" s="1"/>
  <c r="D102" i="23"/>
  <c r="F102" i="23" s="1"/>
  <c r="D103" i="23"/>
  <c r="F103" i="23" s="1"/>
  <c r="D104" i="23"/>
  <c r="F104" i="23" s="1"/>
  <c r="D105" i="23"/>
  <c r="F105" i="23" s="1"/>
  <c r="D106" i="23"/>
  <c r="F106" i="23" s="1"/>
  <c r="D107" i="23"/>
  <c r="F107" i="23" s="1"/>
  <c r="D108" i="23"/>
  <c r="F108" i="23" s="1"/>
  <c r="D109" i="23"/>
  <c r="F109" i="23" s="1"/>
  <c r="D110" i="23"/>
  <c r="F110" i="23" s="1"/>
  <c r="D111" i="23"/>
  <c r="F111" i="23" s="1"/>
  <c r="D112" i="23"/>
  <c r="F112" i="23" s="1"/>
  <c r="D113" i="23"/>
  <c r="F113" i="23" s="1"/>
  <c r="D114" i="23"/>
  <c r="F114" i="23" s="1"/>
  <c r="D115" i="23"/>
  <c r="F115" i="23" s="1"/>
  <c r="D116" i="23"/>
  <c r="F116" i="23" s="1"/>
  <c r="D117" i="23"/>
  <c r="F117" i="23" s="1"/>
  <c r="D118" i="23"/>
  <c r="F118" i="23" s="1"/>
  <c r="D119" i="23"/>
  <c r="F119" i="23" s="1"/>
  <c r="D120" i="23"/>
  <c r="F120" i="23" s="1"/>
  <c r="D121" i="23"/>
  <c r="F121" i="23" s="1"/>
  <c r="D122" i="23"/>
  <c r="F122" i="23" s="1"/>
  <c r="D123" i="23"/>
  <c r="F123" i="23" s="1"/>
  <c r="D124" i="23"/>
  <c r="F124" i="23" s="1"/>
  <c r="D125" i="23"/>
  <c r="F125" i="23" s="1"/>
  <c r="D126" i="23"/>
  <c r="F126" i="23" s="1"/>
  <c r="D127" i="23"/>
  <c r="F127" i="23" s="1"/>
  <c r="D128" i="23"/>
  <c r="F128" i="23" s="1"/>
  <c r="D9" i="23"/>
  <c r="F9" i="23" s="1"/>
  <c r="D10" i="23"/>
  <c r="F10" i="23" s="1"/>
  <c r="D8" i="23"/>
  <c r="F8" i="23" s="1"/>
  <c r="O73" i="23" l="1"/>
  <c r="O61" i="23"/>
  <c r="O55" i="23"/>
  <c r="O43" i="23"/>
  <c r="O37" i="23"/>
  <c r="O25" i="23"/>
  <c r="O19" i="23"/>
  <c r="O13" i="23"/>
  <c r="N72" i="23"/>
  <c r="N66" i="23"/>
  <c r="N54" i="23"/>
  <c r="N48" i="23"/>
  <c r="N36" i="23"/>
  <c r="N30" i="23"/>
  <c r="N18" i="23"/>
  <c r="N12" i="23"/>
  <c r="O56" i="23"/>
  <c r="O50" i="23"/>
  <c r="O44" i="23"/>
  <c r="O38" i="23"/>
  <c r="O32" i="23"/>
  <c r="O26" i="23"/>
  <c r="O20" i="23"/>
  <c r="O14" i="23"/>
  <c r="O8" i="23"/>
  <c r="M78" i="23"/>
  <c r="M60" i="23"/>
  <c r="M42" i="23"/>
  <c r="M24" i="23"/>
  <c r="O67" i="23"/>
  <c r="O49" i="23"/>
  <c r="O31" i="23"/>
  <c r="O78" i="23"/>
  <c r="O72" i="23"/>
  <c r="O66" i="23"/>
  <c r="O60" i="23"/>
  <c r="O54" i="23"/>
  <c r="O48" i="23"/>
  <c r="O42" i="23"/>
  <c r="O36" i="23"/>
  <c r="O30" i="23"/>
  <c r="O24" i="23"/>
  <c r="O18" i="23"/>
  <c r="O12" i="23"/>
  <c r="O77" i="23"/>
  <c r="O71" i="23"/>
  <c r="O65" i="23"/>
  <c r="O59" i="23"/>
  <c r="O53" i="23"/>
  <c r="O47" i="23"/>
  <c r="O41" i="23"/>
  <c r="O35" i="23"/>
  <c r="O29" i="23"/>
  <c r="O23" i="23"/>
  <c r="O17" i="23"/>
  <c r="O11" i="23"/>
  <c r="O76" i="23"/>
  <c r="O70" i="23"/>
  <c r="O64" i="23"/>
  <c r="O58" i="23"/>
  <c r="O52" i="23"/>
  <c r="O46" i="23"/>
  <c r="O40" i="23"/>
  <c r="O34" i="23"/>
  <c r="O28" i="23"/>
  <c r="O22" i="23"/>
  <c r="O16" i="23"/>
  <c r="O10" i="23"/>
  <c r="O75" i="23"/>
  <c r="O69" i="23"/>
  <c r="O63" i="23"/>
  <c r="O57" i="23"/>
  <c r="O51" i="23"/>
  <c r="O45" i="23"/>
  <c r="O39" i="23"/>
  <c r="O33" i="23"/>
  <c r="O27" i="23"/>
  <c r="O21" i="23"/>
  <c r="O15" i="23"/>
  <c r="O9" i="23"/>
  <c r="Q9" i="23" s="1"/>
  <c r="O74" i="23"/>
  <c r="O68" i="23"/>
  <c r="O62" i="23"/>
  <c r="Q8" i="23"/>
  <c r="Q11" i="23" l="1"/>
  <c r="Q13" i="23"/>
  <c r="Q48" i="23"/>
  <c r="Q45" i="23"/>
  <c r="Q19" i="23"/>
  <c r="Q10" i="23"/>
  <c r="Q44" i="23"/>
  <c r="Q46" i="23"/>
  <c r="Q43" i="23"/>
  <c r="Q47" i="23"/>
  <c r="Q12" i="23"/>
  <c r="Q78" i="23"/>
  <c r="Q42" i="23"/>
  <c r="Q77" i="23"/>
  <c r="Q41" i="23"/>
  <c r="Q76" i="23"/>
  <c r="Q40" i="23"/>
  <c r="Q75" i="23"/>
  <c r="Q39" i="23"/>
  <c r="Q74" i="23"/>
  <c r="Q38" i="23"/>
  <c r="Q73" i="23"/>
  <c r="Q37" i="23"/>
  <c r="Q72" i="23"/>
  <c r="Q36" i="23"/>
  <c r="Q71" i="23"/>
  <c r="Q35" i="23"/>
  <c r="Q70" i="23"/>
  <c r="Q34" i="23"/>
  <c r="Q69" i="23"/>
  <c r="Q33" i="23"/>
  <c r="Q68" i="23"/>
  <c r="Q32" i="23"/>
  <c r="Q67" i="23"/>
  <c r="Q31" i="23"/>
  <c r="Q66" i="23"/>
  <c r="Q30" i="23"/>
  <c r="Q65" i="23"/>
  <c r="Q29" i="23"/>
  <c r="Q64" i="23"/>
  <c r="Q28" i="23"/>
  <c r="Q63" i="23"/>
  <c r="Q27" i="23"/>
  <c r="Q62" i="23"/>
  <c r="Q26" i="23"/>
  <c r="Q61" i="23"/>
  <c r="Q25" i="23"/>
  <c r="Q60" i="23"/>
  <c r="Q24" i="23"/>
  <c r="Q59" i="23"/>
  <c r="Q23" i="23"/>
  <c r="Q58" i="23"/>
  <c r="Q22" i="23"/>
  <c r="Q57" i="23"/>
  <c r="Q21" i="23"/>
  <c r="Q56" i="23"/>
  <c r="Q20" i="23"/>
  <c r="Q55" i="23"/>
  <c r="Q54" i="23"/>
  <c r="Q18" i="23"/>
  <c r="Q53" i="23"/>
  <c r="Q17" i="23"/>
  <c r="Q52" i="23"/>
  <c r="Q16" i="23"/>
  <c r="Q51" i="23"/>
  <c r="Q15" i="23"/>
  <c r="Q50" i="23"/>
  <c r="Q14" i="23"/>
  <c r="Q49" i="23"/>
  <c r="B1" i="23" l="1"/>
  <c r="B9" i="13"/>
  <c r="B10" i="13" s="1"/>
  <c r="B11" i="13" s="1"/>
  <c r="B12" i="13" s="1"/>
  <c r="B13" i="13" s="1"/>
  <c r="B14" i="13" s="1"/>
  <c r="B15" i="13" s="1"/>
  <c r="B16" i="13" s="1"/>
  <c r="B17" i="13" s="1"/>
  <c r="B18" i="13" s="1"/>
  <c r="B19" i="13" s="1"/>
  <c r="B20" i="13" s="1"/>
  <c r="B21" i="13" s="1"/>
  <c r="B22" i="13" s="1"/>
  <c r="B23" i="13" s="1"/>
  <c r="B24" i="13" s="1"/>
  <c r="B25" i="13" s="1"/>
  <c r="B26" i="13" s="1"/>
  <c r="B27" i="13" s="1"/>
  <c r="B28" i="13" s="1"/>
  <c r="B29" i="13" s="1"/>
  <c r="B30" i="13" s="1"/>
  <c r="B31" i="13" s="1"/>
  <c r="B32" i="13" s="1"/>
  <c r="B33" i="13" s="1"/>
  <c r="B34" i="13" s="1"/>
  <c r="B35" i="13" s="1"/>
  <c r="B36" i="13" s="1"/>
  <c r="B37" i="13" s="1"/>
  <c r="B38" i="13" s="1"/>
  <c r="B39" i="13" s="1"/>
  <c r="B40" i="13" s="1"/>
  <c r="B41" i="13" s="1"/>
  <c r="B42" i="13" s="1"/>
  <c r="B43" i="13" s="1"/>
  <c r="B44" i="13" s="1"/>
  <c r="B45" i="13" s="1"/>
  <c r="B46" i="13" s="1"/>
  <c r="B47" i="13" s="1"/>
  <c r="B48" i="13" s="1"/>
  <c r="B49" i="13" s="1"/>
  <c r="B50" i="13" s="1"/>
  <c r="B51" i="13" s="1"/>
  <c r="B52" i="13" s="1"/>
  <c r="B53" i="13" s="1"/>
  <c r="B54" i="13" s="1"/>
  <c r="B55" i="13" s="1"/>
  <c r="B56" i="13" s="1"/>
  <c r="B57" i="13" s="1"/>
  <c r="B58" i="13" s="1"/>
  <c r="B59" i="13" s="1"/>
  <c r="B60" i="13" s="1"/>
  <c r="B61" i="13" s="1"/>
  <c r="B62" i="13" s="1"/>
  <c r="B63" i="13" s="1"/>
  <c r="B64" i="13" s="1"/>
  <c r="B65" i="13" s="1"/>
  <c r="B66" i="13" s="1"/>
  <c r="B67" i="13" s="1"/>
  <c r="B68" i="13" s="1"/>
  <c r="B69" i="13" s="1"/>
  <c r="B70" i="13" s="1"/>
  <c r="B71" i="13" s="1"/>
  <c r="B72" i="13" s="1"/>
  <c r="B73" i="13" s="1"/>
  <c r="B74" i="13" s="1"/>
  <c r="B75" i="13" s="1"/>
  <c r="B76" i="13" s="1"/>
  <c r="B77" i="13" s="1"/>
  <c r="B78" i="13" s="1"/>
  <c r="B79" i="13" s="1"/>
  <c r="B80" i="13" s="1"/>
  <c r="B81" i="13" s="1"/>
  <c r="B82" i="13" s="1"/>
  <c r="B83" i="13" s="1"/>
  <c r="B84" i="13" s="1"/>
  <c r="B85" i="13" s="1"/>
  <c r="B86" i="13" s="1"/>
  <c r="B87" i="13" s="1"/>
  <c r="B88" i="13" s="1"/>
  <c r="B89" i="13" s="1"/>
  <c r="B90" i="13" s="1"/>
  <c r="B91" i="13" s="1"/>
  <c r="B92" i="13" s="1"/>
  <c r="B93" i="13" s="1"/>
  <c r="B94" i="13" s="1"/>
  <c r="B95" i="13" s="1"/>
  <c r="B96" i="13" s="1"/>
  <c r="B97" i="13" s="1"/>
  <c r="B98" i="13" s="1"/>
  <c r="B99" i="13" s="1"/>
  <c r="B100" i="13" s="1"/>
  <c r="B101" i="13" s="1"/>
  <c r="B102" i="13" s="1"/>
  <c r="B103" i="13" s="1"/>
  <c r="B104" i="13" s="1"/>
  <c r="B105" i="13" s="1"/>
  <c r="B106" i="13" s="1"/>
  <c r="B107" i="13" s="1"/>
  <c r="B108" i="13" s="1"/>
  <c r="B109" i="13" s="1"/>
  <c r="B110" i="13" s="1"/>
  <c r="B111" i="13" s="1"/>
  <c r="B112" i="13" s="1"/>
  <c r="B113" i="13" s="1"/>
  <c r="B114" i="13" s="1"/>
  <c r="B115" i="13" s="1"/>
  <c r="B116" i="13" s="1"/>
  <c r="B117" i="13" s="1"/>
  <c r="B118" i="13" s="1"/>
  <c r="B119" i="13" s="1"/>
  <c r="B120" i="13" s="1"/>
  <c r="B121" i="13" s="1"/>
  <c r="B122" i="13" s="1"/>
  <c r="B123" i="13" s="1"/>
  <c r="B124" i="13" s="1"/>
  <c r="B125" i="13" s="1"/>
  <c r="B126" i="13" s="1"/>
  <c r="B127" i="13" s="1"/>
  <c r="B128" i="13" s="1"/>
  <c r="B129" i="13" s="1"/>
  <c r="B130" i="13" s="1"/>
  <c r="B131" i="13" s="1"/>
  <c r="B132" i="13" s="1"/>
  <c r="B133" i="13" s="1"/>
  <c r="B134" i="13" s="1"/>
  <c r="B135" i="13" s="1"/>
  <c r="B136" i="13" s="1"/>
  <c r="B137" i="13" s="1"/>
  <c r="B138" i="13" s="1"/>
  <c r="B139" i="13" s="1"/>
  <c r="B140" i="13" s="1"/>
  <c r="B141" i="13" s="1"/>
  <c r="B142" i="13" s="1"/>
  <c r="B143" i="13" s="1"/>
  <c r="B144" i="13" s="1"/>
  <c r="B145" i="13" s="1"/>
  <c r="B146" i="13" s="1"/>
  <c r="B147" i="13" s="1"/>
  <c r="B148" i="13" s="1"/>
  <c r="B149" i="13" s="1"/>
  <c r="B150" i="13" s="1"/>
  <c r="B151" i="13" s="1"/>
  <c r="B152" i="13" s="1"/>
  <c r="B153" i="13" s="1"/>
  <c r="B154" i="13" s="1"/>
  <c r="B155" i="13" s="1"/>
  <c r="B156" i="13" s="1"/>
  <c r="B157" i="13" s="1"/>
  <c r="B158" i="13" s="1"/>
  <c r="B159" i="13" s="1"/>
  <c r="B160" i="13" s="1"/>
  <c r="B161" i="13" s="1"/>
  <c r="B162" i="13" s="1"/>
  <c r="B163" i="13" s="1"/>
  <c r="B164" i="13" s="1"/>
  <c r="B165" i="13" s="1"/>
  <c r="B166" i="13" s="1"/>
  <c r="B167" i="13" s="1"/>
  <c r="B168" i="13" s="1"/>
  <c r="B169" i="13" s="1"/>
  <c r="B170" i="13" s="1"/>
  <c r="B171" i="13" s="1"/>
  <c r="B172" i="13" s="1"/>
  <c r="B173" i="13" s="1"/>
  <c r="B174" i="13" s="1"/>
  <c r="B175" i="13" s="1"/>
  <c r="B176" i="13" s="1"/>
  <c r="B177" i="13" s="1"/>
  <c r="B178" i="13" s="1"/>
  <c r="B179" i="13" s="1"/>
  <c r="B180" i="13" s="1"/>
  <c r="A20" i="22" l="1"/>
  <c r="B20" i="22"/>
  <c r="A21" i="22"/>
  <c r="B21" i="22"/>
  <c r="A22" i="22"/>
  <c r="B22" i="22"/>
  <c r="A23" i="22"/>
  <c r="B23" i="22"/>
  <c r="A24" i="22"/>
  <c r="B24" i="22"/>
  <c r="A25" i="22"/>
  <c r="B25" i="22"/>
  <c r="A26" i="22"/>
  <c r="B26" i="22"/>
  <c r="A27" i="22"/>
  <c r="B27" i="22"/>
  <c r="A28" i="22"/>
  <c r="B28" i="22"/>
  <c r="A29" i="22"/>
  <c r="B29" i="22"/>
  <c r="A30" i="22"/>
  <c r="B30" i="22"/>
  <c r="A31" i="22"/>
  <c r="B31" i="22"/>
  <c r="A32" i="22"/>
  <c r="B32" i="22"/>
  <c r="A33" i="22"/>
  <c r="B33" i="22"/>
  <c r="A34" i="22"/>
  <c r="B34" i="22"/>
  <c r="A35" i="22"/>
  <c r="B35" i="22"/>
  <c r="A36" i="22"/>
  <c r="B36" i="22"/>
  <c r="A37" i="22"/>
  <c r="B37" i="22"/>
  <c r="A38" i="22"/>
  <c r="B38" i="22"/>
  <c r="A39" i="22"/>
  <c r="B39" i="22"/>
  <c r="A40" i="22"/>
  <c r="B40" i="22"/>
  <c r="A41" i="22"/>
  <c r="B41" i="22"/>
  <c r="A42" i="22"/>
  <c r="B42" i="22"/>
  <c r="A43" i="22"/>
  <c r="B43" i="22"/>
  <c r="A44" i="22"/>
  <c r="B44" i="22"/>
  <c r="A45" i="22"/>
  <c r="B45" i="22"/>
  <c r="A46" i="22"/>
  <c r="B46" i="22"/>
  <c r="A47" i="22"/>
  <c r="B47" i="22"/>
  <c r="A48" i="22"/>
  <c r="B48" i="22"/>
  <c r="A49" i="22"/>
  <c r="B49" i="22"/>
  <c r="A50" i="22"/>
  <c r="B50" i="22"/>
  <c r="A51" i="22"/>
  <c r="B51" i="22"/>
  <c r="A52" i="22"/>
  <c r="B52" i="22"/>
  <c r="A53" i="22"/>
  <c r="B53" i="22"/>
  <c r="A54" i="22"/>
  <c r="B54" i="22"/>
  <c r="A55" i="22"/>
  <c r="B55" i="22"/>
  <c r="A56" i="22"/>
  <c r="B56" i="22"/>
  <c r="A57" i="22"/>
  <c r="B57" i="22"/>
  <c r="A58" i="22"/>
  <c r="B58" i="22"/>
  <c r="A59" i="22"/>
  <c r="B59" i="22"/>
  <c r="A60" i="22"/>
  <c r="B60" i="22"/>
  <c r="A61" i="22"/>
  <c r="B61" i="22"/>
  <c r="A62" i="22"/>
  <c r="B62" i="22"/>
  <c r="A63" i="22"/>
  <c r="B63" i="22"/>
  <c r="A64" i="22"/>
  <c r="B64" i="22"/>
  <c r="A65" i="22"/>
  <c r="B65" i="22"/>
  <c r="A66" i="22"/>
  <c r="B66" i="22"/>
  <c r="A67" i="22"/>
  <c r="B67" i="22"/>
  <c r="A68" i="22"/>
  <c r="B68" i="22"/>
  <c r="A69" i="22"/>
  <c r="B69" i="22"/>
  <c r="A70" i="22"/>
  <c r="B70" i="22"/>
  <c r="A71" i="22"/>
  <c r="B71" i="22"/>
  <c r="A72" i="22"/>
  <c r="B72" i="22"/>
  <c r="A73" i="22"/>
  <c r="B73" i="22"/>
  <c r="A74" i="22"/>
  <c r="B74" i="22"/>
  <c r="A75" i="22"/>
  <c r="B75" i="22"/>
  <c r="A76" i="22"/>
  <c r="B76" i="22"/>
  <c r="A77" i="22"/>
  <c r="B77" i="22"/>
  <c r="A78" i="22"/>
  <c r="B78" i="22"/>
  <c r="A79" i="22"/>
  <c r="B79" i="22"/>
  <c r="A80" i="22"/>
  <c r="B80" i="22"/>
  <c r="A81" i="22"/>
  <c r="B81" i="22"/>
  <c r="A82" i="22"/>
  <c r="B82" i="22"/>
  <c r="A83" i="22"/>
  <c r="B83" i="22"/>
  <c r="A84" i="22"/>
  <c r="B84" i="22"/>
  <c r="A85" i="22"/>
  <c r="B85" i="22"/>
  <c r="A86" i="22"/>
  <c r="B86" i="22"/>
  <c r="A87" i="22"/>
  <c r="B87" i="22"/>
  <c r="A88" i="22"/>
  <c r="B88" i="22"/>
  <c r="A89" i="22"/>
  <c r="B89" i="22"/>
  <c r="A90" i="22"/>
  <c r="B90" i="22"/>
  <c r="A91" i="22"/>
  <c r="B91" i="22"/>
  <c r="A92" i="22"/>
  <c r="B92" i="22"/>
  <c r="A93" i="22"/>
  <c r="B93" i="22"/>
  <c r="A94" i="22"/>
  <c r="B94" i="22"/>
  <c r="A95" i="22"/>
  <c r="B95" i="22"/>
  <c r="A96" i="22"/>
  <c r="B96" i="22"/>
  <c r="A97" i="22"/>
  <c r="B97" i="22"/>
  <c r="A98" i="22"/>
  <c r="B98" i="22"/>
  <c r="A99" i="22"/>
  <c r="B99" i="22"/>
  <c r="A100" i="22"/>
  <c r="B100" i="22"/>
  <c r="A101" i="22"/>
  <c r="B101" i="22"/>
  <c r="G8" i="13"/>
  <c r="J8" i="13"/>
  <c r="L8" i="13"/>
  <c r="F30" i="13"/>
  <c r="F31" i="13"/>
  <c r="F32" i="13"/>
  <c r="F33" i="13"/>
  <c r="F34" i="13"/>
  <c r="F35" i="13"/>
  <c r="F36" i="13"/>
  <c r="F37" i="13"/>
  <c r="F38" i="13"/>
  <c r="F39" i="13"/>
  <c r="F40" i="13"/>
  <c r="F41" i="13"/>
  <c r="F42" i="13"/>
  <c r="F43" i="13"/>
  <c r="F44" i="13"/>
  <c r="F45" i="13"/>
  <c r="F46" i="13"/>
  <c r="F47" i="13"/>
  <c r="F48" i="13"/>
  <c r="F49" i="13"/>
  <c r="F50" i="13"/>
  <c r="F51" i="13"/>
  <c r="F52" i="13"/>
  <c r="F53" i="13"/>
  <c r="F54" i="13"/>
  <c r="F55" i="13"/>
  <c r="F56" i="13"/>
  <c r="F57" i="13"/>
  <c r="F58" i="13"/>
  <c r="F59" i="13"/>
  <c r="F60" i="13"/>
  <c r="F61" i="13"/>
  <c r="F62" i="13"/>
  <c r="F63" i="13"/>
  <c r="F64" i="13"/>
  <c r="F65" i="13"/>
  <c r="F66" i="13"/>
  <c r="F67" i="13"/>
  <c r="F68" i="13"/>
  <c r="F69" i="13"/>
  <c r="F70" i="13"/>
  <c r="F71" i="13"/>
  <c r="F72" i="13"/>
  <c r="F73" i="13"/>
  <c r="F74" i="13"/>
  <c r="F75" i="13"/>
  <c r="F76" i="13"/>
  <c r="F77" i="13"/>
  <c r="F78" i="13"/>
  <c r="F79" i="13"/>
  <c r="F80" i="13"/>
  <c r="F81" i="13"/>
  <c r="F82" i="13"/>
  <c r="F83" i="13"/>
  <c r="F84" i="13"/>
  <c r="F85" i="13"/>
  <c r="F86" i="13"/>
  <c r="F87" i="13"/>
  <c r="F88" i="13"/>
  <c r="F89" i="13"/>
  <c r="F90" i="13"/>
  <c r="F91" i="13"/>
  <c r="F92" i="13"/>
  <c r="F93" i="13"/>
  <c r="F94" i="13"/>
  <c r="F95" i="13"/>
  <c r="F96" i="13"/>
  <c r="F97" i="13"/>
  <c r="F98" i="13"/>
  <c r="F99" i="13"/>
  <c r="F100" i="13"/>
  <c r="F101" i="13"/>
  <c r="F102" i="13"/>
  <c r="F103" i="13"/>
  <c r="F104" i="13"/>
  <c r="F105" i="13"/>
  <c r="F106" i="13"/>
  <c r="F107" i="13"/>
  <c r="F108" i="13"/>
  <c r="F109" i="13"/>
  <c r="F110" i="13"/>
  <c r="F111" i="13"/>
  <c r="F112" i="13"/>
  <c r="F113" i="13"/>
  <c r="F114" i="13"/>
  <c r="F115" i="13"/>
  <c r="F116" i="13"/>
  <c r="F117" i="13"/>
  <c r="F118" i="13"/>
  <c r="F119" i="13"/>
  <c r="F120" i="13"/>
  <c r="F121" i="13"/>
  <c r="F122" i="13"/>
  <c r="F123" i="13"/>
  <c r="F124" i="13"/>
  <c r="F125" i="13"/>
  <c r="F126" i="13"/>
  <c r="F127" i="13"/>
  <c r="F128" i="13"/>
  <c r="F129" i="13"/>
  <c r="F130" i="13"/>
  <c r="F131" i="13"/>
  <c r="F132" i="13"/>
  <c r="F133" i="13"/>
  <c r="F134" i="13"/>
  <c r="F135" i="13"/>
  <c r="F136" i="13"/>
  <c r="F137" i="13"/>
  <c r="F138" i="13"/>
  <c r="F139" i="13"/>
  <c r="F140" i="13"/>
  <c r="F141" i="13"/>
  <c r="F142" i="13"/>
  <c r="F143" i="13"/>
  <c r="F144" i="13"/>
  <c r="F145" i="13"/>
  <c r="F146" i="13"/>
  <c r="F147" i="13"/>
  <c r="F148" i="13"/>
  <c r="F149" i="13"/>
  <c r="F150" i="13"/>
  <c r="F151" i="13"/>
  <c r="F152" i="13"/>
  <c r="F153" i="13"/>
  <c r="F154" i="13"/>
  <c r="F155" i="13"/>
  <c r="F156" i="13"/>
  <c r="F157" i="13"/>
  <c r="F158" i="13"/>
  <c r="F159" i="13"/>
  <c r="F160" i="13"/>
  <c r="F161" i="13"/>
  <c r="F162" i="13"/>
  <c r="F163" i="13"/>
  <c r="F164" i="13"/>
  <c r="F165" i="13"/>
  <c r="F166" i="13"/>
  <c r="F167" i="13"/>
  <c r="F168" i="13"/>
  <c r="F169" i="13"/>
  <c r="F170" i="13"/>
  <c r="F171" i="13"/>
  <c r="F172" i="13"/>
  <c r="F173" i="13"/>
  <c r="F174" i="13"/>
  <c r="F175" i="13"/>
  <c r="F176" i="13"/>
  <c r="F177" i="13"/>
  <c r="F178" i="13"/>
  <c r="F179" i="13"/>
  <c r="F180" i="13"/>
  <c r="C8" i="13"/>
  <c r="D31" i="13"/>
  <c r="E31" i="13"/>
  <c r="Q31" i="13"/>
  <c r="D32" i="13"/>
  <c r="E32" i="13"/>
  <c r="Q32" i="13"/>
  <c r="D33" i="13"/>
  <c r="E33" i="13"/>
  <c r="Q33" i="13"/>
  <c r="D34" i="13"/>
  <c r="E34" i="13"/>
  <c r="Q34" i="13"/>
  <c r="D35" i="13"/>
  <c r="E35" i="13"/>
  <c r="Q35" i="13"/>
  <c r="D36" i="13"/>
  <c r="E36" i="13"/>
  <c r="Q36" i="13"/>
  <c r="D37" i="13"/>
  <c r="E37" i="13"/>
  <c r="Q37" i="13"/>
  <c r="D38" i="13"/>
  <c r="E38" i="13"/>
  <c r="Q38" i="13"/>
  <c r="D39" i="13"/>
  <c r="E39" i="13"/>
  <c r="Q39" i="13"/>
  <c r="D40" i="13"/>
  <c r="E40" i="13"/>
  <c r="Q40" i="13"/>
  <c r="D41" i="13"/>
  <c r="E41" i="13"/>
  <c r="Q41" i="13"/>
  <c r="D42" i="13"/>
  <c r="E42" i="13"/>
  <c r="Q42" i="13"/>
  <c r="D43" i="13"/>
  <c r="E43" i="13"/>
  <c r="Q43" i="13"/>
  <c r="D44" i="13"/>
  <c r="E44" i="13"/>
  <c r="Q44" i="13"/>
  <c r="D45" i="13"/>
  <c r="E45" i="13"/>
  <c r="Q45" i="13"/>
  <c r="D46" i="13"/>
  <c r="E46" i="13"/>
  <c r="Q46" i="13"/>
  <c r="D47" i="13"/>
  <c r="E47" i="13"/>
  <c r="Q47" i="13"/>
  <c r="D48" i="13"/>
  <c r="E48" i="13"/>
  <c r="Q48" i="13"/>
  <c r="D49" i="13"/>
  <c r="E49" i="13"/>
  <c r="Q49" i="13"/>
  <c r="D50" i="13"/>
  <c r="E50" i="13"/>
  <c r="Q50" i="13"/>
  <c r="D51" i="13"/>
  <c r="E51" i="13"/>
  <c r="Q51" i="13"/>
  <c r="D52" i="13"/>
  <c r="E52" i="13"/>
  <c r="Q52" i="13"/>
  <c r="D53" i="13"/>
  <c r="E53" i="13"/>
  <c r="Q53" i="13"/>
  <c r="D54" i="13"/>
  <c r="E54" i="13"/>
  <c r="Q54" i="13"/>
  <c r="D55" i="13"/>
  <c r="E55" i="13"/>
  <c r="Q55" i="13"/>
  <c r="D56" i="13"/>
  <c r="E56" i="13"/>
  <c r="Q56" i="13"/>
  <c r="D57" i="13"/>
  <c r="E57" i="13"/>
  <c r="Q57" i="13"/>
  <c r="D58" i="13"/>
  <c r="E58" i="13"/>
  <c r="Q58" i="13"/>
  <c r="D59" i="13"/>
  <c r="E59" i="13"/>
  <c r="Q59" i="13"/>
  <c r="D60" i="13"/>
  <c r="E60" i="13"/>
  <c r="Q60" i="13"/>
  <c r="D61" i="13"/>
  <c r="E61" i="13"/>
  <c r="Q61" i="13"/>
  <c r="D62" i="13"/>
  <c r="E62" i="13"/>
  <c r="Q62" i="13"/>
  <c r="D63" i="13"/>
  <c r="E63" i="13"/>
  <c r="Q63" i="13"/>
  <c r="D64" i="13"/>
  <c r="E64" i="13"/>
  <c r="Q64" i="13"/>
  <c r="D65" i="13"/>
  <c r="E65" i="13"/>
  <c r="Q65" i="13"/>
  <c r="D66" i="13"/>
  <c r="E66" i="13"/>
  <c r="Q66" i="13"/>
  <c r="D67" i="13"/>
  <c r="E67" i="13"/>
  <c r="Q67" i="13"/>
  <c r="D68" i="13"/>
  <c r="E68" i="13"/>
  <c r="Q68" i="13"/>
  <c r="D69" i="13"/>
  <c r="E69" i="13"/>
  <c r="Q69" i="13"/>
  <c r="D70" i="13"/>
  <c r="E70" i="13"/>
  <c r="Q70" i="13"/>
  <c r="D71" i="13"/>
  <c r="E71" i="13"/>
  <c r="Q71" i="13"/>
  <c r="D72" i="13"/>
  <c r="E72" i="13"/>
  <c r="Q72" i="13"/>
  <c r="D73" i="13"/>
  <c r="E73" i="13"/>
  <c r="Q73" i="13"/>
  <c r="D74" i="13"/>
  <c r="E74" i="13"/>
  <c r="Q74" i="13"/>
  <c r="D75" i="13"/>
  <c r="E75" i="13"/>
  <c r="Q75" i="13"/>
  <c r="D76" i="13"/>
  <c r="E76" i="13"/>
  <c r="Q76" i="13"/>
  <c r="D77" i="13"/>
  <c r="E77" i="13"/>
  <c r="Q77" i="13"/>
  <c r="D78" i="13"/>
  <c r="E78" i="13"/>
  <c r="Q78" i="13"/>
  <c r="D79" i="13"/>
  <c r="E79" i="13"/>
  <c r="Q79" i="13"/>
  <c r="D80" i="13"/>
  <c r="E80" i="13"/>
  <c r="Q80" i="13"/>
  <c r="D81" i="13"/>
  <c r="E81" i="13"/>
  <c r="Q81" i="13"/>
  <c r="D82" i="13"/>
  <c r="E82" i="13"/>
  <c r="Q82" i="13"/>
  <c r="D83" i="13"/>
  <c r="E83" i="13"/>
  <c r="Q83" i="13"/>
  <c r="D84" i="13"/>
  <c r="E84" i="13"/>
  <c r="Q84" i="13"/>
  <c r="D85" i="13"/>
  <c r="E85" i="13"/>
  <c r="Q85" i="13"/>
  <c r="D86" i="13"/>
  <c r="E86" i="13"/>
  <c r="Q86" i="13"/>
  <c r="D87" i="13"/>
  <c r="E87" i="13"/>
  <c r="Q87" i="13"/>
  <c r="D88" i="13"/>
  <c r="E88" i="13"/>
  <c r="Q88" i="13"/>
  <c r="D89" i="13"/>
  <c r="E89" i="13"/>
  <c r="Q89" i="13"/>
  <c r="D90" i="13"/>
  <c r="E90" i="13"/>
  <c r="Q90" i="13"/>
  <c r="D91" i="13"/>
  <c r="E91" i="13"/>
  <c r="Q91" i="13"/>
  <c r="D92" i="13"/>
  <c r="E92" i="13"/>
  <c r="Q92" i="13"/>
  <c r="D93" i="13"/>
  <c r="E93" i="13"/>
  <c r="Q93" i="13"/>
  <c r="D94" i="13"/>
  <c r="E94" i="13"/>
  <c r="Q94" i="13"/>
  <c r="D95" i="13"/>
  <c r="E95" i="13"/>
  <c r="Q95" i="13"/>
  <c r="D96" i="13"/>
  <c r="E96" i="13"/>
  <c r="Q96" i="13"/>
  <c r="D97" i="13"/>
  <c r="E97" i="13"/>
  <c r="Q97" i="13"/>
  <c r="D98" i="13"/>
  <c r="E98" i="13"/>
  <c r="Q98" i="13"/>
  <c r="D99" i="13"/>
  <c r="E99" i="13"/>
  <c r="Q99" i="13"/>
  <c r="D100" i="13"/>
  <c r="E100" i="13"/>
  <c r="Q100" i="13"/>
  <c r="D101" i="13"/>
  <c r="E101" i="13"/>
  <c r="Q101" i="13"/>
  <c r="D102" i="13"/>
  <c r="E102" i="13"/>
  <c r="Q102" i="13"/>
  <c r="D103" i="13"/>
  <c r="E103" i="13"/>
  <c r="Q103" i="13"/>
  <c r="D104" i="13"/>
  <c r="E104" i="13"/>
  <c r="Q104" i="13"/>
  <c r="D105" i="13"/>
  <c r="E105" i="13"/>
  <c r="Q105" i="13"/>
  <c r="D106" i="13"/>
  <c r="E106" i="13"/>
  <c r="Q106" i="13"/>
  <c r="D107" i="13"/>
  <c r="E107" i="13"/>
  <c r="Q107" i="13"/>
  <c r="D108" i="13"/>
  <c r="E108" i="13"/>
  <c r="Q108" i="13"/>
  <c r="D109" i="13"/>
  <c r="E109" i="13"/>
  <c r="Q109" i="13"/>
  <c r="D110" i="13"/>
  <c r="E110" i="13"/>
  <c r="Q110" i="13"/>
  <c r="D111" i="13"/>
  <c r="E111" i="13"/>
  <c r="Q111" i="13"/>
  <c r="D112" i="13"/>
  <c r="E112" i="13"/>
  <c r="Q112" i="13"/>
  <c r="D113" i="13"/>
  <c r="E113" i="13"/>
  <c r="Q113" i="13"/>
  <c r="D114" i="13"/>
  <c r="E114" i="13"/>
  <c r="Q114" i="13"/>
  <c r="D115" i="13"/>
  <c r="E115" i="13"/>
  <c r="Q115" i="13"/>
  <c r="D116" i="13"/>
  <c r="E116" i="13"/>
  <c r="Q116" i="13"/>
  <c r="D117" i="13"/>
  <c r="E117" i="13"/>
  <c r="Q117" i="13"/>
  <c r="D118" i="13"/>
  <c r="E118" i="13"/>
  <c r="Q118" i="13"/>
  <c r="D119" i="13"/>
  <c r="E119" i="13"/>
  <c r="Q119" i="13"/>
  <c r="D120" i="13"/>
  <c r="E120" i="13"/>
  <c r="Q120" i="13"/>
  <c r="D121" i="13"/>
  <c r="E121" i="13"/>
  <c r="Q121" i="13"/>
  <c r="D122" i="13"/>
  <c r="E122" i="13"/>
  <c r="Q122" i="13"/>
  <c r="D123" i="13"/>
  <c r="E123" i="13"/>
  <c r="Q123" i="13"/>
  <c r="D124" i="13"/>
  <c r="E124" i="13"/>
  <c r="Q124" i="13"/>
  <c r="D125" i="13"/>
  <c r="E125" i="13"/>
  <c r="Q125" i="13"/>
  <c r="D126" i="13"/>
  <c r="E126" i="13"/>
  <c r="Q126" i="13"/>
  <c r="D127" i="13"/>
  <c r="E127" i="13"/>
  <c r="Q127" i="13"/>
  <c r="D128" i="13"/>
  <c r="E128" i="13"/>
  <c r="Q128" i="13"/>
  <c r="D129" i="13"/>
  <c r="E129" i="13"/>
  <c r="Q129" i="13"/>
  <c r="D130" i="13"/>
  <c r="E130" i="13"/>
  <c r="Q130" i="13"/>
  <c r="D131" i="13"/>
  <c r="E131" i="13"/>
  <c r="Q131" i="13"/>
  <c r="D132" i="13"/>
  <c r="E132" i="13"/>
  <c r="Q132" i="13"/>
  <c r="D133" i="13"/>
  <c r="E133" i="13"/>
  <c r="Q133" i="13"/>
  <c r="D134" i="13"/>
  <c r="E134" i="13"/>
  <c r="Q134" i="13"/>
  <c r="D135" i="13"/>
  <c r="E135" i="13"/>
  <c r="Q135" i="13"/>
  <c r="D136" i="13"/>
  <c r="E136" i="13"/>
  <c r="Q136" i="13"/>
  <c r="D137" i="13"/>
  <c r="E137" i="13"/>
  <c r="Q137" i="13"/>
  <c r="D138" i="13"/>
  <c r="E138" i="13"/>
  <c r="Q138" i="13"/>
  <c r="D139" i="13"/>
  <c r="E139" i="13"/>
  <c r="Q139" i="13"/>
  <c r="D140" i="13"/>
  <c r="E140" i="13"/>
  <c r="Q140" i="13"/>
  <c r="D141" i="13"/>
  <c r="E141" i="13"/>
  <c r="Q141" i="13"/>
  <c r="D142" i="13"/>
  <c r="E142" i="13"/>
  <c r="Q142" i="13"/>
  <c r="D143" i="13"/>
  <c r="E143" i="13"/>
  <c r="Q143" i="13"/>
  <c r="D144" i="13"/>
  <c r="E144" i="13"/>
  <c r="Q144" i="13"/>
  <c r="D145" i="13"/>
  <c r="E145" i="13"/>
  <c r="Q145" i="13"/>
  <c r="D146" i="13"/>
  <c r="E146" i="13"/>
  <c r="Q146" i="13"/>
  <c r="D147" i="13"/>
  <c r="E147" i="13"/>
  <c r="Q147" i="13"/>
  <c r="D148" i="13"/>
  <c r="E148" i="13"/>
  <c r="Q148" i="13"/>
  <c r="D149" i="13"/>
  <c r="E149" i="13"/>
  <c r="Q149" i="13"/>
  <c r="D150" i="13"/>
  <c r="E150" i="13"/>
  <c r="Q150" i="13"/>
  <c r="D151" i="13"/>
  <c r="E151" i="13"/>
  <c r="Q151" i="13"/>
  <c r="D152" i="13"/>
  <c r="E152" i="13"/>
  <c r="Q152" i="13"/>
  <c r="D153" i="13"/>
  <c r="E153" i="13"/>
  <c r="Q153" i="13"/>
  <c r="D154" i="13"/>
  <c r="E154" i="13"/>
  <c r="Q154" i="13"/>
  <c r="D155" i="13"/>
  <c r="E155" i="13"/>
  <c r="Q155" i="13"/>
  <c r="D156" i="13"/>
  <c r="E156" i="13"/>
  <c r="Q156" i="13"/>
  <c r="D157" i="13"/>
  <c r="E157" i="13"/>
  <c r="Q157" i="13"/>
  <c r="D158" i="13"/>
  <c r="E158" i="13"/>
  <c r="Q158" i="13"/>
  <c r="D159" i="13"/>
  <c r="E159" i="13"/>
  <c r="Q159" i="13"/>
  <c r="D160" i="13"/>
  <c r="E160" i="13"/>
  <c r="Q160" i="13"/>
  <c r="D161" i="13"/>
  <c r="E161" i="13"/>
  <c r="Q161" i="13"/>
  <c r="D162" i="13"/>
  <c r="E162" i="13"/>
  <c r="Q162" i="13"/>
  <c r="D163" i="13"/>
  <c r="E163" i="13"/>
  <c r="Q163" i="13"/>
  <c r="D164" i="13"/>
  <c r="E164" i="13"/>
  <c r="Q164" i="13"/>
  <c r="D165" i="13"/>
  <c r="E165" i="13"/>
  <c r="Q165" i="13"/>
  <c r="D166" i="13"/>
  <c r="E166" i="13"/>
  <c r="Q166" i="13"/>
  <c r="D167" i="13"/>
  <c r="E167" i="13"/>
  <c r="Q167" i="13"/>
  <c r="D168" i="13"/>
  <c r="E168" i="13"/>
  <c r="Q168" i="13"/>
  <c r="D169" i="13"/>
  <c r="E169" i="13"/>
  <c r="Q169" i="13"/>
  <c r="D170" i="13"/>
  <c r="E170" i="13"/>
  <c r="Q170" i="13"/>
  <c r="D171" i="13"/>
  <c r="E171" i="13"/>
  <c r="Q171" i="13"/>
  <c r="D172" i="13"/>
  <c r="E172" i="13"/>
  <c r="Q172" i="13"/>
  <c r="D173" i="13"/>
  <c r="E173" i="13"/>
  <c r="Q173" i="13"/>
  <c r="D174" i="13"/>
  <c r="E174" i="13"/>
  <c r="Q174" i="13"/>
  <c r="D175" i="13"/>
  <c r="E175" i="13"/>
  <c r="Q175" i="13"/>
  <c r="D176" i="13"/>
  <c r="E176" i="13"/>
  <c r="Q176" i="13"/>
  <c r="D177" i="13"/>
  <c r="E177" i="13"/>
  <c r="Q177" i="13"/>
  <c r="D178" i="13"/>
  <c r="E178" i="13"/>
  <c r="Q178" i="13"/>
  <c r="D179" i="13"/>
  <c r="E179" i="13"/>
  <c r="Q179" i="13"/>
  <c r="D180" i="13"/>
  <c r="E180" i="13"/>
  <c r="Q180" i="13"/>
  <c r="C1" i="18"/>
  <c r="V37" i="18" a="1"/>
  <c r="V37" i="18" s="1"/>
  <c r="P79" i="18"/>
  <c r="N79" i="18" s="1"/>
  <c r="D79" i="18"/>
  <c r="C79" i="18"/>
  <c r="F78" i="18"/>
  <c r="P78" i="18" s="1"/>
  <c r="D78" i="18"/>
  <c r="C78" i="18"/>
  <c r="F77" i="18"/>
  <c r="P77" i="18" s="1"/>
  <c r="D77" i="18"/>
  <c r="C77" i="18"/>
  <c r="F76" i="18"/>
  <c r="P76" i="18" s="1"/>
  <c r="D76" i="18"/>
  <c r="C76" i="18"/>
  <c r="F75" i="18"/>
  <c r="P75" i="18" s="1"/>
  <c r="D75" i="18"/>
  <c r="C75" i="18"/>
  <c r="F74" i="18"/>
  <c r="P74" i="18" s="1"/>
  <c r="D74" i="18"/>
  <c r="C74" i="18"/>
  <c r="F73" i="18"/>
  <c r="P73" i="18" s="1"/>
  <c r="D73" i="18"/>
  <c r="C73" i="18"/>
  <c r="F72" i="18"/>
  <c r="P72" i="18" s="1"/>
  <c r="D72" i="18"/>
  <c r="C72" i="18"/>
  <c r="F71" i="18"/>
  <c r="P71" i="18" s="1"/>
  <c r="D71" i="18"/>
  <c r="C71" i="18"/>
  <c r="F70" i="18"/>
  <c r="P70" i="18" s="1"/>
  <c r="D70" i="18"/>
  <c r="C70" i="18"/>
  <c r="F69" i="18"/>
  <c r="P69" i="18" s="1"/>
  <c r="D69" i="18"/>
  <c r="C69" i="18"/>
  <c r="F68" i="18"/>
  <c r="P68" i="18" s="1"/>
  <c r="D68" i="18"/>
  <c r="C68" i="18"/>
  <c r="F67" i="18"/>
  <c r="P67" i="18" s="1"/>
  <c r="D67" i="18"/>
  <c r="C67" i="18"/>
  <c r="F66" i="18"/>
  <c r="P66" i="18" s="1"/>
  <c r="D66" i="18"/>
  <c r="C66" i="18"/>
  <c r="F65" i="18"/>
  <c r="P65" i="18" s="1"/>
  <c r="D65" i="18"/>
  <c r="C65" i="18"/>
  <c r="F64" i="18"/>
  <c r="P64" i="18" s="1"/>
  <c r="D64" i="18"/>
  <c r="C64" i="18"/>
  <c r="F63" i="18"/>
  <c r="P63" i="18" s="1"/>
  <c r="D63" i="18"/>
  <c r="C63" i="18"/>
  <c r="F62" i="18"/>
  <c r="P62" i="18" s="1"/>
  <c r="D62" i="18"/>
  <c r="C62" i="18"/>
  <c r="F61" i="18"/>
  <c r="P61" i="18" s="1"/>
  <c r="D61" i="18"/>
  <c r="C61" i="18"/>
  <c r="F60" i="18"/>
  <c r="P60" i="18" s="1"/>
  <c r="D60" i="18"/>
  <c r="C60" i="18"/>
  <c r="F59" i="18"/>
  <c r="P59" i="18" s="1"/>
  <c r="D59" i="18"/>
  <c r="C59" i="18"/>
  <c r="R58" i="18"/>
  <c r="R59" i="18" s="1"/>
  <c r="F58" i="18"/>
  <c r="P58" i="18" s="1"/>
  <c r="D58" i="18"/>
  <c r="C58" i="18"/>
  <c r="A58" i="18"/>
  <c r="A59" i="18" s="1"/>
  <c r="A60" i="18" s="1"/>
  <c r="A61" i="18" s="1"/>
  <c r="A62" i="18" s="1"/>
  <c r="A63" i="18" s="1"/>
  <c r="A64" i="18" s="1"/>
  <c r="A65" i="18" s="1"/>
  <c r="A66" i="18" s="1"/>
  <c r="A67" i="18" s="1"/>
  <c r="A68" i="18" s="1"/>
  <c r="A69" i="18" s="1"/>
  <c r="A70" i="18" s="1"/>
  <c r="A71" i="18" s="1"/>
  <c r="A72" i="18" s="1"/>
  <c r="A73" i="18" s="1"/>
  <c r="A74" i="18" s="1"/>
  <c r="A75" i="18" s="1"/>
  <c r="A76" i="18" s="1"/>
  <c r="A77" i="18" s="1"/>
  <c r="A78" i="18" s="1"/>
  <c r="A79" i="18" s="1"/>
  <c r="K57" i="18"/>
  <c r="I57" i="18"/>
  <c r="F57" i="18"/>
  <c r="P57" i="18" s="1"/>
  <c r="D57" i="18"/>
  <c r="C57" i="18"/>
  <c r="B57" i="18"/>
  <c r="G57" i="18" s="1"/>
  <c r="O38" i="18" a="1"/>
  <c r="O38" i="18" s="1"/>
  <c r="M38" i="18" a="1"/>
  <c r="M38" i="18" s="1"/>
  <c r="E38" i="18" a="1"/>
  <c r="E38" i="18" s="1"/>
  <c r="D38" i="18" a="1"/>
  <c r="D38" i="18" s="1"/>
  <c r="B38" i="18" a="1"/>
  <c r="B38" i="18" s="1"/>
  <c r="C38" i="18" s="1" a="1"/>
  <c r="C38" i="18" s="1"/>
  <c r="C9" i="13" l="1"/>
  <c r="R8" i="13"/>
  <c r="F8" i="13"/>
  <c r="M34" i="13"/>
  <c r="M40" i="13"/>
  <c r="M32" i="13"/>
  <c r="M35" i="13"/>
  <c r="M31" i="13"/>
  <c r="M48" i="13"/>
  <c r="M41" i="13"/>
  <c r="M33" i="13"/>
  <c r="N57" i="18"/>
  <c r="O57" i="18"/>
  <c r="E57" i="18"/>
  <c r="L57" i="18" s="1"/>
  <c r="B58" i="18"/>
  <c r="B59" i="18"/>
  <c r="R60" i="18"/>
  <c r="F49" i="18"/>
  <c r="F43" i="18"/>
  <c r="F54" i="18"/>
  <c r="F48" i="18"/>
  <c r="F42" i="18"/>
  <c r="F53" i="18"/>
  <c r="F47" i="18"/>
  <c r="F41" i="18"/>
  <c r="F52" i="18"/>
  <c r="F46" i="18"/>
  <c r="F40" i="18"/>
  <c r="F51" i="18"/>
  <c r="F45" i="18"/>
  <c r="F39" i="18"/>
  <c r="F50" i="18"/>
  <c r="F44" i="18"/>
  <c r="F38" i="18"/>
  <c r="C10" i="13" l="1"/>
  <c r="R9" i="13"/>
  <c r="M37" i="13"/>
  <c r="M36" i="13"/>
  <c r="M44" i="13"/>
  <c r="M55" i="13"/>
  <c r="M38" i="13"/>
  <c r="M47" i="13"/>
  <c r="M42" i="13"/>
  <c r="M39" i="13"/>
  <c r="M43" i="13"/>
  <c r="A3" i="18"/>
  <c r="M57" i="18"/>
  <c r="K40" i="18" a="1"/>
  <c r="K40" i="18" s="1"/>
  <c r="L39" i="18" a="1"/>
  <c r="L39" i="18" s="1"/>
  <c r="L43" i="18" a="1"/>
  <c r="L43" i="18" s="1"/>
  <c r="K53" i="18" a="1"/>
  <c r="K53" i="18" s="1"/>
  <c r="L50" i="18" a="1"/>
  <c r="L50" i="18" s="1"/>
  <c r="J43" i="18" a="1"/>
  <c r="J43" i="18" s="1"/>
  <c r="J47" i="18" a="1"/>
  <c r="J47" i="18" s="1"/>
  <c r="J48" i="18" a="1"/>
  <c r="J48" i="18" s="1"/>
  <c r="J54" i="18" a="1"/>
  <c r="J54" i="18" s="1"/>
  <c r="G46" i="18" a="1"/>
  <c r="G46" i="18" s="1"/>
  <c r="L46" i="18" a="1"/>
  <c r="L46" i="18" s="1"/>
  <c r="K42" i="18" a="1"/>
  <c r="K42" i="18" s="1"/>
  <c r="L44" i="18" a="1"/>
  <c r="L44" i="18" s="1"/>
  <c r="L49" i="18" a="1"/>
  <c r="L49" i="18" s="1"/>
  <c r="J53" i="18" a="1"/>
  <c r="J53" i="18" s="1"/>
  <c r="K51" i="18" a="1"/>
  <c r="K51" i="18" s="1"/>
  <c r="E58" i="18"/>
  <c r="G58" i="18"/>
  <c r="O58" i="18" s="1"/>
  <c r="K52" i="18" a="1"/>
  <c r="K52" i="18" s="1"/>
  <c r="K54" i="18" a="1"/>
  <c r="K54" i="18" s="1"/>
  <c r="K41" i="18" a="1"/>
  <c r="K41" i="18" s="1"/>
  <c r="J41" i="18" a="1"/>
  <c r="J41" i="18" s="1"/>
  <c r="J42" i="18" a="1"/>
  <c r="J42" i="18" s="1"/>
  <c r="J50" i="18" a="1"/>
  <c r="J50" i="18" s="1"/>
  <c r="K47" i="18" a="1"/>
  <c r="K47" i="18" s="1"/>
  <c r="G51" i="18" a="1"/>
  <c r="G51" i="18" s="1"/>
  <c r="L47" i="18" a="1"/>
  <c r="L47" i="18" s="1"/>
  <c r="J39" i="18" a="1"/>
  <c r="J39" i="18" s="1"/>
  <c r="J38" i="18" a="1"/>
  <c r="J38" i="18" s="1"/>
  <c r="K50" i="18" a="1"/>
  <c r="K50" i="18" s="1"/>
  <c r="J52" i="18" a="1"/>
  <c r="J52" i="18" s="1"/>
  <c r="L41" i="18" a="1"/>
  <c r="L41" i="18" s="1"/>
  <c r="K43" i="18" a="1"/>
  <c r="K43" i="18" s="1"/>
  <c r="J51" i="18" a="1"/>
  <c r="J51" i="18" s="1"/>
  <c r="L48" i="18" a="1"/>
  <c r="L48" i="18" s="1"/>
  <c r="K44" i="18" a="1"/>
  <c r="K44" i="18" s="1"/>
  <c r="J46" i="18" a="1"/>
  <c r="J46" i="18" s="1"/>
  <c r="L53" i="18" a="1"/>
  <c r="L53" i="18" s="1"/>
  <c r="K49" i="18" a="1"/>
  <c r="K49" i="18" s="1"/>
  <c r="J45" i="18" a="1"/>
  <c r="J45" i="18" s="1"/>
  <c r="L42" i="18" a="1"/>
  <c r="L42" i="18" s="1"/>
  <c r="L54" i="18" a="1"/>
  <c r="L54" i="18" s="1"/>
  <c r="J40" i="18" a="1"/>
  <c r="J40" i="18" s="1"/>
  <c r="K39" i="18" a="1"/>
  <c r="K39" i="18" s="1"/>
  <c r="K48" i="18" a="1"/>
  <c r="K48" i="18" s="1"/>
  <c r="L40" i="18" a="1"/>
  <c r="L40" i="18" s="1"/>
  <c r="L45" i="18" a="1"/>
  <c r="L45" i="18" s="1"/>
  <c r="J49" i="18" a="1"/>
  <c r="J49" i="18" s="1"/>
  <c r="J44" i="18" a="1"/>
  <c r="J44" i="18" s="1"/>
  <c r="K45" i="18" a="1"/>
  <c r="K45" i="18" s="1"/>
  <c r="K38" i="18" a="1"/>
  <c r="K38" i="18" s="1"/>
  <c r="K46" i="18" a="1"/>
  <c r="K46" i="18" s="1"/>
  <c r="L52" i="18" a="1"/>
  <c r="L52" i="18" s="1"/>
  <c r="L51" i="18" a="1"/>
  <c r="L51" i="18" s="1"/>
  <c r="L38" i="18" a="1"/>
  <c r="L38" i="18" s="1"/>
  <c r="B60" i="18"/>
  <c r="R61" i="18"/>
  <c r="G59" i="18"/>
  <c r="O59" i="18" s="1"/>
  <c r="E59" i="18"/>
  <c r="I45" i="18" a="1"/>
  <c r="I45" i="18" s="1"/>
  <c r="H46" i="18" a="1"/>
  <c r="H46" i="18" s="1"/>
  <c r="I50" i="18" a="1"/>
  <c r="I50" i="18" s="1"/>
  <c r="I47" i="18" a="1"/>
  <c r="I47" i="18" s="1"/>
  <c r="I40" i="18" a="1"/>
  <c r="I40" i="18" s="1"/>
  <c r="G41" i="18" a="1"/>
  <c r="G41" i="18" s="1"/>
  <c r="I52" i="18" a="1"/>
  <c r="I52" i="18" s="1"/>
  <c r="G54" i="18" a="1"/>
  <c r="G54" i="18" s="1"/>
  <c r="G43" i="18" a="1"/>
  <c r="G43" i="18" s="1"/>
  <c r="H43" i="18" a="1"/>
  <c r="H43" i="18" s="1"/>
  <c r="I49" i="18" a="1"/>
  <c r="I49" i="18" s="1"/>
  <c r="H45" i="18" a="1"/>
  <c r="H45" i="18" s="1"/>
  <c r="I46" i="18" a="1"/>
  <c r="I46" i="18" s="1"/>
  <c r="G47" i="18" a="1"/>
  <c r="G47" i="18" s="1"/>
  <c r="H41" i="18" a="1"/>
  <c r="H41" i="18" s="1"/>
  <c r="I42" i="18" a="1"/>
  <c r="I42" i="18" s="1"/>
  <c r="G49" i="18" a="1"/>
  <c r="G49" i="18" s="1"/>
  <c r="H49" i="18" a="1"/>
  <c r="H49" i="18" s="1"/>
  <c r="I38" i="18" a="1"/>
  <c r="I38" i="18" s="1"/>
  <c r="H51" i="18" a="1"/>
  <c r="H51" i="18" s="1"/>
  <c r="I53" i="18" a="1"/>
  <c r="I53" i="18" s="1"/>
  <c r="H38" i="18" a="1"/>
  <c r="H38" i="18" s="1"/>
  <c r="H44" i="18" a="1"/>
  <c r="H44" i="18" s="1"/>
  <c r="G52" i="18" a="1"/>
  <c r="G52" i="18" s="1"/>
  <c r="H52" i="18" a="1"/>
  <c r="H52" i="18" s="1"/>
  <c r="H39" i="18" a="1"/>
  <c r="H39" i="18" s="1"/>
  <c r="I51" i="18" a="1"/>
  <c r="I51" i="18" s="1"/>
  <c r="G53" i="18" a="1"/>
  <c r="G53" i="18" s="1"/>
  <c r="H47" i="18" a="1"/>
  <c r="H47" i="18" s="1"/>
  <c r="G38" i="18" a="1"/>
  <c r="G38" i="18" s="1"/>
  <c r="I39" i="18" a="1"/>
  <c r="I39" i="18" s="1"/>
  <c r="G40" i="18" a="1"/>
  <c r="G40" i="18" s="1"/>
  <c r="H40" i="18" a="1"/>
  <c r="H40" i="18" s="1"/>
  <c r="G45" i="18" a="1"/>
  <c r="G45" i="18" s="1"/>
  <c r="H53" i="18" a="1"/>
  <c r="H53" i="18" s="1"/>
  <c r="H42" i="18" a="1"/>
  <c r="H42" i="18" s="1"/>
  <c r="I43" i="18" a="1"/>
  <c r="I43" i="18" s="1"/>
  <c r="G44" i="18" a="1"/>
  <c r="G44" i="18" s="1"/>
  <c r="H50" i="18" a="1"/>
  <c r="H50" i="18" s="1"/>
  <c r="I41" i="18" a="1"/>
  <c r="I41" i="18" s="1"/>
  <c r="G42" i="18" a="1"/>
  <c r="G42" i="18" s="1"/>
  <c r="H48" i="18" a="1"/>
  <c r="H48" i="18" s="1"/>
  <c r="I48" i="18" a="1"/>
  <c r="I48" i="18" s="1"/>
  <c r="G50" i="18" a="1"/>
  <c r="G50" i="18" s="1"/>
  <c r="G39" i="18" a="1"/>
  <c r="G39" i="18" s="1"/>
  <c r="G48" i="18" a="1"/>
  <c r="G48" i="18" s="1"/>
  <c r="H54" i="18" a="1"/>
  <c r="H54" i="18" s="1"/>
  <c r="I54" i="18" a="1"/>
  <c r="I54" i="18" s="1"/>
  <c r="I44" i="18" a="1"/>
  <c r="I44" i="18" s="1"/>
  <c r="N38" i="18" a="1"/>
  <c r="N38" i="18" s="1"/>
  <c r="C11" i="13" l="1"/>
  <c r="R10" i="13"/>
  <c r="M50" i="13"/>
  <c r="M46" i="13"/>
  <c r="M62" i="13"/>
  <c r="M54" i="13"/>
  <c r="M49" i="13"/>
  <c r="M45" i="13"/>
  <c r="M51" i="13"/>
  <c r="H58" i="18"/>
  <c r="L58" i="18"/>
  <c r="K58" i="18" s="1"/>
  <c r="N58" i="18" s="1"/>
  <c r="A4" i="18" s="1"/>
  <c r="J58" i="18"/>
  <c r="I58" i="18" s="1"/>
  <c r="J59" i="18" s="1"/>
  <c r="I59" i="18" s="1"/>
  <c r="H59" i="18"/>
  <c r="R62" i="18"/>
  <c r="B61" i="18"/>
  <c r="G60" i="18"/>
  <c r="E60" i="18"/>
  <c r="L59" i="18"/>
  <c r="C12" i="13" l="1"/>
  <c r="R11" i="13"/>
  <c r="M58" i="13"/>
  <c r="M61" i="13"/>
  <c r="M53" i="13"/>
  <c r="M56" i="13"/>
  <c r="M52" i="13"/>
  <c r="M69" i="13"/>
  <c r="M57" i="13"/>
  <c r="H60" i="18"/>
  <c r="O60" i="18"/>
  <c r="M58" i="18"/>
  <c r="K59" i="18"/>
  <c r="N59" i="18" s="1"/>
  <c r="A5" i="18" s="1"/>
  <c r="G61" i="18"/>
  <c r="E61" i="18"/>
  <c r="L60" i="18"/>
  <c r="J60" i="18"/>
  <c r="I60" i="18" s="1"/>
  <c r="R63" i="18"/>
  <c r="B62" i="18"/>
  <c r="A38" i="18" a="1"/>
  <c r="A38" i="18" s="1"/>
  <c r="A30" i="18"/>
  <c r="C13" i="13" l="1"/>
  <c r="R12" i="13"/>
  <c r="M68" i="13"/>
  <c r="M59" i="13"/>
  <c r="M64" i="13"/>
  <c r="M76" i="13"/>
  <c r="M63" i="13"/>
  <c r="M60" i="13"/>
  <c r="M65" i="13"/>
  <c r="H61" i="18"/>
  <c r="O61" i="18"/>
  <c r="K60" i="18"/>
  <c r="B63" i="18"/>
  <c r="R64" i="18"/>
  <c r="J61" i="18"/>
  <c r="I61" i="18" s="1"/>
  <c r="L61" i="18"/>
  <c r="E62" i="18"/>
  <c r="G62" i="18"/>
  <c r="Q30" i="13"/>
  <c r="O30" i="13" s="1"/>
  <c r="G29" i="13"/>
  <c r="G9" i="13"/>
  <c r="C14" i="13" l="1"/>
  <c r="R13" i="13"/>
  <c r="Q29" i="13"/>
  <c r="Q9" i="13"/>
  <c r="F9" i="13"/>
  <c r="M67" i="13"/>
  <c r="M75" i="13"/>
  <c r="M72" i="13"/>
  <c r="M71" i="13"/>
  <c r="M70" i="13"/>
  <c r="M83" i="13"/>
  <c r="M66" i="13"/>
  <c r="H62" i="18"/>
  <c r="O62" i="18"/>
  <c r="N60" i="18"/>
  <c r="A6" i="18" s="1"/>
  <c r="M59" i="18"/>
  <c r="K61" i="18"/>
  <c r="J62" i="18"/>
  <c r="I62" i="18" s="1"/>
  <c r="L62" i="18"/>
  <c r="R65" i="18"/>
  <c r="B64" i="18"/>
  <c r="E63" i="18"/>
  <c r="G63" i="18"/>
  <c r="E9" i="13"/>
  <c r="E10" i="13"/>
  <c r="E11" i="13"/>
  <c r="E12" i="13"/>
  <c r="E13" i="13"/>
  <c r="E14" i="13"/>
  <c r="E15" i="13"/>
  <c r="E16" i="13"/>
  <c r="E17" i="13"/>
  <c r="E18" i="13"/>
  <c r="E19" i="13"/>
  <c r="E20" i="13"/>
  <c r="E21" i="13"/>
  <c r="E22" i="13"/>
  <c r="E23" i="13"/>
  <c r="E24" i="13"/>
  <c r="E25" i="13"/>
  <c r="E26" i="13"/>
  <c r="E27" i="13"/>
  <c r="E28" i="13"/>
  <c r="E29" i="13"/>
  <c r="E30" i="13"/>
  <c r="C15" i="13" l="1"/>
  <c r="R14" i="13"/>
  <c r="M73" i="13"/>
  <c r="M82" i="13"/>
  <c r="M77" i="13"/>
  <c r="M90" i="13"/>
  <c r="M78" i="13"/>
  <c r="M79" i="13"/>
  <c r="M74" i="13"/>
  <c r="H63" i="18"/>
  <c r="O63" i="18"/>
  <c r="M60" i="18"/>
  <c r="N61" i="18"/>
  <c r="K62" i="18"/>
  <c r="G64" i="18"/>
  <c r="E64" i="18"/>
  <c r="B65" i="18"/>
  <c r="R66" i="18"/>
  <c r="L63" i="18"/>
  <c r="J63" i="18"/>
  <c r="I63" i="18" s="1"/>
  <c r="D9" i="13"/>
  <c r="D10" i="13"/>
  <c r="D11" i="13"/>
  <c r="D12" i="13"/>
  <c r="D13" i="13"/>
  <c r="D14" i="13"/>
  <c r="D15" i="13"/>
  <c r="D16" i="13"/>
  <c r="D17" i="13"/>
  <c r="D18" i="13"/>
  <c r="D19" i="13"/>
  <c r="D20" i="13"/>
  <c r="D21" i="13"/>
  <c r="D22" i="13"/>
  <c r="D23" i="13"/>
  <c r="D24" i="13"/>
  <c r="D25" i="13"/>
  <c r="D26" i="13"/>
  <c r="D27" i="13"/>
  <c r="D28" i="13"/>
  <c r="D29" i="13"/>
  <c r="D30" i="13"/>
  <c r="C16" i="13" l="1"/>
  <c r="R15" i="13"/>
  <c r="M86" i="13"/>
  <c r="M85" i="13"/>
  <c r="M89" i="13"/>
  <c r="M81" i="13"/>
  <c r="M84" i="13"/>
  <c r="M97" i="13"/>
  <c r="M80" i="13"/>
  <c r="M61" i="18"/>
  <c r="A7" i="18"/>
  <c r="H64" i="18"/>
  <c r="O64" i="18"/>
  <c r="N62" i="18"/>
  <c r="K63" i="18"/>
  <c r="B66" i="18"/>
  <c r="R67" i="18"/>
  <c r="G65" i="18"/>
  <c r="E65" i="18"/>
  <c r="L64" i="18"/>
  <c r="J64" i="18"/>
  <c r="I64" i="18" s="1"/>
  <c r="D8" i="13"/>
  <c r="E8" i="13"/>
  <c r="C17" i="13" l="1"/>
  <c r="R16" i="13"/>
  <c r="M104" i="13"/>
  <c r="M88" i="13"/>
  <c r="M87" i="13"/>
  <c r="M92" i="13"/>
  <c r="M91" i="13"/>
  <c r="M96" i="13"/>
  <c r="M93" i="13"/>
  <c r="M62" i="18"/>
  <c r="A8" i="18"/>
  <c r="H65" i="18"/>
  <c r="O65" i="18"/>
  <c r="N63" i="18"/>
  <c r="K64" i="18"/>
  <c r="G66" i="18"/>
  <c r="E66" i="18"/>
  <c r="L65" i="18"/>
  <c r="J65" i="18"/>
  <c r="I65" i="18" s="1"/>
  <c r="R68" i="18"/>
  <c r="B67" i="18"/>
  <c r="A9" i="13"/>
  <c r="A10" i="13" s="1"/>
  <c r="A11" i="13" s="1"/>
  <c r="A12" i="13" s="1"/>
  <c r="A13" i="13" s="1"/>
  <c r="A14" i="13" s="1"/>
  <c r="A15" i="13" s="1"/>
  <c r="A16" i="13" s="1"/>
  <c r="A17" i="13" s="1"/>
  <c r="A18" i="13" s="1"/>
  <c r="A19" i="13" s="1"/>
  <c r="A20" i="13" s="1"/>
  <c r="A21" i="13" s="1"/>
  <c r="A22" i="13" s="1"/>
  <c r="A23" i="13" s="1"/>
  <c r="A24" i="13" s="1"/>
  <c r="A25" i="13" s="1"/>
  <c r="A26" i="13" s="1"/>
  <c r="A27" i="13" s="1"/>
  <c r="A28" i="13" s="1"/>
  <c r="A29" i="13" s="1"/>
  <c r="A30" i="13" s="1"/>
  <c r="A31" i="13" s="1"/>
  <c r="A32" i="13" s="1"/>
  <c r="A33" i="13" s="1"/>
  <c r="A34" i="13" s="1"/>
  <c r="A35" i="13" s="1"/>
  <c r="A36" i="13" s="1"/>
  <c r="A37" i="13" s="1"/>
  <c r="A38" i="13" s="1"/>
  <c r="A39" i="13" s="1"/>
  <c r="A40" i="13" s="1"/>
  <c r="A41" i="13" s="1"/>
  <c r="A42" i="13" s="1"/>
  <c r="A43" i="13" s="1"/>
  <c r="A44" i="13" s="1"/>
  <c r="A45" i="13" s="1"/>
  <c r="A46" i="13" s="1"/>
  <c r="A47" i="13" s="1"/>
  <c r="A48" i="13" s="1"/>
  <c r="A49" i="13" s="1"/>
  <c r="A50" i="13" s="1"/>
  <c r="A51" i="13" s="1"/>
  <c r="A52" i="13" s="1"/>
  <c r="A53" i="13" s="1"/>
  <c r="A54" i="13" s="1"/>
  <c r="A55" i="13" s="1"/>
  <c r="A56" i="13" s="1"/>
  <c r="A57" i="13" s="1"/>
  <c r="A58" i="13" s="1"/>
  <c r="A59" i="13" s="1"/>
  <c r="A60" i="13" s="1"/>
  <c r="A61" i="13" s="1"/>
  <c r="A62" i="13" s="1"/>
  <c r="A63" i="13" s="1"/>
  <c r="A64" i="13" s="1"/>
  <c r="A65" i="13" s="1"/>
  <c r="A66" i="13" s="1"/>
  <c r="A67" i="13" s="1"/>
  <c r="A68" i="13" s="1"/>
  <c r="A69" i="13" s="1"/>
  <c r="A70" i="13" s="1"/>
  <c r="A71" i="13" s="1"/>
  <c r="A72" i="13" s="1"/>
  <c r="A73" i="13" s="1"/>
  <c r="A74" i="13" s="1"/>
  <c r="A75" i="13" s="1"/>
  <c r="A76" i="13" s="1"/>
  <c r="A77" i="13" s="1"/>
  <c r="A78" i="13" s="1"/>
  <c r="A79" i="13" s="1"/>
  <c r="A80" i="13" s="1"/>
  <c r="A81" i="13" s="1"/>
  <c r="A82" i="13" s="1"/>
  <c r="A83" i="13" s="1"/>
  <c r="A84" i="13" s="1"/>
  <c r="A85" i="13" s="1"/>
  <c r="A86" i="13" s="1"/>
  <c r="A87" i="13" s="1"/>
  <c r="A88" i="13" s="1"/>
  <c r="A89" i="13" s="1"/>
  <c r="A90" i="13" s="1"/>
  <c r="A91" i="13" s="1"/>
  <c r="A92" i="13" s="1"/>
  <c r="A93" i="13" s="1"/>
  <c r="A94" i="13" s="1"/>
  <c r="A95" i="13" s="1"/>
  <c r="A96" i="13" s="1"/>
  <c r="A97" i="13" s="1"/>
  <c r="A98" i="13" s="1"/>
  <c r="A99" i="13" s="1"/>
  <c r="A100" i="13" s="1"/>
  <c r="A101" i="13" s="1"/>
  <c r="A102" i="13" s="1"/>
  <c r="A103" i="13" s="1"/>
  <c r="A104" i="13" s="1"/>
  <c r="A105" i="13" s="1"/>
  <c r="A106" i="13" s="1"/>
  <c r="A107" i="13" s="1"/>
  <c r="A108" i="13" s="1"/>
  <c r="A109" i="13" s="1"/>
  <c r="A110" i="13" s="1"/>
  <c r="A111" i="13" s="1"/>
  <c r="A112" i="13" s="1"/>
  <c r="A113" i="13" s="1"/>
  <c r="A114" i="13" s="1"/>
  <c r="A115" i="13" s="1"/>
  <c r="A116" i="13" s="1"/>
  <c r="A117" i="13" s="1"/>
  <c r="A118" i="13" s="1"/>
  <c r="A119" i="13" s="1"/>
  <c r="A120" i="13" s="1"/>
  <c r="A121" i="13" s="1"/>
  <c r="A122" i="13" s="1"/>
  <c r="A123" i="13" s="1"/>
  <c r="A124" i="13" s="1"/>
  <c r="A125" i="13" s="1"/>
  <c r="A126" i="13" s="1"/>
  <c r="A127" i="13" s="1"/>
  <c r="A128" i="13" s="1"/>
  <c r="A129" i="13" s="1"/>
  <c r="A130" i="13" s="1"/>
  <c r="A131" i="13" s="1"/>
  <c r="A132" i="13" s="1"/>
  <c r="A133" i="13" s="1"/>
  <c r="A134" i="13" s="1"/>
  <c r="A135" i="13" s="1"/>
  <c r="A136" i="13" s="1"/>
  <c r="A137" i="13" s="1"/>
  <c r="A138" i="13" s="1"/>
  <c r="A139" i="13" s="1"/>
  <c r="A140" i="13" s="1"/>
  <c r="A141" i="13" s="1"/>
  <c r="A142" i="13" s="1"/>
  <c r="A143" i="13" s="1"/>
  <c r="A144" i="13" s="1"/>
  <c r="A145" i="13" s="1"/>
  <c r="A146" i="13" s="1"/>
  <c r="A147" i="13" s="1"/>
  <c r="A148" i="13" s="1"/>
  <c r="A149" i="13" s="1"/>
  <c r="A150" i="13" s="1"/>
  <c r="A151" i="13" s="1"/>
  <c r="A152" i="13" s="1"/>
  <c r="A153" i="13" s="1"/>
  <c r="A154" i="13" s="1"/>
  <c r="A155" i="13" s="1"/>
  <c r="A156" i="13" s="1"/>
  <c r="A157" i="13" s="1"/>
  <c r="A158" i="13" s="1"/>
  <c r="A159" i="13" s="1"/>
  <c r="A160" i="13" s="1"/>
  <c r="A161" i="13" s="1"/>
  <c r="A162" i="13" s="1"/>
  <c r="A163" i="13" s="1"/>
  <c r="A164" i="13" s="1"/>
  <c r="A165" i="13" s="1"/>
  <c r="A166" i="13" s="1"/>
  <c r="A167" i="13" s="1"/>
  <c r="A168" i="13" s="1"/>
  <c r="A169" i="13" s="1"/>
  <c r="A170" i="13" s="1"/>
  <c r="A171" i="13" s="1"/>
  <c r="A172" i="13" s="1"/>
  <c r="A173" i="13" s="1"/>
  <c r="A174" i="13" s="1"/>
  <c r="A175" i="13" s="1"/>
  <c r="A176" i="13" s="1"/>
  <c r="A177" i="13" s="1"/>
  <c r="A178" i="13" s="1"/>
  <c r="A179" i="13" s="1"/>
  <c r="A180" i="13" s="1"/>
  <c r="C18" i="13" l="1"/>
  <c r="R17" i="13"/>
  <c r="M100" i="13"/>
  <c r="M98" i="13"/>
  <c r="M99" i="13"/>
  <c r="M94" i="13"/>
  <c r="M111" i="13"/>
  <c r="M103" i="13"/>
  <c r="M95" i="13"/>
  <c r="M63" i="18"/>
  <c r="A9" i="18"/>
  <c r="H66" i="18"/>
  <c r="O66" i="18"/>
  <c r="N64" i="18"/>
  <c r="K65" i="18"/>
  <c r="I66" i="18"/>
  <c r="J66" i="18"/>
  <c r="L66" i="18"/>
  <c r="G67" i="18"/>
  <c r="E67" i="18"/>
  <c r="R69" i="18"/>
  <c r="B68" i="18"/>
  <c r="G10" i="13"/>
  <c r="G11" i="13"/>
  <c r="F11" i="13" s="1"/>
  <c r="G12" i="13"/>
  <c r="G13" i="13"/>
  <c r="F13" i="13" s="1"/>
  <c r="G14" i="13"/>
  <c r="G15" i="13"/>
  <c r="F15" i="13" s="1"/>
  <c r="G16" i="13"/>
  <c r="G17" i="13"/>
  <c r="F17" i="13" s="1"/>
  <c r="G18" i="13"/>
  <c r="G19" i="13"/>
  <c r="G20" i="13"/>
  <c r="G21" i="13"/>
  <c r="G22" i="13"/>
  <c r="G23" i="13"/>
  <c r="G24" i="13"/>
  <c r="G25" i="13"/>
  <c r="G26" i="13"/>
  <c r="G27" i="13"/>
  <c r="G28" i="13"/>
  <c r="AA9" i="13"/>
  <c r="C19" i="13" l="1"/>
  <c r="F19" i="13" s="1"/>
  <c r="R18" i="13"/>
  <c r="Q14" i="13"/>
  <c r="F14" i="13"/>
  <c r="Q26" i="13"/>
  <c r="Q20" i="13"/>
  <c r="Q23" i="13"/>
  <c r="Q28" i="13"/>
  <c r="Q22" i="13"/>
  <c r="Q16" i="13"/>
  <c r="F16" i="13"/>
  <c r="Q10" i="13"/>
  <c r="F10" i="13"/>
  <c r="Q25" i="13"/>
  <c r="Q24" i="13"/>
  <c r="Q18" i="13"/>
  <c r="F18" i="13"/>
  <c r="Q12" i="13"/>
  <c r="F12" i="13"/>
  <c r="Q27" i="13"/>
  <c r="Q21" i="13"/>
  <c r="M101" i="13"/>
  <c r="M102" i="13"/>
  <c r="M118" i="13"/>
  <c r="M105" i="13"/>
  <c r="M107" i="13"/>
  <c r="M110" i="13"/>
  <c r="M106" i="13"/>
  <c r="M64" i="18"/>
  <c r="A10" i="18"/>
  <c r="H67" i="18"/>
  <c r="O67" i="18"/>
  <c r="N65" i="18"/>
  <c r="K66" i="18"/>
  <c r="J67" i="18"/>
  <c r="I67" i="18"/>
  <c r="L67" i="18"/>
  <c r="E68" i="18"/>
  <c r="G68" i="18"/>
  <c r="B69" i="18"/>
  <c r="R70" i="18"/>
  <c r="Q8" i="13"/>
  <c r="O8" i="13" s="1"/>
  <c r="Q17" i="13"/>
  <c r="Q11" i="13"/>
  <c r="Q19" i="13"/>
  <c r="Q13" i="13"/>
  <c r="Q15" i="13"/>
  <c r="H8" i="13"/>
  <c r="AA10" i="13"/>
  <c r="AV28" i="13"/>
  <c r="AU28" i="13"/>
  <c r="AT28" i="13"/>
  <c r="AS28" i="13"/>
  <c r="AR28" i="13"/>
  <c r="AV26" i="13"/>
  <c r="AU26" i="13"/>
  <c r="AT26" i="13"/>
  <c r="AS26" i="13"/>
  <c r="AR26" i="13"/>
  <c r="AV24" i="13"/>
  <c r="AU24" i="13"/>
  <c r="AT24" i="13"/>
  <c r="AS24" i="13"/>
  <c r="AR24" i="13"/>
  <c r="AV13" i="13"/>
  <c r="AU13" i="13"/>
  <c r="AT13" i="13"/>
  <c r="AS13" i="13"/>
  <c r="AR13" i="13"/>
  <c r="C20" i="13" l="1"/>
  <c r="R19" i="13"/>
  <c r="M117" i="13"/>
  <c r="M108" i="13"/>
  <c r="M113" i="13"/>
  <c r="M125" i="13"/>
  <c r="M112" i="13"/>
  <c r="M114" i="13"/>
  <c r="M109" i="13"/>
  <c r="M65" i="18"/>
  <c r="A11" i="18"/>
  <c r="H68" i="18"/>
  <c r="O68" i="18"/>
  <c r="N66" i="18"/>
  <c r="K67" i="18"/>
  <c r="B70" i="18"/>
  <c r="R71" i="18"/>
  <c r="E69" i="18"/>
  <c r="G69" i="18"/>
  <c r="J68" i="18"/>
  <c r="L68" i="18"/>
  <c r="I68" i="18"/>
  <c r="P8" i="13"/>
  <c r="N8" i="13"/>
  <c r="M8" i="13"/>
  <c r="H9" i="13"/>
  <c r="P9" i="13" s="1"/>
  <c r="AA11" i="13"/>
  <c r="C21" i="13" l="1"/>
  <c r="R20" i="13"/>
  <c r="F20" i="13"/>
  <c r="M115" i="13"/>
  <c r="M120" i="13"/>
  <c r="M124" i="13"/>
  <c r="M116" i="13"/>
  <c r="M132" i="13"/>
  <c r="M119" i="13"/>
  <c r="M121" i="13"/>
  <c r="M66" i="18"/>
  <c r="A12" i="18"/>
  <c r="H69" i="18"/>
  <c r="O69" i="18"/>
  <c r="N67" i="18"/>
  <c r="K68" i="18"/>
  <c r="L69" i="18"/>
  <c r="J69" i="18"/>
  <c r="I69" i="18"/>
  <c r="B71" i="18"/>
  <c r="R72" i="18"/>
  <c r="G70" i="18"/>
  <c r="E70" i="18"/>
  <c r="I9" i="13"/>
  <c r="M9" i="13"/>
  <c r="L9" i="13" s="1"/>
  <c r="K9" i="13"/>
  <c r="J9" i="13" s="1"/>
  <c r="H10" i="13"/>
  <c r="P10" i="13" s="1"/>
  <c r="AA12" i="13"/>
  <c r="C22" i="13" l="1"/>
  <c r="R21" i="13"/>
  <c r="F21" i="13"/>
  <c r="M128" i="13"/>
  <c r="M131" i="13"/>
  <c r="M123" i="13"/>
  <c r="M122" i="13"/>
  <c r="M126" i="13"/>
  <c r="M127" i="13"/>
  <c r="M139" i="13"/>
  <c r="M67" i="18"/>
  <c r="A13" i="18"/>
  <c r="H70" i="18"/>
  <c r="O70" i="18"/>
  <c r="N68" i="18"/>
  <c r="K69" i="18"/>
  <c r="B72" i="18"/>
  <c r="R73" i="18"/>
  <c r="G71" i="18"/>
  <c r="E71" i="18"/>
  <c r="L70" i="18"/>
  <c r="I70" i="18"/>
  <c r="J70" i="18"/>
  <c r="O9" i="13"/>
  <c r="N9" i="13" s="1"/>
  <c r="M10" i="13"/>
  <c r="L10" i="13" s="1"/>
  <c r="I10" i="13"/>
  <c r="K10" i="13"/>
  <c r="J10" i="13" s="1"/>
  <c r="H11" i="13"/>
  <c r="AA13" i="13"/>
  <c r="C23" i="13" l="1"/>
  <c r="R22" i="13"/>
  <c r="F22" i="13"/>
  <c r="O10" i="13"/>
  <c r="M134" i="13"/>
  <c r="M129" i="13"/>
  <c r="M138" i="13"/>
  <c r="M135" i="13"/>
  <c r="M133" i="13"/>
  <c r="M130" i="13"/>
  <c r="M146" i="13"/>
  <c r="K11" i="13"/>
  <c r="J11" i="13" s="1"/>
  <c r="M68" i="18"/>
  <c r="A14" i="18"/>
  <c r="H71" i="18"/>
  <c r="O71" i="18"/>
  <c r="N69" i="18"/>
  <c r="K70" i="18"/>
  <c r="L71" i="18"/>
  <c r="J71" i="18"/>
  <c r="I71" i="18"/>
  <c r="R74" i="18"/>
  <c r="B73" i="18"/>
  <c r="E72" i="18"/>
  <c r="G72" i="18"/>
  <c r="I11" i="13"/>
  <c r="P11" i="13"/>
  <c r="M11" i="13"/>
  <c r="L11" i="13" s="1"/>
  <c r="H12" i="13"/>
  <c r="P12" i="13" s="1"/>
  <c r="AA14" i="13"/>
  <c r="C24" i="13" l="1"/>
  <c r="R23" i="13"/>
  <c r="F23" i="13"/>
  <c r="O11" i="13"/>
  <c r="M153" i="13"/>
  <c r="M142" i="13"/>
  <c r="M136" i="13"/>
  <c r="M137" i="13"/>
  <c r="M140" i="13"/>
  <c r="M145" i="13"/>
  <c r="M141" i="13"/>
  <c r="M69" i="18"/>
  <c r="A15" i="18"/>
  <c r="H72" i="18"/>
  <c r="O72" i="18"/>
  <c r="N70" i="18"/>
  <c r="K71" i="18"/>
  <c r="I72" i="18"/>
  <c r="L72" i="18"/>
  <c r="J72" i="18"/>
  <c r="E73" i="18"/>
  <c r="G73" i="18"/>
  <c r="R75" i="18"/>
  <c r="B74" i="18"/>
  <c r="K12" i="13"/>
  <c r="M12" i="13"/>
  <c r="L12" i="13" s="1"/>
  <c r="N10" i="13"/>
  <c r="I12" i="13"/>
  <c r="H13" i="13"/>
  <c r="AA15" i="13"/>
  <c r="C25" i="13" l="1"/>
  <c r="R24" i="13"/>
  <c r="F24" i="13"/>
  <c r="O12" i="13"/>
  <c r="M147" i="13"/>
  <c r="M149" i="13"/>
  <c r="M144" i="13"/>
  <c r="M148" i="13"/>
  <c r="M160" i="13"/>
  <c r="M152" i="13"/>
  <c r="M143" i="13"/>
  <c r="M70" i="18"/>
  <c r="A16" i="18"/>
  <c r="H73" i="18"/>
  <c r="O73" i="18"/>
  <c r="N71" i="18"/>
  <c r="K72" i="18"/>
  <c r="J73" i="18"/>
  <c r="I73" i="18"/>
  <c r="L73" i="18"/>
  <c r="B75" i="18"/>
  <c r="R76" i="18"/>
  <c r="E74" i="18"/>
  <c r="G74" i="18"/>
  <c r="I13" i="13"/>
  <c r="P13" i="13"/>
  <c r="M13" i="13"/>
  <c r="N11" i="13"/>
  <c r="H14" i="13"/>
  <c r="P14" i="13" s="1"/>
  <c r="AA16" i="13"/>
  <c r="C26" i="13" l="1"/>
  <c r="R25" i="13"/>
  <c r="F25" i="13"/>
  <c r="M155" i="13"/>
  <c r="M156" i="13"/>
  <c r="M150" i="13"/>
  <c r="M167" i="13"/>
  <c r="M154" i="13"/>
  <c r="M159" i="13"/>
  <c r="M151" i="13"/>
  <c r="M71" i="18"/>
  <c r="A17" i="18"/>
  <c r="H74" i="18"/>
  <c r="O74" i="18"/>
  <c r="N72" i="18"/>
  <c r="K73" i="18"/>
  <c r="J74" i="18"/>
  <c r="I74" i="18"/>
  <c r="L74" i="18"/>
  <c r="E75" i="18"/>
  <c r="G75" i="18"/>
  <c r="B76" i="18"/>
  <c r="R77" i="18"/>
  <c r="M14" i="13"/>
  <c r="I14" i="13"/>
  <c r="N12" i="13"/>
  <c r="H15" i="13"/>
  <c r="AA17" i="13"/>
  <c r="C27" i="13" l="1"/>
  <c r="R26" i="13"/>
  <c r="F26" i="13"/>
  <c r="M166" i="13"/>
  <c r="M163" i="13"/>
  <c r="M174" i="13"/>
  <c r="M158" i="13"/>
  <c r="M161" i="13"/>
  <c r="M157" i="13"/>
  <c r="M162" i="13"/>
  <c r="M72" i="18"/>
  <c r="A18" i="18"/>
  <c r="H75" i="18"/>
  <c r="O75" i="18"/>
  <c r="N73" i="18"/>
  <c r="K74" i="18"/>
  <c r="G76" i="18"/>
  <c r="E76" i="18"/>
  <c r="L75" i="18"/>
  <c r="J75" i="18"/>
  <c r="I75" i="18"/>
  <c r="B77" i="18"/>
  <c r="R78" i="18"/>
  <c r="M15" i="13"/>
  <c r="I15" i="13"/>
  <c r="P15" i="13"/>
  <c r="H16" i="13"/>
  <c r="P16" i="13" s="1"/>
  <c r="AA18" i="13"/>
  <c r="C28" i="13" l="1"/>
  <c r="R27" i="13"/>
  <c r="F27" i="13"/>
  <c r="M168" i="13"/>
  <c r="M173" i="13"/>
  <c r="M170" i="13"/>
  <c r="M169" i="13"/>
  <c r="M164" i="13"/>
  <c r="M165" i="13"/>
  <c r="M73" i="18"/>
  <c r="A19" i="18"/>
  <c r="H76" i="18"/>
  <c r="O76" i="18"/>
  <c r="N74" i="18"/>
  <c r="K75" i="18"/>
  <c r="G77" i="18"/>
  <c r="E77" i="18"/>
  <c r="L76" i="18"/>
  <c r="I76" i="18"/>
  <c r="J76" i="18"/>
  <c r="R79" i="18"/>
  <c r="B79" i="18" s="1"/>
  <c r="B78" i="18"/>
  <c r="M16" i="13"/>
  <c r="I16" i="13"/>
  <c r="H17" i="13"/>
  <c r="AA19" i="13"/>
  <c r="C29" i="13" l="1"/>
  <c r="R28" i="13"/>
  <c r="F28" i="13"/>
  <c r="M171" i="13"/>
  <c r="M177" i="13"/>
  <c r="M175" i="13"/>
  <c r="M172" i="13"/>
  <c r="M180" i="13"/>
  <c r="M176" i="13"/>
  <c r="M74" i="18"/>
  <c r="A20" i="18"/>
  <c r="H77" i="18"/>
  <c r="O77" i="18"/>
  <c r="N75" i="18"/>
  <c r="K76" i="18"/>
  <c r="G79" i="18"/>
  <c r="H79" i="18" s="1"/>
  <c r="E79" i="18"/>
  <c r="M79" i="18" s="1"/>
  <c r="E78" i="18"/>
  <c r="G78" i="18"/>
  <c r="J77" i="18"/>
  <c r="L77" i="18"/>
  <c r="I77" i="18"/>
  <c r="M17" i="13"/>
  <c r="I17" i="13"/>
  <c r="P17" i="13"/>
  <c r="H18" i="13"/>
  <c r="P18" i="13" s="1"/>
  <c r="AA20" i="13"/>
  <c r="C30" i="13" l="1"/>
  <c r="R29" i="13"/>
  <c r="F29" i="13"/>
  <c r="M179" i="13"/>
  <c r="M178" i="13"/>
  <c r="M75" i="18"/>
  <c r="A21" i="18"/>
  <c r="H78" i="18"/>
  <c r="O78" i="18"/>
  <c r="N76" i="18"/>
  <c r="K77" i="18"/>
  <c r="I78" i="18"/>
  <c r="L78" i="18"/>
  <c r="J78" i="18"/>
  <c r="J79" i="18"/>
  <c r="I79" i="18"/>
  <c r="L79" i="18"/>
  <c r="M18" i="13"/>
  <c r="I18" i="13"/>
  <c r="H19" i="13"/>
  <c r="AA21" i="13"/>
  <c r="C31" i="13" l="1"/>
  <c r="R30" i="13"/>
  <c r="M76" i="18"/>
  <c r="A22" i="18"/>
  <c r="N77" i="18"/>
  <c r="K78" i="18"/>
  <c r="N78" i="18" s="1"/>
  <c r="A24" i="18" s="1"/>
  <c r="I19" i="13"/>
  <c r="P19" i="13"/>
  <c r="M19" i="13"/>
  <c r="H20" i="13"/>
  <c r="P20" i="13" s="1"/>
  <c r="AA22" i="13"/>
  <c r="AA23" i="13" s="1"/>
  <c r="C32" i="13" l="1"/>
  <c r="R31" i="13"/>
  <c r="H31" i="13"/>
  <c r="M77" i="18"/>
  <c r="A23" i="18"/>
  <c r="K79" i="18"/>
  <c r="O79" i="18" s="1"/>
  <c r="A25" i="18" s="1"/>
  <c r="M20" i="13"/>
  <c r="I20" i="13"/>
  <c r="H21" i="13"/>
  <c r="P21" i="13" s="1"/>
  <c r="P31" i="13" l="1"/>
  <c r="I31" i="13"/>
  <c r="C33" i="13"/>
  <c r="R32" i="13"/>
  <c r="H32" i="13"/>
  <c r="I32" i="13" s="1"/>
  <c r="M78" i="18"/>
  <c r="M21" i="13"/>
  <c r="I21" i="13"/>
  <c r="H22" i="13"/>
  <c r="AA24" i="13"/>
  <c r="C34" i="13" l="1"/>
  <c r="R33" i="13"/>
  <c r="H33" i="13"/>
  <c r="M22" i="13"/>
  <c r="I22" i="13"/>
  <c r="P22" i="13"/>
  <c r="H23" i="13"/>
  <c r="P23" i="13" s="1"/>
  <c r="AA25" i="13"/>
  <c r="P33" i="13" l="1"/>
  <c r="I33" i="13"/>
  <c r="C35" i="13"/>
  <c r="R34" i="13"/>
  <c r="H34" i="13"/>
  <c r="I34" i="13" s="1"/>
  <c r="M23" i="13"/>
  <c r="I23" i="13"/>
  <c r="H24" i="13"/>
  <c r="AA26" i="13"/>
  <c r="C36" i="13" l="1"/>
  <c r="R35" i="13"/>
  <c r="H35" i="13"/>
  <c r="I24" i="13"/>
  <c r="P24" i="13"/>
  <c r="M24" i="13"/>
  <c r="H25" i="13"/>
  <c r="AA27" i="13"/>
  <c r="I35" i="13" l="1"/>
  <c r="P35" i="13"/>
  <c r="C37" i="13"/>
  <c r="R36" i="13"/>
  <c r="H36" i="13"/>
  <c r="I36" i="13" s="1"/>
  <c r="I25" i="13"/>
  <c r="P25" i="13"/>
  <c r="M25" i="13"/>
  <c r="H26" i="13"/>
  <c r="P26" i="13" s="1"/>
  <c r="AA28" i="13"/>
  <c r="C38" i="13" l="1"/>
  <c r="R37" i="13"/>
  <c r="H37" i="13"/>
  <c r="M26" i="13"/>
  <c r="I26" i="13"/>
  <c r="H27" i="13"/>
  <c r="AA29" i="13"/>
  <c r="I37" i="13" l="1"/>
  <c r="P37" i="13"/>
  <c r="C39" i="13"/>
  <c r="R38" i="13"/>
  <c r="H38" i="13"/>
  <c r="I38" i="13" s="1"/>
  <c r="M27" i="13"/>
  <c r="I27" i="13"/>
  <c r="P27" i="13"/>
  <c r="H28" i="13"/>
  <c r="P28" i="13" s="1"/>
  <c r="AA30" i="13"/>
  <c r="C40" i="13" l="1"/>
  <c r="R39" i="13"/>
  <c r="H39" i="13"/>
  <c r="M28" i="13"/>
  <c r="I28" i="13"/>
  <c r="H30" i="13"/>
  <c r="I30" i="13" s="1"/>
  <c r="H29" i="13"/>
  <c r="P39" i="13" l="1"/>
  <c r="I39" i="13"/>
  <c r="C41" i="13"/>
  <c r="R40" i="13"/>
  <c r="H40" i="13"/>
  <c r="I40" i="13" s="1"/>
  <c r="M29" i="13"/>
  <c r="N30" i="13"/>
  <c r="I29" i="13"/>
  <c r="P29" i="13"/>
  <c r="M30" i="13"/>
  <c r="J12" i="13"/>
  <c r="L13" i="13"/>
  <c r="O13" i="13" s="1"/>
  <c r="N13" i="13" s="1"/>
  <c r="C42" i="13" l="1"/>
  <c r="R41" i="13"/>
  <c r="H41" i="13"/>
  <c r="K13" i="13"/>
  <c r="J13" i="13" s="1"/>
  <c r="P41" i="13" l="1"/>
  <c r="I41" i="13"/>
  <c r="C43" i="13"/>
  <c r="R42" i="13"/>
  <c r="H42" i="13"/>
  <c r="I42" i="13" s="1"/>
  <c r="K14" i="13"/>
  <c r="J14" i="13" s="1"/>
  <c r="L14" i="13"/>
  <c r="O14" i="13" s="1"/>
  <c r="N14" i="13" s="1"/>
  <c r="C44" i="13" l="1"/>
  <c r="R43" i="13"/>
  <c r="H43" i="13"/>
  <c r="L15" i="13"/>
  <c r="K15" i="13"/>
  <c r="J15" i="13" s="1"/>
  <c r="K16" i="13" s="1"/>
  <c r="J16" i="13" s="1"/>
  <c r="I43" i="13" l="1"/>
  <c r="P43" i="13"/>
  <c r="C45" i="13"/>
  <c r="R44" i="13"/>
  <c r="H44" i="13"/>
  <c r="I44" i="13" s="1"/>
  <c r="L16" i="13"/>
  <c r="O16" i="13" s="1"/>
  <c r="N16" i="13" s="1"/>
  <c r="O15" i="13"/>
  <c r="N15" i="13" s="1"/>
  <c r="C46" i="13" l="1"/>
  <c r="R45" i="13"/>
  <c r="H45" i="13"/>
  <c r="L17" i="13"/>
  <c r="O17" i="13" s="1"/>
  <c r="N17" i="13" s="1"/>
  <c r="P45" i="13" l="1"/>
  <c r="I45" i="13"/>
  <c r="C47" i="13"/>
  <c r="R46" i="13"/>
  <c r="H46" i="13"/>
  <c r="I46" i="13" s="1"/>
  <c r="K44" i="13"/>
  <c r="K32" i="13"/>
  <c r="K27" i="13"/>
  <c r="K33" i="13"/>
  <c r="K23" i="13"/>
  <c r="K35" i="13"/>
  <c r="K39" i="13"/>
  <c r="K42" i="13"/>
  <c r="K37" i="13"/>
  <c r="K38" i="13"/>
  <c r="K43" i="13"/>
  <c r="K21" i="13"/>
  <c r="K24" i="13"/>
  <c r="K36" i="13"/>
  <c r="K30" i="13"/>
  <c r="K18" i="13"/>
  <c r="K20" i="13"/>
  <c r="K26" i="13"/>
  <c r="K29" i="13"/>
  <c r="K19" i="13"/>
  <c r="K22" i="13"/>
  <c r="K25" i="13"/>
  <c r="K28" i="13"/>
  <c r="K46" i="13"/>
  <c r="K40" i="13"/>
  <c r="K34" i="13"/>
  <c r="K41" i="13"/>
  <c r="K45" i="13"/>
  <c r="K31" i="13"/>
  <c r="K17" i="13"/>
  <c r="L18" i="13" s="1"/>
  <c r="J17" i="13"/>
  <c r="J18" i="13"/>
  <c r="J19" i="13"/>
  <c r="J20" i="13"/>
  <c r="J21" i="13"/>
  <c r="J22" i="13"/>
  <c r="J23" i="13"/>
  <c r="J24" i="13"/>
  <c r="J25" i="13"/>
  <c r="J26" i="13"/>
  <c r="J27" i="13"/>
  <c r="J28" i="13"/>
  <c r="J29" i="13"/>
  <c r="C48" i="13" l="1"/>
  <c r="R47" i="13"/>
  <c r="H47" i="13"/>
  <c r="J30" i="13"/>
  <c r="J31" i="13" s="1"/>
  <c r="J32" i="13" s="1"/>
  <c r="J33" i="13" s="1"/>
  <c r="J34" i="13" s="1"/>
  <c r="J35" i="13" s="1"/>
  <c r="J36" i="13" s="1"/>
  <c r="J37" i="13" s="1"/>
  <c r="J38" i="13" s="1"/>
  <c r="J39" i="13" s="1"/>
  <c r="J40" i="13" s="1"/>
  <c r="J41" i="13" s="1"/>
  <c r="J42" i="13" s="1"/>
  <c r="J43" i="13" s="1"/>
  <c r="J44" i="13" s="1"/>
  <c r="J45" i="13" s="1"/>
  <c r="J46" i="13" s="1"/>
  <c r="O18" i="13"/>
  <c r="N18" i="13" s="1"/>
  <c r="L19" i="13"/>
  <c r="P47" i="13" l="1"/>
  <c r="I47" i="13"/>
  <c r="K47" i="13"/>
  <c r="J47" i="13"/>
  <c r="C49" i="13"/>
  <c r="R48" i="13"/>
  <c r="H48" i="13"/>
  <c r="O19" i="13"/>
  <c r="N19" i="13" s="1"/>
  <c r="L20" i="13"/>
  <c r="C50" i="13" l="1"/>
  <c r="R49" i="13"/>
  <c r="H49" i="13"/>
  <c r="I48" i="13"/>
  <c r="K48" i="13"/>
  <c r="J48" i="13" s="1"/>
  <c r="O20" i="13"/>
  <c r="N20" i="13" s="1"/>
  <c r="L21" i="13"/>
  <c r="I49" i="13" l="1"/>
  <c r="P49" i="13"/>
  <c r="K49" i="13"/>
  <c r="J49" i="13" s="1"/>
  <c r="C51" i="13"/>
  <c r="R50" i="13"/>
  <c r="H50" i="13"/>
  <c r="L22" i="13"/>
  <c r="O21" i="13"/>
  <c r="N21" i="13" s="1"/>
  <c r="C52" i="13" l="1"/>
  <c r="R51" i="13"/>
  <c r="H51" i="13"/>
  <c r="I50" i="13"/>
  <c r="K50" i="13"/>
  <c r="J50" i="13" s="1"/>
  <c r="L23" i="13"/>
  <c r="O22" i="13"/>
  <c r="N22" i="13" s="1"/>
  <c r="P51" i="13" l="1"/>
  <c r="I51" i="13"/>
  <c r="K51" i="13"/>
  <c r="J51" i="13" s="1"/>
  <c r="C53" i="13"/>
  <c r="R52" i="13"/>
  <c r="H52" i="13"/>
  <c r="L24" i="13"/>
  <c r="O23" i="13"/>
  <c r="N23" i="13" s="1"/>
  <c r="C54" i="13" l="1"/>
  <c r="R53" i="13"/>
  <c r="H53" i="13"/>
  <c r="I52" i="13"/>
  <c r="K52" i="13"/>
  <c r="J52" i="13" s="1"/>
  <c r="O24" i="13"/>
  <c r="N24" i="13" s="1"/>
  <c r="L25" i="13"/>
  <c r="I53" i="13" l="1"/>
  <c r="P53" i="13"/>
  <c r="K53" i="13"/>
  <c r="J53" i="13" s="1"/>
  <c r="C55" i="13"/>
  <c r="R54" i="13"/>
  <c r="H54" i="13"/>
  <c r="O25" i="13"/>
  <c r="N25" i="13" s="1"/>
  <c r="L26" i="13"/>
  <c r="C56" i="13" l="1"/>
  <c r="R55" i="13"/>
  <c r="H55" i="13"/>
  <c r="I54" i="13"/>
  <c r="K54" i="13"/>
  <c r="J54" i="13" s="1"/>
  <c r="O26" i="13"/>
  <c r="N26" i="13" s="1"/>
  <c r="L27" i="13"/>
  <c r="I55" i="13" l="1"/>
  <c r="P55" i="13"/>
  <c r="K55" i="13"/>
  <c r="J55" i="13" s="1"/>
  <c r="C57" i="13"/>
  <c r="R56" i="13"/>
  <c r="H56" i="13"/>
  <c r="L28" i="13"/>
  <c r="O27" i="13"/>
  <c r="N27" i="13" s="1"/>
  <c r="C58" i="13" l="1"/>
  <c r="R57" i="13"/>
  <c r="H57" i="13"/>
  <c r="I56" i="13"/>
  <c r="K56" i="13"/>
  <c r="J56" i="13" s="1"/>
  <c r="L29" i="13"/>
  <c r="O28" i="13"/>
  <c r="N28" i="13" s="1"/>
  <c r="I57" i="13" l="1"/>
  <c r="P57" i="13"/>
  <c r="K57" i="13"/>
  <c r="J57" i="13" s="1"/>
  <c r="C59" i="13"/>
  <c r="R58" i="13"/>
  <c r="H58" i="13"/>
  <c r="L30" i="13"/>
  <c r="O29" i="13"/>
  <c r="N29" i="13" s="1"/>
  <c r="C60" i="13" l="1"/>
  <c r="R59" i="13"/>
  <c r="H59" i="13"/>
  <c r="I58" i="13"/>
  <c r="K58" i="13"/>
  <c r="J58" i="13" s="1"/>
  <c r="L31" i="13"/>
  <c r="P30" i="13"/>
  <c r="I59" i="13" l="1"/>
  <c r="P59" i="13"/>
  <c r="K59" i="13"/>
  <c r="J59" i="13" s="1"/>
  <c r="C61" i="13"/>
  <c r="R60" i="13"/>
  <c r="H60" i="13"/>
  <c r="O31" i="13"/>
  <c r="N31" i="13" s="1"/>
  <c r="L32" i="13"/>
  <c r="P32" i="13" s="1"/>
  <c r="C62" i="13" l="1"/>
  <c r="R61" i="13"/>
  <c r="H61" i="13"/>
  <c r="I60" i="13"/>
  <c r="K60" i="13"/>
  <c r="J60" i="13" s="1"/>
  <c r="L33" i="13"/>
  <c r="O32" i="13"/>
  <c r="N32" i="13" s="1"/>
  <c r="P61" i="13" l="1"/>
  <c r="I61" i="13"/>
  <c r="K61" i="13"/>
  <c r="J61" i="13" s="1"/>
  <c r="C63" i="13"/>
  <c r="R62" i="13"/>
  <c r="H62" i="13"/>
  <c r="O33" i="13"/>
  <c r="N33" i="13" s="1"/>
  <c r="L34" i="13"/>
  <c r="P34" i="13" s="1"/>
  <c r="C64" i="13" l="1"/>
  <c r="R63" i="13"/>
  <c r="H63" i="13"/>
  <c r="I62" i="13"/>
  <c r="K62" i="13"/>
  <c r="J62" i="13" s="1"/>
  <c r="L35" i="13"/>
  <c r="O34" i="13"/>
  <c r="N34" i="13" s="1"/>
  <c r="P63" i="13" l="1"/>
  <c r="I63" i="13"/>
  <c r="K63" i="13"/>
  <c r="J63" i="13" s="1"/>
  <c r="C65" i="13"/>
  <c r="R64" i="13"/>
  <c r="H64" i="13"/>
  <c r="O35" i="13"/>
  <c r="N35" i="13" s="1"/>
  <c r="L36" i="13"/>
  <c r="P36" i="13" s="1"/>
  <c r="C66" i="13" l="1"/>
  <c r="R65" i="13"/>
  <c r="H65" i="13"/>
  <c r="I64" i="13"/>
  <c r="K64" i="13"/>
  <c r="J64" i="13" s="1"/>
  <c r="L37" i="13"/>
  <c r="O36" i="13"/>
  <c r="N36" i="13" s="1"/>
  <c r="P65" i="13" l="1"/>
  <c r="I65" i="13"/>
  <c r="K65" i="13"/>
  <c r="J65" i="13" s="1"/>
  <c r="C67" i="13"/>
  <c r="R66" i="13"/>
  <c r="H66" i="13"/>
  <c r="O37" i="13"/>
  <c r="N37" i="13" s="1"/>
  <c r="L38" i="13"/>
  <c r="P38" i="13" s="1"/>
  <c r="C68" i="13" l="1"/>
  <c r="R67" i="13"/>
  <c r="H67" i="13"/>
  <c r="I66" i="13"/>
  <c r="K66" i="13"/>
  <c r="J66" i="13" s="1"/>
  <c r="L39" i="13"/>
  <c r="O38" i="13"/>
  <c r="N38" i="13" s="1"/>
  <c r="P67" i="13" l="1"/>
  <c r="I67" i="13"/>
  <c r="K67" i="13"/>
  <c r="J67" i="13" s="1"/>
  <c r="C69" i="13"/>
  <c r="R68" i="13"/>
  <c r="H68" i="13"/>
  <c r="O39" i="13"/>
  <c r="N39" i="13" s="1"/>
  <c r="L40" i="13"/>
  <c r="P40" i="13" s="1"/>
  <c r="C70" i="13" l="1"/>
  <c r="R69" i="13"/>
  <c r="H69" i="13"/>
  <c r="I68" i="13"/>
  <c r="K68" i="13"/>
  <c r="J68" i="13" s="1"/>
  <c r="L41" i="13"/>
  <c r="O40" i="13"/>
  <c r="N40" i="13" s="1"/>
  <c r="P69" i="13" l="1"/>
  <c r="I69" i="13"/>
  <c r="K69" i="13"/>
  <c r="J69" i="13" s="1"/>
  <c r="C71" i="13"/>
  <c r="R70" i="13"/>
  <c r="H70" i="13"/>
  <c r="O41" i="13"/>
  <c r="N41" i="13" s="1"/>
  <c r="L42" i="13"/>
  <c r="P42" i="13" s="1"/>
  <c r="C72" i="13" l="1"/>
  <c r="R71" i="13"/>
  <c r="H71" i="13"/>
  <c r="I70" i="13"/>
  <c r="K70" i="13"/>
  <c r="J70" i="13" s="1"/>
  <c r="L43" i="13"/>
  <c r="O42" i="13"/>
  <c r="N42" i="13" s="1"/>
  <c r="I71" i="13" l="1"/>
  <c r="P71" i="13"/>
  <c r="K71" i="13"/>
  <c r="J71" i="13" s="1"/>
  <c r="C73" i="13"/>
  <c r="R72" i="13"/>
  <c r="H72" i="13"/>
  <c r="O43" i="13"/>
  <c r="N43" i="13" s="1"/>
  <c r="L44" i="13"/>
  <c r="P44" i="13" s="1"/>
  <c r="C74" i="13" l="1"/>
  <c r="R73" i="13"/>
  <c r="H73" i="13"/>
  <c r="I72" i="13"/>
  <c r="K72" i="13"/>
  <c r="J72" i="13" s="1"/>
  <c r="L45" i="13"/>
  <c r="O44" i="13"/>
  <c r="N44" i="13" s="1"/>
  <c r="P73" i="13" l="1"/>
  <c r="I73" i="13"/>
  <c r="K73" i="13"/>
  <c r="J73" i="13" s="1"/>
  <c r="C75" i="13"/>
  <c r="R74" i="13"/>
  <c r="H74" i="13"/>
  <c r="O45" i="13"/>
  <c r="N45" i="13" s="1"/>
  <c r="L46" i="13"/>
  <c r="P46" i="13" s="1"/>
  <c r="C76" i="13" l="1"/>
  <c r="R75" i="13"/>
  <c r="H75" i="13"/>
  <c r="I74" i="13"/>
  <c r="K74" i="13"/>
  <c r="J74" i="13" s="1"/>
  <c r="L47" i="13"/>
  <c r="O46" i="13"/>
  <c r="N46" i="13" s="1"/>
  <c r="P75" i="13" l="1"/>
  <c r="I75" i="13"/>
  <c r="K75" i="13"/>
  <c r="J75" i="13" s="1"/>
  <c r="C77" i="13"/>
  <c r="R76" i="13"/>
  <c r="H76" i="13"/>
  <c r="O47" i="13"/>
  <c r="N47" i="13" s="1"/>
  <c r="L48" i="13"/>
  <c r="P48" i="13" s="1"/>
  <c r="C78" i="13" l="1"/>
  <c r="R77" i="13"/>
  <c r="H77" i="13"/>
  <c r="I76" i="13"/>
  <c r="K76" i="13"/>
  <c r="J76" i="13" s="1"/>
  <c r="L49" i="13"/>
  <c r="O48" i="13"/>
  <c r="N48" i="13" s="1"/>
  <c r="I77" i="13" l="1"/>
  <c r="P77" i="13"/>
  <c r="K77" i="13"/>
  <c r="J77" i="13" s="1"/>
  <c r="C79" i="13"/>
  <c r="R78" i="13"/>
  <c r="H78" i="13"/>
  <c r="O49" i="13"/>
  <c r="N49" i="13" s="1"/>
  <c r="L50" i="13"/>
  <c r="P50" i="13" s="1"/>
  <c r="C80" i="13" l="1"/>
  <c r="R79" i="13"/>
  <c r="H79" i="13"/>
  <c r="I78" i="13"/>
  <c r="K78" i="13"/>
  <c r="J78" i="13" s="1"/>
  <c r="L51" i="13"/>
  <c r="O50" i="13"/>
  <c r="N50" i="13" s="1"/>
  <c r="I79" i="13" l="1"/>
  <c r="P79" i="13"/>
  <c r="K79" i="13"/>
  <c r="J79" i="13" s="1"/>
  <c r="C81" i="13"/>
  <c r="R80" i="13"/>
  <c r="H80" i="13"/>
  <c r="O51" i="13"/>
  <c r="N51" i="13" s="1"/>
  <c r="L52" i="13"/>
  <c r="P52" i="13" s="1"/>
  <c r="C82" i="13" l="1"/>
  <c r="R81" i="13"/>
  <c r="H81" i="13"/>
  <c r="I80" i="13"/>
  <c r="K80" i="13"/>
  <c r="J80" i="13" s="1"/>
  <c r="L53" i="13"/>
  <c r="O52" i="13"/>
  <c r="N52" i="13" s="1"/>
  <c r="P81" i="13" l="1"/>
  <c r="I81" i="13"/>
  <c r="K81" i="13"/>
  <c r="J81" i="13" s="1"/>
  <c r="C83" i="13"/>
  <c r="R82" i="13"/>
  <c r="H82" i="13"/>
  <c r="O53" i="13"/>
  <c r="N53" i="13" s="1"/>
  <c r="L54" i="13"/>
  <c r="P54" i="13" s="1"/>
  <c r="C84" i="13" l="1"/>
  <c r="R83" i="13"/>
  <c r="H83" i="13"/>
  <c r="I82" i="13"/>
  <c r="K82" i="13"/>
  <c r="J82" i="13" s="1"/>
  <c r="L55" i="13"/>
  <c r="O54" i="13"/>
  <c r="N54" i="13" s="1"/>
  <c r="P83" i="13" l="1"/>
  <c r="I83" i="13"/>
  <c r="K83" i="13"/>
  <c r="J83" i="13" s="1"/>
  <c r="C85" i="13"/>
  <c r="R84" i="13"/>
  <c r="H84" i="13"/>
  <c r="O55" i="13"/>
  <c r="N55" i="13" s="1"/>
  <c r="L56" i="13"/>
  <c r="P56" i="13" s="1"/>
  <c r="C86" i="13" l="1"/>
  <c r="R85" i="13"/>
  <c r="H85" i="13"/>
  <c r="I84" i="13"/>
  <c r="K84" i="13"/>
  <c r="J84" i="13" s="1"/>
  <c r="L57" i="13"/>
  <c r="O56" i="13"/>
  <c r="N56" i="13" s="1"/>
  <c r="I85" i="13" l="1"/>
  <c r="P85" i="13"/>
  <c r="K85" i="13"/>
  <c r="J85" i="13" s="1"/>
  <c r="C87" i="13"/>
  <c r="R86" i="13"/>
  <c r="H86" i="13"/>
  <c r="O57" i="13"/>
  <c r="N57" i="13" s="1"/>
  <c r="L58" i="13"/>
  <c r="P58" i="13" s="1"/>
  <c r="C88" i="13" l="1"/>
  <c r="R87" i="13"/>
  <c r="H87" i="13"/>
  <c r="I86" i="13"/>
  <c r="K86" i="13"/>
  <c r="J86" i="13" s="1"/>
  <c r="L59" i="13"/>
  <c r="O58" i="13"/>
  <c r="N58" i="13" s="1"/>
  <c r="I87" i="13" l="1"/>
  <c r="P87" i="13"/>
  <c r="K87" i="13"/>
  <c r="J87" i="13" s="1"/>
  <c r="C89" i="13"/>
  <c r="R88" i="13"/>
  <c r="H88" i="13"/>
  <c r="O59" i="13"/>
  <c r="N59" i="13" s="1"/>
  <c r="L60" i="13"/>
  <c r="P60" i="13" s="1"/>
  <c r="C90" i="13" l="1"/>
  <c r="R89" i="13"/>
  <c r="H89" i="13"/>
  <c r="I88" i="13"/>
  <c r="K88" i="13"/>
  <c r="J88" i="13" s="1"/>
  <c r="L61" i="13"/>
  <c r="O60" i="13"/>
  <c r="N60" i="13" s="1"/>
  <c r="I89" i="13" l="1"/>
  <c r="P89" i="13"/>
  <c r="K89" i="13"/>
  <c r="J89" i="13" s="1"/>
  <c r="C91" i="13"/>
  <c r="R90" i="13"/>
  <c r="H90" i="13"/>
  <c r="O61" i="13"/>
  <c r="N61" i="13" s="1"/>
  <c r="L62" i="13"/>
  <c r="P62" i="13" s="1"/>
  <c r="C92" i="13" l="1"/>
  <c r="R91" i="13"/>
  <c r="H91" i="13"/>
  <c r="I90" i="13"/>
  <c r="K90" i="13"/>
  <c r="J90" i="13" s="1"/>
  <c r="L63" i="13"/>
  <c r="O62" i="13"/>
  <c r="N62" i="13" s="1"/>
  <c r="I91" i="13" l="1"/>
  <c r="P91" i="13"/>
  <c r="K91" i="13"/>
  <c r="J91" i="13" s="1"/>
  <c r="C93" i="13"/>
  <c r="R92" i="13"/>
  <c r="H92" i="13"/>
  <c r="O63" i="13"/>
  <c r="N63" i="13" s="1"/>
  <c r="L64" i="13"/>
  <c r="P64" i="13" s="1"/>
  <c r="C94" i="13" l="1"/>
  <c r="R93" i="13"/>
  <c r="H93" i="13"/>
  <c r="I92" i="13"/>
  <c r="K92" i="13"/>
  <c r="J92" i="13" s="1"/>
  <c r="L65" i="13"/>
  <c r="O64" i="13"/>
  <c r="N64" i="13" s="1"/>
  <c r="P93" i="13" l="1"/>
  <c r="I93" i="13"/>
  <c r="K93" i="13"/>
  <c r="J93" i="13" s="1"/>
  <c r="C95" i="13"/>
  <c r="R94" i="13"/>
  <c r="H94" i="13"/>
  <c r="O65" i="13"/>
  <c r="N65" i="13" s="1"/>
  <c r="L66" i="13"/>
  <c r="P66" i="13" s="1"/>
  <c r="C96" i="13" l="1"/>
  <c r="R95" i="13"/>
  <c r="H95" i="13"/>
  <c r="I94" i="13"/>
  <c r="K94" i="13"/>
  <c r="J94" i="13" s="1"/>
  <c r="L67" i="13"/>
  <c r="O66" i="13"/>
  <c r="N66" i="13" s="1"/>
  <c r="I95" i="13" l="1"/>
  <c r="P95" i="13"/>
  <c r="K95" i="13"/>
  <c r="J95" i="13" s="1"/>
  <c r="C97" i="13"/>
  <c r="R96" i="13"/>
  <c r="H96" i="13"/>
  <c r="O67" i="13"/>
  <c r="N67" i="13" s="1"/>
  <c r="L68" i="13"/>
  <c r="P68" i="13" s="1"/>
  <c r="C98" i="13" l="1"/>
  <c r="R97" i="13"/>
  <c r="H97" i="13"/>
  <c r="I96" i="13"/>
  <c r="K96" i="13"/>
  <c r="J96" i="13" s="1"/>
  <c r="L69" i="13"/>
  <c r="O68" i="13"/>
  <c r="N68" i="13" s="1"/>
  <c r="I97" i="13" l="1"/>
  <c r="P97" i="13"/>
  <c r="K97" i="13"/>
  <c r="J97" i="13" s="1"/>
  <c r="C99" i="13"/>
  <c r="R98" i="13"/>
  <c r="H98" i="13"/>
  <c r="O69" i="13"/>
  <c r="N69" i="13" s="1"/>
  <c r="L70" i="13"/>
  <c r="P70" i="13" s="1"/>
  <c r="I98" i="13" l="1"/>
  <c r="K98" i="13"/>
  <c r="J98" i="13"/>
  <c r="C100" i="13"/>
  <c r="R99" i="13"/>
  <c r="H99" i="13"/>
  <c r="L71" i="13"/>
  <c r="O70" i="13"/>
  <c r="N70" i="13" s="1"/>
  <c r="C101" i="13" l="1"/>
  <c r="R100" i="13"/>
  <c r="H100" i="13"/>
  <c r="J99" i="13"/>
  <c r="I99" i="13"/>
  <c r="P99" i="13"/>
  <c r="K99" i="13"/>
  <c r="O71" i="13"/>
  <c r="N71" i="13" s="1"/>
  <c r="L72" i="13"/>
  <c r="P72" i="13" s="1"/>
  <c r="I100" i="13" l="1"/>
  <c r="K100" i="13"/>
  <c r="J100" i="13" s="1"/>
  <c r="C102" i="13"/>
  <c r="R101" i="13"/>
  <c r="H101" i="13"/>
  <c r="L73" i="13"/>
  <c r="O72" i="13"/>
  <c r="N72" i="13" s="1"/>
  <c r="C103" i="13" l="1"/>
  <c r="R102" i="13"/>
  <c r="H102" i="13"/>
  <c r="I101" i="13"/>
  <c r="P101" i="13"/>
  <c r="K101" i="13"/>
  <c r="J101" i="13" s="1"/>
  <c r="O73" i="13"/>
  <c r="N73" i="13" s="1"/>
  <c r="L74" i="13"/>
  <c r="P74" i="13" s="1"/>
  <c r="I102" i="13" l="1"/>
  <c r="K102" i="13"/>
  <c r="J102" i="13" s="1"/>
  <c r="C104" i="13"/>
  <c r="R103" i="13"/>
  <c r="H103" i="13"/>
  <c r="L75" i="13"/>
  <c r="O74" i="13"/>
  <c r="N74" i="13" s="1"/>
  <c r="P103" i="13" l="1"/>
  <c r="I103" i="13"/>
  <c r="K103" i="13"/>
  <c r="J103" i="13" s="1"/>
  <c r="C105" i="13"/>
  <c r="R104" i="13"/>
  <c r="H104" i="13"/>
  <c r="O75" i="13"/>
  <c r="N75" i="13" s="1"/>
  <c r="L76" i="13"/>
  <c r="P76" i="13" s="1"/>
  <c r="C106" i="13" l="1"/>
  <c r="R105" i="13"/>
  <c r="H105" i="13"/>
  <c r="I104" i="13"/>
  <c r="K104" i="13"/>
  <c r="J104" i="13" s="1"/>
  <c r="L77" i="13"/>
  <c r="O76" i="13"/>
  <c r="N76" i="13" s="1"/>
  <c r="I105" i="13" l="1"/>
  <c r="P105" i="13"/>
  <c r="K105" i="13"/>
  <c r="J105" i="13" s="1"/>
  <c r="C107" i="13"/>
  <c r="R106" i="13"/>
  <c r="H106" i="13"/>
  <c r="O77" i="13"/>
  <c r="N77" i="13" s="1"/>
  <c r="L78" i="13"/>
  <c r="P78" i="13" s="1"/>
  <c r="C108" i="13" l="1"/>
  <c r="R107" i="13"/>
  <c r="H107" i="13"/>
  <c r="I106" i="13"/>
  <c r="K106" i="13"/>
  <c r="J106" i="13" s="1"/>
  <c r="L79" i="13"/>
  <c r="O78" i="13"/>
  <c r="N78" i="13" s="1"/>
  <c r="P107" i="13" l="1"/>
  <c r="I107" i="13"/>
  <c r="K107" i="13"/>
  <c r="J107" i="13" s="1"/>
  <c r="C109" i="13"/>
  <c r="R108" i="13"/>
  <c r="H108" i="13"/>
  <c r="O79" i="13"/>
  <c r="N79" i="13" s="1"/>
  <c r="L80" i="13"/>
  <c r="P80" i="13" s="1"/>
  <c r="C110" i="13" l="1"/>
  <c r="R109" i="13"/>
  <c r="H109" i="13"/>
  <c r="I108" i="13"/>
  <c r="K108" i="13"/>
  <c r="J108" i="13" s="1"/>
  <c r="L81" i="13"/>
  <c r="O80" i="13"/>
  <c r="N80" i="13" s="1"/>
  <c r="I109" i="13" l="1"/>
  <c r="P109" i="13"/>
  <c r="K109" i="13"/>
  <c r="J109" i="13" s="1"/>
  <c r="C111" i="13"/>
  <c r="R110" i="13"/>
  <c r="H110" i="13"/>
  <c r="O81" i="13"/>
  <c r="N81" i="13" s="1"/>
  <c r="L82" i="13"/>
  <c r="P82" i="13" s="1"/>
  <c r="C112" i="13" l="1"/>
  <c r="R111" i="13"/>
  <c r="H111" i="13"/>
  <c r="I110" i="13"/>
  <c r="K110" i="13"/>
  <c r="J110" i="13" s="1"/>
  <c r="L83" i="13"/>
  <c r="O82" i="13"/>
  <c r="N82" i="13" s="1"/>
  <c r="I111" i="13" l="1"/>
  <c r="P111" i="13"/>
  <c r="K111" i="13"/>
  <c r="J111" i="13" s="1"/>
  <c r="C113" i="13"/>
  <c r="R112" i="13"/>
  <c r="H112" i="13"/>
  <c r="O83" i="13"/>
  <c r="N83" i="13" s="1"/>
  <c r="L84" i="13"/>
  <c r="P84" i="13" s="1"/>
  <c r="C114" i="13" l="1"/>
  <c r="R113" i="13"/>
  <c r="H113" i="13"/>
  <c r="I112" i="13"/>
  <c r="K112" i="13"/>
  <c r="J112" i="13" s="1"/>
  <c r="L85" i="13"/>
  <c r="O84" i="13"/>
  <c r="N84" i="13" s="1"/>
  <c r="P113" i="13" l="1"/>
  <c r="I113" i="13"/>
  <c r="K113" i="13"/>
  <c r="J113" i="13" s="1"/>
  <c r="C115" i="13"/>
  <c r="R114" i="13"/>
  <c r="H114" i="13"/>
  <c r="O85" i="13"/>
  <c r="N85" i="13" s="1"/>
  <c r="L86" i="13"/>
  <c r="P86" i="13" s="1"/>
  <c r="C116" i="13" l="1"/>
  <c r="R115" i="13"/>
  <c r="H115" i="13"/>
  <c r="I114" i="13"/>
  <c r="K114" i="13"/>
  <c r="J114" i="13" s="1"/>
  <c r="L87" i="13"/>
  <c r="O86" i="13"/>
  <c r="N86" i="13" s="1"/>
  <c r="P115" i="13" l="1"/>
  <c r="I115" i="13"/>
  <c r="K115" i="13"/>
  <c r="J115" i="13" s="1"/>
  <c r="C117" i="13"/>
  <c r="R116" i="13"/>
  <c r="H116" i="13"/>
  <c r="O87" i="13"/>
  <c r="N87" i="13" s="1"/>
  <c r="L88" i="13"/>
  <c r="P88" i="13" s="1"/>
  <c r="C118" i="13" l="1"/>
  <c r="R117" i="13"/>
  <c r="H117" i="13"/>
  <c r="I116" i="13"/>
  <c r="K116" i="13"/>
  <c r="J116" i="13" s="1"/>
  <c r="L89" i="13"/>
  <c r="O88" i="13"/>
  <c r="N88" i="13" s="1"/>
  <c r="I117" i="13" l="1"/>
  <c r="P117" i="13"/>
  <c r="K117" i="13"/>
  <c r="J117" i="13" s="1"/>
  <c r="C119" i="13"/>
  <c r="R118" i="13"/>
  <c r="H118" i="13"/>
  <c r="O89" i="13"/>
  <c r="N89" i="13" s="1"/>
  <c r="L90" i="13"/>
  <c r="P90" i="13" s="1"/>
  <c r="C120" i="13" l="1"/>
  <c r="R119" i="13"/>
  <c r="H119" i="13"/>
  <c r="I118" i="13"/>
  <c r="K118" i="13"/>
  <c r="J118" i="13" s="1"/>
  <c r="L91" i="13"/>
  <c r="O90" i="13"/>
  <c r="N90" i="13" s="1"/>
  <c r="I119" i="13" l="1"/>
  <c r="P119" i="13"/>
  <c r="K119" i="13"/>
  <c r="J119" i="13" s="1"/>
  <c r="C121" i="13"/>
  <c r="R120" i="13"/>
  <c r="H120" i="13"/>
  <c r="O91" i="13"/>
  <c r="N91" i="13" s="1"/>
  <c r="L92" i="13"/>
  <c r="P92" i="13" s="1"/>
  <c r="C122" i="13" l="1"/>
  <c r="R121" i="13"/>
  <c r="H121" i="13"/>
  <c r="I120" i="13"/>
  <c r="K120" i="13"/>
  <c r="J120" i="13" s="1"/>
  <c r="L93" i="13"/>
  <c r="O92" i="13"/>
  <c r="N92" i="13" s="1"/>
  <c r="I121" i="13" l="1"/>
  <c r="P121" i="13"/>
  <c r="K121" i="13"/>
  <c r="J121" i="13" s="1"/>
  <c r="C123" i="13"/>
  <c r="R122" i="13"/>
  <c r="H122" i="13"/>
  <c r="O93" i="13"/>
  <c r="N93" i="13" s="1"/>
  <c r="L94" i="13"/>
  <c r="P94" i="13" s="1"/>
  <c r="C124" i="13" l="1"/>
  <c r="R123" i="13"/>
  <c r="H123" i="13"/>
  <c r="I122" i="13"/>
  <c r="K122" i="13"/>
  <c r="J122" i="13" s="1"/>
  <c r="L95" i="13"/>
  <c r="O94" i="13"/>
  <c r="N94" i="13" s="1"/>
  <c r="I123" i="13" l="1"/>
  <c r="P123" i="13"/>
  <c r="K123" i="13"/>
  <c r="J123" i="13" s="1"/>
  <c r="C125" i="13"/>
  <c r="R124" i="13"/>
  <c r="H124" i="13"/>
  <c r="O95" i="13"/>
  <c r="N95" i="13" s="1"/>
  <c r="L96" i="13"/>
  <c r="P96" i="13" s="1"/>
  <c r="C126" i="13" l="1"/>
  <c r="R125" i="13"/>
  <c r="H125" i="13"/>
  <c r="I124" i="13"/>
  <c r="K124" i="13"/>
  <c r="J124" i="13" s="1"/>
  <c r="L97" i="13"/>
  <c r="O96" i="13"/>
  <c r="N96" i="13" s="1"/>
  <c r="P125" i="13" l="1"/>
  <c r="I125" i="13"/>
  <c r="K125" i="13"/>
  <c r="J125" i="13" s="1"/>
  <c r="C127" i="13"/>
  <c r="R126" i="13"/>
  <c r="H126" i="13"/>
  <c r="O97" i="13"/>
  <c r="N97" i="13" s="1"/>
  <c r="L98" i="13"/>
  <c r="P98" i="13" s="1"/>
  <c r="C128" i="13" l="1"/>
  <c r="R127" i="13"/>
  <c r="H127" i="13"/>
  <c r="I126" i="13"/>
  <c r="K126" i="13"/>
  <c r="J126" i="13" s="1"/>
  <c r="L99" i="13"/>
  <c r="O98" i="13"/>
  <c r="N98" i="13" s="1"/>
  <c r="P127" i="13" l="1"/>
  <c r="I127" i="13"/>
  <c r="K127" i="13"/>
  <c r="J127" i="13" s="1"/>
  <c r="C129" i="13"/>
  <c r="R128" i="13"/>
  <c r="H128" i="13"/>
  <c r="O99" i="13"/>
  <c r="N99" i="13" s="1"/>
  <c r="L100" i="13"/>
  <c r="P100" i="13" s="1"/>
  <c r="C130" i="13" l="1"/>
  <c r="R129" i="13"/>
  <c r="H129" i="13"/>
  <c r="I128" i="13"/>
  <c r="K128" i="13"/>
  <c r="J128" i="13" s="1"/>
  <c r="L101" i="13"/>
  <c r="O100" i="13"/>
  <c r="N100" i="13" s="1"/>
  <c r="I129" i="13" l="1"/>
  <c r="P129" i="13"/>
  <c r="K129" i="13"/>
  <c r="J129" i="13" s="1"/>
  <c r="C131" i="13"/>
  <c r="R130" i="13"/>
  <c r="H130" i="13"/>
  <c r="O101" i="13"/>
  <c r="N101" i="13" s="1"/>
  <c r="L102" i="13"/>
  <c r="P102" i="13" s="1"/>
  <c r="C132" i="13" l="1"/>
  <c r="R131" i="13"/>
  <c r="H131" i="13"/>
  <c r="I130" i="13"/>
  <c r="K130" i="13"/>
  <c r="J130" i="13" s="1"/>
  <c r="L103" i="13"/>
  <c r="O102" i="13"/>
  <c r="N102" i="13" s="1"/>
  <c r="P131" i="13" l="1"/>
  <c r="I131" i="13"/>
  <c r="K131" i="13"/>
  <c r="J131" i="13" s="1"/>
  <c r="C133" i="13"/>
  <c r="R132" i="13"/>
  <c r="H132" i="13"/>
  <c r="O103" i="13"/>
  <c r="N103" i="13" s="1"/>
  <c r="L104" i="13"/>
  <c r="P104" i="13" s="1"/>
  <c r="C134" i="13" l="1"/>
  <c r="R133" i="13"/>
  <c r="H133" i="13"/>
  <c r="I132" i="13"/>
  <c r="K132" i="13"/>
  <c r="J132" i="13" s="1"/>
  <c r="L105" i="13"/>
  <c r="O104" i="13"/>
  <c r="N104" i="13" s="1"/>
  <c r="I133" i="13" l="1"/>
  <c r="P133" i="13"/>
  <c r="K133" i="13"/>
  <c r="J133" i="13" s="1"/>
  <c r="C135" i="13"/>
  <c r="R134" i="13"/>
  <c r="H134" i="13"/>
  <c r="O105" i="13"/>
  <c r="N105" i="13" s="1"/>
  <c r="L106" i="13"/>
  <c r="P106" i="13" s="1"/>
  <c r="C136" i="13" l="1"/>
  <c r="R135" i="13"/>
  <c r="H135" i="13"/>
  <c r="I134" i="13"/>
  <c r="K134" i="13"/>
  <c r="J134" i="13" s="1"/>
  <c r="L107" i="13"/>
  <c r="O106" i="13"/>
  <c r="N106" i="13" s="1"/>
  <c r="P135" i="13" l="1"/>
  <c r="I135" i="13"/>
  <c r="K135" i="13"/>
  <c r="J135" i="13" s="1"/>
  <c r="C137" i="13"/>
  <c r="R136" i="13"/>
  <c r="H136" i="13"/>
  <c r="O107" i="13"/>
  <c r="N107" i="13" s="1"/>
  <c r="L108" i="13"/>
  <c r="P108" i="13" s="1"/>
  <c r="C138" i="13" l="1"/>
  <c r="R137" i="13"/>
  <c r="H137" i="13"/>
  <c r="I136" i="13"/>
  <c r="K136" i="13"/>
  <c r="J136" i="13" s="1"/>
  <c r="L109" i="13"/>
  <c r="O108" i="13"/>
  <c r="N108" i="13" s="1"/>
  <c r="P137" i="13" l="1"/>
  <c r="I137" i="13"/>
  <c r="K137" i="13"/>
  <c r="J137" i="13" s="1"/>
  <c r="C139" i="13"/>
  <c r="R138" i="13"/>
  <c r="H138" i="13"/>
  <c r="O109" i="13"/>
  <c r="N109" i="13" s="1"/>
  <c r="L110" i="13"/>
  <c r="P110" i="13" s="1"/>
  <c r="C140" i="13" l="1"/>
  <c r="R139" i="13"/>
  <c r="H139" i="13"/>
  <c r="I138" i="13"/>
  <c r="K138" i="13"/>
  <c r="J138" i="13" s="1"/>
  <c r="L111" i="13"/>
  <c r="O110" i="13"/>
  <c r="N110" i="13" s="1"/>
  <c r="P139" i="13" l="1"/>
  <c r="I139" i="13"/>
  <c r="K139" i="13"/>
  <c r="J139" i="13" s="1"/>
  <c r="C141" i="13"/>
  <c r="R140" i="13"/>
  <c r="H140" i="13"/>
  <c r="O111" i="13"/>
  <c r="N111" i="13" s="1"/>
  <c r="L112" i="13"/>
  <c r="P112" i="13" s="1"/>
  <c r="C142" i="13" l="1"/>
  <c r="R141" i="13"/>
  <c r="H141" i="13"/>
  <c r="I140" i="13"/>
  <c r="K140" i="13"/>
  <c r="J140" i="13" s="1"/>
  <c r="L113" i="13"/>
  <c r="O112" i="13"/>
  <c r="N112" i="13" s="1"/>
  <c r="I141" i="13" l="1"/>
  <c r="P141" i="13"/>
  <c r="K141" i="13"/>
  <c r="J141" i="13" s="1"/>
  <c r="C143" i="13"/>
  <c r="R142" i="13"/>
  <c r="H142" i="13"/>
  <c r="O113" i="13"/>
  <c r="N113" i="13" s="1"/>
  <c r="L114" i="13"/>
  <c r="P114" i="13" s="1"/>
  <c r="C144" i="13" l="1"/>
  <c r="R143" i="13"/>
  <c r="H143" i="13"/>
  <c r="I142" i="13"/>
  <c r="K142" i="13"/>
  <c r="J142" i="13" s="1"/>
  <c r="L115" i="13"/>
  <c r="O114" i="13"/>
  <c r="N114" i="13" s="1"/>
  <c r="P143" i="13" l="1"/>
  <c r="I143" i="13"/>
  <c r="K143" i="13"/>
  <c r="J143" i="13" s="1"/>
  <c r="C145" i="13"/>
  <c r="R144" i="13"/>
  <c r="H144" i="13"/>
  <c r="O115" i="13"/>
  <c r="N115" i="13" s="1"/>
  <c r="L116" i="13"/>
  <c r="P116" i="13" s="1"/>
  <c r="C146" i="13" l="1"/>
  <c r="R145" i="13"/>
  <c r="H145" i="13"/>
  <c r="I144" i="13"/>
  <c r="K144" i="13"/>
  <c r="J144" i="13" s="1"/>
  <c r="L117" i="13"/>
  <c r="O116" i="13"/>
  <c r="N116" i="13" s="1"/>
  <c r="I145" i="13" l="1"/>
  <c r="P145" i="13"/>
  <c r="K145" i="13"/>
  <c r="J145" i="13" s="1"/>
  <c r="C147" i="13"/>
  <c r="R146" i="13"/>
  <c r="H146" i="13"/>
  <c r="O117" i="13"/>
  <c r="N117" i="13" s="1"/>
  <c r="L118" i="13"/>
  <c r="P118" i="13" s="1"/>
  <c r="C148" i="13" l="1"/>
  <c r="R147" i="13"/>
  <c r="H147" i="13"/>
  <c r="I146" i="13"/>
  <c r="K146" i="13"/>
  <c r="J146" i="13" s="1"/>
  <c r="L119" i="13"/>
  <c r="O118" i="13"/>
  <c r="N118" i="13" s="1"/>
  <c r="I147" i="13" l="1"/>
  <c r="P147" i="13"/>
  <c r="K147" i="13"/>
  <c r="J147" i="13" s="1"/>
  <c r="C149" i="13"/>
  <c r="R148" i="13"/>
  <c r="H148" i="13"/>
  <c r="O119" i="13"/>
  <c r="N119" i="13" s="1"/>
  <c r="L120" i="13"/>
  <c r="P120" i="13" s="1"/>
  <c r="C150" i="13" l="1"/>
  <c r="R149" i="13"/>
  <c r="H149" i="13"/>
  <c r="I148" i="13"/>
  <c r="K148" i="13"/>
  <c r="J148" i="13" s="1"/>
  <c r="L121" i="13"/>
  <c r="O120" i="13"/>
  <c r="N120" i="13" s="1"/>
  <c r="P149" i="13" l="1"/>
  <c r="I149" i="13"/>
  <c r="K149" i="13"/>
  <c r="J149" i="13" s="1"/>
  <c r="C151" i="13"/>
  <c r="R150" i="13"/>
  <c r="H150" i="13"/>
  <c r="O121" i="13"/>
  <c r="N121" i="13" s="1"/>
  <c r="L122" i="13"/>
  <c r="P122" i="13" s="1"/>
  <c r="C152" i="13" l="1"/>
  <c r="R151" i="13"/>
  <c r="H151" i="13"/>
  <c r="I150" i="13"/>
  <c r="K150" i="13"/>
  <c r="J150" i="13" s="1"/>
  <c r="L123" i="13"/>
  <c r="O122" i="13"/>
  <c r="N122" i="13" s="1"/>
  <c r="I151" i="13" l="1"/>
  <c r="P151" i="13"/>
  <c r="K151" i="13"/>
  <c r="J151" i="13" s="1"/>
  <c r="C153" i="13"/>
  <c r="R152" i="13"/>
  <c r="H152" i="13"/>
  <c r="O123" i="13"/>
  <c r="N123" i="13" s="1"/>
  <c r="L124" i="13"/>
  <c r="P124" i="13" s="1"/>
  <c r="C154" i="13" l="1"/>
  <c r="R153" i="13"/>
  <c r="H153" i="13"/>
  <c r="I152" i="13"/>
  <c r="K152" i="13"/>
  <c r="J152" i="13" s="1"/>
  <c r="L125" i="13"/>
  <c r="O124" i="13"/>
  <c r="N124" i="13" s="1"/>
  <c r="P153" i="13" l="1"/>
  <c r="I153" i="13"/>
  <c r="K153" i="13"/>
  <c r="J153" i="13" s="1"/>
  <c r="C155" i="13"/>
  <c r="R154" i="13"/>
  <c r="H154" i="13"/>
  <c r="O125" i="13"/>
  <c r="N125" i="13" s="1"/>
  <c r="L126" i="13"/>
  <c r="P126" i="13" s="1"/>
  <c r="C156" i="13" l="1"/>
  <c r="R155" i="13"/>
  <c r="H155" i="13"/>
  <c r="I154" i="13"/>
  <c r="K154" i="13"/>
  <c r="J154" i="13" s="1"/>
  <c r="L127" i="13"/>
  <c r="O126" i="13"/>
  <c r="N126" i="13" s="1"/>
  <c r="I155" i="13" l="1"/>
  <c r="P155" i="13"/>
  <c r="K155" i="13"/>
  <c r="J155" i="13" s="1"/>
  <c r="C157" i="13"/>
  <c r="R156" i="13"/>
  <c r="H156" i="13"/>
  <c r="O127" i="13"/>
  <c r="N127" i="13" s="1"/>
  <c r="L128" i="13"/>
  <c r="P128" i="13" s="1"/>
  <c r="C158" i="13" l="1"/>
  <c r="R157" i="13"/>
  <c r="H157" i="13"/>
  <c r="I156" i="13"/>
  <c r="K156" i="13"/>
  <c r="J156" i="13" s="1"/>
  <c r="L129" i="13"/>
  <c r="O128" i="13"/>
  <c r="N128" i="13" s="1"/>
  <c r="P157" i="13" l="1"/>
  <c r="I157" i="13"/>
  <c r="K157" i="13"/>
  <c r="J157" i="13" s="1"/>
  <c r="C159" i="13"/>
  <c r="R158" i="13"/>
  <c r="H158" i="13"/>
  <c r="O129" i="13"/>
  <c r="N129" i="13" s="1"/>
  <c r="L130" i="13"/>
  <c r="P130" i="13" s="1"/>
  <c r="C160" i="13" l="1"/>
  <c r="R159" i="13"/>
  <c r="H159" i="13"/>
  <c r="I158" i="13"/>
  <c r="K158" i="13"/>
  <c r="J158" i="13" s="1"/>
  <c r="L131" i="13"/>
  <c r="O130" i="13"/>
  <c r="N130" i="13" s="1"/>
  <c r="I159" i="13" l="1"/>
  <c r="P159" i="13"/>
  <c r="K159" i="13"/>
  <c r="J159" i="13" s="1"/>
  <c r="C161" i="13"/>
  <c r="R160" i="13"/>
  <c r="H160" i="13"/>
  <c r="O131" i="13"/>
  <c r="N131" i="13" s="1"/>
  <c r="L132" i="13"/>
  <c r="P132" i="13" s="1"/>
  <c r="C162" i="13" l="1"/>
  <c r="R161" i="13"/>
  <c r="H161" i="13"/>
  <c r="I160" i="13"/>
  <c r="K160" i="13"/>
  <c r="J160" i="13" s="1"/>
  <c r="L133" i="13"/>
  <c r="O132" i="13"/>
  <c r="N132" i="13" s="1"/>
  <c r="I161" i="13" l="1"/>
  <c r="P161" i="13"/>
  <c r="K161" i="13"/>
  <c r="J161" i="13" s="1"/>
  <c r="C163" i="13"/>
  <c r="R162" i="13"/>
  <c r="H162" i="13"/>
  <c r="O133" i="13"/>
  <c r="N133" i="13" s="1"/>
  <c r="L134" i="13"/>
  <c r="P134" i="13" s="1"/>
  <c r="C164" i="13" l="1"/>
  <c r="R163" i="13"/>
  <c r="H163" i="13"/>
  <c r="I162" i="13"/>
  <c r="K162" i="13"/>
  <c r="J162" i="13" s="1"/>
  <c r="L135" i="13"/>
  <c r="O134" i="13"/>
  <c r="N134" i="13" s="1"/>
  <c r="I163" i="13" l="1"/>
  <c r="P163" i="13"/>
  <c r="K163" i="13"/>
  <c r="J163" i="13" s="1"/>
  <c r="C165" i="13"/>
  <c r="R164" i="13"/>
  <c r="H164" i="13"/>
  <c r="O135" i="13"/>
  <c r="N135" i="13" s="1"/>
  <c r="L136" i="13"/>
  <c r="P136" i="13" s="1"/>
  <c r="C166" i="13" l="1"/>
  <c r="R165" i="13"/>
  <c r="H165" i="13"/>
  <c r="I164" i="13"/>
  <c r="K164" i="13"/>
  <c r="J164" i="13" s="1"/>
  <c r="L137" i="13"/>
  <c r="O136" i="13"/>
  <c r="N136" i="13" s="1"/>
  <c r="P165" i="13" l="1"/>
  <c r="I165" i="13"/>
  <c r="K165" i="13"/>
  <c r="J165" i="13" s="1"/>
  <c r="C167" i="13"/>
  <c r="R166" i="13"/>
  <c r="H166" i="13"/>
  <c r="O137" i="13"/>
  <c r="N137" i="13" s="1"/>
  <c r="L138" i="13"/>
  <c r="P138" i="13" s="1"/>
  <c r="C168" i="13" l="1"/>
  <c r="R167" i="13"/>
  <c r="H167" i="13"/>
  <c r="I166" i="13"/>
  <c r="K166" i="13"/>
  <c r="J166" i="13" s="1"/>
  <c r="L139" i="13"/>
  <c r="O138" i="13"/>
  <c r="N138" i="13" s="1"/>
  <c r="I167" i="13" l="1"/>
  <c r="P167" i="13"/>
  <c r="K167" i="13"/>
  <c r="J167" i="13" s="1"/>
  <c r="C169" i="13"/>
  <c r="R168" i="13"/>
  <c r="H168" i="13"/>
  <c r="O139" i="13"/>
  <c r="N139" i="13" s="1"/>
  <c r="L140" i="13"/>
  <c r="P140" i="13" s="1"/>
  <c r="C170" i="13" l="1"/>
  <c r="R169" i="13"/>
  <c r="H169" i="13"/>
  <c r="I168" i="13"/>
  <c r="K168" i="13"/>
  <c r="J168" i="13" s="1"/>
  <c r="L141" i="13"/>
  <c r="O140" i="13"/>
  <c r="N140" i="13" s="1"/>
  <c r="I169" i="13" l="1"/>
  <c r="P169" i="13"/>
  <c r="K169" i="13"/>
  <c r="J169" i="13" s="1"/>
  <c r="C171" i="13"/>
  <c r="R170" i="13"/>
  <c r="H170" i="13"/>
  <c r="O141" i="13"/>
  <c r="N141" i="13" s="1"/>
  <c r="L142" i="13"/>
  <c r="P142" i="13" s="1"/>
  <c r="C172" i="13" l="1"/>
  <c r="R171" i="13"/>
  <c r="H171" i="13"/>
  <c r="I170" i="13"/>
  <c r="K170" i="13"/>
  <c r="J170" i="13" s="1"/>
  <c r="L143" i="13"/>
  <c r="O142" i="13"/>
  <c r="N142" i="13" s="1"/>
  <c r="I171" i="13" l="1"/>
  <c r="P171" i="13"/>
  <c r="K171" i="13"/>
  <c r="J171" i="13" s="1"/>
  <c r="C173" i="13"/>
  <c r="R172" i="13"/>
  <c r="H172" i="13"/>
  <c r="O143" i="13"/>
  <c r="N143" i="13" s="1"/>
  <c r="L144" i="13"/>
  <c r="P144" i="13" s="1"/>
  <c r="C174" i="13" l="1"/>
  <c r="R173" i="13"/>
  <c r="H173" i="13"/>
  <c r="I172" i="13"/>
  <c r="K172" i="13"/>
  <c r="J172" i="13" s="1"/>
  <c r="L145" i="13"/>
  <c r="O144" i="13"/>
  <c r="N144" i="13" s="1"/>
  <c r="I173" i="13" l="1"/>
  <c r="P173" i="13"/>
  <c r="K173" i="13"/>
  <c r="J173" i="13" s="1"/>
  <c r="C175" i="13"/>
  <c r="R174" i="13"/>
  <c r="H174" i="13"/>
  <c r="O145" i="13"/>
  <c r="N145" i="13" s="1"/>
  <c r="L146" i="13"/>
  <c r="P146" i="13" s="1"/>
  <c r="C176" i="13" l="1"/>
  <c r="R175" i="13"/>
  <c r="H175" i="13"/>
  <c r="I174" i="13"/>
  <c r="K174" i="13"/>
  <c r="J174" i="13" s="1"/>
  <c r="L147" i="13"/>
  <c r="O146" i="13"/>
  <c r="N146" i="13" s="1"/>
  <c r="I175" i="13" l="1"/>
  <c r="P175" i="13"/>
  <c r="K175" i="13"/>
  <c r="J175" i="13" s="1"/>
  <c r="C177" i="13"/>
  <c r="R176" i="13"/>
  <c r="H176" i="13"/>
  <c r="O147" i="13"/>
  <c r="N147" i="13" s="1"/>
  <c r="L148" i="13"/>
  <c r="P148" i="13" s="1"/>
  <c r="C178" i="13" l="1"/>
  <c r="R177" i="13"/>
  <c r="H177" i="13"/>
  <c r="I176" i="13"/>
  <c r="K176" i="13"/>
  <c r="J176" i="13" s="1"/>
  <c r="L149" i="13"/>
  <c r="O148" i="13"/>
  <c r="N148" i="13" s="1"/>
  <c r="I177" i="13" l="1"/>
  <c r="P177" i="13"/>
  <c r="K177" i="13"/>
  <c r="J177" i="13" s="1"/>
  <c r="C179" i="13"/>
  <c r="R178" i="13"/>
  <c r="H178" i="13"/>
  <c r="O149" i="13"/>
  <c r="N149" i="13" s="1"/>
  <c r="L150" i="13"/>
  <c r="P150" i="13" s="1"/>
  <c r="C180" i="13" l="1"/>
  <c r="R179" i="13"/>
  <c r="H179" i="13"/>
  <c r="I178" i="13"/>
  <c r="K178" i="13"/>
  <c r="J178" i="13" s="1"/>
  <c r="L151" i="13"/>
  <c r="O150" i="13"/>
  <c r="N150" i="13" s="1"/>
  <c r="I179" i="13" l="1"/>
  <c r="P179" i="13"/>
  <c r="K179" i="13"/>
  <c r="J179" i="13" s="1"/>
  <c r="R180" i="13"/>
  <c r="H180" i="13"/>
  <c r="O151" i="13"/>
  <c r="N151" i="13" s="1"/>
  <c r="L152" i="13"/>
  <c r="P152" i="13" s="1"/>
  <c r="I180" i="13" l="1"/>
  <c r="K180" i="13"/>
  <c r="J180" i="13" s="1"/>
  <c r="L153" i="13"/>
  <c r="O152" i="13"/>
  <c r="N152" i="13" s="1"/>
  <c r="O153" i="13" l="1"/>
  <c r="N153" i="13" s="1"/>
  <c r="L154" i="13"/>
  <c r="P154" i="13" s="1"/>
  <c r="L155" i="13" l="1"/>
  <c r="O154" i="13"/>
  <c r="N154" i="13" s="1"/>
  <c r="O155" i="13" l="1"/>
  <c r="N155" i="13" s="1"/>
  <c r="L156" i="13"/>
  <c r="P156" i="13" s="1"/>
  <c r="L157" i="13" l="1"/>
  <c r="O156" i="13"/>
  <c r="N156" i="13" s="1"/>
  <c r="O157" i="13" l="1"/>
  <c r="N157" i="13" s="1"/>
  <c r="L158" i="13"/>
  <c r="P158" i="13" s="1"/>
  <c r="L159" i="13" l="1"/>
  <c r="O158" i="13"/>
  <c r="N158" i="13" s="1"/>
  <c r="O159" i="13" l="1"/>
  <c r="N159" i="13" s="1"/>
  <c r="L160" i="13"/>
  <c r="P160" i="13" s="1"/>
  <c r="L161" i="13" l="1"/>
  <c r="O160" i="13"/>
  <c r="N160" i="13" s="1"/>
  <c r="O161" i="13" l="1"/>
  <c r="N161" i="13" s="1"/>
  <c r="L162" i="13"/>
  <c r="P162" i="13" s="1"/>
  <c r="L163" i="13" l="1"/>
  <c r="O162" i="13"/>
  <c r="N162" i="13" s="1"/>
  <c r="O163" i="13" l="1"/>
  <c r="N163" i="13" s="1"/>
  <c r="L164" i="13"/>
  <c r="P164" i="13" s="1"/>
  <c r="L165" i="13" l="1"/>
  <c r="O164" i="13"/>
  <c r="N164" i="13" s="1"/>
  <c r="O165" i="13" l="1"/>
  <c r="N165" i="13" s="1"/>
  <c r="L166" i="13"/>
  <c r="P166" i="13" s="1"/>
  <c r="L167" i="13" l="1"/>
  <c r="O166" i="13"/>
  <c r="N166" i="13" s="1"/>
  <c r="O167" i="13" l="1"/>
  <c r="N167" i="13" s="1"/>
  <c r="L168" i="13"/>
  <c r="P168" i="13" s="1"/>
  <c r="L169" i="13" l="1"/>
  <c r="O168" i="13"/>
  <c r="N168" i="13" s="1"/>
  <c r="O169" i="13" l="1"/>
  <c r="N169" i="13" s="1"/>
  <c r="L170" i="13"/>
  <c r="P170" i="13" s="1"/>
  <c r="L171" i="13" l="1"/>
  <c r="O170" i="13"/>
  <c r="N170" i="13" s="1"/>
  <c r="O171" i="13" l="1"/>
  <c r="N171" i="13" s="1"/>
  <c r="L172" i="13"/>
  <c r="P172" i="13" s="1"/>
  <c r="L173" i="13" l="1"/>
  <c r="O172" i="13"/>
  <c r="N172" i="13" s="1"/>
  <c r="O173" i="13" l="1"/>
  <c r="N173" i="13" s="1"/>
  <c r="L174" i="13"/>
  <c r="P174" i="13" s="1"/>
  <c r="L175" i="13" l="1"/>
  <c r="O174" i="13"/>
  <c r="N174" i="13" s="1"/>
  <c r="O175" i="13" l="1"/>
  <c r="N175" i="13" s="1"/>
  <c r="L176" i="13"/>
  <c r="P176" i="13" s="1"/>
  <c r="L177" i="13" l="1"/>
  <c r="O176" i="13"/>
  <c r="N176" i="13" s="1"/>
  <c r="O177" i="13" l="1"/>
  <c r="N177" i="13" s="1"/>
  <c r="L178" i="13"/>
  <c r="P178" i="13" s="1"/>
  <c r="L179" i="13" l="1"/>
  <c r="O178" i="13"/>
  <c r="N178" i="13" s="1"/>
  <c r="O179" i="13" l="1"/>
  <c r="N179" i="13" s="1"/>
  <c r="L180" i="13"/>
  <c r="O180" i="13" l="1"/>
  <c r="N180" i="13" s="1"/>
  <c r="P180"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tc={EC4F5A77-39B2-486F-A5C7-9CD410C05C70}</author>
    <author>tc={822B5339-6A40-4948-A347-1E1CC3CDB763}</author>
    <author>tc={8A572544-7F3D-409C-BB99-96F1461DA251}</author>
    <author>tc={24E4D7FF-50C7-4156-8B13-0AD38B7C843F}</author>
    <author>tc={C20710E4-E65F-4DA4-8079-944C0D3E5014}</author>
    <author>tc={E1438B1A-208C-4AE8-8827-451A453B4213}</author>
    <author>tc={15A483A8-E232-42E2-9DD8-1A6EDD1DA730}</author>
    <author>tc={B785FA58-9277-4E20-9F2D-9CF625E351C4}</author>
  </authors>
  <commentList>
    <comment ref="E11" authorId="0" shapeId="0" xr:uid="{EC4F5A77-39B2-486F-A5C7-9CD410C05C70}">
      <text>
        <t>[Threaded comment]
Your version of Excel allows you to read this threaded comment; however, any edits to it will get removed if the file is opened in a newer version of Excel. Learn more: https://go.microsoft.com/fwlink/?linkid=870924
Comment:
    2</t>
      </text>
    </comment>
    <comment ref="G11" authorId="1" shapeId="0" xr:uid="{822B5339-6A40-4948-A347-1E1CC3CDB763}">
      <text>
        <t>[Threaded comment]
Your version of Excel allows you to read this threaded comment; however, any edits to it will get removed if the file is opened in a newer version of Excel. Learn more: https://go.microsoft.com/fwlink/?linkid=870924
Comment:
    2</t>
      </text>
    </comment>
    <comment ref="E12" authorId="2" shapeId="0" xr:uid="{8A572544-7F3D-409C-BB99-96F1461DA251}">
      <text>
        <t>[Threaded comment]
Your version of Excel allows you to read this threaded comment; however, any edits to it will get removed if the file is opened in a newer version of Excel. Learn more: https://go.microsoft.com/fwlink/?linkid=870924
Comment:
    2</t>
      </text>
    </comment>
    <comment ref="G12" authorId="3" shapeId="0" xr:uid="{24E4D7FF-50C7-4156-8B13-0AD38B7C843F}">
      <text>
        <t>[Threaded comment]
Your version of Excel allows you to read this threaded comment; however, any edits to it will get removed if the file is opened in a newer version of Excel. Learn more: https://go.microsoft.com/fwlink/?linkid=870924
Comment:
    2</t>
      </text>
    </comment>
    <comment ref="E15" authorId="4" shapeId="0" xr:uid="{C20710E4-E65F-4DA4-8079-944C0D3E5014}">
      <text>
        <t>[Threaded comment]
Your version of Excel allows you to read this threaded comment; however, any edits to it will get removed if the file is opened in a newer version of Excel. Learn more: https://go.microsoft.com/fwlink/?linkid=870924
Comment:
    3</t>
      </text>
    </comment>
    <comment ref="G15" authorId="5" shapeId="0" xr:uid="{E1438B1A-208C-4AE8-8827-451A453B4213}">
      <text>
        <t>[Threaded comment]
Your version of Excel allows you to read this threaded comment; however, any edits to it will get removed if the file is opened in a newer version of Excel. Learn more: https://go.microsoft.com/fwlink/?linkid=870924
Comment:
    3</t>
      </text>
    </comment>
    <comment ref="E16" authorId="6" shapeId="0" xr:uid="{15A483A8-E232-42E2-9DD8-1A6EDD1DA730}">
      <text>
        <t>[Threaded comment]
Your version of Excel allows you to read this threaded comment; however, any edits to it will get removed if the file is opened in a newer version of Excel. Learn more: https://go.microsoft.com/fwlink/?linkid=870924
Comment:
    3</t>
      </text>
    </comment>
    <comment ref="G16" authorId="7" shapeId="0" xr:uid="{B785FA58-9277-4E20-9F2D-9CF625E351C4}">
      <text>
        <t>[Threaded comment]
Your version of Excel allows you to read this threaded comment; however, any edits to it will get removed if the file is opened in a newer version of Excel. Learn more: https://go.microsoft.com/fwlink/?linkid=870924
Comment:
    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tc={EE92D511-228D-4729-956F-B8B5133728BC}</author>
  </authors>
  <commentList>
    <comment ref="B2" authorId="0" shapeId="0" xr:uid="{EE92D511-228D-4729-956F-B8B5133728BC}">
      <text>
        <t>[Threaded comment]
Your version of Excel allows you to read this threaded comment; however, any edits to it will get removed if the file is opened in a newer version of Excel. Learn more: https://go.microsoft.com/fwlink/?linkid=870924
Comment:
    i.e. Test Scenario</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<sst xmlns="http://schemas.openxmlformats.org/spreadsheetml/2006/main" count="397" uniqueCount="221">
  <si>
    <t>Income Base</t>
  </si>
  <si>
    <t>Income Credit</t>
  </si>
  <si>
    <t>—</t>
  </si>
  <si>
    <t xml:space="preserve"> contract issue date</t>
  </si>
  <si>
    <t>Maximum Annual Withdrawal Amount upon Activation</t>
  </si>
  <si>
    <t xml:space="preserve">Income Credit Base  </t>
  </si>
  <si>
    <t xml:space="preserve">Income Credit    </t>
  </si>
  <si>
    <t xml:space="preserve">Withdrawal Taken  </t>
  </si>
  <si>
    <t xml:space="preserve">Assumed Contract Value </t>
  </si>
  <si>
    <t xml:space="preserve">Anniversary Value  </t>
  </si>
  <si>
    <t xml:space="preserve">Income Base  </t>
  </si>
  <si>
    <t>Protected Income Payment</t>
  </si>
  <si>
    <t>Purchase Payments</t>
  </si>
  <si>
    <t>Activation Time</t>
  </si>
  <si>
    <t>Income Credit Base</t>
  </si>
  <si>
    <t>Check</t>
  </si>
  <si>
    <t>APPENDIX D TABLE</t>
  </si>
  <si>
    <t xml:space="preserve"> Income Credit Percentage </t>
  </si>
  <si>
    <t xml:space="preserve"> Covered Person </t>
  </si>
  <si>
    <t xml:space="preserve"> Maximum Annual Withdrawal Percentage </t>
  </si>
  <si>
    <t xml:space="preserve">Benefit Effective Date </t>
  </si>
  <si>
    <t>Index</t>
  </si>
  <si>
    <t>Time From Valuation</t>
  </si>
  <si>
    <t>Initial Purchase Payement</t>
  </si>
  <si>
    <t>Is Activation</t>
  </si>
  <si>
    <t>Is Anniversery</t>
  </si>
  <si>
    <t>Has Lifetime Income Started</t>
  </si>
  <si>
    <t>Withdrawal Penalty Before Activation</t>
  </si>
  <si>
    <t>Withdrawal Penalty After Activation</t>
  </si>
  <si>
    <t>Inputs</t>
  </si>
  <si>
    <t>Test Cases</t>
  </si>
  <si>
    <t>F</t>
  </si>
  <si>
    <t>Joint Same Sex Female</t>
  </si>
  <si>
    <t>M</t>
  </si>
  <si>
    <t>Joint Same Sex</t>
  </si>
  <si>
    <t>Joint Diff Age</t>
  </si>
  <si>
    <t>Wda 7.5</t>
  </si>
  <si>
    <t>Wda 6.5</t>
  </si>
  <si>
    <t>Wda 5.5</t>
  </si>
  <si>
    <t>Wda 3.5</t>
  </si>
  <si>
    <t>Wda 2.5</t>
  </si>
  <si>
    <t>Wda 1.5</t>
  </si>
  <si>
    <t>Option 3</t>
  </si>
  <si>
    <t>Option 2</t>
  </si>
  <si>
    <t>Age 85</t>
  </si>
  <si>
    <t>Age 75</t>
  </si>
  <si>
    <t>Age 55</t>
  </si>
  <si>
    <t>Age 45</t>
  </si>
  <si>
    <t>Elevated Income %</t>
  </si>
  <si>
    <t>Base</t>
  </si>
  <si>
    <t>Current Contract Value</t>
  </si>
  <si>
    <t>Withdrawal Amount</t>
  </si>
  <si>
    <t>Current Income Base Credit</t>
  </si>
  <si>
    <t>Current Income Base</t>
  </si>
  <si>
    <t xml:space="preserve">Income Credit Percentage </t>
  </si>
  <si>
    <t>Annuity Income Option</t>
  </si>
  <si>
    <t>Withdrawal Activation Date</t>
  </si>
  <si>
    <t xml:space="preserve">Initial Purchase Payment </t>
  </si>
  <si>
    <t>Secondary Gender</t>
  </si>
  <si>
    <t>Secondary Birthdate</t>
  </si>
  <si>
    <t>Primary Gender</t>
  </si>
  <si>
    <t>Primary Birthdate</t>
  </si>
  <si>
    <t>Valuation Date</t>
  </si>
  <si>
    <t>Use Base Case</t>
  </si>
  <si>
    <t>Test Name</t>
  </si>
  <si>
    <t>Test</t>
  </si>
  <si>
    <t>Policy Inputs</t>
  </si>
  <si>
    <t>Current Period</t>
  </si>
  <si>
    <t>Number of Annuitants</t>
  </si>
  <si>
    <t>IsJoint</t>
  </si>
  <si>
    <t>Primary Issue Age</t>
  </si>
  <si>
    <t>Secondary Issue Age</t>
  </si>
  <si>
    <t>Minimum Withdrawal Age</t>
  </si>
  <si>
    <t>Years Left</t>
  </si>
  <si>
    <t>Is Issued</t>
  </si>
  <si>
    <t xml:space="preserve"> </t>
  </si>
  <si>
    <r>
      <t>(3)</t>
    </r>
    <r>
      <rPr>
        <sz val="7"/>
        <color rgb="FF000000"/>
        <rFont val="Times New Roman"/>
        <family val="1"/>
      </rPr>
      <t xml:space="preserve">      </t>
    </r>
    <r>
      <rPr>
        <sz val="8.5"/>
        <color rgb="FF000000"/>
        <rFont val="Times New Roman"/>
        <family val="1"/>
      </rPr>
      <t>If Two Covered Persons are elected, the Protected Income Payment Percentage is 4.00% if the Income Base is increased to a new Higher Anniversary Value on or after the younger Covered Person’s 65</t>
    </r>
    <r>
      <rPr>
        <vertAlign val="superscript"/>
        <sz val="8.5"/>
        <color rgb="FF000000"/>
        <rFont val="Times New Roman"/>
        <family val="1"/>
      </rPr>
      <t>th</t>
    </r>
    <r>
      <rPr>
        <sz val="8.5"/>
        <color rgb="FF000000"/>
        <rFont val="Times New Roman"/>
        <family val="1"/>
      </rPr>
      <t xml:space="preserve"> birthday. </t>
    </r>
  </si>
  <si>
    <r>
      <t>(2)</t>
    </r>
    <r>
      <rPr>
        <sz val="7"/>
        <color rgb="FF000000"/>
        <rFont val="Times New Roman"/>
        <family val="1"/>
      </rPr>
      <t xml:space="preserve">      </t>
    </r>
    <r>
      <rPr>
        <sz val="8.5"/>
        <color rgb="FF000000"/>
        <rFont val="Times New Roman"/>
        <family val="1"/>
      </rPr>
      <t>If One Covered Person is elected, the Protected Income Payment Percentage is 4.00% if the Income Base is increased to a new Higher Anniversary Value on or after the Covered Person’s 65</t>
    </r>
    <r>
      <rPr>
        <vertAlign val="superscript"/>
        <sz val="8.5"/>
        <color rgb="FF000000"/>
        <rFont val="Times New Roman"/>
        <family val="1"/>
      </rPr>
      <t>th</t>
    </r>
    <r>
      <rPr>
        <sz val="8.5"/>
        <color rgb="FF000000"/>
        <rFont val="Times New Roman"/>
        <family val="1"/>
      </rPr>
      <t xml:space="preserve"> birthday. </t>
    </r>
  </si>
  <si>
    <r>
      <t>(1)</t>
    </r>
    <r>
      <rPr>
        <sz val="7"/>
        <color rgb="FF000000"/>
        <rFont val="Times New Roman"/>
        <family val="1"/>
      </rPr>
      <t xml:space="preserve">      </t>
    </r>
    <r>
      <rPr>
        <sz val="8.5"/>
        <color rgb="FF000000"/>
        <rFont val="Times New Roman"/>
        <family val="1"/>
      </rPr>
      <t xml:space="preserve">If there are Two Covered Persons, the age on the Activation Date is based on the age of the younger of the Two Covered Persons. </t>
    </r>
  </si>
  <si>
    <t xml:space="preserve">Two Covered Persons (Age 72 and Older)  </t>
  </si>
  <si>
    <t xml:space="preserve">Two Covered Persons (Age 65 - 71) </t>
  </si>
  <si>
    <t xml:space="preserve">Two Covered Persons (Age 60 - 64) </t>
  </si>
  <si>
    <t xml:space="preserve">Two Covered Persons (Age 50 - 59) </t>
  </si>
  <si>
    <t xml:space="preserve">One Covered Person (Age 72 and Older) </t>
  </si>
  <si>
    <t xml:space="preserve">One Covered Person (Age 65 - 71) </t>
  </si>
  <si>
    <t xml:space="preserve">One Covered Person (Age 60 - 64) </t>
  </si>
  <si>
    <t xml:space="preserve">One Covered Person (Age 50 - 59) </t>
  </si>
  <si>
    <t xml:space="preserve">Percentage </t>
  </si>
  <si>
    <t>UB Age</t>
  </si>
  <si>
    <t>LB Age</t>
  </si>
  <si>
    <t xml:space="preserve">Payment </t>
  </si>
  <si>
    <t xml:space="preserve">Withdrawal </t>
  </si>
  <si>
    <t xml:space="preserve">Income </t>
  </si>
  <si>
    <t xml:space="preserve">Annual </t>
  </si>
  <si>
    <t xml:space="preserve">Protected </t>
  </si>
  <si>
    <t xml:space="preserve">Maximum </t>
  </si>
  <si>
    <t xml:space="preserve">Polaris Income Max Income Option 3 </t>
  </si>
  <si>
    <t xml:space="preserve">Polaris Income Max Income Option 2 </t>
  </si>
  <si>
    <t xml:space="preserve">Polaris Income Max Income Option 1 </t>
  </si>
  <si>
    <r>
      <t>Number of Covered Persons and Age of Covered Person(s) on the Activation Date</t>
    </r>
    <r>
      <rPr>
        <b/>
        <vertAlign val="superscript"/>
        <sz val="9"/>
        <color rgb="FF000000"/>
        <rFont val="Times New Roman"/>
        <family val="1"/>
      </rPr>
      <t>(1)</t>
    </r>
    <r>
      <rPr>
        <b/>
        <sz val="9"/>
        <color rgb="FF000000"/>
        <rFont val="Times New Roman"/>
        <family val="1"/>
      </rPr>
      <t xml:space="preserve"> </t>
    </r>
  </si>
  <si>
    <r>
      <t>The first percentage represents the Maximum Annual Withdrawal Percentage (as defined in the Glossary of Living Benefit Terms in the prospectus)</t>
    </r>
    <r>
      <rPr>
        <sz val="7.5"/>
        <color rgb="FF000000"/>
        <rFont val="Times New Roman"/>
        <family val="1"/>
      </rPr>
      <t xml:space="preserve"> </t>
    </r>
    <r>
      <rPr>
        <sz val="9.5"/>
        <color rgb="FF000000"/>
        <rFont val="Times New Roman"/>
        <family val="1"/>
      </rPr>
      <t xml:space="preserve">and the second percentage represents the Protected Income Payment Percentage (as defined in the Glossary of Living Benefit Terms in the prospectus) for each of the options shown:  </t>
    </r>
  </si>
  <si>
    <r>
      <t>Maximum Annual Withdrawal Percentage and Protected Income Payment Percentage Table</t>
    </r>
    <r>
      <rPr>
        <b/>
        <sz val="14"/>
        <color rgb="FF000000"/>
        <rFont val="Times New Roman"/>
        <family val="1"/>
      </rPr>
      <t xml:space="preserve"> </t>
    </r>
  </si>
  <si>
    <r>
      <t xml:space="preserve">The Income Credit Percentage is </t>
    </r>
    <r>
      <rPr>
        <b/>
        <sz val="14"/>
        <color rgb="FF000000"/>
        <rFont val="Times New Roman"/>
        <family val="1"/>
      </rPr>
      <t>5.25%</t>
    </r>
    <r>
      <rPr>
        <sz val="14"/>
        <color rgb="FF000000"/>
        <rFont val="Times New Roman"/>
        <family val="1"/>
      </rPr>
      <t xml:space="preserve"> (as a percentage of the Income Credit Base). </t>
    </r>
  </si>
  <si>
    <r>
      <t>Income Credit Percentage</t>
    </r>
    <r>
      <rPr>
        <b/>
        <sz val="14"/>
        <color rgb="FF000000"/>
        <rFont val="Times New Roman"/>
        <family val="1"/>
      </rPr>
      <t xml:space="preserve"> </t>
    </r>
  </si>
  <si>
    <t xml:space="preserve">POLARIS INCOME MAX </t>
  </si>
  <si>
    <t>Maximum Annual Withdrawal (MAW) percentage 1</t>
  </si>
  <si>
    <t>Maximum Annual Withdrawal (MAW) percentage 2</t>
  </si>
  <si>
    <t>Maximum Annual Withdrawal (MAW) percentage 3</t>
  </si>
  <si>
    <t>Protected Income Payment 1</t>
  </si>
  <si>
    <t>Protected Income Payment 2</t>
  </si>
  <si>
    <t>Protected Income Payment 3</t>
  </si>
  <si>
    <t>Sum of Cashflow</t>
  </si>
  <si>
    <t>Testing</t>
  </si>
  <si>
    <t>Test Case Names</t>
  </si>
  <si>
    <t>Max Withdrawal+PIP</t>
  </si>
  <si>
    <t>Actual</t>
  </si>
  <si>
    <t>Results</t>
  </si>
  <si>
    <t>Expected</t>
  </si>
  <si>
    <t>Difference</t>
  </si>
  <si>
    <t>Test Case</t>
  </si>
  <si>
    <t>When the MAWP is 6.25% and the PIP is 4% then the maximum allowable withdrawl increases then the allowable withdrawal is balanced. They will receive decent payout. Future withdrawals and benefits will increase.</t>
  </si>
  <si>
    <t>See Test Cases Sheet</t>
  </si>
  <si>
    <t>This should look up the withdrawal rate from the WDAge tab using the younger age. The MAW be 6.25% and the PIP will be 4%</t>
  </si>
  <si>
    <t>The Secondary Birthday and Gender are filled. There are two annuitants. The ages are different and values play off the younger of the two</t>
  </si>
  <si>
    <t>This handles the case where two women are the annuitants</t>
  </si>
  <si>
    <t>When the MAWP is 5.75% and the PIP is 4% then the maximum allowable withdrawl increases then the allowable withdrawal is balanced. They will receive decent payout. Future withdrawals and benefits will increase.</t>
  </si>
  <si>
    <t>This should look up the withdrawal rate from the WDAge tab using the younger age. The MAW be 5.75% and the PIP will be 4%</t>
  </si>
  <si>
    <t>This handles the case where two men are the annuitants</t>
  </si>
  <si>
    <t>When the MAWP is 3.5% and the PIP is 3% then the maximum allowable withdrawal then the maximum allowable withdrawal decreases and the allowable withdraw is too high and creates the policy to take excess withdrawals. This will penalize the policy and cause them to get less of payout. The percentage going down will be the future benefits will be decreased. This means the sum of withdrawals benefits and future benefits will decrease as a result</t>
  </si>
  <si>
    <t>This should look up the withdrawal rate from the WDAge tab using the younger age. The MAW be 3.5% and the PIP will be 3%</t>
  </si>
  <si>
    <t>This handles the case where a man and a woman are annuitants</t>
  </si>
  <si>
    <t>When the MAWP increases .5% and the PIP stays steady then the maximum allowable withdrawal increases then the allowable withdrawal is balanced. They will receive decent payout. Future withdrawals and benefits will increase.</t>
  </si>
  <si>
    <t>This should look up the withdrawal rate from the WDAge tab. The MAW will become 6.75% instead of 6.25% and the PIP will remain 4%</t>
  </si>
  <si>
    <t>The Secondary Birthday and Gender must be blank. If there is only one annuitant, then the seondary annuitant should be blank. The age is 65 like the base case. The withdrawals will begin after 7.5 years have passed.</t>
  </si>
  <si>
    <t>This handles the case of someone beginning to withdraw 7.5 years after intitial purchase</t>
  </si>
  <si>
    <t>The Secondary Birthday and Gender must be blank. If there is only one annuitant, then the seondary annuitant should be blank. The age is 65 like the base case. The withdrawals will begin after 6.5 years have passed.</t>
  </si>
  <si>
    <t>This handles the case of someone beginning to withdraw 6.5 years after intitial purchase</t>
  </si>
  <si>
    <t>When the MAWP and the PIP remains steady then the maximum allowable withdrawal increases then the allowable withdrawal is balanced. They will get a decent payout. Future withdrawals and benefits will increase though.</t>
  </si>
  <si>
    <t>This should look up the withdrawal rate from the WDAge tab. The MAW will remain 6.25% and the PIP will remain 4%</t>
  </si>
  <si>
    <t>The Secondary Birthday and Gender must be blank. If there is only one annuitant, then the seondary annuitant should be blank. The age is 65 like the base case. The withdrawals will begin after 5.5 years have passed.</t>
  </si>
  <si>
    <t>This handles the case of someone beginning to withdraw 5.5 years after intitial purchase</t>
  </si>
  <si>
    <t>The Secondary Birthday and Gender must be blank. If there is only one annuitant, then the seondary annuitant should be blank. The age is 65 like the base case. The withdrawals will begin after 3.5 years have passed.</t>
  </si>
  <si>
    <t>This handles the case of someone beginning to withdraw 3.5 years after intitial purchase</t>
  </si>
  <si>
    <t>The Secondary Birthday and Gender must be blank. If there is only one annuitant, then the seondary annuitant should be blank. The age is 65 like the base case. The withdrawals will begin after 2.5 years have passed.</t>
  </si>
  <si>
    <t>This handles the case of someone beginning to withdraw 2.5 years after intitial purchase</t>
  </si>
  <si>
    <t>The Secondary Birthday and Gender must be blank. If there is only one annuitant, then the seondary annuitant should be blank. The age is 65 like the base case. The withdrawals will begin after 1.5 years have passed.</t>
  </si>
  <si>
    <t>This handles the case of someone beginning to withdraw 1.5 years after intitial purchase</t>
  </si>
  <si>
    <t>When the MAWP decreases 1.25% and the PIP increases 1% then the maximum allowable withdrawal decreases but once the contract value hits zero the PIP payments will be higher.</t>
  </si>
  <si>
    <t>This should look up the withdrawal rate from the WDAge tab. The MAW will become 5% instead of 6.25% and the PIP will become 5% instead 4%</t>
  </si>
  <si>
    <t>The Secondary Birthday and Gender must be blank. If there is only one annuitant, then the seondary annuitant should be blank. The withrawal table should follow the values for option 3.</t>
  </si>
  <si>
    <t>This handles the case of someone choosing annuity income option 3</t>
  </si>
  <si>
    <t>The Secondary Birthday and Gender must be blank. If there is only one annuitant, then the seondary annuitant should be blank. The withrawal table should follow the values for option 2.</t>
  </si>
  <si>
    <t>This handles the case of someone choosing annuity income option 2</t>
  </si>
  <si>
    <t>When the MAWP is increased .5% and the PIP remains 4% then the maximum allowable withdrawal increases then the allowable withdrawal is balanced. They will get a decent payout. The risks of waiting are the annuitant is closer to experation. Future withdrawals and benefits will increase though.</t>
  </si>
  <si>
    <t>This should look up the withdrawal rate from the WDAge tab. It should change the MAW from 6.25% to 6.75% and the PIP will remain 4%</t>
  </si>
  <si>
    <t>The Secondary Birthdate and Gender must be blank. If there is only one annuitant, then the secondary annuitant should be blank. The Withdrawal Table of ages, by payment option and number of annuitants. The age should be 85 instead of 65 like the base case</t>
  </si>
  <si>
    <t>This handles the age of 85 which is the towards upper bound of the withdrawal table.</t>
  </si>
  <si>
    <t>The Secondary Birthdate and Gender must be blank. If there is only one annuitant, then the secondary annuitant should be blank. The Withdrawal Table of ages, by payment option and number of annuitants. The age should be 75 instead of 65 like the base case</t>
  </si>
  <si>
    <t>This handles the age of 75 which is the towards upper bound of the withdrawal table.</t>
  </si>
  <si>
    <t>When the MAWP is reduced by 2.25% and PIP percentage is reduced by 1% then the maximum allowable withdrawal decreases then the allowable withdraw is too high and creates the policy to take excess withdrawals. This will penalize the policy and cause them to get less of payout. The percentage going down will be the future benefits will be decreased. This means the sum of withdrawals benefits and future benefits will decrease as a result</t>
  </si>
  <si>
    <t>This should look up the withdrawal rate from the WDAge tab. It should change the MAW from 6.25% to 4% and the PIP percent for 4% to 3%</t>
  </si>
  <si>
    <t>The Secondary Birthdate and Gender must be blank. If there is only one annuitant, then the secondary annuitant should be blank. The Withdrawal Table of ages, by payment option and number of annuitants. The age should be 55 instead of 65 like the base case</t>
  </si>
  <si>
    <t>This handles the age of 55 which is the towards lower bound of the withdrawal table.</t>
  </si>
  <si>
    <t>See Test Cases Tab</t>
  </si>
  <si>
    <t>The Secondary Birthdate and Gender must be blank. If there is only one annuitant, then the secondary annuitant should be blank. The Withdrawal Table of ages, by payment option and number of annuitants. The age should be 45 instead of 65 like the base case</t>
  </si>
  <si>
    <t>This handles the age of 45 which is the lower bound of the withdrawal table.</t>
  </si>
  <si>
    <t>Stub</t>
  </si>
  <si>
    <t>Explained in Appendix D</t>
  </si>
  <si>
    <t>This should exactly match Appendix D</t>
  </si>
  <si>
    <t>The Secondary Birthdate and Gender must be blank. If there is only one annuitant, then the secondary annuitant should be blank. The input values should match appendix D</t>
  </si>
  <si>
    <t>This is the base case described in the prospectus.</t>
  </si>
  <si>
    <t>Differences</t>
  </si>
  <si>
    <t>Expect Result</t>
  </si>
  <si>
    <t>Actual Result</t>
  </si>
  <si>
    <t>Post Condition \ Reason For Difference</t>
  </si>
  <si>
    <t>Test Data</t>
  </si>
  <si>
    <t>Test Step</t>
  </si>
  <si>
    <t>Pre-Condition</t>
  </si>
  <si>
    <t>Model Inputs</t>
  </si>
  <si>
    <t>Values</t>
  </si>
  <si>
    <t>Effective Annual Interest</t>
  </si>
  <si>
    <t>Discount Factor</t>
  </si>
  <si>
    <t>Pay Period</t>
  </si>
  <si>
    <t>timeFromValuation</t>
  </si>
  <si>
    <t>Age</t>
  </si>
  <si>
    <t>lx</t>
  </si>
  <si>
    <t>Male</t>
  </si>
  <si>
    <t>Female</t>
  </si>
  <si>
    <t>Birthday</t>
  </si>
  <si>
    <t>Nearest</t>
  </si>
  <si>
    <t>Table</t>
  </si>
  <si>
    <t>Period</t>
  </si>
  <si>
    <t>IAM</t>
  </si>
  <si>
    <t>Max Age</t>
  </si>
  <si>
    <t>qx</t>
  </si>
  <si>
    <t>px</t>
  </si>
  <si>
    <t>Fix</t>
  </si>
  <si>
    <t>Mix</t>
  </si>
  <si>
    <t>Fqx</t>
  </si>
  <si>
    <t>Mqx</t>
  </si>
  <si>
    <t>Fpx</t>
  </si>
  <si>
    <t>Mpx</t>
  </si>
  <si>
    <t>Survivng t Years</t>
  </si>
  <si>
    <t>To Age</t>
  </si>
  <si>
    <t>Px</t>
  </si>
  <si>
    <t>Py</t>
  </si>
  <si>
    <t>Symbol</t>
  </si>
  <si>
    <t>Pxy</t>
  </si>
  <si>
    <t>tPxy</t>
  </si>
  <si>
    <t>Female Life Age</t>
  </si>
  <si>
    <t>Male Life Age</t>
  </si>
  <si>
    <t>To Age2</t>
  </si>
  <si>
    <t>Joint Life Survivorship</t>
  </si>
  <si>
    <t>Partial Year</t>
  </si>
  <si>
    <t>Primary Annuitant Px</t>
  </si>
  <si>
    <t>Secondary Annuitant Py</t>
  </si>
  <si>
    <t>tPx</t>
  </si>
  <si>
    <t>tPy</t>
  </si>
  <si>
    <t>Joint Mortality tPxy for the partial year</t>
  </si>
  <si>
    <t>Last-to-Die Survivorship tPxy</t>
  </si>
  <si>
    <t>Symbol2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</si>
</sst>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0.0000%"/>
    <numFmt numFmtId="166" formatCode="_(* #,##0.0000_);_(* \(#,##0.0000\);_(* &quot;-&quot;??_);_(@_)"/>
    <numFmt numFmtId="170" formatCode="0.000"/>
  </numFmts>
  <fonts count="21" x14ac:knownFonts="1">
    <font>
      <sz val="11"/>
      <color theme="1"/>
      <name val="Calibri"/>
      <family val="2"/>
      <scheme val="minor"/>
    </font>
    <font>
      <sz val="11"/>
      <color theme="1"/>
      <name val="Calibri"/>
      <family val="2"/>
      <scheme val="minor"/>
    </font>
    <font>
      <b/>
      <sz val="11"/>
      <color theme="1"/>
      <name val="Calibri"/>
      <family val="2"/>
      <scheme val="minor"/>
    </font>
    <font>
      <sz val="10"/>
      <color rgb="FF181717"/>
      <name val="Times New Roman"/>
      <family val="1"/>
    </font>
    <font>
      <sz val="14"/>
      <color theme="1"/>
      <name val="Calibri"/>
      <family val="2"/>
      <scheme val="minor"/>
    </font>
    <font>
      <sz val="11"/>
      <name val="Calibri"/>
      <family val="2"/>
      <scheme val="minor"/>
    </font>
    <font>
      <i/>
      <sz val="11"/>
      <color theme="1"/>
      <name val="Calibri"/>
      <family val="2"/>
      <scheme val="minor"/>
    </font>
    <font>
      <b/>
      <sz val="10"/>
      <color rgb="FF000000"/>
      <name val="Times New Roman"/>
      <family val="1"/>
    </font>
    <font>
      <sz val="8.5"/>
      <color rgb="FF000000"/>
      <name val="Times New Roman"/>
      <family val="1"/>
    </font>
    <font>
      <sz val="7"/>
      <color rgb="FF000000"/>
      <name val="Times New Roman"/>
      <family val="1"/>
    </font>
    <font>
      <vertAlign val="superscript"/>
      <sz val="8.5"/>
      <color rgb="FF000000"/>
      <name val="Times New Roman"/>
      <family val="1"/>
    </font>
    <font>
      <sz val="9.5"/>
      <color rgb="FF000000"/>
      <name val="Times New Roman"/>
      <family val="1"/>
    </font>
    <font>
      <b/>
      <sz val="9"/>
      <color rgb="FF000000"/>
      <name val="Times New Roman"/>
      <family val="1"/>
    </font>
    <font>
      <b/>
      <sz val="10"/>
      <color rgb="FF181717"/>
      <name val="Times New Roman"/>
      <family val="1"/>
    </font>
    <font>
      <b/>
      <vertAlign val="superscript"/>
      <sz val="9"/>
      <color rgb="FF000000"/>
      <name val="Times New Roman"/>
      <family val="1"/>
    </font>
    <font>
      <sz val="7.5"/>
      <color rgb="FF000000"/>
      <name val="Times New Roman"/>
      <family val="1"/>
    </font>
    <font>
      <b/>
      <u/>
      <sz val="14"/>
      <color rgb="FF000000"/>
      <name val="Times New Roman"/>
      <family val="1"/>
    </font>
    <font>
      <b/>
      <sz val="14"/>
      <color rgb="FF000000"/>
      <name val="Times New Roman"/>
      <family val="1"/>
    </font>
    <font>
      <sz val="14"/>
      <color rgb="FF000000"/>
      <name val="Times New Roman"/>
      <family val="1"/>
    </font>
    <font>
      <b/>
      <sz val="12"/>
      <color theme="1"/>
      <name val="Calibri"/>
      <family val="2"/>
      <scheme val="minor"/>
    </font>
    <font>
      <b/>
      <sz val="16"/>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theme="9" tint="0.79998168889431442"/>
      </patternFill>
    </fill>
    <fill>
      <patternFill patternType="solid">
        <fgColor theme="7"/>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9"/>
      </left>
      <right style="thin">
        <color theme="9"/>
      </right>
      <top style="thin">
        <color theme="9"/>
      </top>
      <bottom style="medium">
        <color theme="9"/>
      </bottom>
      <diagonal/>
    </border>
    <border>
      <left style="thin">
        <color theme="4" tint="0.39997558519241921"/>
      </left>
      <right style="thin">
        <color theme="9"/>
      </right>
      <top style="thin">
        <color theme="4" tint="0.39997558519241921"/>
      </top>
      <bottom style="thin">
        <color theme="4" tint="0.39997558519241921"/>
      </bottom>
      <diagonal/>
    </border>
    <border>
      <left style="thin">
        <color theme="9"/>
      </left>
      <right style="thin">
        <color theme="9"/>
      </right>
      <top style="thin">
        <color theme="4" tint="0.39997558519241921"/>
      </top>
      <bottom style="thin">
        <color theme="4" tint="0.39997558519241921"/>
      </bottom>
      <diagonal/>
    </border>
    <border>
      <left style="thin">
        <color theme="9"/>
      </left>
      <right style="thin">
        <color theme="4" tint="0.39997558519241921"/>
      </right>
      <top style="thin">
        <color theme="4" tint="0.39997558519241921"/>
      </top>
      <bottom style="thin">
        <color theme="4" tint="0.39997558519241921"/>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bottom/>
      <diagonal/>
    </border>
    <border>
      <left style="medium">
        <color rgb="FF000000"/>
      </left>
      <right/>
      <top/>
      <bottom style="medium">
        <color rgb="FF000000"/>
      </bottom>
      <diagonal/>
    </border>
    <border>
      <left style="medium">
        <color rgb="FF000000"/>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18">
    <xf numFmtId="0" fontId="0" fillId="0" borderId="0" xfId="0"/>
    <xf numFmtId="10" fontId="0" fillId="0" borderId="0" xfId="0" applyNumberFormat="1"/>
    <xf numFmtId="43" fontId="0" fillId="0" borderId="0" xfId="1" applyFont="1" applyFill="1" applyBorder="1"/>
    <xf numFmtId="0" fontId="0" fillId="0" borderId="0" xfId="0" applyAlignment="1">
      <alignment wrapText="1"/>
    </xf>
    <xf numFmtId="164" fontId="0" fillId="0" borderId="0" xfId="1" applyNumberFormat="1" applyFont="1"/>
    <xf numFmtId="164" fontId="0" fillId="0" borderId="1" xfId="1" applyNumberFormat="1" applyFont="1" applyBorder="1"/>
    <xf numFmtId="164" fontId="0" fillId="0" borderId="0" xfId="0" applyNumberFormat="1"/>
    <xf numFmtId="164" fontId="0" fillId="0" borderId="1" xfId="0" applyNumberFormat="1" applyBorder="1"/>
    <xf numFmtId="9" fontId="0" fillId="0" borderId="0" xfId="2" applyFont="1"/>
    <xf numFmtId="43" fontId="0" fillId="0" borderId="1" xfId="1" applyFont="1" applyBorder="1"/>
    <xf numFmtId="43" fontId="0" fillId="0" borderId="0" xfId="1" applyFont="1" applyBorder="1"/>
    <xf numFmtId="164" fontId="3" fillId="0" borderId="1" xfId="1" applyNumberFormat="1" applyFont="1" applyBorder="1" applyAlignment="1">
      <alignment horizontal="center" vertical="center" wrapText="1"/>
    </xf>
    <xf numFmtId="164" fontId="3" fillId="0" borderId="1" xfId="1" applyNumberFormat="1" applyFont="1" applyBorder="1" applyAlignment="1">
      <alignment horizontal="right" vertical="center" wrapText="1"/>
    </xf>
    <xf numFmtId="164" fontId="0" fillId="0" borderId="1" xfId="1" applyNumberFormat="1" applyFont="1" applyBorder="1" applyAlignment="1">
      <alignment horizontal="right"/>
    </xf>
    <xf numFmtId="164" fontId="0" fillId="0" borderId="3" xfId="1" applyNumberFormat="1" applyFont="1" applyBorder="1"/>
    <xf numFmtId="164" fontId="3" fillId="0" borderId="5" xfId="1" applyNumberFormat="1" applyFont="1" applyBorder="1" applyAlignment="1">
      <alignment horizontal="center" vertical="center" wrapText="1"/>
    </xf>
    <xf numFmtId="164" fontId="0" fillId="0" borderId="5" xfId="1" applyNumberFormat="1" applyFont="1" applyBorder="1"/>
    <xf numFmtId="164" fontId="0" fillId="0" borderId="5" xfId="1" applyNumberFormat="1" applyFont="1" applyBorder="1" applyAlignment="1">
      <alignment horizontal="right"/>
    </xf>
    <xf numFmtId="164" fontId="3" fillId="0" borderId="4" xfId="1" applyNumberFormat="1" applyFont="1" applyBorder="1" applyAlignment="1">
      <alignment horizontal="center" vertical="center" wrapText="1"/>
    </xf>
    <xf numFmtId="0" fontId="2" fillId="2" borderId="6" xfId="0" applyFont="1" applyFill="1" applyBorder="1" applyAlignment="1">
      <alignment wrapText="1"/>
    </xf>
    <xf numFmtId="0" fontId="2" fillId="2" borderId="7" xfId="0" applyFont="1" applyFill="1" applyBorder="1" applyAlignment="1">
      <alignment wrapText="1"/>
    </xf>
    <xf numFmtId="164" fontId="0" fillId="3" borderId="1" xfId="0" applyNumberFormat="1" applyFill="1" applyBorder="1"/>
    <xf numFmtId="0" fontId="0" fillId="3" borderId="8" xfId="0" applyFill="1" applyBorder="1"/>
    <xf numFmtId="164" fontId="3" fillId="3" borderId="1" xfId="1" applyNumberFormat="1" applyFont="1" applyFill="1" applyBorder="1" applyAlignment="1">
      <alignment horizontal="center" vertical="center" wrapText="1"/>
    </xf>
    <xf numFmtId="0" fontId="0" fillId="3" borderId="9" xfId="0" applyFill="1" applyBorder="1"/>
    <xf numFmtId="164" fontId="3" fillId="3" borderId="5" xfId="1" applyNumberFormat="1" applyFont="1" applyFill="1" applyBorder="1" applyAlignment="1">
      <alignment horizontal="center" vertical="center" wrapText="1"/>
    </xf>
    <xf numFmtId="0" fontId="2" fillId="0" borderId="0" xfId="0" applyFont="1"/>
    <xf numFmtId="0" fontId="4" fillId="0" borderId="0" xfId="0" applyFont="1"/>
    <xf numFmtId="0" fontId="5" fillId="4" borderId="0" xfId="0" applyFont="1" applyFill="1" applyAlignment="1">
      <alignment wrapText="1"/>
    </xf>
    <xf numFmtId="0" fontId="0" fillId="0" borderId="1" xfId="0" applyBorder="1"/>
    <xf numFmtId="0" fontId="2" fillId="2" borderId="2" xfId="0" applyFont="1" applyFill="1" applyBorder="1" applyAlignment="1">
      <alignment wrapText="1"/>
    </xf>
    <xf numFmtId="3" fontId="0" fillId="0" borderId="0" xfId="0" applyNumberFormat="1"/>
    <xf numFmtId="0" fontId="0" fillId="0" borderId="14" xfId="0" applyBorder="1"/>
    <xf numFmtId="43" fontId="0" fillId="0" borderId="15" xfId="1" applyFont="1" applyBorder="1"/>
    <xf numFmtId="0" fontId="0" fillId="0" borderId="18" xfId="0" applyBorder="1"/>
    <xf numFmtId="0" fontId="0" fillId="0" borderId="19" xfId="0" applyBorder="1"/>
    <xf numFmtId="164" fontId="0" fillId="3" borderId="19" xfId="0" applyNumberFormat="1" applyFill="1" applyBorder="1"/>
    <xf numFmtId="43" fontId="0" fillId="0" borderId="20" xfId="1" applyFont="1" applyBorder="1"/>
    <xf numFmtId="0" fontId="2" fillId="6" borderId="16" xfId="0" applyFont="1" applyFill="1" applyBorder="1"/>
    <xf numFmtId="0" fontId="2" fillId="6" borderId="17" xfId="0" applyFont="1" applyFill="1" applyBorder="1"/>
    <xf numFmtId="0" fontId="2" fillId="6" borderId="17" xfId="0" applyFont="1" applyFill="1" applyBorder="1" applyAlignment="1">
      <alignment wrapText="1"/>
    </xf>
    <xf numFmtId="0" fontId="2" fillId="6" borderId="13" xfId="0" applyFont="1" applyFill="1" applyBorder="1" applyAlignment="1">
      <alignment wrapText="1"/>
    </xf>
    <xf numFmtId="165" fontId="0" fillId="0" borderId="1" xfId="2" applyNumberFormat="1" applyFont="1" applyBorder="1"/>
    <xf numFmtId="166" fontId="0" fillId="0" borderId="1" xfId="0" applyNumberFormat="1" applyBorder="1"/>
    <xf numFmtId="0" fontId="6" fillId="0" borderId="0" xfId="0" applyFont="1"/>
    <xf numFmtId="2" fontId="0" fillId="0" borderId="21" xfId="0" applyNumberFormat="1" applyBorder="1"/>
    <xf numFmtId="2" fontId="0" fillId="0" borderId="22" xfId="0" applyNumberFormat="1" applyBorder="1"/>
    <xf numFmtId="0" fontId="0" fillId="0" borderId="22" xfId="0" applyBorder="1"/>
    <xf numFmtId="14" fontId="0" fillId="0" borderId="22" xfId="0" applyNumberFormat="1" applyBorder="1"/>
    <xf numFmtId="0" fontId="0" fillId="0" borderId="23" xfId="0" applyBorder="1"/>
    <xf numFmtId="0" fontId="0" fillId="0" borderId="21" xfId="0" applyBorder="1"/>
    <xf numFmtId="0" fontId="2" fillId="2" borderId="0" xfId="0" applyFont="1" applyFill="1" applyAlignment="1">
      <alignment wrapText="1"/>
    </xf>
    <xf numFmtId="0" fontId="0" fillId="0" borderId="24" xfId="0" applyBorder="1"/>
    <xf numFmtId="0" fontId="0" fillId="0" borderId="25" xfId="0" applyBorder="1"/>
    <xf numFmtId="14" fontId="0" fillId="0" borderId="25" xfId="0" applyNumberFormat="1" applyBorder="1"/>
    <xf numFmtId="2" fontId="0" fillId="0" borderId="25" xfId="0" applyNumberFormat="1" applyBorder="1"/>
    <xf numFmtId="2" fontId="0" fillId="0" borderId="26" xfId="0" applyNumberFormat="1" applyBorder="1"/>
    <xf numFmtId="0" fontId="2" fillId="2" borderId="27" xfId="0" applyFont="1" applyFill="1" applyBorder="1" applyAlignment="1">
      <alignment wrapText="1"/>
    </xf>
    <xf numFmtId="0" fontId="0" fillId="0" borderId="28" xfId="0" applyBorder="1"/>
    <xf numFmtId="0" fontId="0" fillId="0" borderId="29" xfId="0" applyBorder="1"/>
    <xf numFmtId="14" fontId="0" fillId="0" borderId="29" xfId="0" applyNumberFormat="1" applyBorder="1"/>
    <xf numFmtId="2" fontId="0" fillId="0" borderId="29" xfId="0" applyNumberFormat="1" applyBorder="1"/>
    <xf numFmtId="0" fontId="0" fillId="0" borderId="30" xfId="0" applyBorder="1"/>
    <xf numFmtId="0" fontId="7" fillId="0" borderId="0" xfId="0" applyFont="1" applyAlignment="1">
      <alignment vertical="center"/>
    </xf>
    <xf numFmtId="0" fontId="8" fillId="0" borderId="0" xfId="0" applyFont="1" applyAlignment="1">
      <alignment horizontal="left" vertical="center" indent="2"/>
    </xf>
    <xf numFmtId="166" fontId="11" fillId="7" borderId="31" xfId="1" applyNumberFormat="1" applyFont="1" applyFill="1" applyBorder="1" applyAlignment="1">
      <alignment horizontal="center" vertical="center" wrapText="1"/>
    </xf>
    <xf numFmtId="0" fontId="11" fillId="7" borderId="31" xfId="0" applyFont="1" applyFill="1" applyBorder="1" applyAlignment="1">
      <alignment vertical="center" wrapText="1"/>
    </xf>
    <xf numFmtId="0" fontId="11" fillId="0" borderId="32" xfId="0" applyFont="1" applyBorder="1" applyAlignment="1">
      <alignment vertical="center" wrapText="1"/>
    </xf>
    <xf numFmtId="166" fontId="11" fillId="8" borderId="31" xfId="1" applyNumberFormat="1" applyFont="1" applyFill="1" applyBorder="1" applyAlignment="1">
      <alignment horizontal="center" vertical="center" wrapText="1"/>
    </xf>
    <xf numFmtId="0" fontId="11" fillId="8" borderId="31" xfId="0" applyFont="1" applyFill="1" applyBorder="1" applyAlignment="1">
      <alignment vertical="center" wrapText="1"/>
    </xf>
    <xf numFmtId="0" fontId="12" fillId="0" borderId="31" xfId="0" applyFont="1" applyBorder="1" applyAlignment="1">
      <alignment horizontal="center" vertical="center" wrapText="1"/>
    </xf>
    <xf numFmtId="0" fontId="13" fillId="0" borderId="31" xfId="0" applyFont="1" applyBorder="1" applyAlignment="1">
      <alignment vertical="center" wrapText="1"/>
    </xf>
    <xf numFmtId="0" fontId="12" fillId="0" borderId="33" xfId="0" applyFont="1" applyBorder="1" applyAlignment="1">
      <alignment horizontal="center" vertical="center" wrapText="1"/>
    </xf>
    <xf numFmtId="0" fontId="12" fillId="0" borderId="33" xfId="0" applyFont="1" applyBorder="1" applyAlignment="1">
      <alignment vertical="center" wrapText="1"/>
    </xf>
    <xf numFmtId="0" fontId="12" fillId="0" borderId="36" xfId="0" applyFont="1" applyBorder="1" applyAlignment="1">
      <alignment horizontal="center" vertical="center" wrapText="1"/>
    </xf>
    <xf numFmtId="0" fontId="0" fillId="0" borderId="0" xfId="0" quotePrefix="1"/>
    <xf numFmtId="0" fontId="0" fillId="9" borderId="29" xfId="0" applyFill="1" applyBorder="1"/>
    <xf numFmtId="0" fontId="0" fillId="9" borderId="28" xfId="0" applyFill="1" applyBorder="1"/>
    <xf numFmtId="43" fontId="0" fillId="0" borderId="0" xfId="1" applyFont="1" applyBorder="1" applyAlignment="1">
      <alignment wrapText="1"/>
    </xf>
    <xf numFmtId="0" fontId="2" fillId="2" borderId="0" xfId="0" applyFont="1" applyFill="1"/>
    <xf numFmtId="0" fontId="0" fillId="10" borderId="0" xfId="0" applyFill="1"/>
    <xf numFmtId="0" fontId="0" fillId="5" borderId="10" xfId="0" applyFill="1" applyBorder="1" applyAlignment="1">
      <alignment horizontal="center"/>
    </xf>
    <xf numFmtId="0" fontId="0" fillId="5" borderId="11" xfId="0" applyFill="1" applyBorder="1" applyAlignment="1">
      <alignment horizontal="center"/>
    </xf>
    <xf numFmtId="0" fontId="0" fillId="5" borderId="12" xfId="0" applyFill="1" applyBorder="1" applyAlignment="1">
      <alignment horizontal="center"/>
    </xf>
    <xf numFmtId="0" fontId="12" fillId="0" borderId="34" xfId="0" applyFont="1" applyBorder="1" applyAlignment="1">
      <alignment horizontal="center" vertical="center" wrapText="1"/>
    </xf>
    <xf numFmtId="0" fontId="12" fillId="0" borderId="32" xfId="0" applyFont="1" applyBorder="1" applyAlignment="1">
      <alignment horizontal="center" vertical="center" wrapText="1"/>
    </xf>
    <xf numFmtId="0" fontId="12" fillId="0" borderId="35" xfId="0" applyFont="1" applyBorder="1" applyAlignment="1">
      <alignment horizontal="center" vertical="center" wrapText="1"/>
    </xf>
    <xf numFmtId="0" fontId="12" fillId="0" borderId="31" xfId="0" applyFont="1" applyBorder="1" applyAlignment="1">
      <alignment horizontal="center" vertical="center" wrapText="1"/>
    </xf>
    <xf numFmtId="0" fontId="17" fillId="0" borderId="44" xfId="0" applyFont="1" applyBorder="1" applyAlignment="1">
      <alignment horizontal="center" vertical="center"/>
    </xf>
    <xf numFmtId="0" fontId="17" fillId="0" borderId="43" xfId="0" applyFont="1" applyBorder="1" applyAlignment="1">
      <alignment horizontal="center" vertical="center"/>
    </xf>
    <xf numFmtId="0" fontId="17" fillId="0" borderId="42" xfId="0" applyFont="1" applyBorder="1" applyAlignment="1">
      <alignment horizontal="center" vertical="center"/>
    </xf>
    <xf numFmtId="0" fontId="16" fillId="0" borderId="41" xfId="0" applyFont="1" applyBorder="1" applyAlignment="1">
      <alignment horizontal="center" vertical="center"/>
    </xf>
    <xf numFmtId="0" fontId="16" fillId="0" borderId="0" xfId="0" applyFont="1" applyAlignment="1">
      <alignment horizontal="center" vertical="center"/>
    </xf>
    <xf numFmtId="0" fontId="16" fillId="0" borderId="40" xfId="0" applyFont="1" applyBorder="1" applyAlignment="1">
      <alignment horizontal="center" vertical="center"/>
    </xf>
    <xf numFmtId="0" fontId="18" fillId="0" borderId="41" xfId="0" applyFont="1" applyBorder="1" applyAlignment="1">
      <alignment horizontal="center" vertical="center"/>
    </xf>
    <xf numFmtId="0" fontId="18" fillId="0" borderId="0" xfId="0" applyFont="1" applyAlignment="1">
      <alignment horizontal="center" vertical="center"/>
    </xf>
    <xf numFmtId="0" fontId="18" fillId="0" borderId="40" xfId="0" applyFont="1" applyBorder="1" applyAlignment="1">
      <alignment horizontal="center" vertical="center"/>
    </xf>
    <xf numFmtId="0" fontId="16" fillId="0" borderId="39" xfId="0" applyFont="1" applyBorder="1" applyAlignment="1">
      <alignment horizontal="center" vertical="center"/>
    </xf>
    <xf numFmtId="0" fontId="16" fillId="0" borderId="38" xfId="0" applyFont="1" applyBorder="1" applyAlignment="1">
      <alignment horizontal="center" vertical="center"/>
    </xf>
    <xf numFmtId="0" fontId="16" fillId="0" borderId="37" xfId="0" applyFont="1" applyBorder="1" applyAlignment="1">
      <alignment horizontal="center" vertical="center"/>
    </xf>
    <xf numFmtId="0" fontId="11" fillId="0" borderId="10" xfId="0" applyFont="1" applyBorder="1" applyAlignment="1">
      <alignment horizontal="justify" vertical="center"/>
    </xf>
    <xf numFmtId="0" fontId="11" fillId="0" borderId="11" xfId="0" applyFont="1" applyBorder="1" applyAlignment="1">
      <alignment horizontal="justify" vertical="center"/>
    </xf>
    <xf numFmtId="0" fontId="0" fillId="0" borderId="11" xfId="0" applyBorder="1"/>
    <xf numFmtId="0" fontId="0" fillId="0" borderId="12" xfId="0" applyBorder="1"/>
    <xf numFmtId="0" fontId="19" fillId="0" borderId="37" xfId="0" applyFont="1" applyBorder="1"/>
    <xf numFmtId="0" fontId="19" fillId="0" borderId="38" xfId="0" applyFont="1" applyBorder="1"/>
    <xf numFmtId="0" fontId="19" fillId="0" borderId="39" xfId="0" applyFont="1" applyBorder="1"/>
    <xf numFmtId="0" fontId="19" fillId="0" borderId="40" xfId="0" applyFont="1" applyBorder="1"/>
    <xf numFmtId="0" fontId="19" fillId="0" borderId="0" xfId="0" applyFont="1"/>
    <xf numFmtId="0" fontId="19" fillId="0" borderId="41" xfId="0" applyFont="1" applyBorder="1"/>
    <xf numFmtId="0" fontId="19" fillId="0" borderId="42" xfId="0" applyFont="1" applyBorder="1"/>
    <xf numFmtId="0" fontId="19" fillId="0" borderId="43" xfId="0" applyFont="1" applyBorder="1"/>
    <xf numFmtId="0" fontId="19" fillId="0" borderId="44" xfId="0" applyFont="1" applyBorder="1"/>
    <xf numFmtId="0" fontId="2" fillId="0" borderId="0" xfId="0" applyFont="1" applyProtection="1">
      <protection hidden="1"/>
    </xf>
    <xf numFmtId="170" fontId="0" fillId="0" borderId="0" xfId="0" applyNumberFormat="1"/>
    <xf numFmtId="0" fontId="0" fillId="0" borderId="0" xfId="0" applyAlignment="1">
      <alignment horizontal="center"/>
    </xf>
    <xf numFmtId="0" fontId="20" fillId="0" borderId="0" xfId="0" applyFont="1" applyAlignment="1">
      <alignment horizontal="center"/>
    </xf>
    <xf numFmtId="166" fontId="0" fillId="0" borderId="0" xfId="1" applyNumberFormat="1" applyFont="1" applyBorder="1"/>
  </cellXfs>
  <cellStyles count="3">
    <cellStyle name="Comma" xfId="1" builtinId="3"/>
    <cellStyle name="Normal" xfId="0" builtinId="0"/>
    <cellStyle name="Percent" xfId="2" builtinId="5"/>
  </cellStyles>
  <dxfs count="80">
    <dxf>
      <font>
        <b val="0"/>
        <i val="0"/>
        <strike val="0"/>
        <condense val="0"/>
        <extend val="0"/>
        <outline val="0"/>
        <shadow val="0"/>
        <u val="none"/>
        <vertAlign val="baseline"/>
        <sz val="11"/>
        <color theme="1"/>
        <name val="Calibri"/>
        <family val="2"/>
        <scheme val="minor"/>
      </font>
      <numFmt numFmtId="35" formatCode="_(* #,##0.00_);_(* \(#,##0.00\);_(* &quot;-&quot;??_);_(@_)"/>
    </dxf>
    <dxf>
      <font>
        <b val="0"/>
        <i val="0"/>
        <strike val="0"/>
        <condense val="0"/>
        <extend val="0"/>
        <outline val="0"/>
        <shadow val="0"/>
        <u val="none"/>
        <vertAlign val="baseline"/>
        <sz val="11"/>
        <color theme="1"/>
        <name val="Calibri"/>
        <family val="2"/>
        <scheme val="minor"/>
      </font>
      <numFmt numFmtId="35" formatCode="_(* #,##0.00_);_(* \(#,##0.00\);_(* &quot;-&quot;??_);_(@_)"/>
    </dxf>
    <dxf>
      <font>
        <b val="0"/>
        <i val="0"/>
        <strike val="0"/>
        <condense val="0"/>
        <extend val="0"/>
        <outline val="0"/>
        <shadow val="0"/>
        <u val="none"/>
        <vertAlign val="baseline"/>
        <sz val="11"/>
        <color theme="1"/>
        <name val="Calibri"/>
        <family val="2"/>
        <scheme val="minor"/>
      </font>
      <numFmt numFmtId="35" formatCode="_(* #,##0.00_);_(* \(#,##0.00\);_(* &quot;-&quot;??_);_(@_)"/>
    </dxf>
    <dxf>
      <font>
        <b val="0"/>
        <i val="0"/>
        <strike val="0"/>
        <condense val="0"/>
        <extend val="0"/>
        <outline val="0"/>
        <shadow val="0"/>
        <u val="none"/>
        <vertAlign val="baseline"/>
        <sz val="11"/>
        <color theme="1"/>
        <name val="Calibri"/>
        <family val="2"/>
        <scheme val="minor"/>
      </font>
      <numFmt numFmtId="35" formatCode="_(* #,##0.00_);_(* \(#,##0.00\);_(* &quot;-&quot;??_);_(@_)"/>
    </dxf>
    <dxf>
      <font>
        <b val="0"/>
        <i val="0"/>
        <strike val="0"/>
        <condense val="0"/>
        <extend val="0"/>
        <outline val="0"/>
        <shadow val="0"/>
        <u val="none"/>
        <vertAlign val="baseline"/>
        <sz val="11"/>
        <color theme="1"/>
        <name val="Calibri"/>
        <family val="2"/>
        <scheme val="minor"/>
      </font>
      <numFmt numFmtId="35" formatCode="_(* #,##0.00_);_(* \(#,##0.00\);_(* &quot;-&quot;??_);_(@_)"/>
    </dxf>
    <dxf>
      <font>
        <b val="0"/>
        <i val="0"/>
        <strike val="0"/>
        <condense val="0"/>
        <extend val="0"/>
        <outline val="0"/>
        <shadow val="0"/>
        <u val="none"/>
        <vertAlign val="baseline"/>
        <sz val="11"/>
        <color theme="1"/>
        <name val="Calibri"/>
        <family val="2"/>
        <scheme val="minor"/>
      </font>
      <numFmt numFmtId="35" formatCode="_(* #,##0.00_);_(* \(#,##0.00\);_(* &quot;-&quot;??_);_(@_)"/>
    </dxf>
    <dxf>
      <font>
        <b val="0"/>
        <i val="0"/>
        <strike val="0"/>
        <condense val="0"/>
        <extend val="0"/>
        <outline val="0"/>
        <shadow val="0"/>
        <u val="none"/>
        <vertAlign val="baseline"/>
        <sz val="11"/>
        <color theme="1"/>
        <name val="Calibri"/>
        <family val="2"/>
        <scheme val="minor"/>
      </font>
      <numFmt numFmtId="35" formatCode="_(* #,##0.00_);_(* \(#,##0.00\);_(* &quot;-&quot;??_);_(@_)"/>
    </dxf>
    <dxf>
      <font>
        <b/>
        <i val="0"/>
      </font>
      <fill>
        <patternFill>
          <bgColor rgb="FFFF5050"/>
        </patternFill>
      </fill>
    </dxf>
    <dxf>
      <fill>
        <patternFill>
          <bgColor theme="7" tint="0.39994506668294322"/>
        </patternFill>
      </fill>
    </dxf>
    <dxf>
      <fill>
        <patternFill>
          <bgColor theme="5" tint="0.79998168889431442"/>
        </patternFill>
      </fill>
    </dxf>
    <dxf>
      <fill>
        <patternFill>
          <bgColor theme="5" tint="0.79998168889431442"/>
        </patternFill>
      </fill>
    </dxf>
    <dxf>
      <fill>
        <patternFill>
          <bgColor theme="5" tint="0.79998168889431442"/>
        </patternFill>
      </fil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protection locked="1" hidden="1"/>
    </dxf>
    <dxf>
      <numFmt numFmtId="2" formatCode="0.00"/>
      <border diagonalUp="0" diagonalDown="0">
        <left/>
        <right style="thin">
          <color theme="4" tint="0.39997558519241921"/>
        </right>
        <top style="thin">
          <color theme="4" tint="0.39997558519241921"/>
        </top>
        <bottom style="thin">
          <color theme="4" tint="0.39997558519241921"/>
        </bottom>
        <vertical/>
        <horizontal/>
      </border>
    </dxf>
    <dxf>
      <numFmt numFmtId="2" formatCode="0.00"/>
      <border diagonalUp="0" diagonalDown="0">
        <left/>
        <right/>
        <top style="thin">
          <color theme="4" tint="0.39997558519241921"/>
        </top>
        <bottom style="thin">
          <color theme="4" tint="0.39997558519241921"/>
        </bottom>
        <vertical/>
        <horizontal/>
      </border>
    </dxf>
    <dxf>
      <numFmt numFmtId="2" formatCode="0.00"/>
      <border diagonalUp="0" diagonalDown="0">
        <left/>
        <right/>
        <top style="thin">
          <color theme="4" tint="0.39997558519241921"/>
        </top>
        <bottom style="thin">
          <color theme="4" tint="0.39997558519241921"/>
        </bottom>
        <vertical/>
        <horizontal/>
      </border>
    </dxf>
    <dxf>
      <numFmt numFmtId="2" formatCode="0.00"/>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numFmt numFmtId="19" formatCode="m/d/yyyy"/>
      <border diagonalUp="0" diagonalDown="0">
        <left/>
        <right/>
        <top style="thin">
          <color theme="4" tint="0.39997558519241921"/>
        </top>
        <bottom style="thin">
          <color theme="4" tint="0.39997558519241921"/>
        </bottom>
        <vertical/>
        <horizontal/>
      </border>
    </dxf>
    <dxf>
      <numFmt numFmtId="2" formatCode="0.00"/>
      <border diagonalUp="0" diagonalDown="0">
        <left/>
        <right/>
        <top style="thin">
          <color theme="4" tint="0.39997558519241921"/>
        </top>
        <bottom style="thin">
          <color theme="4" tint="0.39997558519241921"/>
        </bottom>
        <vertical/>
        <horizontal/>
      </border>
    </dxf>
    <dxf>
      <numFmt numFmtId="19" formatCode="m/d/yyyy"/>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numFmt numFmtId="19" formatCode="m/d/yyyy"/>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numFmt numFmtId="19" formatCode="m/d/yyyy"/>
      <border diagonalUp="0" diagonalDown="0">
        <left/>
        <right/>
        <top style="thin">
          <color theme="4" tint="0.39997558519241921"/>
        </top>
        <bottom style="thin">
          <color theme="4" tint="0.39997558519241921"/>
        </bottom>
        <vertical/>
        <horizontal/>
      </border>
    </dxf>
    <dxf>
      <numFmt numFmtId="19" formatCode="m/d/yyyy"/>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style="thin">
          <color theme="4" tint="0.39997558519241921"/>
        </left>
        <right/>
        <top style="thin">
          <color theme="4" tint="0.39997558519241921"/>
        </top>
        <bottom style="thin">
          <color theme="4" tint="0.39997558519241921"/>
        </bottom>
        <vertical/>
        <horizontal/>
      </border>
    </dxf>
    <dxf>
      <border outline="0">
        <bottom style="thin">
          <color theme="4" tint="0.39997558519241921"/>
        </bottom>
      </border>
    </dxf>
    <dxf>
      <font>
        <b/>
        <i val="0"/>
        <strike val="0"/>
        <condense val="0"/>
        <extend val="0"/>
        <outline val="0"/>
        <shadow val="0"/>
        <u val="none"/>
        <vertAlign val="baseline"/>
        <sz val="11"/>
        <color theme="1"/>
        <name val="Calibri"/>
        <family val="2"/>
        <scheme val="minor"/>
      </font>
      <fill>
        <patternFill patternType="solid">
          <fgColor indexed="64"/>
          <bgColor rgb="FFFFFF00"/>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35" formatCode="_(* #,##0.00_);_(* \(#,##0.00\);_(* &quot;-&quot;??_);_(@_)"/>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35" formatCode="_(* #,##0.00_);_(* \(#,##0.00\);_(* &quot;-&quot;??_);_(@_)"/>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5" formatCode="0.0000%"/>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9" tint="0.39997558519241921"/>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35" formatCode="_(* #,##0.00_);_(* \(#,##0.00\);_(* &quot;-&quot;??_);_(@_)"/>
    </dxf>
    <dxf>
      <font>
        <b val="0"/>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35" formatCode="_(* #,##0.00_);_(* \(#,##0.00\);_(* &quot;-&quot;??_);_(@_)"/>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5" formatCode="0.0000%"/>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164" formatCode="_(* #,##0_);_(* \(#,##0\);_(* &quot;-&quot;??_);_(@_)"/>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9" tint="0.39997558519241921"/>
        </patternFill>
      </fill>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4.emf"/><Relationship Id="rId7" Type="http://schemas.openxmlformats.org/officeDocument/2006/relationships/image" Target="../media/image8.emf"/><Relationship Id="rId2" Type="http://schemas.openxmlformats.org/officeDocument/2006/relationships/image" Target="../media/image3.emf"/><Relationship Id="rId1" Type="http://schemas.openxmlformats.org/officeDocument/2006/relationships/image" Target="../media/image2.emf"/><Relationship Id="rId6" Type="http://schemas.openxmlformats.org/officeDocument/2006/relationships/image" Target="../media/image7.emf"/><Relationship Id="rId5" Type="http://schemas.openxmlformats.org/officeDocument/2006/relationships/image" Target="../media/image6.emf"/><Relationship Id="rId4" Type="http://schemas.openxmlformats.org/officeDocument/2006/relationships/image" Target="../media/image5.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9.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10.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579120</xdr:colOff>
          <xdr:row>1</xdr:row>
          <xdr:rowOff>60960</xdr:rowOff>
        </xdr:from>
        <xdr:to>
          <xdr:col>18</xdr:col>
          <xdr:colOff>114300</xdr:colOff>
          <xdr:row>46</xdr:row>
          <xdr:rowOff>175260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525780</xdr:colOff>
          <xdr:row>1</xdr:row>
          <xdr:rowOff>68580</xdr:rowOff>
        </xdr:from>
        <xdr:to>
          <xdr:col>11</xdr:col>
          <xdr:colOff>373380</xdr:colOff>
          <xdr:row>17</xdr:row>
          <xdr:rowOff>175260</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300-000001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381000</xdr:colOff>
          <xdr:row>18</xdr:row>
          <xdr:rowOff>99060</xdr:rowOff>
        </xdr:from>
        <xdr:to>
          <xdr:col>11</xdr:col>
          <xdr:colOff>228600</xdr:colOff>
          <xdr:row>47</xdr:row>
          <xdr:rowOff>60960</xdr:rowOff>
        </xdr:to>
        <xdr:sp macro="" textlink="">
          <xdr:nvSpPr>
            <xdr:cNvPr id="5122" name="Object 2" hidden="1">
              <a:extLst>
                <a:ext uri="{63B3BB69-23CF-44E3-9099-C40C66FF867C}">
                  <a14:compatExt spid="_x0000_s5122"/>
                </a:ext>
                <a:ext uri="{FF2B5EF4-FFF2-40B4-BE49-F238E27FC236}">
                  <a16:creationId xmlns:a16="http://schemas.microsoft.com/office/drawing/2014/main" id="{00000000-0008-0000-0300-000002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403860</xdr:colOff>
          <xdr:row>48</xdr:row>
          <xdr:rowOff>144780</xdr:rowOff>
        </xdr:from>
        <xdr:to>
          <xdr:col>11</xdr:col>
          <xdr:colOff>251460</xdr:colOff>
          <xdr:row>59</xdr:row>
          <xdr:rowOff>45720</xdr:rowOff>
        </xdr:to>
        <xdr:sp macro="" textlink="">
          <xdr:nvSpPr>
            <xdr:cNvPr id="5123" name="Object 3" hidden="1">
              <a:extLst>
                <a:ext uri="{63B3BB69-23CF-44E3-9099-C40C66FF867C}">
                  <a14:compatExt spid="_x0000_s5123"/>
                </a:ext>
                <a:ext uri="{FF2B5EF4-FFF2-40B4-BE49-F238E27FC236}">
                  <a16:creationId xmlns:a16="http://schemas.microsoft.com/office/drawing/2014/main" id="{00000000-0008-0000-0300-000003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449580</xdr:colOff>
          <xdr:row>63</xdr:row>
          <xdr:rowOff>160020</xdr:rowOff>
        </xdr:from>
        <xdr:to>
          <xdr:col>11</xdr:col>
          <xdr:colOff>297180</xdr:colOff>
          <xdr:row>75</xdr:row>
          <xdr:rowOff>144780</xdr:rowOff>
        </xdr:to>
        <xdr:sp macro="" textlink="">
          <xdr:nvSpPr>
            <xdr:cNvPr id="5124" name="Object 4" hidden="1">
              <a:extLst>
                <a:ext uri="{63B3BB69-23CF-44E3-9099-C40C66FF867C}">
                  <a14:compatExt spid="_x0000_s5124"/>
                </a:ext>
                <a:ext uri="{FF2B5EF4-FFF2-40B4-BE49-F238E27FC236}">
                  <a16:creationId xmlns:a16="http://schemas.microsoft.com/office/drawing/2014/main" id="{00000000-0008-0000-0300-000004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541020</xdr:colOff>
          <xdr:row>79</xdr:row>
          <xdr:rowOff>160020</xdr:rowOff>
        </xdr:from>
        <xdr:to>
          <xdr:col>11</xdr:col>
          <xdr:colOff>388620</xdr:colOff>
          <xdr:row>91</xdr:row>
          <xdr:rowOff>76200</xdr:rowOff>
        </xdr:to>
        <xdr:sp macro="" textlink="">
          <xdr:nvSpPr>
            <xdr:cNvPr id="5125" name="Object 5" hidden="1">
              <a:extLst>
                <a:ext uri="{63B3BB69-23CF-44E3-9099-C40C66FF867C}">
                  <a14:compatExt spid="_x0000_s5125"/>
                </a:ext>
                <a:ext uri="{FF2B5EF4-FFF2-40B4-BE49-F238E27FC236}">
                  <a16:creationId xmlns:a16="http://schemas.microsoft.com/office/drawing/2014/main" id="{00000000-0008-0000-0300-000005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579120</xdr:colOff>
          <xdr:row>94</xdr:row>
          <xdr:rowOff>144780</xdr:rowOff>
        </xdr:from>
        <xdr:to>
          <xdr:col>11</xdr:col>
          <xdr:colOff>426720</xdr:colOff>
          <xdr:row>112</xdr:row>
          <xdr:rowOff>30480</xdr:rowOff>
        </xdr:to>
        <xdr:sp macro="" textlink="">
          <xdr:nvSpPr>
            <xdr:cNvPr id="5126" name="Object 6" hidden="1">
              <a:extLst>
                <a:ext uri="{63B3BB69-23CF-44E3-9099-C40C66FF867C}">
                  <a14:compatExt spid="_x0000_s5126"/>
                </a:ext>
                <a:ext uri="{FF2B5EF4-FFF2-40B4-BE49-F238E27FC236}">
                  <a16:creationId xmlns:a16="http://schemas.microsoft.com/office/drawing/2014/main" id="{00000000-0008-0000-0300-000006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594360</xdr:colOff>
          <xdr:row>116</xdr:row>
          <xdr:rowOff>30480</xdr:rowOff>
        </xdr:from>
        <xdr:to>
          <xdr:col>11</xdr:col>
          <xdr:colOff>441960</xdr:colOff>
          <xdr:row>124</xdr:row>
          <xdr:rowOff>83820</xdr:rowOff>
        </xdr:to>
        <xdr:sp macro="" textlink="">
          <xdr:nvSpPr>
            <xdr:cNvPr id="5127" name="Object 7" hidden="1">
              <a:extLst>
                <a:ext uri="{63B3BB69-23CF-44E3-9099-C40C66FF867C}">
                  <a14:compatExt spid="_x0000_s5127"/>
                </a:ext>
                <a:ext uri="{FF2B5EF4-FFF2-40B4-BE49-F238E27FC236}">
                  <a16:creationId xmlns:a16="http://schemas.microsoft.com/office/drawing/2014/main" id="{00000000-0008-0000-0300-000007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17</xdr:col>
          <xdr:colOff>60960</xdr:colOff>
          <xdr:row>36</xdr:row>
          <xdr:rowOff>121920</xdr:rowOff>
        </xdr:to>
        <xdr:sp macro="" textlink="">
          <xdr:nvSpPr>
            <xdr:cNvPr id="3073" name="Object 1" hidden="1">
              <a:extLst>
                <a:ext uri="{63B3BB69-23CF-44E3-9099-C40C66FF867C}">
                  <a14:compatExt spid="_x0000_s3073"/>
                </a:ext>
                <a:ext uri="{FF2B5EF4-FFF2-40B4-BE49-F238E27FC236}">
                  <a16:creationId xmlns:a16="http://schemas.microsoft.com/office/drawing/2014/main" id="{00000000-0008-0000-0400-000001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556260</xdr:colOff>
          <xdr:row>1</xdr:row>
          <xdr:rowOff>0</xdr:rowOff>
        </xdr:from>
        <xdr:to>
          <xdr:col>15</xdr:col>
          <xdr:colOff>480060</xdr:colOff>
          <xdr:row>36</xdr:row>
          <xdr:rowOff>76200</xdr:rowOff>
        </xdr:to>
        <xdr:sp macro="" textlink="">
          <xdr:nvSpPr>
            <xdr:cNvPr id="4097" name="Object 1" hidden="1">
              <a:extLst>
                <a:ext uri="{63B3BB69-23CF-44E3-9099-C40C66FF867C}">
                  <a14:compatExt spid="_x0000_s4097"/>
                </a:ext>
                <a:ext uri="{FF2B5EF4-FFF2-40B4-BE49-F238E27FC236}">
                  <a16:creationId xmlns:a16="http://schemas.microsoft.com/office/drawing/2014/main" id="{00000000-0008-0000-0500-000001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19132\Google%20Drive\ExcelAnswerKeys\ExcelRedo\Tweak\Week3\TheModelW3AnswerKey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19132\Google%20Drive\ExcelAnswerKeys\ExcelRedo\Tweak\Week1\TheModelW1withAdditionalInf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Calculation"/>
      <sheetName val="Test Cases"/>
      <sheetName val="WdTables"/>
    </sheetNames>
    <sheetDataSet>
      <sheetData sheetId="0">
        <row r="5">
          <cell r="C5">
            <v>42465</v>
          </cell>
        </row>
        <row r="6">
          <cell r="C6">
            <v>18720</v>
          </cell>
        </row>
        <row r="8">
          <cell r="C8" t="str">
            <v/>
          </cell>
        </row>
        <row r="10">
          <cell r="C10">
            <v>42465</v>
          </cell>
        </row>
        <row r="12">
          <cell r="C12">
            <v>43743</v>
          </cell>
        </row>
        <row r="13">
          <cell r="C13">
            <v>1</v>
          </cell>
        </row>
        <row r="14">
          <cell r="C14">
            <v>5.2499999999999998E-2</v>
          </cell>
        </row>
        <row r="15">
          <cell r="C15">
            <v>100000</v>
          </cell>
        </row>
        <row r="16">
          <cell r="C16">
            <v>100000</v>
          </cell>
        </row>
        <row r="17">
          <cell r="C17">
            <v>19500</v>
          </cell>
        </row>
        <row r="19">
          <cell r="C19">
            <v>0</v>
          </cell>
        </row>
        <row r="20">
          <cell r="C20">
            <v>1</v>
          </cell>
        </row>
        <row r="21">
          <cell r="C21" t="b">
            <v>0</v>
          </cell>
        </row>
        <row r="22">
          <cell r="C22">
            <v>65</v>
          </cell>
        </row>
        <row r="23">
          <cell r="C23" t="str">
            <v/>
          </cell>
        </row>
        <row r="24">
          <cell r="C24">
            <v>65</v>
          </cell>
        </row>
        <row r="25">
          <cell r="C25">
            <v>6.25E-2</v>
          </cell>
        </row>
        <row r="26">
          <cell r="C26">
            <v>0.04</v>
          </cell>
        </row>
        <row r="27">
          <cell r="C27">
            <v>3.4989733059548254</v>
          </cell>
        </row>
      </sheetData>
      <sheetData sheetId="1">
        <row r="6">
          <cell r="U6">
            <v>1462084.888307723</v>
          </cell>
        </row>
        <row r="15">
          <cell r="Z15">
            <v>3.5</v>
          </cell>
        </row>
      </sheetData>
      <sheetData sheetId="2"/>
      <sheetData sheetId="3">
        <row r="11">
          <cell r="B11">
            <v>45</v>
          </cell>
          <cell r="C11">
            <v>59</v>
          </cell>
          <cell r="D11">
            <v>0.04</v>
          </cell>
          <cell r="E11">
            <v>0.03</v>
          </cell>
          <cell r="F11">
            <v>0.04</v>
          </cell>
          <cell r="G11">
            <v>0.03</v>
          </cell>
          <cell r="H11">
            <v>0.03</v>
          </cell>
          <cell r="I11">
            <v>0.03</v>
          </cell>
        </row>
        <row r="12">
          <cell r="B12">
            <v>60</v>
          </cell>
          <cell r="C12">
            <v>64</v>
          </cell>
          <cell r="D12">
            <v>0.05</v>
          </cell>
          <cell r="E12">
            <v>0.03</v>
          </cell>
          <cell r="F12">
            <v>0.05</v>
          </cell>
          <cell r="G12">
            <v>0.03</v>
          </cell>
          <cell r="H12">
            <v>3.5000000000000003E-2</v>
          </cell>
          <cell r="I12">
            <v>3.5000000000000003E-2</v>
          </cell>
        </row>
        <row r="13">
          <cell r="B13">
            <v>65</v>
          </cell>
          <cell r="C13">
            <v>71</v>
          </cell>
          <cell r="D13">
            <v>6.25E-2</v>
          </cell>
          <cell r="E13">
            <v>0.04</v>
          </cell>
          <cell r="F13">
            <v>7.4999999999999997E-2</v>
          </cell>
          <cell r="G13">
            <v>0.03</v>
          </cell>
          <cell r="H13">
            <v>0.05</v>
          </cell>
          <cell r="I13">
            <v>0.05</v>
          </cell>
        </row>
        <row r="14">
          <cell r="B14">
            <v>72</v>
          </cell>
          <cell r="C14">
            <v>99</v>
          </cell>
          <cell r="D14">
            <v>6.7500000000000004E-2</v>
          </cell>
          <cell r="E14">
            <v>0.04</v>
          </cell>
          <cell r="F14">
            <v>0.08</v>
          </cell>
          <cell r="G14">
            <v>0.03</v>
          </cell>
          <cell r="H14">
            <v>5.2499999999999998E-2</v>
          </cell>
          <cell r="I14">
            <v>5.2499999999999998E-2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lossary"/>
      <sheetName val="Homework"/>
      <sheetName val="How It Works"/>
      <sheetName val="Orders of Operation"/>
    </sheetNames>
    <sheetDataSet>
      <sheetData sheetId="0" refreshError="1"/>
      <sheetData sheetId="1" refreshError="1">
        <row r="2">
          <cell r="B2">
            <v>100000</v>
          </cell>
        </row>
        <row r="21">
          <cell r="B21">
            <v>60000</v>
          </cell>
        </row>
        <row r="22">
          <cell r="B22" t="str">
            <v>—</v>
          </cell>
        </row>
      </sheetData>
      <sheetData sheetId="2" refreshError="1"/>
      <sheetData sheetId="3" refreshError="1"/>
    </sheetDataSet>
  </externalBook>
</externalLink>
</file>

<file path=xl/persons/person.xml><?xml version="1.0" encoding="utf-8"?>
<personList xmlns="http://schemas.microsoft.com/office/spreadsheetml/2018/threadedcomments" xmlns:x="http://schemas.openxmlformats.org/spreadsheetml/2006/main">
  <person displayName="Bryon Robidoux" id="{90F233BC-85A6-4760-A7AF-3F0A27835E7D}" userId="c06de2f38d2dffe6"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89FFE7-031C-4BB8-BD7B-73EC8E8379A9}" name="Table1" displayName="Table1" ref="A7:Y180" totalsRowShown="0" headerRowDxfId="79" headerRowBorderDxfId="78" tableBorderDxfId="77" totalsRowBorderDxfId="76">
  <autoFilter ref="A7:Y180" xr:uid="{E989FFE7-031C-4BB8-BD7B-73EC8E8379A9}"/>
  <tableColumns count="25">
    <tableColumn id="1" xr3:uid="{8746CBD2-352C-4FB2-B735-3C80A9101E03}" name="Index" dataDxfId="75">
      <calculatedColumnFormula>A7+1</calculatedColumnFormula>
    </tableColumn>
    <tableColumn id="18" xr3:uid="{E7E5E0EF-94FE-44A8-8044-33F37961D737}" name="Pay Period" dataDxfId="74"/>
    <tableColumn id="2" xr3:uid="{CCBA0368-DDE3-4C18-B157-6489467469AA}" name="timeFromValuation" dataDxfId="73">
      <calculatedColumnFormula>0</calculatedColumnFormula>
    </tableColumn>
    <tableColumn id="3" xr3:uid="{B42F0FC7-F313-4AD9-B988-372B9E5AF33E}" name="Purchase Payments" dataDxfId="72">
      <calculatedColumnFormula>AB8</calculatedColumnFormula>
    </tableColumn>
    <tableColumn id="4" xr3:uid="{D8804332-74C8-4281-B927-B99A4100E1D5}" name="Withdrawal Taken  " dataDxfId="71">
      <calculatedColumnFormula>AC8</calculatedColumnFormula>
    </tableColumn>
    <tableColumn id="5" xr3:uid="{5FDE0844-F4FD-4B8B-8E26-42228527CCC9}" name="Is Activation" dataDxfId="70">
      <calculatedColumnFormula>IF(Table1[[#This Row],[Assumed Contract Value ]]&gt;0.1,Table1[[#This Row],[timeFromValuation]]&gt;=Activation_Time,0)</calculatedColumnFormula>
    </tableColumn>
    <tableColumn id="6" xr3:uid="{1F676914-9877-41DF-B29B-4C75641FE730}" name="Assumed Contract Value " dataDxfId="69"/>
    <tableColumn id="7" xr3:uid="{01F39826-2714-4B4F-8018-72AA0BF8D1D7}" name="Is Anniversery" dataDxfId="68">
      <calculatedColumnFormula>Table1[[#This Row],[timeFromValuation]]=INT(Table1[[#This Row],[timeFromValuation]])</calculatedColumnFormula>
    </tableColumn>
    <tableColumn id="8" xr3:uid="{ACF76B9B-E69F-4064-A959-CC2FB8100E58}" name="Anniversary Value  " dataDxfId="67">
      <calculatedColumnFormula>_xlfn.LET(_xlpm.Anniversery_Value,,Assumed_Contract_Value),IF(Is_Anniversery,Anniversery_Value=Assumed_Contract_Value,0)</calculatedColumnFormula>
    </tableColumn>
    <tableColumn id="9" xr3:uid="{BE425962-5996-433A-88E0-0EB2D8C237DE}" name="Income Credit Base" dataDxfId="66"/>
    <tableColumn id="10" xr3:uid="{911F8F8A-CF2A-4D88-A316-ED5B6C0A80E9}" name="Income Credit" dataDxfId="65">
      <calculatedColumnFormula>IF(AND(Table1[[#This Row],[Is Activation]]=FALSE,Table1[[#This Row],[Is Anniversery]]=TRUE),Table1[[#This Row],[Income Credit Base]]*ICP,0)</calculatedColumnFormula>
    </tableColumn>
    <tableColumn id="16" xr3:uid="{BB723885-944A-42A8-BE54-B6301EF239B5}" name="Income Base" dataDxfId="64">
      <calculatedColumnFormula>OFFSET(Table1[[#This Row],[Income Base]],-1,0)+Table1[[#This Row],[Purchase Payments]]+OFFSET(Table1[[#This Row],[Income Credit]],-1,0)</calculatedColumnFormula>
    </tableColumn>
    <tableColumn id="17" xr3:uid="{A70BDF7B-DD67-4531-9AC1-2E47C9715339}" name="Withdrawal Penalty Before Activation" dataDxfId="63">
      <calculatedColumnFormula>IF(NOT(Table1[[#This Row],[Is Activation]]),(Table1[[#This Row],[Withdrawal Taken  ]]/Table1[[#This Row],[Assumed Contract Value ]]),0)</calculatedColumnFormula>
    </tableColumn>
    <tableColumn id="15" xr3:uid="{2753BF05-3610-405A-A38D-53DAEE0D08E8}" name="Withdrawal Penalty After Activation" dataDxfId="62">
      <calculatedColumnFormula>IF(Table1[[#This Row],[Is Activation]],ABS(Table1[[#This Row],[Withdrawal Taken  ]]-Table1[[#This Row],[Maximum Annual Withdrawal Amount upon Activation]]),0)</calculatedColumnFormula>
    </tableColumn>
    <tableColumn id="12" xr3:uid="{E65F505B-4E1C-4D3C-93F4-2423DA4885B9}" name="Maximum Annual Withdrawal Amount upon Activation" dataDxfId="61" dataCellStyle="Comma">
      <calculatedColumnFormula>IF(NOT(Table1[[#This Row],[Has Lifetime Income Started]]),Table1[[#This Row],[Income Base]]*MAW,0)</calculatedColumnFormula>
    </tableColumn>
    <tableColumn id="13" xr3:uid="{F7A49EF0-54FC-4B84-B3D1-6732DB8CFD1E}" name="Protected Income Payment" dataDxfId="60" dataCellStyle="Comma">
      <calculatedColumnFormula>IF(AND(Table1[[#This Row],[Has Lifetime Income Started]],Table1[[#This Row],[Is Anniversery]]),Table1[[#This Row],[Income Base]]*PIP,0)</calculatedColumnFormula>
    </tableColumn>
    <tableColumn id="14" xr3:uid="{646C85AC-84AD-40CF-9719-E6F2178FFF14}" name="Has Lifetime Income Started" dataDxfId="59" dataCellStyle="Comma">
      <calculatedColumnFormula>Assumed_Contract_Value2&lt;0.1</calculatedColumnFormula>
    </tableColumn>
    <tableColumn id="11" xr3:uid="{0661CA02-036A-4953-AFB4-D81C19BFE568}" name="Discount Factor" dataDxfId="58" dataCellStyle="Comma">
      <calculatedColumnFormula>1/(1+InterestRate)^Table1[[#This Row],[timeFromValuation]]</calculatedColumnFormula>
    </tableColumn>
    <tableColumn id="19" xr3:uid="{D1D9C5A6-5242-4317-8673-E19414B123F1}" name="Partial Year" dataDxfId="0" dataCellStyle="Comma">
      <calculatedColumnFormula>Table1[[#This Row],[timeFromValuation]]</calculatedColumnFormula>
    </tableColumn>
    <tableColumn id="20" xr3:uid="{72949ABC-89FD-47C6-97E8-5E8D275DF1B6}" name="Primary Annuitant Px" dataDxfId="5" dataCellStyle="Comma">
      <calculatedColumnFormula>VLOOKUP(Qx!J8,Table2[],Qx!L$6,FALSE)</calculatedColumnFormula>
    </tableColumn>
    <tableColumn id="21" xr3:uid="{CEBBD1F6-918B-46E0-B83E-F03BF23F990C}" name="Secondary Annuitant Py" dataDxfId="6" dataCellStyle="Comma">
      <calculatedColumnFormula>VLOOKUP(Qx!K8,Table2[],Qx!M$6,FALSE)</calculatedColumnFormula>
    </tableColumn>
    <tableColumn id="22" xr3:uid="{9C946B82-1B57-488E-9E2B-3F0C6199372E}" name="tPx" dataDxfId="3" dataCellStyle="Comma">
      <calculatedColumnFormula>PRODUCT($T$8:$T8)</calculatedColumnFormula>
    </tableColumn>
    <tableColumn id="23" xr3:uid="{93FF71EC-A801-4E95-9F8D-FDC70C4EEACE}" name="tPy" dataDxfId="2" dataCellStyle="Comma">
      <calculatedColumnFormula>PRODUCT($U$8:$U8)</calculatedColumnFormula>
    </tableColumn>
    <tableColumn id="24" xr3:uid="{6D4D9E10-486B-406E-9019-49FE68D7854A}" name="Joint Mortality tPxy for the partial year" dataDxfId="4" dataCellStyle="Comma">
      <calculatedColumnFormula>Table1[[#This Row],[Primary Annuitant Px]]+Table1[[#This Row],[Secondary Annuitant Py]]-Table1[[#This Row],[Primary Annuitant Px]]*Table1[[#This Row],[Secondary Annuitant Py]]</calculatedColumnFormula>
    </tableColumn>
    <tableColumn id="25" xr3:uid="{8B9D9886-62B3-4ED3-AC14-6C46F6C01D13}" name="Last-to-Die Survivorship tPxy" dataDxfId="1" dataCellStyle="Comma">
      <calculatedColumnFormula>PRODUCT($X$8:$X8)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B6FE7A1-A493-43F8-BE82-F34FFE4E34D1}" name="Table17" displayName="Table17" ref="A56:P79" totalsRowShown="0" headerRowDxfId="57" headerRowBorderDxfId="56" tableBorderDxfId="55" totalsRowBorderDxfId="54">
  <autoFilter ref="A56:P79" xr:uid="{9B6FE7A1-A493-43F8-BE82-F34FFE4E34D1}"/>
  <tableColumns count="16">
    <tableColumn id="1" xr3:uid="{D777F4AF-2E4B-4A6D-A9F4-FAFA94B1B9ED}" name="Index" dataDxfId="53">
      <calculatedColumnFormula>A56+1</calculatedColumnFormula>
    </tableColumn>
    <tableColumn id="2" xr3:uid="{00CE05DB-B72A-4742-9A94-88FAA05EBCC6}" name="Time From Valuation" dataDxfId="52">
      <calculatedColumnFormula>R57</calculatedColumnFormula>
    </tableColumn>
    <tableColumn id="3" xr3:uid="{B1129A5A-079A-459E-90A4-3A029500F7E1}" name="Purchase Payments" dataDxfId="51">
      <calculatedColumnFormula>S57</calculatedColumnFormula>
    </tableColumn>
    <tableColumn id="4" xr3:uid="{F503E352-6A6E-4652-87B8-C7182BC18081}" name="Withdrawal Taken  " dataDxfId="50">
      <calculatedColumnFormula>T57</calculatedColumnFormula>
    </tableColumn>
    <tableColumn id="5" xr3:uid="{6AAB57DE-57BD-4227-981E-2DE7E50D2A39}" name="Is Activation" dataDxfId="49">
      <calculatedColumnFormula>Table17[[#This Row],[Time From Valuation]]&gt;=Activation_Time</calculatedColumnFormula>
    </tableColumn>
    <tableColumn id="6" xr3:uid="{14303F1F-8B53-4728-9697-C64CFA31A5F0}" name="Assumed Contract Value " dataDxfId="48"/>
    <tableColumn id="7" xr3:uid="{7AF56481-D8DE-4B6F-9E63-1A9B738230A0}" name="Is Anniversery" dataDxfId="47">
      <calculatedColumnFormula>Table17[[#This Row],[Time From Valuation]]=INT(Table17[[#This Row],[Time From Valuation]])</calculatedColumnFormula>
    </tableColumn>
    <tableColumn id="8" xr3:uid="{EB1FF057-32EC-4E23-B084-E83219764F4A}" name="Anniversary Value  " dataDxfId="46">
      <calculatedColumnFormula>_xlfn.LET(_xlpm.Anniversery_Value,,Assumed_Contract_Value),IF(Is_Anniversery,Anniversery_Value=Assumed_Contract_Value,0)</calculatedColumnFormula>
    </tableColumn>
    <tableColumn id="9" xr3:uid="{3B0A4327-2993-4040-92BD-724C5405A981}" name="Income Credit Base" dataDxfId="45"/>
    <tableColumn id="10" xr3:uid="{B4D5A58B-6042-4AEA-B2B9-7ABC7B04F417}" name="Income Credit" dataDxfId="44">
      <calculatedColumnFormula>IF(AND(Table17[[#This Row],[Is Activation]]=FALSE,Table17[[#This Row],[Is Anniversery]]=TRUE),Table17[[#This Row],[Income Credit Base]]*ICP,0)</calculatedColumnFormula>
    </tableColumn>
    <tableColumn id="16" xr3:uid="{D694C5A9-3FDB-4819-869D-FAF7DDA45251}" name="Income Base" dataDxfId="43">
      <calculatedColumnFormula>OFFSET(Table17[[#This Row],[Income Base]],-1,0)+Table17[[#This Row],[Purchase Payments]]+OFFSET(Table17[[#This Row],[Income Credit]],-1,0)</calculatedColumnFormula>
    </tableColumn>
    <tableColumn id="17" xr3:uid="{4C51DF31-CDF4-4BA6-BD61-D6D4B110080B}" name="Withdrawal Penalty Before Activation" dataDxfId="42">
      <calculatedColumnFormula>IF(NOT(Table17[[#This Row],[Is Activation]]),(Table17[[#This Row],[Withdrawal Taken  ]]/Table17[[#This Row],[Assumed Contract Value ]]),0)</calculatedColumnFormula>
    </tableColumn>
    <tableColumn id="15" xr3:uid="{19C5C1C9-5DEE-40DB-AB80-13BA0D23FC34}" name="Withdrawal Penalty After Activation" dataDxfId="41">
      <calculatedColumnFormula>IF(AND(Table17[[#This Row],[Is Activation]],(Table17[[#This Row],[Withdrawal Taken  ]]&gt;Table17[[#This Row],[Maximum Annual Withdrawal Amount upon Activation]])),(Table17[[#This Row],[Withdrawal Taken  ]]-Table17[[#This Row],[Maximum Annual Withdrawal Amount upon Activation]])/OFFSET(Table17[[#This Row],[Assumed Contract Value ]],-1,0),  0)</calculatedColumnFormula>
    </tableColumn>
    <tableColumn id="12" xr3:uid="{4A97D961-191F-4426-B182-F8FA73BC26F0}" name="Maximum Annual Withdrawal Amount upon Activation" dataDxfId="40" dataCellStyle="Comma">
      <calculatedColumnFormula>IF(NOT(Table17[[#This Row],[Has Lifetime Income Started]]),Table17[[#This Row],[Income Base]]*MAW,0)</calculatedColumnFormula>
    </tableColumn>
    <tableColumn id="13" xr3:uid="{642BCBF9-9F36-4F05-9099-EE436B89ADB8}" name="Protected Income Payment" dataDxfId="39" dataCellStyle="Comma">
      <calculatedColumnFormula>IF(AND(Table17[[#This Row],[Has Lifetime Income Started]],Table17[[#This Row],[Is Anniversery]]),Table17[[#This Row],[Income Base]]*PIP_2,0)</calculatedColumnFormula>
    </tableColumn>
    <tableColumn id="14" xr3:uid="{58E94891-5F64-4491-B07D-20B89DE873A9}" name="Has Lifetime Income Started" dataDxfId="38" dataCellStyle="Comma">
      <calculatedColumnFormula>Table17[[#This Row],[Assumed Contract Value ]]&lt;0.1</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DFA28F0-407A-4DA8-A159-C9E98EC280BA}" name="TestCases" displayName="TestCases" ref="A1:Q18" totalsRowShown="0" headerRowDxfId="37" tableBorderDxfId="36">
  <autoFilter ref="A1:Q18" xr:uid="{BDFA28F0-407A-4DA8-A159-C9E98EC280BA}"/>
  <tableColumns count="17">
    <tableColumn id="1" xr3:uid="{3C5BCC01-7B15-432D-922A-72E4E8B0F22B}" name="Test" dataDxfId="35"/>
    <tableColumn id="2" xr3:uid="{2698880F-B7BB-4B7E-BFA5-B32A2164B6A7}" name="Test Name" dataDxfId="34"/>
    <tableColumn id="3" xr3:uid="{EBED3377-CFC2-4921-BE73-D69615CCAF9F}" name="Use Base Case" dataDxfId="33"/>
    <tableColumn id="4" xr3:uid="{6EA5DDC6-4E83-4FFA-834B-9D05577DE14B}" name="Valuation Date" dataDxfId="32"/>
    <tableColumn id="5" xr3:uid="{1BF24AF1-6996-4A1A-9CCA-25CAFCFEF34C}" name="Primary Birthdate" dataDxfId="31"/>
    <tableColumn id="6" xr3:uid="{E07AA4A8-87AA-4489-A2EC-B3FA67B99A3A}" name="Primary Gender" dataDxfId="30"/>
    <tableColumn id="7" xr3:uid="{BF50F656-9AA4-45B7-83AF-9AE4ECEC0719}" name="Secondary Birthdate" dataDxfId="29"/>
    <tableColumn id="8" xr3:uid="{CDC8A9F8-7415-4424-9DC7-819994B64A97}" name="Secondary Gender" dataDxfId="28"/>
    <tableColumn id="9" xr3:uid="{BC8BC33A-33FB-4546-A5D2-E39963F580D9}" name="Benefit Effective Date " dataDxfId="27"/>
    <tableColumn id="10" xr3:uid="{68188D4F-D924-4817-9119-A3BA775BD804}" name="Initial Purchase Payment " dataDxfId="26"/>
    <tableColumn id="11" xr3:uid="{35415BB9-6C7D-4EE5-8BDA-6727385A34AC}" name="Withdrawal Activation Date" dataDxfId="25"/>
    <tableColumn id="12" xr3:uid="{AC693910-58B8-46BD-97D2-1E66950819A9}" name="Annuity Income Option" dataDxfId="24"/>
    <tableColumn id="13" xr3:uid="{B9FB4E06-331D-428A-9F46-D7A2B9B5E6E6}" name="Income Credit Percentage " dataDxfId="23"/>
    <tableColumn id="14" xr3:uid="{42BA1DAA-1293-48BA-90CA-561BBC60AA20}" name="Current Income Base" dataDxfId="22"/>
    <tableColumn id="15" xr3:uid="{B816D909-FB67-494D-BA96-9BE5E151A068}" name="Current Income Base Credit" dataDxfId="21"/>
    <tableColumn id="16" xr3:uid="{2DE0EA46-1071-448D-9DE4-5FBF15F7EA0B}" name="Withdrawal Amount" dataDxfId="20"/>
    <tableColumn id="17" xr3:uid="{EACB5392-3CC7-45A7-A45A-3CFE3D54D7A2}" name="Current Contract Value" dataDxfId="19"/>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62FA3B-5D66-44D7-A624-D0EA4E942FF6}" name="Table2" displayName="Table2" ref="A7:G128" totalsRowShown="0" headerRowDxfId="18">
  <autoFilter ref="A7:G128" xr:uid="{7562FA3B-5D66-44D7-A624-D0EA4E942FF6}"/>
  <tableColumns count="7">
    <tableColumn id="1" xr3:uid="{BFD1A40E-4A09-4DC7-A3DE-A2735867C1AF}" name="Age"/>
    <tableColumn id="2" xr3:uid="{F726F983-4E3B-4FC5-8A94-FD35F7814A62}" name="Fix"/>
    <tableColumn id="3" xr3:uid="{1EA85AD3-9D11-4F34-8D92-23419A2EBDF9}" name="Mix"/>
    <tableColumn id="4" xr3:uid="{50710620-EE7A-4A18-BA08-8856BC144323}" name="Fqx">
      <calculatedColumnFormula>Table2[[#This Row],[Fix]]/MAX(FIx)</calculatedColumnFormula>
    </tableColumn>
    <tableColumn id="5" xr3:uid="{97DD9274-A1FB-44B9-A2AA-220669EE8DD9}" name="Mqx">
      <calculatedColumnFormula>Table2[[#This Row],[Mix]]/MAX(FIx)</calculatedColumnFormula>
    </tableColumn>
    <tableColumn id="6" xr3:uid="{CD8C78E7-3334-47FD-863B-826E7A415EF9}" name="Fpx">
      <calculatedColumnFormula>1-Table2[[#This Row],[Fqx]]</calculatedColumnFormula>
    </tableColumn>
    <tableColumn id="7" xr3:uid="{C3D9A29B-B043-4AFB-BA32-50221F2D5680}" name="Mpx">
      <calculatedColumnFormula>1-Table2[[#This Row],[Mqx]]</calculatedColumnFormula>
    </tableColumn>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AD28AAC-2136-44B6-A24E-BFB8565D5116}" name="Table3" displayName="Table3" ref="I7:Q78" totalsRowShown="0" headerRowDxfId="17">
  <autoFilter ref="I7:Q78" xr:uid="{9AD28AAC-2136-44B6-A24E-BFB8565D5116}"/>
  <tableColumns count="9">
    <tableColumn id="1" xr3:uid="{419F1A20-718C-4068-B410-577942935EED}" name="Survivng t Years">
      <calculatedColumnFormula>I7+1</calculatedColumnFormula>
    </tableColumn>
    <tableColumn id="2" xr3:uid="{646AF360-FCD9-48D6-B72B-02AD82AC8A97}" name="To Age" dataDxfId="16">
      <calculatedColumnFormula>MIN(Qx!MaxAge,Table3[[#This Row],[Survivng t Years]]+$J$6)</calculatedColumnFormula>
    </tableColumn>
    <tableColumn id="3" xr3:uid="{C43BF3BA-5FB9-46DD-A97B-1EC22AE32D8C}" name="To Age2" dataDxfId="15">
      <calculatedColumnFormula>MIN(Table3[[#This Row],[Survivng t Years]]+$K$6,Qx!MaxAge)</calculatedColumnFormula>
    </tableColumn>
    <tableColumn id="4" xr3:uid="{889464B4-5188-43CD-A00A-42002C100B16}" name="Px" dataDxfId="13">
      <calculatedColumnFormula>VLOOKUP(Table3[[#This Row],[To Age]],$A$8:$G$128,L$6,FALSE)</calculatedColumnFormula>
    </tableColumn>
    <tableColumn id="5" xr3:uid="{D464910D-5F53-4DC6-9600-1DECB8BC3792}" name="Py" dataDxfId="12">
      <calculatedColumnFormula>VLOOKUP(Table3[[#This Row],[To Age2]],$A$8:$G$128,M$6,FALSE)</calculatedColumnFormula>
    </tableColumn>
    <tableColumn id="6" xr3:uid="{5721EC6C-AE4B-4254-BE06-CF050EEDEF82}" name="Symbol">
      <calculatedColumnFormula>"P"&amp;J8&amp;","&amp;K8</calculatedColumnFormula>
    </tableColumn>
    <tableColumn id="7" xr3:uid="{ADDBF591-2AE1-4D33-980A-24AB278324E8}" name="Pxy" dataDxfId="14">
      <calculatedColumnFormula>Table3[[#This Row],[Px]]+Table3[[#This Row],[Py]]-Table3[[#This Row],[Px]]*Table3[[#This Row],[Py]]</calculatedColumnFormula>
    </tableColumn>
    <tableColumn id="8" xr3:uid="{71B8300B-6B0F-45FB-8D64-B60EC797FB78}" name="Symbol2">
      <calculatedColumnFormula>I8+1&amp;" P"&amp;$J$8&amp;","&amp;$K$8</calculatedColumnFormula>
    </tableColumn>
    <tableColumn id="9" xr3:uid="{42F13689-C359-4739-BAA6-8EB81C1A8100}" name="tPxy">
      <calculatedColumnFormula>PRODUCT($O$8:$O8)</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1" dT="2020-12-19T22:29:29.51" personId="{90F233BC-85A6-4760-A7AF-3F0A27835E7D}" id="{EC4F5A77-39B2-486F-A5C7-9CD410C05C70}">
    <text>2</text>
  </threadedComment>
  <threadedComment ref="G11" dT="2020-12-19T22:29:29.51" personId="{90F233BC-85A6-4760-A7AF-3F0A27835E7D}" id="{822B5339-6A40-4948-A347-1E1CC3CDB763}">
    <text>2</text>
  </threadedComment>
  <threadedComment ref="E12" dT="2020-12-19T22:29:29.51" personId="{90F233BC-85A6-4760-A7AF-3F0A27835E7D}" id="{8A572544-7F3D-409C-BB99-96F1461DA251}">
    <text>2</text>
  </threadedComment>
  <threadedComment ref="G12" dT="2020-12-19T22:29:29.51" personId="{90F233BC-85A6-4760-A7AF-3F0A27835E7D}" id="{24E4D7FF-50C7-4156-8B13-0AD38B7C843F}">
    <text>2</text>
  </threadedComment>
  <threadedComment ref="E15" dT="2020-12-19T22:31:23.93" personId="{90F233BC-85A6-4760-A7AF-3F0A27835E7D}" id="{C20710E4-E65F-4DA4-8079-944C0D3E5014}">
    <text>3</text>
  </threadedComment>
  <threadedComment ref="G15" dT="2020-12-19T22:31:23.93" personId="{90F233BC-85A6-4760-A7AF-3F0A27835E7D}" id="{E1438B1A-208C-4AE8-8827-451A453B4213}">
    <text>3</text>
  </threadedComment>
  <threadedComment ref="E16" dT="2020-12-19T22:31:23.93" personId="{90F233BC-85A6-4760-A7AF-3F0A27835E7D}" id="{15A483A8-E232-42E2-9DD8-1A6EDD1DA730}">
    <text>3</text>
  </threadedComment>
  <threadedComment ref="G16" dT="2020-12-19T22:31:23.93" personId="{90F233BC-85A6-4760-A7AF-3F0A27835E7D}" id="{B785FA58-9277-4E20-9F2D-9CF625E351C4}">
    <text>3</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1-02-23T02:24:36.05" personId="{90F233BC-85A6-4760-A7AF-3F0A27835E7D}" id="{EE92D511-228D-4729-956F-B8B5133728BC}">
    <text>i.e. Test Scenario</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package" Target="../embeddings/Microsoft_Word_Document3.docx"/><Relationship Id="rId13" Type="http://schemas.openxmlformats.org/officeDocument/2006/relationships/image" Target="../media/image6.emf"/><Relationship Id="rId3" Type="http://schemas.openxmlformats.org/officeDocument/2006/relationships/vmlDrawing" Target="../drawings/vmlDrawing2.vml"/><Relationship Id="rId7" Type="http://schemas.openxmlformats.org/officeDocument/2006/relationships/image" Target="../media/image3.emf"/><Relationship Id="rId12" Type="http://schemas.openxmlformats.org/officeDocument/2006/relationships/package" Target="../embeddings/Microsoft_Word_Document5.docx"/><Relationship Id="rId17" Type="http://schemas.openxmlformats.org/officeDocument/2006/relationships/image" Target="../media/image8.emf"/><Relationship Id="rId2" Type="http://schemas.openxmlformats.org/officeDocument/2006/relationships/drawing" Target="../drawings/drawing2.xml"/><Relationship Id="rId16" Type="http://schemas.openxmlformats.org/officeDocument/2006/relationships/package" Target="../embeddings/Microsoft_Word_Document7.docx"/><Relationship Id="rId1" Type="http://schemas.openxmlformats.org/officeDocument/2006/relationships/printerSettings" Target="../printerSettings/printerSettings4.bin"/><Relationship Id="rId6" Type="http://schemas.openxmlformats.org/officeDocument/2006/relationships/package" Target="../embeddings/Microsoft_Word_Document2.docx"/><Relationship Id="rId11" Type="http://schemas.openxmlformats.org/officeDocument/2006/relationships/image" Target="../media/image5.emf"/><Relationship Id="rId5" Type="http://schemas.openxmlformats.org/officeDocument/2006/relationships/image" Target="../media/image2.emf"/><Relationship Id="rId15" Type="http://schemas.openxmlformats.org/officeDocument/2006/relationships/image" Target="../media/image7.emf"/><Relationship Id="rId10" Type="http://schemas.openxmlformats.org/officeDocument/2006/relationships/package" Target="../embeddings/Microsoft_Word_Document4.docx"/><Relationship Id="rId4" Type="http://schemas.openxmlformats.org/officeDocument/2006/relationships/package" Target="../embeddings/Microsoft_Word_Document1.docx"/><Relationship Id="rId9" Type="http://schemas.openxmlformats.org/officeDocument/2006/relationships/image" Target="../media/image4.emf"/><Relationship Id="rId14" Type="http://schemas.openxmlformats.org/officeDocument/2006/relationships/package" Target="../embeddings/Microsoft_Word_Document6.doc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9.emf"/><Relationship Id="rId4" Type="http://schemas.openxmlformats.org/officeDocument/2006/relationships/package" Target="../embeddings/Microsoft_Word_Document8.doc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6.bin"/><Relationship Id="rId5" Type="http://schemas.openxmlformats.org/officeDocument/2006/relationships/image" Target="../media/image10.emf"/><Relationship Id="rId4" Type="http://schemas.openxmlformats.org/officeDocument/2006/relationships/package" Target="../embeddings/Microsoft_Word_Document9.docx"/></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5.vml"/><Relationship Id="rId1" Type="http://schemas.openxmlformats.org/officeDocument/2006/relationships/printerSettings" Target="../printerSettings/printerSettings7.bin"/><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6.vml"/><Relationship Id="rId1" Type="http://schemas.openxmlformats.org/officeDocument/2006/relationships/printerSettings" Target="../printerSettings/printerSettings8.bin"/><Relationship Id="rId4" Type="http://schemas.microsoft.com/office/2017/10/relationships/threadedComment" Target="../threadedComments/threadedComment2.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2302F-7D29-42AA-B5FE-A74E5682621C}">
  <sheetPr>
    <tabColor theme="5" tint="0.79998168889431442"/>
  </sheetPr>
  <dimension ref="A1"/>
  <sheetViews>
    <sheetView workbookViewId="0">
      <selection activeCell="S25" sqref="S25"/>
    </sheetView>
  </sheetViews>
  <sheetFormatPr defaultRowHeight="14.4" x14ac:dyDescent="0.3"/>
  <sheetData/>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Word.Document.12" shapeId="2049" r:id="rId4">
          <objectPr defaultSize="0" r:id="rId5">
            <anchor moveWithCells="1">
              <from>
                <xdr:col>0</xdr:col>
                <xdr:colOff>579120</xdr:colOff>
                <xdr:row>1</xdr:row>
                <xdr:rowOff>60960</xdr:rowOff>
              </from>
              <to>
                <xdr:col>18</xdr:col>
                <xdr:colOff>114300</xdr:colOff>
                <xdr:row>46</xdr:row>
                <xdr:rowOff>175260</xdr:rowOff>
              </to>
            </anchor>
          </objectPr>
        </oleObject>
      </mc:Choice>
      <mc:Fallback>
        <oleObject progId="Word.Document.12"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514F5-B572-4B40-A28E-1EE9F560A0DB}">
  <dimension ref="A1:AW180"/>
  <sheetViews>
    <sheetView tabSelected="1" topLeftCell="L2" workbookViewId="0">
      <selection activeCell="R8" sqref="R8"/>
    </sheetView>
  </sheetViews>
  <sheetFormatPr defaultRowHeight="14.4" x14ac:dyDescent="0.3"/>
  <cols>
    <col min="2" max="2" width="37.5546875" bestFit="1" customWidth="1"/>
    <col min="3" max="3" width="20.88671875" bestFit="1" customWidth="1"/>
    <col min="4" max="4" width="18.109375" customWidth="1"/>
    <col min="5" max="5" width="12.88671875" customWidth="1"/>
    <col min="6" max="6" width="13.109375" customWidth="1"/>
    <col min="7" max="7" width="11.6640625" customWidth="1"/>
    <col min="8" max="8" width="14.5546875" customWidth="1"/>
    <col min="9" max="9" width="11.88671875" customWidth="1"/>
    <col min="10" max="10" width="14.6640625" customWidth="1"/>
    <col min="11" max="11" width="13.5546875" customWidth="1"/>
    <col min="12" max="12" width="17.6640625" customWidth="1"/>
    <col min="13" max="13" width="19.77734375" customWidth="1"/>
    <col min="14" max="14" width="12.33203125" bestFit="1" customWidth="1"/>
    <col min="15" max="15" width="10.5546875" bestFit="1" customWidth="1"/>
    <col min="16" max="18" width="10.5546875" customWidth="1"/>
    <col min="19" max="19" width="12.6640625" bestFit="1" customWidth="1"/>
    <col min="20" max="20" width="11.6640625" bestFit="1" customWidth="1"/>
    <col min="21" max="23" width="10.5546875" customWidth="1"/>
    <col min="24" max="24" width="13" bestFit="1" customWidth="1"/>
    <col min="25" max="25" width="12.5546875" bestFit="1" customWidth="1"/>
    <col min="26" max="26" width="10.5546875" customWidth="1"/>
    <col min="27" max="27" width="12" customWidth="1"/>
    <col min="28" max="28" width="10.5546875" customWidth="1"/>
    <col min="29" max="29" width="12" customWidth="1"/>
    <col min="30" max="32" width="10.5546875" customWidth="1"/>
    <col min="33" max="33" width="11.88671875" customWidth="1"/>
    <col min="34" max="34" width="11.5546875" bestFit="1" customWidth="1"/>
    <col min="35" max="40" width="10.5546875" customWidth="1"/>
    <col min="41" max="41" width="12.88671875" customWidth="1"/>
    <col min="42" max="43" width="11.5546875" bestFit="1" customWidth="1"/>
    <col min="44" max="44" width="10.5546875" bestFit="1" customWidth="1"/>
    <col min="45" max="45" width="13.6640625" customWidth="1"/>
    <col min="46" max="46" width="11.88671875" customWidth="1"/>
  </cols>
  <sheetData>
    <row r="1" spans="1:49" x14ac:dyDescent="0.3">
      <c r="B1" s="26" t="s">
        <v>20</v>
      </c>
      <c r="C1" t="s">
        <v>3</v>
      </c>
      <c r="D1" s="26" t="s">
        <v>23</v>
      </c>
      <c r="E1" s="26"/>
      <c r="F1" s="31">
        <v>100000</v>
      </c>
      <c r="G1" s="31"/>
    </row>
    <row r="2" spans="1:49" ht="18" x14ac:dyDescent="0.35">
      <c r="B2" s="26" t="s">
        <v>13</v>
      </c>
      <c r="C2" s="27">
        <v>4.5</v>
      </c>
    </row>
    <row r="3" spans="1:49" x14ac:dyDescent="0.3">
      <c r="B3" s="26" t="s">
        <v>17</v>
      </c>
      <c r="C3" s="1">
        <v>5.2499999999999998E-2</v>
      </c>
    </row>
    <row r="4" spans="1:49" x14ac:dyDescent="0.3">
      <c r="B4" s="26" t="s">
        <v>18</v>
      </c>
      <c r="C4">
        <v>65</v>
      </c>
    </row>
    <row r="5" spans="1:49" ht="15" thickBot="1" x14ac:dyDescent="0.35">
      <c r="B5" s="26" t="s">
        <v>19</v>
      </c>
      <c r="C5" s="1">
        <v>6.25E-2</v>
      </c>
    </row>
    <row r="6" spans="1:49" ht="15" thickBot="1" x14ac:dyDescent="0.35">
      <c r="B6" s="26" t="s">
        <v>11</v>
      </c>
      <c r="C6" s="8">
        <v>0.04</v>
      </c>
      <c r="O6" s="81" t="s">
        <v>16</v>
      </c>
      <c r="P6" s="82"/>
      <c r="Q6" s="82"/>
      <c r="R6" s="82"/>
      <c r="S6" s="82"/>
      <c r="T6" s="82"/>
      <c r="U6" s="82"/>
      <c r="V6" s="82"/>
      <c r="W6" s="82"/>
      <c r="X6" s="82"/>
      <c r="Y6" s="82"/>
      <c r="Z6" s="82"/>
      <c r="AA6" s="82"/>
      <c r="AB6" s="82"/>
      <c r="AC6" s="82"/>
      <c r="AD6" s="82"/>
      <c r="AE6" s="82"/>
      <c r="AF6" s="83"/>
    </row>
    <row r="7" spans="1:49" ht="71.25" customHeight="1" x14ac:dyDescent="0.3">
      <c r="A7" s="38" t="s">
        <v>21</v>
      </c>
      <c r="B7" s="38" t="s">
        <v>182</v>
      </c>
      <c r="C7" s="39" t="s">
        <v>183</v>
      </c>
      <c r="D7" s="40" t="s">
        <v>12</v>
      </c>
      <c r="E7" s="40" t="s">
        <v>7</v>
      </c>
      <c r="F7" s="40" t="s">
        <v>24</v>
      </c>
      <c r="G7" s="40" t="s">
        <v>8</v>
      </c>
      <c r="H7" s="40" t="s">
        <v>25</v>
      </c>
      <c r="I7" s="40" t="s">
        <v>9</v>
      </c>
      <c r="J7" s="40" t="s">
        <v>14</v>
      </c>
      <c r="K7" s="40" t="s">
        <v>1</v>
      </c>
      <c r="L7" s="40" t="s">
        <v>0</v>
      </c>
      <c r="M7" s="40" t="s">
        <v>27</v>
      </c>
      <c r="N7" s="40" t="s">
        <v>28</v>
      </c>
      <c r="O7" s="40" t="s">
        <v>4</v>
      </c>
      <c r="P7" s="40" t="s">
        <v>11</v>
      </c>
      <c r="Q7" s="41" t="s">
        <v>26</v>
      </c>
      <c r="R7" s="40" t="s">
        <v>181</v>
      </c>
      <c r="S7" s="40" t="s">
        <v>213</v>
      </c>
      <c r="T7" s="40" t="s">
        <v>214</v>
      </c>
      <c r="U7" s="40" t="s">
        <v>215</v>
      </c>
      <c r="V7" s="40" t="s">
        <v>216</v>
      </c>
      <c r="W7" s="40" t="s">
        <v>217</v>
      </c>
      <c r="X7" s="40" t="s">
        <v>218</v>
      </c>
      <c r="Y7" s="40" t="s">
        <v>219</v>
      </c>
      <c r="Z7" s="28" t="s">
        <v>15</v>
      </c>
      <c r="AA7" s="30" t="s">
        <v>22</v>
      </c>
      <c r="AB7" s="19" t="s">
        <v>12</v>
      </c>
      <c r="AC7" s="19" t="s">
        <v>7</v>
      </c>
      <c r="AD7" s="19" t="s">
        <v>8</v>
      </c>
      <c r="AE7" s="19" t="s">
        <v>9</v>
      </c>
      <c r="AF7" s="19" t="s">
        <v>10</v>
      </c>
      <c r="AG7" s="19" t="s">
        <v>5</v>
      </c>
      <c r="AH7" s="19" t="s">
        <v>6</v>
      </c>
      <c r="AI7" s="19" t="s">
        <v>4</v>
      </c>
      <c r="AJ7" s="20" t="s">
        <v>11</v>
      </c>
      <c r="AK7" s="3"/>
      <c r="AL7" s="3"/>
      <c r="AM7" s="3"/>
      <c r="AN7" s="3"/>
      <c r="AO7" s="3"/>
      <c r="AP7" s="3"/>
      <c r="AR7" s="3" t="s">
        <v>9</v>
      </c>
      <c r="AS7" s="3" t="s">
        <v>10</v>
      </c>
      <c r="AT7" s="3" t="s">
        <v>5</v>
      </c>
      <c r="AU7" s="3" t="s">
        <v>6</v>
      </c>
      <c r="AV7" s="3" t="s">
        <v>4</v>
      </c>
      <c r="AW7" s="3" t="s">
        <v>11</v>
      </c>
    </row>
    <row r="8" spans="1:49" x14ac:dyDescent="0.3">
      <c r="A8" s="32">
        <v>0</v>
      </c>
      <c r="B8" s="32">
        <v>0</v>
      </c>
      <c r="C8" s="29">
        <f>0</f>
        <v>0</v>
      </c>
      <c r="D8" s="21">
        <f>AB8</f>
        <v>100000</v>
      </c>
      <c r="E8" s="21">
        <f>AC8</f>
        <v>0</v>
      </c>
      <c r="F8" s="21" t="b">
        <f>IF(Table1[[#This Row],[Assumed Contract Value ]]&gt;0.1,Table1[[#This Row],[timeFromValuation]]&gt;=Activation_Time,0)</f>
        <v>0</v>
      </c>
      <c r="G8" s="21">
        <f>Current_Contract</f>
        <v>100000</v>
      </c>
      <c r="H8" s="21" t="b">
        <f>Table1[[#This Row],[timeFromValuation]]=INT(Table1[[#This Row],[timeFromValuation]])</f>
        <v>1</v>
      </c>
      <c r="I8" s="7">
        <v>0</v>
      </c>
      <c r="J8" s="7">
        <f>Current_IBC</f>
        <v>95325.473432383646</v>
      </c>
      <c r="K8" s="7">
        <v>0</v>
      </c>
      <c r="L8" s="7">
        <f>Current_Income_Base</f>
        <v>95325.473432383646</v>
      </c>
      <c r="M8" s="42">
        <f>IF(NOT(Table1[[#This Row],[Is Activation]]),(Table1[[#This Row],[Withdrawal Taken  ]]/Table1[[#This Row],[Assumed Contract Value ]]),0)</f>
        <v>0</v>
      </c>
      <c r="N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8" s="5">
        <f>IF(NOT(Table1[[#This Row],[Has Lifetime Income Started]]),Table1[[#This Row],[Income Base]]*MAW,0)</f>
        <v>5957.8420895239778</v>
      </c>
      <c r="P8" s="9">
        <f>IF(AND(Table1[[#This Row],[Has Lifetime Income Started]],Table1[[#This Row],[Is Anniversery]]),Table1[[#This Row],[Income Base]]*PIP,0)</f>
        <v>0</v>
      </c>
      <c r="Q8" s="33" t="b">
        <f t="shared" ref="Q8:Q71" si="0">Assumed_Contract_Value2&lt;0.1</f>
        <v>0</v>
      </c>
      <c r="R8" s="10">
        <f>1/(1+InterestRate)^Table1[[#This Row],[timeFromValuation]]</f>
        <v>1</v>
      </c>
      <c r="S8" s="10">
        <f>Table1[[#This Row],[timeFromValuation]]</f>
        <v>0</v>
      </c>
      <c r="T8" s="117">
        <f>VLOOKUP(Qx!J8,Table2[],Qx!L$6,FALSE)</f>
        <v>0.99804999999999999</v>
      </c>
      <c r="U8" s="117">
        <f>VLOOKUP(Qx!K8,Table2[],Qx!M$6,FALSE)</f>
        <v>0.99189400000000005</v>
      </c>
      <c r="V8" s="117">
        <f>PRODUCT($T$8:$T8)</f>
        <v>0.99804999999999999</v>
      </c>
      <c r="W8" s="117">
        <f>PRODUCT($U$8:$U8)</f>
        <v>0.99189400000000005</v>
      </c>
      <c r="X8" s="117">
        <f>Table1[[#This Row],[Primary Annuitant Px]]+Table1[[#This Row],[Secondary Annuitant Py]]-Table1[[#This Row],[Primary Annuitant Px]]*Table1[[#This Row],[Secondary Annuitant Py]]</f>
        <v>0.99998419329999988</v>
      </c>
      <c r="Y8" s="117">
        <f>PRODUCT($X$8:$X8)</f>
        <v>0.99998419329999988</v>
      </c>
      <c r="Z8" s="2"/>
      <c r="AA8" s="22">
        <v>0</v>
      </c>
      <c r="AB8" s="23">
        <v>100000</v>
      </c>
      <c r="AC8" s="23">
        <v>0</v>
      </c>
      <c r="AD8" s="23">
        <v>100000</v>
      </c>
      <c r="AE8" s="12">
        <v>0</v>
      </c>
      <c r="AF8" s="11">
        <v>100000</v>
      </c>
      <c r="AG8" s="11">
        <v>100000</v>
      </c>
      <c r="AH8" s="11">
        <v>0</v>
      </c>
      <c r="AI8" s="11">
        <v>6250</v>
      </c>
      <c r="AJ8" s="14">
        <v>0</v>
      </c>
      <c r="AK8" s="10"/>
      <c r="AL8" s="10"/>
      <c r="AM8" s="10"/>
      <c r="AN8" s="10"/>
      <c r="AO8" s="10"/>
      <c r="AP8" s="10"/>
      <c r="AR8" s="4"/>
      <c r="AS8" s="4">
        <v>100000</v>
      </c>
      <c r="AT8" s="4">
        <v>100000</v>
      </c>
      <c r="AU8" s="4">
        <v>0</v>
      </c>
      <c r="AV8" s="4">
        <v>6250</v>
      </c>
      <c r="AW8" s="4">
        <v>0</v>
      </c>
    </row>
    <row r="9" spans="1:49" x14ac:dyDescent="0.3">
      <c r="A9" s="32">
        <f>A8+1</f>
        <v>1</v>
      </c>
      <c r="B9" s="32">
        <f ca="1">OFFSET(Table1[[#This Row],[Pay Period]],-1,0)+0.5</f>
        <v>0.5</v>
      </c>
      <c r="C9" s="29">
        <f>C8+0.5</f>
        <v>0.5</v>
      </c>
      <c r="D9" s="21">
        <f t="shared" ref="D9:D30" si="1">AB9</f>
        <v>60000</v>
      </c>
      <c r="E9" s="21">
        <f t="shared" ref="E9:E30" si="2">AC9</f>
        <v>0</v>
      </c>
      <c r="F9" s="21" t="b">
        <f>IF(Table1[[#This Row],[Assumed Contract Value ]]&gt;0.1,Table1[[#This Row],[timeFromValuation]]&gt;=Activation_Time,0)</f>
        <v>0</v>
      </c>
      <c r="G9" s="21">
        <f>AD9</f>
        <v>165000</v>
      </c>
      <c r="H9" s="21" t="b">
        <f>Table1[[#This Row],[timeFromValuation]]=INT(Table1[[#This Row],[timeFromValuation]])</f>
        <v>0</v>
      </c>
      <c r="I9" s="7">
        <f>IF((Table1[[#This Row],[Is Anniversery]]), Table1[[#This Row],[Assumed Contract Value ]],0)</f>
        <v>0</v>
      </c>
      <c r="J9" s="7">
        <f ca="1">IF(NOT(Table1[[#This Row],[Is Activation]]),OFFSET(Table1[[#This Row],[Income Credit Base]],-1,0)+Table1[[#This Row],[Purchase Payments]]+Table1[[#This Row],[Income Credit]],0)</f>
        <v>155325.47343238365</v>
      </c>
      <c r="K9" s="7">
        <f ca="1">IF(AND(Table1[[#This Row],[Is Activation]]=FALSE,Table1[[#This Row],[Is Anniversery]]=TRUE),OFFSET(Table1[[#This Row],[Income Credit Base]],-1,0)*ICP,0)</f>
        <v>0</v>
      </c>
      <c r="L9"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155325.47343238365</v>
      </c>
      <c r="M9" s="42">
        <f>IF(NOT(Table1[[#This Row],[Is Activation]]),(Table1[[#This Row],[Withdrawal Taken  ]]/Table1[[#This Row],[Assumed Contract Value ]]),0)</f>
        <v>0</v>
      </c>
      <c r="N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9" s="5">
        <f ca="1">IF(NOT(Table1[[#This Row],[Has Lifetime Income Started]]),Table1[[#This Row],[Income Base]]*MAW,0)</f>
        <v>9707.8420895239778</v>
      </c>
      <c r="P9" s="9">
        <f>IF(AND(Table1[[#This Row],[Has Lifetime Income Started]],Table1[[#This Row],[Is Anniversery]]),Table1[[#This Row],[Income Base]]*PIP,0)</f>
        <v>0</v>
      </c>
      <c r="Q9" s="33" t="b">
        <f t="shared" si="0"/>
        <v>0</v>
      </c>
      <c r="R9" s="10">
        <f>1/(1+InterestRate)^Table1[[#This Row],[timeFromValuation]]</f>
        <v>0.97590007294853309</v>
      </c>
      <c r="S9" s="10">
        <f>Table1[[#This Row],[timeFromValuation]]</f>
        <v>0.5</v>
      </c>
      <c r="T9" s="117">
        <f>VLOOKUP(Qx!J9,Table2[],Qx!L$6,FALSE)</f>
        <v>0.99784600000000001</v>
      </c>
      <c r="U9" s="117">
        <f>VLOOKUP(Qx!K9,Table2[],Qx!M$6,FALSE)</f>
        <v>0.991452</v>
      </c>
      <c r="V9" s="117">
        <f>PRODUCT($T$8:$T9)</f>
        <v>0.99590020030000004</v>
      </c>
      <c r="W9" s="117">
        <f>PRODUCT($U$8:$U9)</f>
        <v>0.9834152900880001</v>
      </c>
      <c r="X9" s="117">
        <f>Table1[[#This Row],[Primary Annuitant Px]]+Table1[[#This Row],[Secondary Annuitant Py]]-Table1[[#This Row],[Primary Annuitant Px]]*Table1[[#This Row],[Secondary Annuitant Py]]</f>
        <v>0.99998158760800004</v>
      </c>
      <c r="Y9" s="117">
        <f>PRODUCT($X$8:$X9)</f>
        <v>0.99996578119903912</v>
      </c>
      <c r="AA9" s="22">
        <f>AA8+0.5</f>
        <v>0.5</v>
      </c>
      <c r="AB9" s="23">
        <v>60000</v>
      </c>
      <c r="AC9" s="23">
        <v>0</v>
      </c>
      <c r="AD9" s="23">
        <v>165000</v>
      </c>
      <c r="AE9" s="12">
        <v>0</v>
      </c>
      <c r="AF9" s="11">
        <v>160000</v>
      </c>
      <c r="AG9" s="11">
        <v>160000</v>
      </c>
      <c r="AH9" s="11">
        <v>0</v>
      </c>
      <c r="AI9" s="11">
        <v>10000</v>
      </c>
      <c r="AJ9" s="14">
        <v>0</v>
      </c>
      <c r="AK9" s="10"/>
      <c r="AL9" s="10"/>
      <c r="AM9" s="10"/>
      <c r="AN9" s="10"/>
      <c r="AO9" s="10"/>
      <c r="AP9" s="10"/>
      <c r="AR9" s="4"/>
      <c r="AS9" s="4">
        <v>160000</v>
      </c>
      <c r="AT9" s="4">
        <v>160000</v>
      </c>
      <c r="AU9" s="4">
        <v>0</v>
      </c>
      <c r="AV9" s="4">
        <v>10000</v>
      </c>
      <c r="AW9" s="4">
        <v>0</v>
      </c>
    </row>
    <row r="10" spans="1:49" x14ac:dyDescent="0.3">
      <c r="A10" s="32">
        <f t="shared" ref="A10:A73" si="3">A9+1</f>
        <v>2</v>
      </c>
      <c r="B10" s="32">
        <f ca="1">OFFSET(Table1[[#This Row],[Pay Period]],-1,0)+0.5</f>
        <v>1</v>
      </c>
      <c r="C10" s="29">
        <f t="shared" ref="C10:C73" si="4">C9+0.5</f>
        <v>1</v>
      </c>
      <c r="D10" s="21">
        <f t="shared" si="1"/>
        <v>0</v>
      </c>
      <c r="E10" s="21">
        <f t="shared" si="2"/>
        <v>0</v>
      </c>
      <c r="F10" s="21" t="b">
        <f>IF(Table1[[#This Row],[Assumed Contract Value ]]&gt;0.1,Table1[[#This Row],[timeFromValuation]]&gt;=Activation_Time,0)</f>
        <v>0</v>
      </c>
      <c r="G10" s="21">
        <f t="shared" ref="G10:G28" si="5">AD10</f>
        <v>170000</v>
      </c>
      <c r="H10" s="21" t="b">
        <f>Table1[[#This Row],[timeFromValuation]]=INT(Table1[[#This Row],[timeFromValuation]])</f>
        <v>1</v>
      </c>
      <c r="I10" s="7">
        <f>IF((Table1[[#This Row],[Is Anniversery]]), Table1[[#This Row],[Assumed Contract Value ]],0)</f>
        <v>170000</v>
      </c>
      <c r="J10" s="7">
        <f ca="1">IF(NOT(Table1[[#This Row],[Is Activation]]),OFFSET(Table1[[#This Row],[Income Credit Base]],-1,0)+Table1[[#This Row],[Purchase Payments]]+Table1[[#This Row],[Income Credit]],0)</f>
        <v>163480.06078758379</v>
      </c>
      <c r="K10" s="7">
        <f ca="1">IF(AND(Table1[[#This Row],[Is Activation]]=FALSE,Table1[[#This Row],[Is Anniversery]]=TRUE),OFFSET(Table1[[#This Row],[Income Credit Base]],-1,0)*ICP,0)</f>
        <v>8154.5873552001412</v>
      </c>
      <c r="L10"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170000</v>
      </c>
      <c r="M10" s="42">
        <f>IF(NOT(Table1[[#This Row],[Is Activation]]),(Table1[[#This Row],[Withdrawal Taken  ]]/Table1[[#This Row],[Assumed Contract Value ]]),0)</f>
        <v>0</v>
      </c>
      <c r="N1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0" s="5">
        <f ca="1">IF(NOT(Table1[[#This Row],[Has Lifetime Income Started]]),Table1[[#This Row],[Income Base]]*MAW,0)</f>
        <v>10625</v>
      </c>
      <c r="P10" s="9">
        <f>IF(AND(Table1[[#This Row],[Has Lifetime Income Started]],Table1[[#This Row],[Is Anniversery]]),Table1[[#This Row],[Income Base]]*PIP,0)</f>
        <v>0</v>
      </c>
      <c r="Q10" s="33" t="b">
        <f t="shared" si="0"/>
        <v>0</v>
      </c>
      <c r="R10" s="10">
        <f>1/(1+InterestRate)^Table1[[#This Row],[timeFromValuation]]</f>
        <v>0.95238095238095233</v>
      </c>
      <c r="S10" s="10">
        <f>Table1[[#This Row],[timeFromValuation]]</f>
        <v>1</v>
      </c>
      <c r="T10" s="117">
        <f>VLOOKUP(Qx!J10,Table2[],Qx!L$6,FALSE)</f>
        <v>0.99760099999999996</v>
      </c>
      <c r="U10" s="117">
        <f>VLOOKUP(Qx!K10,Table2[],Qx!M$6,FALSE)</f>
        <v>0.99092400000000003</v>
      </c>
      <c r="V10" s="117">
        <f>PRODUCT($T$8:$T10)</f>
        <v>0.9935110357194803</v>
      </c>
      <c r="W10" s="117">
        <f>PRODUCT($U$8:$U10)</f>
        <v>0.97448981291516146</v>
      </c>
      <c r="X10" s="117">
        <f>Table1[[#This Row],[Primary Annuitant Px]]+Table1[[#This Row],[Secondary Annuitant Py]]-Table1[[#This Row],[Primary Annuitant Px]]*Table1[[#This Row],[Secondary Annuitant Py]]</f>
        <v>0.99997822667600011</v>
      </c>
      <c r="Y10" s="117">
        <f>PRODUCT($X$8:$X10)</f>
        <v>0.99994400862009625</v>
      </c>
      <c r="Z10" s="2"/>
      <c r="AA10" s="22">
        <f t="shared" ref="AA10:AA30" si="6">AA9+0.5</f>
        <v>1</v>
      </c>
      <c r="AB10" s="23">
        <v>0</v>
      </c>
      <c r="AC10" s="23">
        <v>0</v>
      </c>
      <c r="AD10" s="23">
        <v>170000</v>
      </c>
      <c r="AE10" s="12">
        <v>170000</v>
      </c>
      <c r="AF10" s="11">
        <v>170000</v>
      </c>
      <c r="AG10" s="11">
        <v>170000</v>
      </c>
      <c r="AH10" s="11">
        <v>8400</v>
      </c>
      <c r="AI10" s="11">
        <v>10625</v>
      </c>
      <c r="AJ10" s="14">
        <v>0</v>
      </c>
      <c r="AK10" s="10"/>
      <c r="AL10" s="10"/>
      <c r="AM10" s="10"/>
      <c r="AN10" s="10"/>
      <c r="AO10" s="10"/>
      <c r="AP10" s="10"/>
      <c r="AR10" s="4">
        <v>170000</v>
      </c>
      <c r="AS10" s="4">
        <v>170000</v>
      </c>
      <c r="AT10" s="4">
        <v>170000</v>
      </c>
      <c r="AU10" s="4">
        <v>13912.5</v>
      </c>
      <c r="AV10" s="4">
        <v>10625</v>
      </c>
      <c r="AW10" s="4">
        <v>0</v>
      </c>
    </row>
    <row r="11" spans="1:49" x14ac:dyDescent="0.3">
      <c r="A11" s="32">
        <f t="shared" si="3"/>
        <v>3</v>
      </c>
      <c r="B11" s="32">
        <f ca="1">OFFSET(Table1[[#This Row],[Pay Period]],-1,0)+0.5</f>
        <v>1.5</v>
      </c>
      <c r="C11" s="29">
        <f t="shared" si="4"/>
        <v>1.5</v>
      </c>
      <c r="D11" s="21">
        <f t="shared" si="1"/>
        <v>90000</v>
      </c>
      <c r="E11" s="21">
        <f t="shared" si="2"/>
        <v>0</v>
      </c>
      <c r="F11" s="21" t="b">
        <f>IF(Table1[[#This Row],[Assumed Contract Value ]]&gt;0.1,Table1[[#This Row],[timeFromValuation]]&gt;=Activation_Time,0)</f>
        <v>0</v>
      </c>
      <c r="G11" s="21">
        <f t="shared" si="5"/>
        <v>255000</v>
      </c>
      <c r="H11" s="21" t="b">
        <f>Table1[[#This Row],[timeFromValuation]]=INT(Table1[[#This Row],[timeFromValuation]])</f>
        <v>0</v>
      </c>
      <c r="I11" s="7">
        <f>IF((Table1[[#This Row],[Is Anniversery]]), Table1[[#This Row],[Assumed Contract Value ]],0)</f>
        <v>0</v>
      </c>
      <c r="J11" s="7">
        <f ca="1">IF(NOT(Table1[[#This Row],[Is Activation]]),OFFSET(Table1[[#This Row],[Income Credit Base]],-1,0)+Table1[[#This Row],[Purchase Payments]]+Table1[[#This Row],[Income Credit]],0)</f>
        <v>253480.06078758379</v>
      </c>
      <c r="K11" s="7">
        <f ca="1">IF(AND(Table1[[#This Row],[Is Activation]]=FALSE,Table1[[#This Row],[Is Anniversery]]=TRUE),OFFSET(Table1[[#This Row],[Income Credit Base]],-1,0)*ICP,0)</f>
        <v>0</v>
      </c>
      <c r="L11"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268154.58735520014</v>
      </c>
      <c r="M11" s="42">
        <f>IF(NOT(Table1[[#This Row],[Is Activation]]),(Table1[[#This Row],[Withdrawal Taken  ]]/Table1[[#This Row],[Assumed Contract Value ]]),0)</f>
        <v>0</v>
      </c>
      <c r="N1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1" s="5">
        <f ca="1">IF(NOT(Table1[[#This Row],[Has Lifetime Income Started]]),Table1[[#This Row],[Income Base]]*MAW,0)</f>
        <v>16759.661709700009</v>
      </c>
      <c r="P11" s="9">
        <f>IF(AND(Table1[[#This Row],[Has Lifetime Income Started]],Table1[[#This Row],[Is Anniversery]]),Table1[[#This Row],[Income Base]]*PIP,0)</f>
        <v>0</v>
      </c>
      <c r="Q11" s="33" t="b">
        <f t="shared" si="0"/>
        <v>0</v>
      </c>
      <c r="R11" s="10">
        <f>1/(1+InterestRate)^Table1[[#This Row],[timeFromValuation]]</f>
        <v>0.92942864090336497</v>
      </c>
      <c r="S11" s="10">
        <f>Table1[[#This Row],[timeFromValuation]]</f>
        <v>1.5</v>
      </c>
      <c r="T11" s="117">
        <f>VLOOKUP(Qx!J11,Table2[],Qx!L$6,FALSE)</f>
        <v>0.99729999999999996</v>
      </c>
      <c r="U11" s="117">
        <f>VLOOKUP(Qx!K11,Table2[],Qx!M$6,FALSE)</f>
        <v>0.99029199999999995</v>
      </c>
      <c r="V11" s="117">
        <f>PRODUCT($T$8:$T11)</f>
        <v>0.99082855592303765</v>
      </c>
      <c r="W11" s="117">
        <f>PRODUCT($U$8:$U11)</f>
        <v>0.96502946581138105</v>
      </c>
      <c r="X11" s="117">
        <f>Table1[[#This Row],[Primary Annuitant Px]]+Table1[[#This Row],[Secondary Annuitant Py]]-Table1[[#This Row],[Primary Annuitant Px]]*Table1[[#This Row],[Secondary Annuitant Py]]</f>
        <v>0.99997378839999984</v>
      </c>
      <c r="Y11" s="117">
        <f>PRODUCT($X$8:$X11)</f>
        <v>0.99991779848771978</v>
      </c>
      <c r="Z11" s="2"/>
      <c r="AA11" s="22">
        <f t="shared" si="6"/>
        <v>1.5</v>
      </c>
      <c r="AB11" s="23">
        <v>90000</v>
      </c>
      <c r="AC11" s="23">
        <v>0</v>
      </c>
      <c r="AD11" s="23">
        <v>255000</v>
      </c>
      <c r="AE11" s="12">
        <v>0</v>
      </c>
      <c r="AF11" s="11">
        <v>260000</v>
      </c>
      <c r="AG11" s="11">
        <v>260000</v>
      </c>
      <c r="AH11" s="11">
        <v>0</v>
      </c>
      <c r="AI11" s="11">
        <v>16250</v>
      </c>
      <c r="AJ11" s="14">
        <v>0</v>
      </c>
      <c r="AK11" s="10"/>
      <c r="AL11" s="10"/>
      <c r="AM11" s="10"/>
      <c r="AN11" s="10"/>
      <c r="AO11" s="10"/>
      <c r="AP11" s="10"/>
      <c r="AR11" s="4"/>
      <c r="AS11" s="4">
        <v>260000</v>
      </c>
      <c r="AT11" s="4">
        <v>260000</v>
      </c>
      <c r="AU11" s="4">
        <v>0</v>
      </c>
      <c r="AV11" s="4">
        <v>16250</v>
      </c>
      <c r="AW11" s="4">
        <v>0</v>
      </c>
    </row>
    <row r="12" spans="1:49" x14ac:dyDescent="0.3">
      <c r="A12" s="32">
        <f t="shared" si="3"/>
        <v>4</v>
      </c>
      <c r="B12" s="32">
        <f ca="1">OFFSET(Table1[[#This Row],[Pay Period]],-1,0)+0.5</f>
        <v>2</v>
      </c>
      <c r="C12" s="29">
        <f t="shared" si="4"/>
        <v>2</v>
      </c>
      <c r="D12" s="21">
        <f t="shared" si="1"/>
        <v>0</v>
      </c>
      <c r="E12" s="21">
        <f t="shared" si="2"/>
        <v>0</v>
      </c>
      <c r="F12" s="21" t="b">
        <f>IF(Table1[[#This Row],[Assumed Contract Value ]]&gt;0.1,Table1[[#This Row],[timeFromValuation]]&gt;=Activation_Time,0)</f>
        <v>0</v>
      </c>
      <c r="G12" s="21">
        <f t="shared" si="5"/>
        <v>287000</v>
      </c>
      <c r="H12" s="21" t="b">
        <f>Table1[[#This Row],[timeFromValuation]]=INT(Table1[[#This Row],[timeFromValuation]])</f>
        <v>1</v>
      </c>
      <c r="I12" s="7">
        <f>IF((Table1[[#This Row],[Is Anniversery]]), Table1[[#This Row],[Assumed Contract Value ]],0)</f>
        <v>287000</v>
      </c>
      <c r="J12" s="7">
        <f ca="1">IF(NOT(Table1[[#This Row],[Is Activation]]),OFFSET(Table1[[#This Row],[Income Credit Base]],-1,0)+Table1[[#This Row],[Purchase Payments]]+Table1[[#This Row],[Income Credit]],0)</f>
        <v>266787.76397893194</v>
      </c>
      <c r="K12" s="7">
        <f ca="1">IF(AND(Table1[[#This Row],[Is Activation]]=FALSE,Table1[[#This Row],[Is Anniversery]]=TRUE),OFFSET(Table1[[#This Row],[Income Credit Base]],-1,0)*ICP,0)</f>
        <v>13307.703191348148</v>
      </c>
      <c r="L12"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287000</v>
      </c>
      <c r="M12" s="42">
        <f>IF(NOT(Table1[[#This Row],[Is Activation]]),(Table1[[#This Row],[Withdrawal Taken  ]]/Table1[[#This Row],[Assumed Contract Value ]]),0)</f>
        <v>0</v>
      </c>
      <c r="N1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2" s="5">
        <f ca="1">IF(NOT(Table1[[#This Row],[Has Lifetime Income Started]]),Table1[[#This Row],[Income Base]]*MAW,0)</f>
        <v>17937.5</v>
      </c>
      <c r="P12" s="9">
        <f>IF(AND(Table1[[#This Row],[Has Lifetime Income Started]],Table1[[#This Row],[Is Anniversery]]),Table1[[#This Row],[Income Base]]*PIP,0)</f>
        <v>0</v>
      </c>
      <c r="Q12" s="33" t="b">
        <f t="shared" si="0"/>
        <v>0</v>
      </c>
      <c r="R12" s="10">
        <f>1/(1+InterestRate)^Table1[[#This Row],[timeFromValuation]]</f>
        <v>0.90702947845804982</v>
      </c>
      <c r="S12" s="10">
        <f>Table1[[#This Row],[timeFromValuation]]</f>
        <v>2</v>
      </c>
      <c r="T12" s="117">
        <f>VLOOKUP(Qx!J12,Table2[],Qx!L$6,FALSE)</f>
        <v>0.996946</v>
      </c>
      <c r="U12" s="117">
        <f>VLOOKUP(Qx!K12,Table2[],Qx!M$6,FALSE)</f>
        <v>0.989537</v>
      </c>
      <c r="V12" s="117">
        <f>PRODUCT($T$8:$T12)</f>
        <v>0.98780256551324874</v>
      </c>
      <c r="W12" s="117">
        <f>PRODUCT($U$8:$U12)</f>
        <v>0.95493236251059654</v>
      </c>
      <c r="X12" s="117">
        <f>Table1[[#This Row],[Primary Annuitant Px]]+Table1[[#This Row],[Secondary Annuitant Py]]-Table1[[#This Row],[Primary Annuitant Px]]*Table1[[#This Row],[Secondary Annuitant Py]]</f>
        <v>0.99996804599800004</v>
      </c>
      <c r="Y12" s="117">
        <f>PRODUCT($X$8:$X12)</f>
        <v>0.99988584711238715</v>
      </c>
      <c r="Z12" s="2"/>
      <c r="AA12" s="22">
        <f t="shared" si="6"/>
        <v>2</v>
      </c>
      <c r="AB12" s="23">
        <v>0</v>
      </c>
      <c r="AC12" s="23">
        <v>0</v>
      </c>
      <c r="AD12" s="23">
        <v>287000</v>
      </c>
      <c r="AE12" s="12">
        <v>287000</v>
      </c>
      <c r="AF12" s="11">
        <v>287000</v>
      </c>
      <c r="AG12" s="11">
        <v>287000</v>
      </c>
      <c r="AH12" s="11">
        <v>13650</v>
      </c>
      <c r="AI12" s="11">
        <v>17938</v>
      </c>
      <c r="AJ12" s="14">
        <v>0</v>
      </c>
      <c r="AK12" s="10"/>
      <c r="AL12" s="10"/>
      <c r="AM12" s="10"/>
      <c r="AN12" s="10"/>
      <c r="AO12" s="10"/>
      <c r="AP12" s="10"/>
      <c r="AR12" s="4">
        <v>287000</v>
      </c>
      <c r="AS12" s="4">
        <v>287000</v>
      </c>
      <c r="AT12" s="4">
        <v>287000</v>
      </c>
      <c r="AU12" s="4">
        <v>36225</v>
      </c>
      <c r="AV12" s="4">
        <v>17937.5</v>
      </c>
      <c r="AW12" s="4">
        <v>0</v>
      </c>
    </row>
    <row r="13" spans="1:49" x14ac:dyDescent="0.3">
      <c r="A13" s="32">
        <f t="shared" si="3"/>
        <v>5</v>
      </c>
      <c r="B13" s="32">
        <f ca="1">OFFSET(Table1[[#This Row],[Pay Period]],-1,0)+0.5</f>
        <v>2.5</v>
      </c>
      <c r="C13" s="29">
        <f t="shared" si="4"/>
        <v>2.5</v>
      </c>
      <c r="D13" s="21">
        <f t="shared" si="1"/>
        <v>0</v>
      </c>
      <c r="E13" s="21">
        <f t="shared" si="2"/>
        <v>0</v>
      </c>
      <c r="F13" s="21" t="b">
        <f>IF(Table1[[#This Row],[Assumed Contract Value ]]&gt;0.1,Table1[[#This Row],[timeFromValuation]]&gt;=Activation_Time,0)</f>
        <v>0</v>
      </c>
      <c r="G13" s="21">
        <f t="shared" si="5"/>
        <v>287000</v>
      </c>
      <c r="H13" s="21" t="b">
        <f>Table1[[#This Row],[timeFromValuation]]=INT(Table1[[#This Row],[timeFromValuation]])</f>
        <v>0</v>
      </c>
      <c r="I13" s="7">
        <f>IF((Table1[[#This Row],[Is Anniversery]]), Table1[[#This Row],[Assumed Contract Value ]],0)</f>
        <v>0</v>
      </c>
      <c r="J13" s="7">
        <f ca="1">IF(NOT(Table1[[#This Row],[Is Activation]]),OFFSET(Table1[[#This Row],[Income Credit Base]],-1,0)+Table1[[#This Row],[Purchase Payments]]+Table1[[#This Row],[Income Credit]],0)</f>
        <v>266787.76397893194</v>
      </c>
      <c r="K13" s="7">
        <f ca="1">IF(AND(Table1[[#This Row],[Is Activation]]=FALSE,Table1[[#This Row],[Is Anniversery]]=TRUE),OFFSET(Table1[[#This Row],[Income Credit Base]],-1,0)*ICP,0)</f>
        <v>0</v>
      </c>
      <c r="L13"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300307.70319134812</v>
      </c>
      <c r="M13" s="42">
        <f>IF(NOT(Table1[[#This Row],[Is Activation]]),(Table1[[#This Row],[Withdrawal Taken  ]]/Table1[[#This Row],[Assumed Contract Value ]]),0)</f>
        <v>0</v>
      </c>
      <c r="N1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3" s="5">
        <f ca="1">IF(NOT(Table1[[#This Row],[Has Lifetime Income Started]]),Table1[[#This Row],[Income Base]]*MAW,0)</f>
        <v>18769.231449459257</v>
      </c>
      <c r="P13" s="9">
        <f>IF(AND(Table1[[#This Row],[Has Lifetime Income Started]],Table1[[#This Row],[Is Anniversery]]),Table1[[#This Row],[Income Base]]*PIP,0)</f>
        <v>0</v>
      </c>
      <c r="Q13" s="33" t="b">
        <f t="shared" si="0"/>
        <v>0</v>
      </c>
      <c r="R13" s="10">
        <f>1/(1+InterestRate)^Table1[[#This Row],[timeFromValuation]]</f>
        <v>0.88517013419368074</v>
      </c>
      <c r="S13" s="10">
        <f>Table1[[#This Row],[timeFromValuation]]</f>
        <v>2.5</v>
      </c>
      <c r="T13" s="117">
        <f>VLOOKUP(Qx!J13,Table2[],Qx!L$6,FALSE)</f>
        <v>0.99653999999999998</v>
      </c>
      <c r="U13" s="117">
        <f>VLOOKUP(Qx!K13,Table2[],Qx!M$6,FALSE)</f>
        <v>0.98864300000000005</v>
      </c>
      <c r="V13" s="117">
        <f>PRODUCT($T$8:$T13)</f>
        <v>0.98438476863657287</v>
      </c>
      <c r="W13" s="117">
        <f>PRODUCT($U$8:$U13)</f>
        <v>0.94408719566956378</v>
      </c>
      <c r="X13" s="117">
        <f>Table1[[#This Row],[Primary Annuitant Px]]+Table1[[#This Row],[Secondary Annuitant Py]]-Table1[[#This Row],[Primary Annuitant Px]]*Table1[[#This Row],[Secondary Annuitant Py]]</f>
        <v>0.9999607047800001</v>
      </c>
      <c r="Y13" s="117">
        <f>PRODUCT($X$8:$X13)</f>
        <v>0.99984655637805009</v>
      </c>
      <c r="Z13" s="2"/>
      <c r="AA13" s="22">
        <f t="shared" si="6"/>
        <v>2.5</v>
      </c>
      <c r="AB13" s="23">
        <v>0</v>
      </c>
      <c r="AC13" s="23">
        <v>0</v>
      </c>
      <c r="AD13" s="23">
        <v>287000</v>
      </c>
      <c r="AE13" s="13">
        <v>0</v>
      </c>
      <c r="AF13" s="11">
        <v>287000</v>
      </c>
      <c r="AG13" s="11">
        <v>287000</v>
      </c>
      <c r="AH13" s="11">
        <v>0</v>
      </c>
      <c r="AI13" s="11">
        <v>17938</v>
      </c>
      <c r="AJ13" s="14">
        <v>0</v>
      </c>
      <c r="AK13" s="10"/>
      <c r="AL13" s="10"/>
      <c r="AM13" s="10"/>
      <c r="AN13" s="10"/>
      <c r="AO13" s="10"/>
      <c r="AP13" s="10"/>
      <c r="AR13" s="4">
        <f>AR12</f>
        <v>287000</v>
      </c>
      <c r="AS13" s="4">
        <f t="shared" ref="AS13:AV13" si="7">AS12</f>
        <v>287000</v>
      </c>
      <c r="AT13" s="4">
        <f t="shared" si="7"/>
        <v>287000</v>
      </c>
      <c r="AU13" s="4">
        <f t="shared" si="7"/>
        <v>36225</v>
      </c>
      <c r="AV13" s="4">
        <f t="shared" si="7"/>
        <v>17937.5</v>
      </c>
      <c r="AW13" s="4">
        <v>0</v>
      </c>
    </row>
    <row r="14" spans="1:49" x14ac:dyDescent="0.3">
      <c r="A14" s="32">
        <f t="shared" si="3"/>
        <v>6</v>
      </c>
      <c r="B14" s="32">
        <f ca="1">OFFSET(Table1[[#This Row],[Pay Period]],-1,0)+0.5</f>
        <v>3</v>
      </c>
      <c r="C14" s="29">
        <f t="shared" si="4"/>
        <v>3</v>
      </c>
      <c r="D14" s="21">
        <f t="shared" si="1"/>
        <v>0</v>
      </c>
      <c r="E14" s="21">
        <f t="shared" si="2"/>
        <v>0</v>
      </c>
      <c r="F14" s="21" t="b">
        <f>IF(Table1[[#This Row],[Assumed Contract Value ]]&gt;0.1,Table1[[#This Row],[timeFromValuation]]&gt;=Activation_Time,0)</f>
        <v>0</v>
      </c>
      <c r="G14" s="21">
        <f t="shared" si="5"/>
        <v>300000</v>
      </c>
      <c r="H14" s="21" t="b">
        <f>Table1[[#This Row],[timeFromValuation]]=INT(Table1[[#This Row],[timeFromValuation]])</f>
        <v>1</v>
      </c>
      <c r="I14" s="7">
        <f>IF((Table1[[#This Row],[Is Anniversery]]), Table1[[#This Row],[Assumed Contract Value ]],0)</f>
        <v>300000</v>
      </c>
      <c r="J14" s="7">
        <f ca="1">IF(NOT(Table1[[#This Row],[Is Activation]]),OFFSET(Table1[[#This Row],[Income Credit Base]],-1,0)+Table1[[#This Row],[Purchase Payments]]+Table1[[#This Row],[Income Credit]],0)</f>
        <v>280794.12158782588</v>
      </c>
      <c r="K14" s="7">
        <f ca="1">IF(AND(Table1[[#This Row],[Is Activation]]=FALSE,Table1[[#This Row],[Is Anniversery]]=TRUE),OFFSET(Table1[[#This Row],[Income Credit Base]],-1,0)*ICP,0)</f>
        <v>14006.357608893926</v>
      </c>
      <c r="L14"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300307.70319134812</v>
      </c>
      <c r="M14" s="42">
        <f>IF(NOT(Table1[[#This Row],[Is Activation]]),(Table1[[#This Row],[Withdrawal Taken  ]]/Table1[[#This Row],[Assumed Contract Value ]]),0)</f>
        <v>0</v>
      </c>
      <c r="N1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4" s="5">
        <f ca="1">IF(NOT(Table1[[#This Row],[Has Lifetime Income Started]]),Table1[[#This Row],[Income Base]]*MAW,0)</f>
        <v>18769.231449459257</v>
      </c>
      <c r="P14" s="9">
        <f>IF(AND(Table1[[#This Row],[Has Lifetime Income Started]],Table1[[#This Row],[Is Anniversery]]),Table1[[#This Row],[Income Base]]*PIP,0)</f>
        <v>0</v>
      </c>
      <c r="Q14" s="33" t="b">
        <f t="shared" si="0"/>
        <v>0</v>
      </c>
      <c r="R14" s="10">
        <f>1/(1+InterestRate)^Table1[[#This Row],[timeFromValuation]]</f>
        <v>0.86383759853147601</v>
      </c>
      <c r="S14" s="10">
        <f>Table1[[#This Row],[timeFromValuation]]</f>
        <v>3</v>
      </c>
      <c r="T14" s="117">
        <f>VLOOKUP(Qx!J14,Table2[],Qx!L$6,FALSE)</f>
        <v>0.99608399999999997</v>
      </c>
      <c r="U14" s="117">
        <f>VLOOKUP(Qx!K14,Table2[],Qx!M$6,FALSE)</f>
        <v>0.98758199999999996</v>
      </c>
      <c r="V14" s="117">
        <f>PRODUCT($T$8:$T14)</f>
        <v>0.98052991788259203</v>
      </c>
      <c r="W14" s="117">
        <f>PRODUCT($U$8:$U14)</f>
        <v>0.93236352087373908</v>
      </c>
      <c r="X14" s="117">
        <f>Table1[[#This Row],[Primary Annuitant Px]]+Table1[[#This Row],[Secondary Annuitant Py]]-Table1[[#This Row],[Primary Annuitant Px]]*Table1[[#This Row],[Secondary Annuitant Py]]</f>
        <v>0.99995137111200005</v>
      </c>
      <c r="Y14" s="117">
        <f>PRODUCT($X$8:$X14)</f>
        <v>0.99979793495184288</v>
      </c>
      <c r="Z14" s="2"/>
      <c r="AA14" s="22">
        <f t="shared" si="6"/>
        <v>3</v>
      </c>
      <c r="AB14" s="23">
        <v>0</v>
      </c>
      <c r="AC14" s="23">
        <v>0</v>
      </c>
      <c r="AD14" s="23">
        <v>300000</v>
      </c>
      <c r="AE14" s="12">
        <v>300000</v>
      </c>
      <c r="AF14" s="11">
        <v>302068</v>
      </c>
      <c r="AG14" s="11">
        <v>287000</v>
      </c>
      <c r="AH14" s="11">
        <v>15068</v>
      </c>
      <c r="AI14" s="11">
        <v>18879</v>
      </c>
      <c r="AJ14" s="14">
        <v>0</v>
      </c>
      <c r="AK14" s="10"/>
      <c r="AL14" s="10"/>
      <c r="AM14" s="10"/>
      <c r="AN14" s="10"/>
      <c r="AO14" s="10"/>
      <c r="AP14" s="10"/>
      <c r="AR14" s="4">
        <v>300000</v>
      </c>
      <c r="AS14" s="4">
        <v>302067.5</v>
      </c>
      <c r="AT14" s="4">
        <v>287000</v>
      </c>
      <c r="AU14" s="4">
        <v>15067.5</v>
      </c>
      <c r="AV14" s="4">
        <v>18879.21875</v>
      </c>
      <c r="AW14" s="4">
        <v>0</v>
      </c>
    </row>
    <row r="15" spans="1:49" x14ac:dyDescent="0.3">
      <c r="A15" s="32">
        <f t="shared" si="3"/>
        <v>7</v>
      </c>
      <c r="B15" s="32">
        <f ca="1">OFFSET(Table1[[#This Row],[Pay Period]],-1,0)+0.5</f>
        <v>3.5</v>
      </c>
      <c r="C15" s="29">
        <f t="shared" si="4"/>
        <v>3.5</v>
      </c>
      <c r="D15" s="21">
        <f t="shared" si="1"/>
        <v>0</v>
      </c>
      <c r="E15" s="21">
        <f t="shared" si="2"/>
        <v>5000</v>
      </c>
      <c r="F15" s="21" t="b">
        <f>IF(Table1[[#This Row],[Assumed Contract Value ]]&gt;0.1,Table1[[#This Row],[timeFromValuation]]&gt;=Activation_Time,0)</f>
        <v>0</v>
      </c>
      <c r="G15" s="21">
        <f t="shared" si="5"/>
        <v>305000</v>
      </c>
      <c r="H15" s="21" t="b">
        <f>Table1[[#This Row],[timeFromValuation]]=INT(Table1[[#This Row],[timeFromValuation]])</f>
        <v>0</v>
      </c>
      <c r="I15" s="7">
        <f>IF((Table1[[#This Row],[Is Anniversery]]), Table1[[#This Row],[Assumed Contract Value ]],0)</f>
        <v>0</v>
      </c>
      <c r="J15" s="7">
        <f ca="1">IF(NOT(Table1[[#This Row],[Is Activation]]),OFFSET(Table1[[#This Row],[Income Credit Base]],-1,0)+Table1[[#This Row],[Purchase Payments]]+Table1[[#This Row],[Income Credit]],0)</f>
        <v>280794.12158782588</v>
      </c>
      <c r="K15" s="7">
        <f ca="1">IF(AND(Table1[[#This Row],[Is Activation]]=FALSE,Table1[[#This Row],[Is Anniversery]]=TRUE),OFFSET(Table1[[#This Row],[Income Credit Base]],-1,0)*ICP,0)</f>
        <v>0</v>
      </c>
      <c r="L15"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309396.02801335684</v>
      </c>
      <c r="M15" s="42">
        <f>IF(NOT(Table1[[#This Row],[Is Activation]]),(Table1[[#This Row],[Withdrawal Taken  ]]/Table1[[#This Row],[Assumed Contract Value ]]),0)</f>
        <v>1.6393442622950821E-2</v>
      </c>
      <c r="N1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5" s="5">
        <f ca="1">IF(NOT(Table1[[#This Row],[Has Lifetime Income Started]]),Table1[[#This Row],[Income Base]]*MAW,0)</f>
        <v>19337.251750834803</v>
      </c>
      <c r="P15" s="9">
        <f>IF(AND(Table1[[#This Row],[Has Lifetime Income Started]],Table1[[#This Row],[Is Anniversery]]),Table1[[#This Row],[Income Base]]*PIP,0)</f>
        <v>0</v>
      </c>
      <c r="Q15" s="33" t="b">
        <f t="shared" si="0"/>
        <v>0</v>
      </c>
      <c r="R15" s="10">
        <f>1/(1+InterestRate)^Table1[[#This Row],[timeFromValuation]]</f>
        <v>0.843019175422553</v>
      </c>
      <c r="S15" s="10">
        <f>Table1[[#This Row],[timeFromValuation]]</f>
        <v>3.5</v>
      </c>
      <c r="T15" s="117">
        <f>VLOOKUP(Qx!J15,Table2[],Qx!L$6,FALSE)</f>
        <v>0.995591</v>
      </c>
      <c r="U15" s="117">
        <f>VLOOKUP(Qx!K15,Table2[],Qx!M$6,FALSE)</f>
        <v>0.98632500000000001</v>
      </c>
      <c r="V15" s="117">
        <f>PRODUCT($T$8:$T15)</f>
        <v>0.97620676147464769</v>
      </c>
      <c r="W15" s="117">
        <f>PRODUCT($U$8:$U15)</f>
        <v>0.91961344972579073</v>
      </c>
      <c r="X15" s="117">
        <f>Table1[[#This Row],[Primary Annuitant Px]]+Table1[[#This Row],[Secondary Annuitant Py]]-Table1[[#This Row],[Primary Annuitant Px]]*Table1[[#This Row],[Secondary Annuitant Py]]</f>
        <v>0.999939706925</v>
      </c>
      <c r="Y15" s="117">
        <f>PRODUCT($X$8:$X15)</f>
        <v>0.99973765405996595</v>
      </c>
      <c r="Z15" s="2"/>
      <c r="AA15" s="22">
        <f t="shared" si="6"/>
        <v>3.5</v>
      </c>
      <c r="AB15" s="23">
        <v>0</v>
      </c>
      <c r="AC15" s="23">
        <v>5000</v>
      </c>
      <c r="AD15" s="23">
        <v>305000</v>
      </c>
      <c r="AE15" s="12">
        <v>0</v>
      </c>
      <c r="AF15" s="11">
        <v>297116</v>
      </c>
      <c r="AG15" s="11">
        <v>282295</v>
      </c>
      <c r="AH15" s="11">
        <v>0</v>
      </c>
      <c r="AI15" s="11">
        <v>18570</v>
      </c>
      <c r="AJ15" s="14">
        <v>0</v>
      </c>
      <c r="AK15" s="10"/>
      <c r="AL15" s="10"/>
      <c r="AM15" s="10"/>
      <c r="AN15" s="10"/>
      <c r="AO15" s="10"/>
      <c r="AP15" s="10"/>
      <c r="AR15" s="4"/>
      <c r="AS15" s="4">
        <v>297115.57377049181</v>
      </c>
      <c r="AT15" s="4">
        <v>282295.08196721313</v>
      </c>
      <c r="AU15" s="4">
        <v>0</v>
      </c>
      <c r="AV15" s="4">
        <v>18569.723360655738</v>
      </c>
      <c r="AW15" s="4">
        <v>0</v>
      </c>
    </row>
    <row r="16" spans="1:49" x14ac:dyDescent="0.3">
      <c r="A16" s="32">
        <f t="shared" si="3"/>
        <v>8</v>
      </c>
      <c r="B16" s="32">
        <f ca="1">OFFSET(Table1[[#This Row],[Pay Period]],-1,0)+0.5</f>
        <v>4</v>
      </c>
      <c r="C16" s="29">
        <f t="shared" si="4"/>
        <v>4</v>
      </c>
      <c r="D16" s="21">
        <f t="shared" si="1"/>
        <v>0</v>
      </c>
      <c r="E16" s="21">
        <f t="shared" si="2"/>
        <v>0</v>
      </c>
      <c r="F16" s="21" t="b">
        <f>IF(Table1[[#This Row],[Assumed Contract Value ]]&gt;0.1,Table1[[#This Row],[timeFromValuation]]&gt;=Activation_Time,0)</f>
        <v>0</v>
      </c>
      <c r="G16" s="21">
        <f t="shared" si="5"/>
        <v>312000</v>
      </c>
      <c r="H16" s="21" t="b">
        <f>Table1[[#This Row],[timeFromValuation]]=INT(Table1[[#This Row],[timeFromValuation]])</f>
        <v>1</v>
      </c>
      <c r="I16" s="7">
        <f>IF((Table1[[#This Row],[Is Anniversery]]), Table1[[#This Row],[Assumed Contract Value ]],0)</f>
        <v>312000</v>
      </c>
      <c r="J16" s="7">
        <f ca="1">IF(NOT(Table1[[#This Row],[Is Activation]]),OFFSET(Table1[[#This Row],[Income Credit Base]],-1,0)+Table1[[#This Row],[Purchase Payments]]+Table1[[#This Row],[Income Credit]],0)</f>
        <v>295535.81297118677</v>
      </c>
      <c r="K16" s="7">
        <f ca="1">IF(AND(Table1[[#This Row],[Is Activation]]=FALSE,Table1[[#This Row],[Is Anniversery]]=TRUE),OFFSET(Table1[[#This Row],[Income Credit Base]],-1,0)*ICP,0)</f>
        <v>14741.691383360858</v>
      </c>
      <c r="L16"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312000</v>
      </c>
      <c r="M16" s="42">
        <f>IF(NOT(Table1[[#This Row],[Is Activation]]),(Table1[[#This Row],[Withdrawal Taken  ]]/Table1[[#This Row],[Assumed Contract Value ]]),0)</f>
        <v>0</v>
      </c>
      <c r="N1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6" s="5">
        <f ca="1">IF(NOT(Table1[[#This Row],[Has Lifetime Income Started]]),Table1[[#This Row],[Income Base]]*MAW,0)</f>
        <v>19500</v>
      </c>
      <c r="P16" s="9">
        <f>IF(AND(Table1[[#This Row],[Has Lifetime Income Started]],Table1[[#This Row],[Is Anniversery]]),Table1[[#This Row],[Income Base]]*PIP,0)</f>
        <v>0</v>
      </c>
      <c r="Q16" s="33" t="b">
        <f t="shared" si="0"/>
        <v>0</v>
      </c>
      <c r="R16" s="10">
        <f>1/(1+InterestRate)^Table1[[#This Row],[timeFromValuation]]</f>
        <v>0.82270247479188197</v>
      </c>
      <c r="S16" s="10">
        <f>Table1[[#This Row],[timeFromValuation]]</f>
        <v>4</v>
      </c>
      <c r="T16" s="117">
        <f>VLOOKUP(Qx!J16,Table2[],Qx!L$6,FALSE)</f>
        <v>0.99506700000000003</v>
      </c>
      <c r="U16" s="117">
        <f>VLOOKUP(Qx!K16,Table2[],Qx!M$6,FALSE)</f>
        <v>0.98485</v>
      </c>
      <c r="V16" s="117">
        <f>PRODUCT($T$8:$T16)</f>
        <v>0.97139113352029327</v>
      </c>
      <c r="W16" s="117">
        <f>PRODUCT($U$8:$U16)</f>
        <v>0.905681305962445</v>
      </c>
      <c r="X16" s="117">
        <f>Table1[[#This Row],[Primary Annuitant Px]]+Table1[[#This Row],[Secondary Annuitant Py]]-Table1[[#This Row],[Primary Annuitant Px]]*Table1[[#This Row],[Secondary Annuitant Py]]</f>
        <v>0.9999252650499999</v>
      </c>
      <c r="Y16" s="117">
        <f>PRODUCT($X$8:$X16)</f>
        <v>0.99966293871637657</v>
      </c>
      <c r="Z16" s="2"/>
      <c r="AA16" s="22">
        <f t="shared" si="6"/>
        <v>4</v>
      </c>
      <c r="AB16" s="23">
        <v>0</v>
      </c>
      <c r="AC16" s="23">
        <v>0</v>
      </c>
      <c r="AD16" s="23">
        <v>312000</v>
      </c>
      <c r="AE16" s="12">
        <v>312000</v>
      </c>
      <c r="AF16" s="11">
        <v>312000</v>
      </c>
      <c r="AG16" s="11">
        <v>312000</v>
      </c>
      <c r="AH16" s="11">
        <v>14820</v>
      </c>
      <c r="AI16" s="11">
        <v>19500</v>
      </c>
      <c r="AJ16" s="14">
        <v>0</v>
      </c>
      <c r="AK16" s="10"/>
      <c r="AL16" s="10"/>
      <c r="AM16" s="10"/>
      <c r="AN16" s="10"/>
      <c r="AO16" s="10"/>
      <c r="AP16" s="10"/>
      <c r="AR16" s="4">
        <v>312000</v>
      </c>
      <c r="AS16" s="4">
        <v>312000</v>
      </c>
      <c r="AT16" s="4">
        <v>312000</v>
      </c>
      <c r="AU16" s="4">
        <v>14820.491803278688</v>
      </c>
      <c r="AV16" s="4">
        <v>19500</v>
      </c>
      <c r="AW16" s="4">
        <v>0</v>
      </c>
    </row>
    <row r="17" spans="1:49" x14ac:dyDescent="0.3">
      <c r="A17" s="32">
        <f t="shared" si="3"/>
        <v>9</v>
      </c>
      <c r="B17" s="32">
        <f ca="1">OFFSET(Table1[[#This Row],[Pay Period]],-1,0)+0.5</f>
        <v>4.5</v>
      </c>
      <c r="C17" s="29">
        <f t="shared" si="4"/>
        <v>4.5</v>
      </c>
      <c r="D17" s="21">
        <f t="shared" si="1"/>
        <v>0</v>
      </c>
      <c r="E17" s="21">
        <f t="shared" si="2"/>
        <v>19500</v>
      </c>
      <c r="F17" s="21" t="b">
        <f>IF(Table1[[#This Row],[Assumed Contract Value ]]&gt;0.1,Table1[[#This Row],[timeFromValuation]]&gt;=Activation_Time,0)</f>
        <v>1</v>
      </c>
      <c r="G17" s="21">
        <f t="shared" si="5"/>
        <v>302000</v>
      </c>
      <c r="H17" s="21" t="b">
        <f>Table1[[#This Row],[timeFromValuation]]=INT(Table1[[#This Row],[timeFromValuation]])</f>
        <v>0</v>
      </c>
      <c r="I17" s="7">
        <f>IF((Table1[[#This Row],[Is Anniversery]]), Table1[[#This Row],[Assumed Contract Value ]],0)</f>
        <v>0</v>
      </c>
      <c r="J17" s="7">
        <f ca="1">IF(NOT(Table1[[#This Row],[Is Activation]]),OFFSET(Table1[[#This Row],[Income Credit Base]],-1,0)+Table1[[#This Row],[Purchase Payments]]+Table1[[#This Row],[Income Credit]],0)</f>
        <v>0</v>
      </c>
      <c r="K17" s="7">
        <f>IF(AND(Table1[[#This Row],[Is Activation]]=FALSE,Table1[[#This Row],[Is Anniversery]]=TRUE),Table1[[#This Row],[Income Credit Base]]*ICP,0)</f>
        <v>0</v>
      </c>
      <c r="L17"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307241.69138336089</v>
      </c>
      <c r="M17" s="42">
        <f>IF(NOT(Table1[[#This Row],[Is Activation]]),(Table1[[#This Row],[Withdrawal Taken  ]]/Table1[[#This Row],[Assumed Contract Value ]]),0)</f>
        <v>0</v>
      </c>
      <c r="N1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9.5318682224341243E-4</v>
      </c>
      <c r="O17" s="5">
        <f ca="1">IF(NOT(Table1[[#This Row],[Has Lifetime Income Started]]),Table1[[#This Row],[Income Base]]*MAW,0)</f>
        <v>19202.605711460055</v>
      </c>
      <c r="P17" s="9">
        <f>IF(AND(Table1[[#This Row],[Has Lifetime Income Started]],Table1[[#This Row],[Is Anniversery]]),Table1[[#This Row],[Income Base]]*PIP,0)</f>
        <v>0</v>
      </c>
      <c r="Q17" s="33" t="b">
        <f t="shared" si="0"/>
        <v>0</v>
      </c>
      <c r="R17" s="10">
        <f>1/(1+InterestRate)^Table1[[#This Row],[timeFromValuation]]</f>
        <v>0.80287540516433631</v>
      </c>
      <c r="S17" s="10">
        <f>Table1[[#This Row],[timeFromValuation]]</f>
        <v>4.5</v>
      </c>
      <c r="T17" s="117">
        <f>VLOOKUP(Qx!J17,Table2[],Qx!L$6,FALSE)</f>
        <v>0.99449299999999996</v>
      </c>
      <c r="U17" s="117">
        <f>VLOOKUP(Qx!K17,Table2[],Qx!M$6,FALSE)</f>
        <v>0.98314000000000001</v>
      </c>
      <c r="V17" s="117">
        <f>PRODUCT($T$8:$T17)</f>
        <v>0.96604168254799694</v>
      </c>
      <c r="W17" s="117">
        <f>PRODUCT($U$8:$U17)</f>
        <v>0.89041151914391814</v>
      </c>
      <c r="X17" s="117">
        <f>Table1[[#This Row],[Primary Annuitant Px]]+Table1[[#This Row],[Secondary Annuitant Py]]-Table1[[#This Row],[Primary Annuitant Px]]*Table1[[#This Row],[Secondary Annuitant Py]]</f>
        <v>0.99990715198000002</v>
      </c>
      <c r="Y17" s="117">
        <f>PRODUCT($X$8:$X17)</f>
        <v>0.99957012199184936</v>
      </c>
      <c r="Z17" s="2"/>
      <c r="AA17" s="22">
        <f t="shared" si="6"/>
        <v>4.5</v>
      </c>
      <c r="AB17" s="23">
        <v>0</v>
      </c>
      <c r="AC17" s="23">
        <v>19500</v>
      </c>
      <c r="AD17" s="23">
        <v>302000</v>
      </c>
      <c r="AE17" s="13">
        <v>0</v>
      </c>
      <c r="AF17" s="11">
        <v>312000</v>
      </c>
      <c r="AG17" s="5">
        <v>0</v>
      </c>
      <c r="AH17" s="5">
        <v>0</v>
      </c>
      <c r="AI17" s="11">
        <v>19500</v>
      </c>
      <c r="AJ17" s="14">
        <v>0</v>
      </c>
      <c r="AK17" s="10"/>
      <c r="AL17" s="10"/>
      <c r="AM17" s="10"/>
      <c r="AN17" s="10"/>
      <c r="AO17" s="10"/>
      <c r="AP17" s="10"/>
      <c r="AR17" s="4"/>
      <c r="AS17" s="4">
        <v>312000</v>
      </c>
      <c r="AT17" s="4"/>
      <c r="AU17" s="4"/>
      <c r="AV17" s="4">
        <v>19500</v>
      </c>
      <c r="AW17" s="4">
        <v>0</v>
      </c>
    </row>
    <row r="18" spans="1:49" x14ac:dyDescent="0.3">
      <c r="A18" s="32">
        <f t="shared" si="3"/>
        <v>10</v>
      </c>
      <c r="B18" s="32">
        <f ca="1">OFFSET(Table1[[#This Row],[Pay Period]],-1,0)+0.5</f>
        <v>5</v>
      </c>
      <c r="C18" s="29">
        <f t="shared" si="4"/>
        <v>5</v>
      </c>
      <c r="D18" s="21">
        <f t="shared" si="1"/>
        <v>0</v>
      </c>
      <c r="E18" s="21">
        <f t="shared" si="2"/>
        <v>0</v>
      </c>
      <c r="F18" s="21" t="b">
        <f>IF(Table1[[#This Row],[Assumed Contract Value ]]&gt;0.1,Table1[[#This Row],[timeFromValuation]]&gt;=Activation_Time,0)</f>
        <v>1</v>
      </c>
      <c r="G18" s="21">
        <f t="shared" si="5"/>
        <v>305000</v>
      </c>
      <c r="H18" s="21" t="b">
        <f>Table1[[#This Row],[timeFromValuation]]=INT(Table1[[#This Row],[timeFromValuation]])</f>
        <v>1</v>
      </c>
      <c r="I18" s="7">
        <f>IF((Table1[[#This Row],[Is Anniversery]]), Table1[[#This Row],[Assumed Contract Value ]],0)</f>
        <v>305000</v>
      </c>
      <c r="J18" s="7">
        <f ca="1">IF(NOT(Table1[[#This Row],[Is Activation]]),OFFSET(Table1[[#This Row],[Income Credit Base]],-1,0)+Table1[[#This Row],[Purchase Payments]]+Table1[[#This Row],[Income Credit]],0)</f>
        <v>0</v>
      </c>
      <c r="K18" s="7">
        <f>IF(AND(Table1[[#This Row],[Is Activation]]=FALSE,Table1[[#This Row],[Is Anniversery]]=TRUE),Table1[[#This Row],[Income Credit Base]]*ICP,0)</f>
        <v>0</v>
      </c>
      <c r="L18"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307241.69138336089</v>
      </c>
      <c r="M18" s="42">
        <f>IF(NOT(Table1[[#This Row],[Is Activation]]),(Table1[[#This Row],[Withdrawal Taken  ]]/Table1[[#This Row],[Assumed Contract Value ]]),0)</f>
        <v>0</v>
      </c>
      <c r="N1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8" s="5">
        <f ca="1">IF(NOT(Table1[[#This Row],[Has Lifetime Income Started]]),Table1[[#This Row],[Income Base]]*MAW,0)</f>
        <v>19202.605711460055</v>
      </c>
      <c r="P18" s="9">
        <f>IF(AND(Table1[[#This Row],[Has Lifetime Income Started]],Table1[[#This Row],[Is Anniversery]]),Table1[[#This Row],[Income Base]]*PIP,0)</f>
        <v>0</v>
      </c>
      <c r="Q18" s="33" t="b">
        <f t="shared" si="0"/>
        <v>0</v>
      </c>
      <c r="R18" s="10">
        <f>1/(1+InterestRate)^Table1[[#This Row],[timeFromValuation]]</f>
        <v>0.78352616646845896</v>
      </c>
      <c r="S18" s="10">
        <f>Table1[[#This Row],[timeFromValuation]]</f>
        <v>5</v>
      </c>
      <c r="T18" s="117">
        <f>VLOOKUP(Qx!J18,Table2[],Qx!L$6,FALSE)</f>
        <v>0.99385400000000002</v>
      </c>
      <c r="U18" s="117">
        <f>VLOOKUP(Qx!K18,Table2[],Qx!M$6,FALSE)</f>
        <v>0.98118499999999997</v>
      </c>
      <c r="V18" s="117">
        <f>PRODUCT($T$8:$T18)</f>
        <v>0.96010439036705697</v>
      </c>
      <c r="W18" s="117">
        <f>PRODUCT($U$8:$U18)</f>
        <v>0.87365842641122526</v>
      </c>
      <c r="X18" s="117">
        <f>Table1[[#This Row],[Primary Annuitant Px]]+Table1[[#This Row],[Secondary Annuitant Py]]-Table1[[#This Row],[Primary Annuitant Px]]*Table1[[#This Row],[Secondary Annuitant Py]]</f>
        <v>0.99988436301000005</v>
      </c>
      <c r="Y18" s="117">
        <f>PRODUCT($X$8:$X18)</f>
        <v>0.99945453471164836</v>
      </c>
      <c r="Z18" s="2"/>
      <c r="AA18" s="22">
        <f t="shared" si="6"/>
        <v>5</v>
      </c>
      <c r="AB18" s="23">
        <v>0</v>
      </c>
      <c r="AC18" s="23">
        <v>0</v>
      </c>
      <c r="AD18" s="23">
        <v>305000</v>
      </c>
      <c r="AE18" s="12">
        <v>305000</v>
      </c>
      <c r="AF18" s="11">
        <v>312000</v>
      </c>
      <c r="AG18" s="5">
        <v>0</v>
      </c>
      <c r="AH18" s="5">
        <v>0</v>
      </c>
      <c r="AI18" s="11">
        <v>19500</v>
      </c>
      <c r="AJ18" s="14">
        <v>0</v>
      </c>
      <c r="AK18" s="10"/>
      <c r="AL18" s="6"/>
      <c r="AM18" s="10"/>
      <c r="AN18" s="10"/>
      <c r="AO18" s="10"/>
      <c r="AP18" s="10"/>
      <c r="AR18" s="4">
        <v>305000</v>
      </c>
      <c r="AS18" s="4">
        <v>312000</v>
      </c>
      <c r="AT18" s="4"/>
      <c r="AU18" s="4"/>
      <c r="AV18" s="4">
        <v>19500</v>
      </c>
      <c r="AW18" s="4">
        <v>0</v>
      </c>
    </row>
    <row r="19" spans="1:49" x14ac:dyDescent="0.3">
      <c r="A19" s="32">
        <f t="shared" si="3"/>
        <v>11</v>
      </c>
      <c r="B19" s="32">
        <f ca="1">OFFSET(Table1[[#This Row],[Pay Period]],-1,0)+0.5</f>
        <v>5.5</v>
      </c>
      <c r="C19" s="29">
        <f t="shared" si="4"/>
        <v>5.5</v>
      </c>
      <c r="D19" s="21">
        <f t="shared" si="1"/>
        <v>0</v>
      </c>
      <c r="E19" s="21">
        <f t="shared" si="2"/>
        <v>24960</v>
      </c>
      <c r="F19" s="21" t="b">
        <f>IF(Table1[[#This Row],[Assumed Contract Value ]]&gt;0.1,Table1[[#This Row],[timeFromValuation]]&gt;=Activation_Time,0)</f>
        <v>1</v>
      </c>
      <c r="G19" s="21">
        <f t="shared" si="5"/>
        <v>280000</v>
      </c>
      <c r="H19" s="21" t="b">
        <f>Table1[[#This Row],[timeFromValuation]]=INT(Table1[[#This Row],[timeFromValuation]])</f>
        <v>0</v>
      </c>
      <c r="I19" s="7">
        <f>IF((Table1[[#This Row],[Is Anniversery]]), Table1[[#This Row],[Assumed Contract Value ]],0)</f>
        <v>0</v>
      </c>
      <c r="J19" s="7">
        <f ca="1">IF(NOT(Table1[[#This Row],[Is Activation]]),OFFSET(Table1[[#This Row],[Income Credit Base]],-1,0)+Table1[[#This Row],[Purchase Payments]]+Table1[[#This Row],[Income Credit]],0)</f>
        <v>0</v>
      </c>
      <c r="K19" s="7">
        <f>IF(AND(Table1[[#This Row],[Is Activation]]=FALSE,Table1[[#This Row],[Is Anniversery]]=TRUE),Table1[[#This Row],[Income Credit Base]]*ICP,0)</f>
        <v>0</v>
      </c>
      <c r="L19"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282281.69138336089</v>
      </c>
      <c r="M19" s="42">
        <f>IF(NOT(Table1[[#This Row],[Is Activation]]),(Table1[[#This Row],[Withdrawal Taken  ]]/Table1[[#This Row],[Assumed Contract Value ]]),0)</f>
        <v>0</v>
      </c>
      <c r="N1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2.3991456683737523E-2</v>
      </c>
      <c r="O19" s="5">
        <f ca="1">IF(NOT(Table1[[#This Row],[Has Lifetime Income Started]]),Table1[[#This Row],[Income Base]]*MAW,0)</f>
        <v>17642.605711460055</v>
      </c>
      <c r="P19" s="9">
        <f>IF(AND(Table1[[#This Row],[Has Lifetime Income Started]],Table1[[#This Row],[Is Anniversery]]),Table1[[#This Row],[Income Base]]*PIP,0)</f>
        <v>0</v>
      </c>
      <c r="Q19" s="33" t="b">
        <f t="shared" si="0"/>
        <v>0</v>
      </c>
      <c r="R19" s="10">
        <f>1/(1+InterestRate)^Table1[[#This Row],[timeFromValuation]]</f>
        <v>0.7646432430136535</v>
      </c>
      <c r="S19" s="10">
        <f>Table1[[#This Row],[timeFromValuation]]</f>
        <v>5.5</v>
      </c>
      <c r="T19" s="117">
        <f>VLOOKUP(Qx!J19,Table2[],Qx!L$6,FALSE)</f>
        <v>0.99344900000000003</v>
      </c>
      <c r="U19" s="117">
        <f>VLOOKUP(Qx!K19,Table2[],Qx!M$6,FALSE)</f>
        <v>0.97896899999999998</v>
      </c>
      <c r="V19" s="117">
        <f>PRODUCT($T$8:$T19)</f>
        <v>0.95381474650576237</v>
      </c>
      <c r="W19" s="117">
        <f>PRODUCT($U$8:$U19)</f>
        <v>0.85528451604537081</v>
      </c>
      <c r="X19" s="117">
        <f>Table1[[#This Row],[Primary Annuitant Px]]+Table1[[#This Row],[Secondary Annuitant Py]]-Table1[[#This Row],[Primary Annuitant Px]]*Table1[[#This Row],[Secondary Annuitant Py]]</f>
        <v>0.99986222591899998</v>
      </c>
      <c r="Y19" s="117">
        <f>PRODUCT($X$8:$X19)</f>
        <v>0.99931683578162711</v>
      </c>
      <c r="Z19" s="2"/>
      <c r="AA19" s="22">
        <f t="shared" si="6"/>
        <v>5.5</v>
      </c>
      <c r="AB19" s="23">
        <v>0</v>
      </c>
      <c r="AC19" s="23">
        <v>24960</v>
      </c>
      <c r="AD19" s="23">
        <v>280000</v>
      </c>
      <c r="AE19" s="12">
        <v>0</v>
      </c>
      <c r="AF19" s="11">
        <v>306033</v>
      </c>
      <c r="AG19" s="5">
        <v>0</v>
      </c>
      <c r="AH19" s="5">
        <v>0</v>
      </c>
      <c r="AI19" s="11">
        <v>19127</v>
      </c>
      <c r="AJ19" s="14">
        <v>0</v>
      </c>
      <c r="AL19" s="10"/>
      <c r="AM19" s="10"/>
      <c r="AN19" s="10"/>
      <c r="AO19" s="10"/>
      <c r="AP19" s="10"/>
      <c r="AR19" s="4" t="s">
        <v>2</v>
      </c>
      <c r="AS19" s="4">
        <v>306033</v>
      </c>
      <c r="AT19" s="4"/>
      <c r="AU19" s="4"/>
      <c r="AV19" s="4">
        <v>19127</v>
      </c>
      <c r="AW19" s="4">
        <v>0</v>
      </c>
    </row>
    <row r="20" spans="1:49" x14ac:dyDescent="0.3">
      <c r="A20" s="32">
        <f t="shared" si="3"/>
        <v>12</v>
      </c>
      <c r="B20" s="32">
        <f ca="1">OFFSET(Table1[[#This Row],[Pay Period]],-1,0)+0.5</f>
        <v>6</v>
      </c>
      <c r="C20" s="29">
        <f t="shared" si="4"/>
        <v>6</v>
      </c>
      <c r="D20" s="21">
        <f t="shared" si="1"/>
        <v>0</v>
      </c>
      <c r="E20" s="21">
        <f t="shared" si="2"/>
        <v>0</v>
      </c>
      <c r="F20" s="21" t="b">
        <f>IF(Table1[[#This Row],[Assumed Contract Value ]]&gt;0.1,Table1[[#This Row],[timeFromValuation]]&gt;=Activation_Time,0)</f>
        <v>1</v>
      </c>
      <c r="G20" s="21">
        <f t="shared" si="5"/>
        <v>290000</v>
      </c>
      <c r="H20" s="21" t="b">
        <f>Table1[[#This Row],[timeFromValuation]]=INT(Table1[[#This Row],[timeFromValuation]])</f>
        <v>1</v>
      </c>
      <c r="I20" s="7">
        <f>IF((Table1[[#This Row],[Is Anniversery]]), Table1[[#This Row],[Assumed Contract Value ]],0)</f>
        <v>290000</v>
      </c>
      <c r="J20" s="7">
        <f ca="1">IF(NOT(Table1[[#This Row],[Is Activation]]),OFFSET(Table1[[#This Row],[Income Credit Base]],-1,0)+Table1[[#This Row],[Purchase Payments]]+Table1[[#This Row],[Income Credit]],0)</f>
        <v>0</v>
      </c>
      <c r="K20" s="7">
        <f>IF(AND(Table1[[#This Row],[Is Activation]]=FALSE,Table1[[#This Row],[Is Anniversery]]=TRUE),Table1[[#This Row],[Income Credit Base]]*ICP,0)</f>
        <v>0</v>
      </c>
      <c r="L20"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290000</v>
      </c>
      <c r="M20" s="42">
        <f>IF(NOT(Table1[[#This Row],[Is Activation]]),(Table1[[#This Row],[Withdrawal Taken  ]]/Table1[[#This Row],[Assumed Contract Value ]]),0)</f>
        <v>0</v>
      </c>
      <c r="N2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20" s="5">
        <f ca="1">IF(NOT(Table1[[#This Row],[Has Lifetime Income Started]]),Table1[[#This Row],[Income Base]]*MAW,0)</f>
        <v>18125</v>
      </c>
      <c r="P20" s="9">
        <f>IF(AND(Table1[[#This Row],[Has Lifetime Income Started]],Table1[[#This Row],[Is Anniversery]]),Table1[[#This Row],[Income Base]]*PIP,0)</f>
        <v>0</v>
      </c>
      <c r="Q20" s="33" t="b">
        <f t="shared" si="0"/>
        <v>0</v>
      </c>
      <c r="R20" s="10">
        <f>1/(1+InterestRate)^Table1[[#This Row],[timeFromValuation]]</f>
        <v>0.74621539663662761</v>
      </c>
      <c r="S20" s="10">
        <f>Table1[[#This Row],[timeFromValuation]]</f>
        <v>6</v>
      </c>
      <c r="T20" s="117">
        <f>VLOOKUP(Qx!J20,Table2[],Qx!L$6,FALSE)</f>
        <v>0.99296099999999998</v>
      </c>
      <c r="U20" s="117">
        <f>VLOOKUP(Qx!K20,Table2[],Qx!M$6,FALSE)</f>
        <v>0.97645999999999999</v>
      </c>
      <c r="V20" s="117">
        <f>PRODUCT($T$8:$T20)</f>
        <v>0.94710084450510834</v>
      </c>
      <c r="W20" s="117">
        <f>PRODUCT($U$8:$U20)</f>
        <v>0.83515111853766277</v>
      </c>
      <c r="X20" s="117">
        <f>Table1[[#This Row],[Primary Annuitant Px]]+Table1[[#This Row],[Secondary Annuitant Py]]-Table1[[#This Row],[Primary Annuitant Px]]*Table1[[#This Row],[Secondary Annuitant Py]]</f>
        <v>0.99983430194000011</v>
      </c>
      <c r="Y20" s="117">
        <f>PRODUCT($X$8:$X20)</f>
        <v>0.99915125092061285</v>
      </c>
      <c r="Z20" s="2"/>
      <c r="AA20" s="22">
        <f t="shared" si="6"/>
        <v>6</v>
      </c>
      <c r="AB20" s="23">
        <v>0</v>
      </c>
      <c r="AC20" s="23">
        <v>0</v>
      </c>
      <c r="AD20" s="23">
        <v>290000</v>
      </c>
      <c r="AE20" s="12">
        <v>290000</v>
      </c>
      <c r="AF20" s="11">
        <v>306033</v>
      </c>
      <c r="AG20" s="5">
        <v>0</v>
      </c>
      <c r="AH20" s="5">
        <v>0</v>
      </c>
      <c r="AI20" s="11">
        <v>19127</v>
      </c>
      <c r="AJ20" s="14">
        <v>0</v>
      </c>
      <c r="AK20" s="10"/>
      <c r="AL20" s="10"/>
      <c r="AM20" s="10"/>
      <c r="AN20" s="10"/>
      <c r="AO20" s="10"/>
      <c r="AP20" s="10"/>
      <c r="AR20" s="4">
        <v>290000</v>
      </c>
      <c r="AS20" s="4">
        <v>306033</v>
      </c>
      <c r="AT20" s="4"/>
      <c r="AU20" s="4"/>
      <c r="AV20" s="4">
        <v>19127</v>
      </c>
      <c r="AW20" s="4">
        <v>0</v>
      </c>
    </row>
    <row r="21" spans="1:49" x14ac:dyDescent="0.3">
      <c r="A21" s="32">
        <f t="shared" si="3"/>
        <v>13</v>
      </c>
      <c r="B21" s="32">
        <f ca="1">OFFSET(Table1[[#This Row],[Pay Period]],-1,0)+0.5</f>
        <v>6.5</v>
      </c>
      <c r="C21" s="29">
        <f t="shared" si="4"/>
        <v>6.5</v>
      </c>
      <c r="D21" s="21">
        <f t="shared" si="1"/>
        <v>0</v>
      </c>
      <c r="E21" s="21">
        <f t="shared" si="2"/>
        <v>24483</v>
      </c>
      <c r="F21" s="21" t="b">
        <f>IF(Table1[[#This Row],[Assumed Contract Value ]]&gt;0.1,Table1[[#This Row],[timeFromValuation]]&gt;=Activation_Time,0)</f>
        <v>1</v>
      </c>
      <c r="G21" s="21">
        <f t="shared" si="5"/>
        <v>260000</v>
      </c>
      <c r="H21" s="21" t="b">
        <f>Table1[[#This Row],[timeFromValuation]]=INT(Table1[[#This Row],[timeFromValuation]])</f>
        <v>0</v>
      </c>
      <c r="I21" s="7">
        <f>IF((Table1[[#This Row],[Is Anniversery]]), Table1[[#This Row],[Assumed Contract Value ]],0)</f>
        <v>0</v>
      </c>
      <c r="J21" s="7">
        <f ca="1">IF(NOT(Table1[[#This Row],[Is Activation]]),OFFSET(Table1[[#This Row],[Income Credit Base]],-1,0)+Table1[[#This Row],[Purchase Payments]]+Table1[[#This Row],[Income Credit]],0)</f>
        <v>0</v>
      </c>
      <c r="K21" s="7">
        <f>IF(AND(Table1[[#This Row],[Is Activation]]=FALSE,Table1[[#This Row],[Is Anniversery]]=TRUE),Table1[[#This Row],[Income Credit Base]]*ICP,0)</f>
        <v>0</v>
      </c>
      <c r="L21"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265517</v>
      </c>
      <c r="M21" s="42">
        <f>IF(NOT(Table1[[#This Row],[Is Activation]]),(Table1[[#This Row],[Withdrawal Taken  ]]/Table1[[#This Row],[Assumed Contract Value ]]),0)</f>
        <v>0</v>
      </c>
      <c r="N2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2.7200646551724137E-2</v>
      </c>
      <c r="O21" s="5">
        <f ca="1">IF(NOT(Table1[[#This Row],[Has Lifetime Income Started]]),Table1[[#This Row],[Income Base]]*MAW,0)</f>
        <v>16594.8125</v>
      </c>
      <c r="P21" s="9">
        <f>IF(AND(Table1[[#This Row],[Has Lifetime Income Started]],Table1[[#This Row],[Is Anniversery]]),Table1[[#This Row],[Income Base]]*PIP,0)</f>
        <v>0</v>
      </c>
      <c r="Q21" s="33" t="b">
        <f t="shared" si="0"/>
        <v>0</v>
      </c>
      <c r="R21" s="10">
        <f>1/(1+InterestRate)^Table1[[#This Row],[timeFromValuation]]</f>
        <v>0.72823166001300332</v>
      </c>
      <c r="S21" s="10">
        <f>Table1[[#This Row],[timeFromValuation]]</f>
        <v>6.5</v>
      </c>
      <c r="T21" s="117">
        <f>VLOOKUP(Qx!J21,Table2[],Qx!L$6,FALSE)</f>
        <v>0.99237200000000003</v>
      </c>
      <c r="U21" s="117">
        <f>VLOOKUP(Qx!K21,Table2[],Qx!M$6,FALSE)</f>
        <v>0.97362499999999996</v>
      </c>
      <c r="V21" s="117">
        <f>PRODUCT($T$8:$T21)</f>
        <v>0.93987635926322344</v>
      </c>
      <c r="W21" s="117">
        <f>PRODUCT($U$8:$U21)</f>
        <v>0.81312400778623184</v>
      </c>
      <c r="X21" s="117">
        <f>Table1[[#This Row],[Primary Annuitant Px]]+Table1[[#This Row],[Secondary Annuitant Py]]-Table1[[#This Row],[Primary Annuitant Px]]*Table1[[#This Row],[Secondary Annuitant Py]]</f>
        <v>0.99979881150000005</v>
      </c>
      <c r="Y21" s="117">
        <f>PRODUCT($X$8:$X21)</f>
        <v>0.99895023317916709</v>
      </c>
      <c r="Z21" s="2"/>
      <c r="AA21" s="22">
        <f t="shared" si="6"/>
        <v>6.5</v>
      </c>
      <c r="AB21" s="23">
        <v>0</v>
      </c>
      <c r="AC21" s="23">
        <v>24483</v>
      </c>
      <c r="AD21" s="23">
        <v>260000</v>
      </c>
      <c r="AE21" s="12">
        <v>0</v>
      </c>
      <c r="AF21" s="11">
        <v>299982</v>
      </c>
      <c r="AG21" s="5">
        <v>0</v>
      </c>
      <c r="AH21" s="5">
        <v>0</v>
      </c>
      <c r="AI21" s="11">
        <v>18749</v>
      </c>
      <c r="AJ21" s="14">
        <v>0</v>
      </c>
      <c r="AK21" s="10"/>
      <c r="AL21" s="10"/>
      <c r="AM21" s="10"/>
      <c r="AN21" s="10"/>
      <c r="AO21" s="10"/>
      <c r="AP21" s="10"/>
      <c r="AR21" s="4" t="s">
        <v>2</v>
      </c>
      <c r="AS21" s="4">
        <v>299982</v>
      </c>
      <c r="AT21" s="4"/>
      <c r="AU21" s="4"/>
      <c r="AV21" s="4">
        <v>18749</v>
      </c>
      <c r="AW21" s="4">
        <v>0</v>
      </c>
    </row>
    <row r="22" spans="1:49" x14ac:dyDescent="0.3">
      <c r="A22" s="32">
        <f t="shared" si="3"/>
        <v>14</v>
      </c>
      <c r="B22" s="32">
        <f ca="1">OFFSET(Table1[[#This Row],[Pay Period]],-1,0)+0.5</f>
        <v>7</v>
      </c>
      <c r="C22" s="29">
        <f t="shared" si="4"/>
        <v>7</v>
      </c>
      <c r="D22" s="21">
        <f t="shared" si="1"/>
        <v>0</v>
      </c>
      <c r="E22" s="21">
        <f t="shared" si="2"/>
        <v>0</v>
      </c>
      <c r="F22" s="21" t="b">
        <f>IF(Table1[[#This Row],[Assumed Contract Value ]]&gt;0.1,Table1[[#This Row],[timeFromValuation]]&gt;=Activation_Time,0)</f>
        <v>1</v>
      </c>
      <c r="G22" s="21">
        <f t="shared" si="5"/>
        <v>230000</v>
      </c>
      <c r="H22" s="21" t="b">
        <f>Table1[[#This Row],[timeFromValuation]]=INT(Table1[[#This Row],[timeFromValuation]])</f>
        <v>1</v>
      </c>
      <c r="I22" s="7">
        <f>IF((Table1[[#This Row],[Is Anniversery]]), Table1[[#This Row],[Assumed Contract Value ]],0)</f>
        <v>230000</v>
      </c>
      <c r="J22" s="7">
        <f ca="1">IF(NOT(Table1[[#This Row],[Is Activation]]),OFFSET(Table1[[#This Row],[Income Credit Base]],-1,0)+Table1[[#This Row],[Purchase Payments]]+Table1[[#This Row],[Income Credit]],0)</f>
        <v>0</v>
      </c>
      <c r="K22" s="7">
        <f>IF(AND(Table1[[#This Row],[Is Activation]]=FALSE,Table1[[#This Row],[Is Anniversery]]=TRUE),Table1[[#This Row],[Income Credit Base]]*ICP,0)</f>
        <v>0</v>
      </c>
      <c r="L22"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265517</v>
      </c>
      <c r="M22" s="42">
        <f>IF(NOT(Table1[[#This Row],[Is Activation]]),(Table1[[#This Row],[Withdrawal Taken  ]]/Table1[[#This Row],[Assumed Contract Value ]]),0)</f>
        <v>0</v>
      </c>
      <c r="N2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22" s="5">
        <f ca="1">IF(NOT(Table1[[#This Row],[Has Lifetime Income Started]]),Table1[[#This Row],[Income Base]]*MAW,0)</f>
        <v>16594.8125</v>
      </c>
      <c r="P22" s="9">
        <f>IF(AND(Table1[[#This Row],[Has Lifetime Income Started]],Table1[[#This Row],[Is Anniversery]]),Table1[[#This Row],[Income Base]]*PIP,0)</f>
        <v>0</v>
      </c>
      <c r="Q22" s="33" t="b">
        <f t="shared" si="0"/>
        <v>0</v>
      </c>
      <c r="R22" s="10">
        <f>1/(1+InterestRate)^Table1[[#This Row],[timeFromValuation]]</f>
        <v>0.71068133013012147</v>
      </c>
      <c r="S22" s="10">
        <f>Table1[[#This Row],[timeFromValuation]]</f>
        <v>7</v>
      </c>
      <c r="T22" s="117">
        <f>VLOOKUP(Qx!J22,Table2[],Qx!L$6,FALSE)</f>
        <v>0.99168900000000004</v>
      </c>
      <c r="U22" s="117">
        <f>VLOOKUP(Qx!K22,Table2[],Qx!M$6,FALSE)</f>
        <v>0.97042799999999996</v>
      </c>
      <c r="V22" s="117">
        <f>PRODUCT($T$8:$T22)</f>
        <v>0.9320650468413868</v>
      </c>
      <c r="W22" s="117">
        <f>PRODUCT($U$8:$U22)</f>
        <v>0.78907830462797734</v>
      </c>
      <c r="X22" s="117">
        <f>Table1[[#This Row],[Primary Annuitant Px]]+Table1[[#This Row],[Secondary Annuitant Py]]-Table1[[#This Row],[Primary Annuitant Px]]*Table1[[#This Row],[Secondary Annuitant Py]]</f>
        <v>0.9997542271080001</v>
      </c>
      <c r="Y22" s="117">
        <f>PRODUCT($X$8:$X22)</f>
        <v>0.99870471829139462</v>
      </c>
      <c r="Z22" s="2"/>
      <c r="AA22" s="22">
        <f t="shared" si="6"/>
        <v>7</v>
      </c>
      <c r="AB22" s="23">
        <v>0</v>
      </c>
      <c r="AC22" s="23">
        <v>0</v>
      </c>
      <c r="AD22" s="23">
        <v>230000</v>
      </c>
      <c r="AE22" s="12">
        <v>230000</v>
      </c>
      <c r="AF22" s="11">
        <v>299982</v>
      </c>
      <c r="AG22" s="5">
        <v>0</v>
      </c>
      <c r="AH22" s="5">
        <v>0</v>
      </c>
      <c r="AI22" s="11">
        <v>18749</v>
      </c>
      <c r="AJ22" s="14">
        <v>0</v>
      </c>
      <c r="AK22" s="10"/>
      <c r="AL22" s="10"/>
      <c r="AM22" s="10"/>
      <c r="AN22" s="10"/>
      <c r="AO22" s="10"/>
      <c r="AP22" s="10"/>
      <c r="AR22" s="4">
        <v>230000</v>
      </c>
      <c r="AS22" s="4">
        <v>299982</v>
      </c>
      <c r="AT22" s="4"/>
      <c r="AU22" s="4"/>
      <c r="AV22" s="4">
        <v>18749</v>
      </c>
      <c r="AW22" s="4">
        <v>0</v>
      </c>
    </row>
    <row r="23" spans="1:49" x14ac:dyDescent="0.3">
      <c r="A23" s="32">
        <f t="shared" si="3"/>
        <v>15</v>
      </c>
      <c r="B23" s="32">
        <f ca="1">OFFSET(Table1[[#This Row],[Pay Period]],-1,0)+0.5</f>
        <v>7.5</v>
      </c>
      <c r="C23" s="29">
        <f t="shared" si="4"/>
        <v>7.5</v>
      </c>
      <c r="D23" s="21">
        <f t="shared" si="1"/>
        <v>0</v>
      </c>
      <c r="E23" s="21">
        <f t="shared" si="2"/>
        <v>0</v>
      </c>
      <c r="F23" s="21" t="b">
        <f>IF(Table1[[#This Row],[Assumed Contract Value ]]&gt;0.1,Table1[[#This Row],[timeFromValuation]]&gt;=Activation_Time,0)</f>
        <v>1</v>
      </c>
      <c r="G23" s="21">
        <f t="shared" si="5"/>
        <v>230000</v>
      </c>
      <c r="H23" s="21" t="b">
        <f>Table1[[#This Row],[timeFromValuation]]=INT(Table1[[#This Row],[timeFromValuation]])</f>
        <v>0</v>
      </c>
      <c r="I23" s="7">
        <f>IF((Table1[[#This Row],[Is Anniversery]]), Table1[[#This Row],[Assumed Contract Value ]],0)</f>
        <v>0</v>
      </c>
      <c r="J23" s="7">
        <f ca="1">IF(NOT(Table1[[#This Row],[Is Activation]]),OFFSET(Table1[[#This Row],[Income Credit Base]],-1,0)+Table1[[#This Row],[Purchase Payments]]+Table1[[#This Row],[Income Credit]],0)</f>
        <v>0</v>
      </c>
      <c r="K23" s="7">
        <f>IF(AND(Table1[[#This Row],[Is Activation]]=FALSE,Table1[[#This Row],[Is Anniversery]]=TRUE),Table1[[#This Row],[Income Credit Base]]*ICP,0)</f>
        <v>0</v>
      </c>
      <c r="L23"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265517</v>
      </c>
      <c r="M23" s="42">
        <f>IF(NOT(Table1[[#This Row],[Is Activation]]),(Table1[[#This Row],[Withdrawal Taken  ]]/Table1[[#This Row],[Assumed Contract Value ]]),0)</f>
        <v>0</v>
      </c>
      <c r="N2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23" s="5">
        <f ca="1">IF(NOT(Table1[[#This Row],[Has Lifetime Income Started]]),Table1[[#This Row],[Income Base]]*MAW,0)</f>
        <v>16594.8125</v>
      </c>
      <c r="P23" s="9">
        <f>IF(AND(Table1[[#This Row],[Has Lifetime Income Started]],Table1[[#This Row],[Is Anniversery]]),Table1[[#This Row],[Income Base]]*PIP,0)</f>
        <v>0</v>
      </c>
      <c r="Q23" s="33" t="b">
        <f t="shared" si="0"/>
        <v>0</v>
      </c>
      <c r="R23" s="10">
        <f>1/(1+InterestRate)^Table1[[#This Row],[timeFromValuation]]</f>
        <v>0.69355396191714602</v>
      </c>
      <c r="S23" s="10">
        <f>Table1[[#This Row],[timeFromValuation]]</f>
        <v>7.5</v>
      </c>
      <c r="T23" s="117">
        <f>VLOOKUP(Qx!J23,Table2[],Qx!L$6,FALSE)</f>
        <v>0.99092599999999997</v>
      </c>
      <c r="U23" s="117">
        <f>VLOOKUP(Qx!K23,Table2[],Qx!M$6,FALSE)</f>
        <v>0.96676600000000001</v>
      </c>
      <c r="V23" s="117">
        <f>PRODUCT($T$8:$T23)</f>
        <v>0.923607488606348</v>
      </c>
      <c r="W23" s="117">
        <f>PRODUCT($U$8:$U23)</f>
        <v>0.7628540762519711</v>
      </c>
      <c r="X23" s="117">
        <f>Table1[[#This Row],[Primary Annuitant Px]]+Table1[[#This Row],[Secondary Annuitant Py]]-Table1[[#This Row],[Primary Annuitant Px]]*Table1[[#This Row],[Secondary Annuitant Py]]</f>
        <v>0.99969843468399999</v>
      </c>
      <c r="Y23" s="117">
        <f>PRODUCT($X$8:$X23)</f>
        <v>0.99840354358743233</v>
      </c>
      <c r="Z23" s="2"/>
      <c r="AA23" s="22">
        <f>AA22+0.5</f>
        <v>7.5</v>
      </c>
      <c r="AB23" s="23">
        <v>0</v>
      </c>
      <c r="AC23" s="23">
        <v>0</v>
      </c>
      <c r="AD23" s="23">
        <v>230000</v>
      </c>
      <c r="AE23" s="13">
        <v>0</v>
      </c>
      <c r="AF23" s="11">
        <v>299982</v>
      </c>
      <c r="AG23" s="5">
        <v>0</v>
      </c>
      <c r="AH23" s="5">
        <v>0</v>
      </c>
      <c r="AI23" s="11">
        <v>18749</v>
      </c>
      <c r="AJ23" s="14">
        <v>0</v>
      </c>
      <c r="AK23" s="10"/>
      <c r="AL23" s="10"/>
      <c r="AM23" s="10"/>
      <c r="AN23" s="10"/>
      <c r="AO23" s="10"/>
      <c r="AP23" s="10"/>
      <c r="AR23" s="4">
        <v>150000</v>
      </c>
      <c r="AS23" s="4">
        <v>299982</v>
      </c>
      <c r="AT23" s="4"/>
      <c r="AU23" s="4"/>
      <c r="AV23" s="4">
        <v>18749</v>
      </c>
      <c r="AW23" s="4">
        <v>0</v>
      </c>
    </row>
    <row r="24" spans="1:49" x14ac:dyDescent="0.3">
      <c r="A24" s="32">
        <f t="shared" si="3"/>
        <v>16</v>
      </c>
      <c r="B24" s="32">
        <f ca="1">OFFSET(Table1[[#This Row],[Pay Period]],-1,0)+0.5</f>
        <v>8</v>
      </c>
      <c r="C24" s="29">
        <f t="shared" si="4"/>
        <v>8</v>
      </c>
      <c r="D24" s="21">
        <f t="shared" si="1"/>
        <v>0</v>
      </c>
      <c r="E24" s="21">
        <f t="shared" si="2"/>
        <v>0</v>
      </c>
      <c r="F24" s="21" t="b">
        <f>IF(Table1[[#This Row],[Assumed Contract Value ]]&gt;0.1,Table1[[#This Row],[timeFromValuation]]&gt;=Activation_Time,0)</f>
        <v>1</v>
      </c>
      <c r="G24" s="21">
        <f t="shared" si="5"/>
        <v>150000</v>
      </c>
      <c r="H24" s="21" t="b">
        <f>Table1[[#This Row],[timeFromValuation]]=INT(Table1[[#This Row],[timeFromValuation]])</f>
        <v>1</v>
      </c>
      <c r="I24" s="7">
        <f>IF((Table1[[#This Row],[Is Anniversery]]), Table1[[#This Row],[Assumed Contract Value ]],0)</f>
        <v>150000</v>
      </c>
      <c r="J24" s="7">
        <f ca="1">IF(NOT(Table1[[#This Row],[Is Activation]]),OFFSET(Table1[[#This Row],[Income Credit Base]],-1,0)+Table1[[#This Row],[Purchase Payments]]+Table1[[#This Row],[Income Credit]],0)</f>
        <v>0</v>
      </c>
      <c r="K24" s="7">
        <f>IF(AND(Table1[[#This Row],[Is Activation]]=FALSE,Table1[[#This Row],[Is Anniversery]]=TRUE),Table1[[#This Row],[Income Credit Base]]*ICP,0)</f>
        <v>0</v>
      </c>
      <c r="L24"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265517</v>
      </c>
      <c r="M24" s="42">
        <f>IF(NOT(Table1[[#This Row],[Is Activation]]),(Table1[[#This Row],[Withdrawal Taken  ]]/Table1[[#This Row],[Assumed Contract Value ]]),0)</f>
        <v>0</v>
      </c>
      <c r="N2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24" s="5">
        <f ca="1">IF(NOT(Table1[[#This Row],[Has Lifetime Income Started]]),Table1[[#This Row],[Income Base]]*MAW,0)</f>
        <v>16594.8125</v>
      </c>
      <c r="P24" s="9">
        <f>IF(AND(Table1[[#This Row],[Has Lifetime Income Started]],Table1[[#This Row],[Is Anniversery]]),Table1[[#This Row],[Income Base]]*PIP,0)</f>
        <v>0</v>
      </c>
      <c r="Q24" s="33" t="b">
        <f t="shared" si="0"/>
        <v>0</v>
      </c>
      <c r="R24" s="10">
        <f>1/(1+InterestRate)^Table1[[#This Row],[timeFromValuation]]</f>
        <v>0.67683936202868722</v>
      </c>
      <c r="S24" s="10">
        <f>Table1[[#This Row],[timeFromValuation]]</f>
        <v>8</v>
      </c>
      <c r="T24" s="117">
        <f>VLOOKUP(Qx!J24,Table2[],Qx!L$6,FALSE)</f>
        <v>0.99009000000000003</v>
      </c>
      <c r="U24" s="117">
        <f>VLOOKUP(Qx!K24,Table2[],Qx!M$6,FALSE)</f>
        <v>0.96246699999999996</v>
      </c>
      <c r="V24" s="117">
        <f>PRODUCT($T$8:$T24)</f>
        <v>0.91445453839425916</v>
      </c>
      <c r="W24" s="117">
        <f>PRODUCT($U$8:$U24)</f>
        <v>0.73422187420800589</v>
      </c>
      <c r="X24" s="117">
        <f>Table1[[#This Row],[Primary Annuitant Px]]+Table1[[#This Row],[Secondary Annuitant Py]]-Table1[[#This Row],[Primary Annuitant Px]]*Table1[[#This Row],[Secondary Annuitant Py]]</f>
        <v>0.99962804797000016</v>
      </c>
      <c r="Y24" s="117">
        <f>PRODUCT($X$8:$X24)</f>
        <v>0.99803218536263594</v>
      </c>
      <c r="Z24" s="2"/>
      <c r="AA24" s="22">
        <f t="shared" si="6"/>
        <v>8</v>
      </c>
      <c r="AB24" s="23">
        <v>0</v>
      </c>
      <c r="AC24" s="23">
        <v>0</v>
      </c>
      <c r="AD24" s="23">
        <v>150000</v>
      </c>
      <c r="AE24" s="12">
        <v>150000</v>
      </c>
      <c r="AF24" s="11">
        <v>299982</v>
      </c>
      <c r="AG24" s="5">
        <v>0</v>
      </c>
      <c r="AH24" s="5">
        <v>0</v>
      </c>
      <c r="AI24" s="11">
        <v>18749</v>
      </c>
      <c r="AJ24" s="14">
        <v>0</v>
      </c>
      <c r="AK24" s="10"/>
      <c r="AL24" s="10"/>
      <c r="AM24" s="10"/>
      <c r="AN24" s="10"/>
      <c r="AO24" s="10"/>
      <c r="AP24" s="10"/>
      <c r="AR24" s="4">
        <f>AR23</f>
        <v>150000</v>
      </c>
      <c r="AS24" s="4">
        <f t="shared" ref="AS24:AV24" si="8">AS23</f>
        <v>299982</v>
      </c>
      <c r="AT24" s="4">
        <f t="shared" si="8"/>
        <v>0</v>
      </c>
      <c r="AU24" s="4">
        <f t="shared" si="8"/>
        <v>0</v>
      </c>
      <c r="AV24" s="4">
        <f t="shared" si="8"/>
        <v>18749</v>
      </c>
      <c r="AW24" s="4">
        <v>0</v>
      </c>
    </row>
    <row r="25" spans="1:49" x14ac:dyDescent="0.3">
      <c r="A25" s="32">
        <f t="shared" si="3"/>
        <v>17</v>
      </c>
      <c r="B25" s="32">
        <f ca="1">OFFSET(Table1[[#This Row],[Pay Period]],-1,0)+0.5</f>
        <v>8.5</v>
      </c>
      <c r="C25" s="29">
        <f t="shared" si="4"/>
        <v>8.5</v>
      </c>
      <c r="D25" s="21">
        <f t="shared" si="1"/>
        <v>0</v>
      </c>
      <c r="E25" s="21">
        <f t="shared" si="2"/>
        <v>0</v>
      </c>
      <c r="F25" s="21" t="b">
        <f>IF(Table1[[#This Row],[Assumed Contract Value ]]&gt;0.1,Table1[[#This Row],[timeFromValuation]]&gt;=Activation_Time,0)</f>
        <v>1</v>
      </c>
      <c r="G25" s="21">
        <f t="shared" si="5"/>
        <v>150000</v>
      </c>
      <c r="H25" s="21" t="b">
        <f>Table1[[#This Row],[timeFromValuation]]=INT(Table1[[#This Row],[timeFromValuation]])</f>
        <v>0</v>
      </c>
      <c r="I25" s="7">
        <f>IF((Table1[[#This Row],[Is Anniversery]]), Table1[[#This Row],[Assumed Contract Value ]],0)</f>
        <v>0</v>
      </c>
      <c r="J25" s="7">
        <f ca="1">IF(NOT(Table1[[#This Row],[Is Activation]]),OFFSET(Table1[[#This Row],[Income Credit Base]],-1,0)+Table1[[#This Row],[Purchase Payments]]+Table1[[#This Row],[Income Credit]],0)</f>
        <v>0</v>
      </c>
      <c r="K25" s="7">
        <f>IF(AND(Table1[[#This Row],[Is Activation]]=FALSE,Table1[[#This Row],[Is Anniversery]]=TRUE),Table1[[#This Row],[Income Credit Base]]*ICP,0)</f>
        <v>0</v>
      </c>
      <c r="L25"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265517</v>
      </c>
      <c r="M25" s="42">
        <f>IF(NOT(Table1[[#This Row],[Is Activation]]),(Table1[[#This Row],[Withdrawal Taken  ]]/Table1[[#This Row],[Assumed Contract Value ]]),0)</f>
        <v>0</v>
      </c>
      <c r="N2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25" s="5">
        <f ca="1">IF(NOT(Table1[[#This Row],[Has Lifetime Income Started]]),Table1[[#This Row],[Income Base]]*MAW,0)</f>
        <v>16594.8125</v>
      </c>
      <c r="P25" s="9">
        <f>IF(AND(Table1[[#This Row],[Has Lifetime Income Started]],Table1[[#This Row],[Is Anniversery]]),Table1[[#This Row],[Income Base]]*PIP,0)</f>
        <v>0</v>
      </c>
      <c r="Q25" s="33" t="b">
        <f t="shared" si="0"/>
        <v>0</v>
      </c>
      <c r="R25" s="10">
        <f>1/(1+InterestRate)^Table1[[#This Row],[timeFromValuation]]</f>
        <v>0.66052758277823431</v>
      </c>
      <c r="S25" s="10">
        <f>Table1[[#This Row],[timeFromValuation]]</f>
        <v>8.5</v>
      </c>
      <c r="T25" s="117">
        <f>VLOOKUP(Qx!J25,Table2[],Qx!L$6,FALSE)</f>
        <v>0.98917299999999997</v>
      </c>
      <c r="U25" s="117">
        <f>VLOOKUP(Qx!K25,Table2[],Qx!M$6,FALSE)</f>
        <v>0.95773900000000001</v>
      </c>
      <c r="V25" s="117">
        <f>PRODUCT($T$8:$T25)</f>
        <v>0.90455373910706449</v>
      </c>
      <c r="W25" s="117">
        <f>PRODUCT($U$8:$U25)</f>
        <v>0.70319292358210139</v>
      </c>
      <c r="X25" s="117">
        <f>Table1[[#This Row],[Primary Annuitant Px]]+Table1[[#This Row],[Secondary Annuitant Py]]-Table1[[#This Row],[Primary Annuitant Px]]*Table1[[#This Row],[Secondary Annuitant Py]]</f>
        <v>0.99954244015299998</v>
      </c>
      <c r="Y25" s="117">
        <f>PRODUCT($X$8:$X25)</f>
        <v>0.99757552590860032</v>
      </c>
      <c r="Z25" s="2"/>
      <c r="AA25" s="22">
        <f t="shared" si="6"/>
        <v>8.5</v>
      </c>
      <c r="AB25" s="23">
        <v>0</v>
      </c>
      <c r="AC25" s="23">
        <v>0</v>
      </c>
      <c r="AD25" s="23">
        <v>150000</v>
      </c>
      <c r="AE25" s="13">
        <v>0</v>
      </c>
      <c r="AF25" s="11">
        <v>299982</v>
      </c>
      <c r="AG25" s="5">
        <v>0</v>
      </c>
      <c r="AH25" s="5">
        <v>0</v>
      </c>
      <c r="AI25" s="11">
        <v>18749</v>
      </c>
      <c r="AJ25" s="14">
        <v>0</v>
      </c>
      <c r="AK25" s="10"/>
      <c r="AL25" s="10"/>
      <c r="AM25" s="10"/>
      <c r="AN25" s="10"/>
      <c r="AO25" s="10"/>
      <c r="AP25" s="10"/>
      <c r="AR25" s="4">
        <v>100000</v>
      </c>
      <c r="AS25" s="4">
        <v>299982</v>
      </c>
      <c r="AT25" s="4"/>
      <c r="AU25" s="4"/>
      <c r="AV25" s="4">
        <v>18749</v>
      </c>
      <c r="AW25" s="4">
        <v>0</v>
      </c>
    </row>
    <row r="26" spans="1:49" x14ac:dyDescent="0.3">
      <c r="A26" s="32">
        <f t="shared" si="3"/>
        <v>18</v>
      </c>
      <c r="B26" s="32">
        <f ca="1">OFFSET(Table1[[#This Row],[Pay Period]],-1,0)+0.5</f>
        <v>9</v>
      </c>
      <c r="C26" s="29">
        <f t="shared" si="4"/>
        <v>9</v>
      </c>
      <c r="D26" s="21">
        <f t="shared" si="1"/>
        <v>0</v>
      </c>
      <c r="E26" s="21">
        <f t="shared" si="2"/>
        <v>0</v>
      </c>
      <c r="F26" s="21" t="b">
        <f>IF(Table1[[#This Row],[Assumed Contract Value ]]&gt;0.1,Table1[[#This Row],[timeFromValuation]]&gt;=Activation_Time,0)</f>
        <v>1</v>
      </c>
      <c r="G26" s="21">
        <f t="shared" si="5"/>
        <v>100000</v>
      </c>
      <c r="H26" s="21" t="b">
        <f>Table1[[#This Row],[timeFromValuation]]=INT(Table1[[#This Row],[timeFromValuation]])</f>
        <v>1</v>
      </c>
      <c r="I26" s="7">
        <f>IF((Table1[[#This Row],[Is Anniversery]]), Table1[[#This Row],[Assumed Contract Value ]],0)</f>
        <v>100000</v>
      </c>
      <c r="J26" s="7">
        <f ca="1">IF(NOT(Table1[[#This Row],[Is Activation]]),OFFSET(Table1[[#This Row],[Income Credit Base]],-1,0)+Table1[[#This Row],[Purchase Payments]]+Table1[[#This Row],[Income Credit]],0)</f>
        <v>0</v>
      </c>
      <c r="K26" s="7">
        <f>IF(AND(Table1[[#This Row],[Is Activation]]=FALSE,Table1[[#This Row],[Is Anniversery]]=TRUE),Table1[[#This Row],[Income Credit Base]]*ICP,0)</f>
        <v>0</v>
      </c>
      <c r="L26"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265517</v>
      </c>
      <c r="M26" s="42">
        <f>IF(NOT(Table1[[#This Row],[Is Activation]]),(Table1[[#This Row],[Withdrawal Taken  ]]/Table1[[#This Row],[Assumed Contract Value ]]),0)</f>
        <v>0</v>
      </c>
      <c r="N2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26" s="5">
        <f ca="1">IF(NOT(Table1[[#This Row],[Has Lifetime Income Started]]),Table1[[#This Row],[Income Base]]*MAW,0)</f>
        <v>16594.8125</v>
      </c>
      <c r="P26" s="9">
        <f>IF(AND(Table1[[#This Row],[Has Lifetime Income Started]],Table1[[#This Row],[Is Anniversery]]),Table1[[#This Row],[Income Base]]*PIP,0)</f>
        <v>0</v>
      </c>
      <c r="Q26" s="33" t="b">
        <f t="shared" si="0"/>
        <v>0</v>
      </c>
      <c r="R26" s="10">
        <f>1/(1+InterestRate)^Table1[[#This Row],[timeFromValuation]]</f>
        <v>0.64460891621779726</v>
      </c>
      <c r="S26" s="10">
        <f>Table1[[#This Row],[timeFromValuation]]</f>
        <v>9</v>
      </c>
      <c r="T26" s="117">
        <f>VLOOKUP(Qx!J26,Table2[],Qx!L$6,FALSE)</f>
        <v>0.98816099999999996</v>
      </c>
      <c r="U26" s="117">
        <f>VLOOKUP(Qx!K26,Table2[],Qx!M$6,FALSE)</f>
        <v>0.95255900000000004</v>
      </c>
      <c r="V26" s="117">
        <f>PRODUCT($T$8:$T26)</f>
        <v>0.89384472738977594</v>
      </c>
      <c r="W26" s="117">
        <f>PRODUCT($U$8:$U26)</f>
        <v>0.66983274809444293</v>
      </c>
      <c r="X26" s="117">
        <f>Table1[[#This Row],[Primary Annuitant Px]]+Table1[[#This Row],[Secondary Annuitant Py]]-Table1[[#This Row],[Primary Annuitant Px]]*Table1[[#This Row],[Secondary Annuitant Py]]</f>
        <v>0.99943834600100001</v>
      </c>
      <c r="Y26" s="117">
        <f>PRODUCT($X$8:$X26)</f>
        <v>0.99701523362516919</v>
      </c>
      <c r="Z26" s="2"/>
      <c r="AA26" s="22">
        <f t="shared" si="6"/>
        <v>9</v>
      </c>
      <c r="AB26" s="23">
        <v>0</v>
      </c>
      <c r="AC26" s="23">
        <v>0</v>
      </c>
      <c r="AD26" s="23">
        <v>100000</v>
      </c>
      <c r="AE26" s="12">
        <v>100000</v>
      </c>
      <c r="AF26" s="11">
        <v>299982</v>
      </c>
      <c r="AG26" s="5">
        <v>0</v>
      </c>
      <c r="AH26" s="5">
        <v>0</v>
      </c>
      <c r="AI26" s="11">
        <v>18749</v>
      </c>
      <c r="AJ26" s="14">
        <v>0</v>
      </c>
      <c r="AK26" s="10"/>
      <c r="AL26" s="10"/>
      <c r="AM26" s="10"/>
      <c r="AN26" s="10"/>
      <c r="AO26" s="10"/>
      <c r="AP26" s="10"/>
      <c r="AR26" s="4">
        <f>AR25</f>
        <v>100000</v>
      </c>
      <c r="AS26" s="4">
        <f t="shared" ref="AS26" si="9">AS25</f>
        <v>299982</v>
      </c>
      <c r="AT26" s="4">
        <f t="shared" ref="AT26" si="10">AT25</f>
        <v>0</v>
      </c>
      <c r="AU26" s="4">
        <f t="shared" ref="AU26" si="11">AU25</f>
        <v>0</v>
      </c>
      <c r="AV26" s="4">
        <f t="shared" ref="AV26" si="12">AV25</f>
        <v>18749</v>
      </c>
      <c r="AW26" s="4">
        <v>0</v>
      </c>
    </row>
    <row r="27" spans="1:49" x14ac:dyDescent="0.3">
      <c r="A27" s="32">
        <f t="shared" si="3"/>
        <v>19</v>
      </c>
      <c r="B27" s="32">
        <f ca="1">OFFSET(Table1[[#This Row],[Pay Period]],-1,0)+0.5</f>
        <v>9.5</v>
      </c>
      <c r="C27" s="29">
        <f t="shared" si="4"/>
        <v>9.5</v>
      </c>
      <c r="D27" s="21">
        <f t="shared" si="1"/>
        <v>0</v>
      </c>
      <c r="E27" s="21">
        <f t="shared" si="2"/>
        <v>0</v>
      </c>
      <c r="F27" s="21" t="b">
        <f>IF(Table1[[#This Row],[Assumed Contract Value ]]&gt;0.1,Table1[[#This Row],[timeFromValuation]]&gt;=Activation_Time,0)</f>
        <v>1</v>
      </c>
      <c r="G27" s="21">
        <f t="shared" si="5"/>
        <v>100000</v>
      </c>
      <c r="H27" s="21" t="b">
        <f>Table1[[#This Row],[timeFromValuation]]=INT(Table1[[#This Row],[timeFromValuation]])</f>
        <v>0</v>
      </c>
      <c r="I27" s="7">
        <f>IF((Table1[[#This Row],[Is Anniversery]]), Table1[[#This Row],[Assumed Contract Value ]],0)</f>
        <v>0</v>
      </c>
      <c r="J27" s="7">
        <f ca="1">IF(NOT(Table1[[#This Row],[Is Activation]]),OFFSET(Table1[[#This Row],[Income Credit Base]],-1,0)+Table1[[#This Row],[Purchase Payments]]+Table1[[#This Row],[Income Credit]],0)</f>
        <v>0</v>
      </c>
      <c r="K27" s="7">
        <f>IF(AND(Table1[[#This Row],[Is Activation]]=FALSE,Table1[[#This Row],[Is Anniversery]]=TRUE),Table1[[#This Row],[Income Credit Base]]*ICP,0)</f>
        <v>0</v>
      </c>
      <c r="L27"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265517</v>
      </c>
      <c r="M27" s="42">
        <f>IF(NOT(Table1[[#This Row],[Is Activation]]),(Table1[[#This Row],[Withdrawal Taken  ]]/Table1[[#This Row],[Assumed Contract Value ]]),0)</f>
        <v>0</v>
      </c>
      <c r="N2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27" s="5">
        <f ca="1">IF(NOT(Table1[[#This Row],[Has Lifetime Income Started]]),Table1[[#This Row],[Income Base]]*MAW,0)</f>
        <v>16594.8125</v>
      </c>
      <c r="P27" s="9">
        <f>IF(AND(Table1[[#This Row],[Has Lifetime Income Started]],Table1[[#This Row],[Is Anniversery]]),Table1[[#This Row],[Income Base]]*PIP,0)</f>
        <v>0</v>
      </c>
      <c r="Q27" s="33" t="b">
        <f t="shared" si="0"/>
        <v>0</v>
      </c>
      <c r="R27" s="10">
        <f>1/(1+InterestRate)^Table1[[#This Row],[timeFromValuation]]</f>
        <v>0.62907388836022304</v>
      </c>
      <c r="S27" s="10">
        <f>Table1[[#This Row],[timeFromValuation]]</f>
        <v>9.5</v>
      </c>
      <c r="T27" s="117">
        <f>VLOOKUP(Qx!J27,Table2[],Qx!L$6,FALSE)</f>
        <v>0.98702599999999996</v>
      </c>
      <c r="U27" s="117">
        <f>VLOOKUP(Qx!K27,Table2[],Qx!M$6,FALSE)</f>
        <v>0.94676700000000003</v>
      </c>
      <c r="V27" s="117">
        <f>PRODUCT($T$8:$T27)</f>
        <v>0.8822479858966209</v>
      </c>
      <c r="W27" s="117">
        <f>PRODUCT($U$8:$U27)</f>
        <v>0.63417554141513144</v>
      </c>
      <c r="X27" s="117">
        <f>Table1[[#This Row],[Primary Annuitant Px]]+Table1[[#This Row],[Secondary Annuitant Py]]-Table1[[#This Row],[Primary Annuitant Px]]*Table1[[#This Row],[Secondary Annuitant Py]]</f>
        <v>0.99930935505800011</v>
      </c>
      <c r="Y27" s="117">
        <f>PRODUCT($X$8:$X27)</f>
        <v>0.99632665009696919</v>
      </c>
      <c r="Z27" s="2"/>
      <c r="AA27" s="22">
        <f t="shared" si="6"/>
        <v>9.5</v>
      </c>
      <c r="AB27" s="23">
        <v>0</v>
      </c>
      <c r="AC27" s="23">
        <v>0</v>
      </c>
      <c r="AD27" s="23">
        <v>100000</v>
      </c>
      <c r="AE27" s="13">
        <v>0</v>
      </c>
      <c r="AF27" s="11">
        <v>299982</v>
      </c>
      <c r="AG27" s="5">
        <v>0</v>
      </c>
      <c r="AH27" s="5">
        <v>0</v>
      </c>
      <c r="AI27" s="11">
        <v>18749</v>
      </c>
      <c r="AJ27" s="14">
        <v>0</v>
      </c>
      <c r="AK27" s="10"/>
      <c r="AL27" s="10"/>
      <c r="AM27" s="10"/>
      <c r="AN27" s="10"/>
      <c r="AO27" s="10"/>
      <c r="AP27" s="10"/>
      <c r="AR27" s="4">
        <v>50000</v>
      </c>
      <c r="AS27" s="4">
        <v>299982</v>
      </c>
      <c r="AT27" s="4"/>
      <c r="AU27" s="4"/>
      <c r="AV27" s="4">
        <v>18749</v>
      </c>
      <c r="AW27" s="4">
        <v>0</v>
      </c>
    </row>
    <row r="28" spans="1:49" x14ac:dyDescent="0.3">
      <c r="A28" s="32">
        <f t="shared" si="3"/>
        <v>20</v>
      </c>
      <c r="B28" s="32">
        <f ca="1">OFFSET(Table1[[#This Row],[Pay Period]],-1,0)+0.5</f>
        <v>10</v>
      </c>
      <c r="C28" s="29">
        <f t="shared" si="4"/>
        <v>10</v>
      </c>
      <c r="D28" s="21">
        <f t="shared" si="1"/>
        <v>0</v>
      </c>
      <c r="E28" s="21">
        <f t="shared" si="2"/>
        <v>0</v>
      </c>
      <c r="F28" s="21" t="b">
        <f>IF(Table1[[#This Row],[Assumed Contract Value ]]&gt;0.1,Table1[[#This Row],[timeFromValuation]]&gt;=Activation_Time,0)</f>
        <v>1</v>
      </c>
      <c r="G28" s="21">
        <f t="shared" si="5"/>
        <v>50000</v>
      </c>
      <c r="H28" s="21" t="b">
        <f>Table1[[#This Row],[timeFromValuation]]=INT(Table1[[#This Row],[timeFromValuation]])</f>
        <v>1</v>
      </c>
      <c r="I28" s="7">
        <f>IF((Table1[[#This Row],[Is Anniversery]]), Table1[[#This Row],[Assumed Contract Value ]],0)</f>
        <v>50000</v>
      </c>
      <c r="J28" s="7">
        <f ca="1">IF(NOT(Table1[[#This Row],[Is Activation]]),OFFSET(Table1[[#This Row],[Income Credit Base]],-1,0)+Table1[[#This Row],[Purchase Payments]]+Table1[[#This Row],[Income Credit]],0)</f>
        <v>0</v>
      </c>
      <c r="K28" s="7">
        <f>IF(AND(Table1[[#This Row],[Is Activation]]=FALSE,Table1[[#This Row],[Is Anniversery]]=TRUE),Table1[[#This Row],[Income Credit Base]]*ICP,0)</f>
        <v>0</v>
      </c>
      <c r="L28"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265517</v>
      </c>
      <c r="M28" s="42">
        <f>IF(NOT(Table1[[#This Row],[Is Activation]]),(Table1[[#This Row],[Withdrawal Taken  ]]/Table1[[#This Row],[Assumed Contract Value ]]),0)</f>
        <v>0</v>
      </c>
      <c r="N2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28" s="5">
        <f ca="1">IF(NOT(Table1[[#This Row],[Has Lifetime Income Started]]),Table1[[#This Row],[Income Base]]*MAW,0)</f>
        <v>16594.8125</v>
      </c>
      <c r="P28" s="9">
        <f>IF(AND(Table1[[#This Row],[Has Lifetime Income Started]],Table1[[#This Row],[Is Anniversery]]),Table1[[#This Row],[Income Base]]*PIP,0)</f>
        <v>0</v>
      </c>
      <c r="Q28" s="33" t="b">
        <f t="shared" si="0"/>
        <v>0</v>
      </c>
      <c r="R28" s="10">
        <f>1/(1+InterestRate)^Table1[[#This Row],[timeFromValuation]]</f>
        <v>0.61391325354075932</v>
      </c>
      <c r="S28" s="10">
        <f>Table1[[#This Row],[timeFromValuation]]</f>
        <v>10</v>
      </c>
      <c r="T28" s="117">
        <f>VLOOKUP(Qx!J28,Table2[],Qx!L$6,FALSE)</f>
        <v>0.98571799999999998</v>
      </c>
      <c r="U28" s="117">
        <f>VLOOKUP(Qx!K28,Table2[],Qx!M$6,FALSE)</f>
        <v>0.94014500000000001</v>
      </c>
      <c r="V28" s="117">
        <f>PRODUCT($T$8:$T28)</f>
        <v>0.86964772016204539</v>
      </c>
      <c r="W28" s="117">
        <f>PRODUCT($U$8:$U28)</f>
        <v>0.59621696438372873</v>
      </c>
      <c r="X28" s="117">
        <f>Table1[[#This Row],[Primary Annuitant Px]]+Table1[[#This Row],[Secondary Annuitant Py]]-Table1[[#This Row],[Primary Annuitant Px]]*Table1[[#This Row],[Secondary Annuitant Py]]</f>
        <v>0.99914515089000011</v>
      </c>
      <c r="Y28" s="117">
        <f>PRODUCT($X$8:$X28)</f>
        <v>0.99547494114686463</v>
      </c>
      <c r="Z28" s="2"/>
      <c r="AA28" s="22">
        <f t="shared" si="6"/>
        <v>10</v>
      </c>
      <c r="AB28" s="23">
        <v>0</v>
      </c>
      <c r="AC28" s="23">
        <v>0</v>
      </c>
      <c r="AD28" s="23">
        <v>50000</v>
      </c>
      <c r="AE28" s="12">
        <v>50000</v>
      </c>
      <c r="AF28" s="11">
        <v>299982</v>
      </c>
      <c r="AG28" s="5">
        <v>0</v>
      </c>
      <c r="AH28" s="5">
        <v>0</v>
      </c>
      <c r="AI28" s="11">
        <v>18749</v>
      </c>
      <c r="AJ28" s="14">
        <v>0</v>
      </c>
      <c r="AK28" s="10"/>
      <c r="AL28" s="10"/>
      <c r="AM28" s="10"/>
      <c r="AN28" s="10"/>
      <c r="AO28" s="10"/>
      <c r="AP28" s="10"/>
      <c r="AR28" s="4">
        <f>AR27</f>
        <v>50000</v>
      </c>
      <c r="AS28" s="4">
        <f t="shared" ref="AS28" si="13">AS27</f>
        <v>299982</v>
      </c>
      <c r="AT28" s="4">
        <f t="shared" ref="AT28" si="14">AT27</f>
        <v>0</v>
      </c>
      <c r="AU28" s="4">
        <f t="shared" ref="AU28" si="15">AU27</f>
        <v>0</v>
      </c>
      <c r="AV28" s="4">
        <f t="shared" ref="AV28" si="16">AV27</f>
        <v>18749</v>
      </c>
      <c r="AW28" s="4">
        <v>0</v>
      </c>
    </row>
    <row r="29" spans="1:49" x14ac:dyDescent="0.3">
      <c r="A29" s="32">
        <f t="shared" si="3"/>
        <v>21</v>
      </c>
      <c r="B29" s="32">
        <f ca="1">OFFSET(Table1[[#This Row],[Pay Period]],-1,0)+0.5</f>
        <v>10.5</v>
      </c>
      <c r="C29" s="29">
        <f t="shared" si="4"/>
        <v>10.5</v>
      </c>
      <c r="D29" s="21">
        <f t="shared" si="1"/>
        <v>0</v>
      </c>
      <c r="E29" s="21">
        <f t="shared" si="2"/>
        <v>0</v>
      </c>
      <c r="F29" s="21" t="b">
        <f>IF(Table1[[#This Row],[Assumed Contract Value ]]&gt;0.1,Table1[[#This Row],[timeFromValuation]]&gt;=Activation_Time,0)</f>
        <v>1</v>
      </c>
      <c r="G29" s="21">
        <f>AD29</f>
        <v>50000</v>
      </c>
      <c r="H29" s="21" t="b">
        <f>Table1[[#This Row],[timeFromValuation]]=INT(Table1[[#This Row],[timeFromValuation]])</f>
        <v>0</v>
      </c>
      <c r="I29" s="7">
        <f>IF((Table1[[#This Row],[Is Anniversery]]), Table1[[#This Row],[Assumed Contract Value ]],0)</f>
        <v>0</v>
      </c>
      <c r="J29" s="7">
        <f ca="1">IF(NOT(Table1[[#This Row],[Is Activation]]),OFFSET(Table1[[#This Row],[Income Credit Base]],-1,0)+Table1[[#This Row],[Purchase Payments]]+Table1[[#This Row],[Income Credit]],0)</f>
        <v>0</v>
      </c>
      <c r="K29" s="7">
        <f>IF(AND(Table1[[#This Row],[Is Activation]]=FALSE,Table1[[#This Row],[Is Anniversery]]=TRUE),Table1[[#This Row],[Income Credit Base]]*ICP,0)</f>
        <v>0</v>
      </c>
      <c r="L29" s="7">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265517</v>
      </c>
      <c r="M29" s="42">
        <f>IF(NOT(Table1[[#This Row],[Is Activation]]),(Table1[[#This Row],[Withdrawal Taken  ]]/Table1[[#This Row],[Assumed Contract Value ]]),0)</f>
        <v>0</v>
      </c>
      <c r="N2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29" s="5">
        <f ca="1">IF(NOT(Table1[[#This Row],[Has Lifetime Income Started]]),Table1[[#This Row],[Income Base]]*MAW,0)</f>
        <v>16594.8125</v>
      </c>
      <c r="P29" s="9">
        <f>IF(AND(Table1[[#This Row],[Has Lifetime Income Started]],Table1[[#This Row],[Is Anniversery]]),Table1[[#This Row],[Income Base]]*PIP,0)</f>
        <v>0</v>
      </c>
      <c r="Q29" s="33" t="b">
        <f t="shared" si="0"/>
        <v>0</v>
      </c>
      <c r="R29" s="10">
        <f>1/(1+InterestRate)^Table1[[#This Row],[timeFromValuation]]</f>
        <v>0.59911798891449808</v>
      </c>
      <c r="S29" s="10">
        <f>Table1[[#This Row],[timeFromValuation]]</f>
        <v>10.5</v>
      </c>
      <c r="T29" s="117">
        <f>VLOOKUP(Qx!J29,Table2[],Qx!L$6,FALSE)</f>
        <v>0.98420099999999999</v>
      </c>
      <c r="U29" s="117">
        <f>VLOOKUP(Qx!K29,Table2[],Qx!M$6,FALSE)</f>
        <v>0.93248600000000004</v>
      </c>
      <c r="V29" s="117">
        <f>PRODUCT($T$8:$T29)</f>
        <v>0.85590815583120528</v>
      </c>
      <c r="W29" s="117">
        <f>PRODUCT($U$8:$U29)</f>
        <v>0.55596397225032568</v>
      </c>
      <c r="X29" s="117">
        <f>Table1[[#This Row],[Primary Annuitant Px]]+Table1[[#This Row],[Secondary Annuitant Py]]-Table1[[#This Row],[Primary Annuitant Px]]*Table1[[#This Row],[Secondary Annuitant Py]]</f>
        <v>0.99893334631399999</v>
      </c>
      <c r="Y29" s="117">
        <f>PRODUCT($X$8:$X29)</f>
        <v>0.99441311413156974</v>
      </c>
      <c r="Z29" s="2"/>
      <c r="AA29" s="22">
        <f t="shared" si="6"/>
        <v>10.5</v>
      </c>
      <c r="AB29" s="23">
        <v>0</v>
      </c>
      <c r="AC29" s="23">
        <v>0</v>
      </c>
      <c r="AD29" s="23">
        <v>50000</v>
      </c>
      <c r="AE29" s="13">
        <v>0</v>
      </c>
      <c r="AF29" s="11">
        <v>299982</v>
      </c>
      <c r="AG29" s="5">
        <v>0</v>
      </c>
      <c r="AH29" s="5">
        <v>0</v>
      </c>
      <c r="AI29" s="11">
        <v>18749</v>
      </c>
      <c r="AJ29" s="14">
        <v>0</v>
      </c>
      <c r="AK29" s="10"/>
      <c r="AL29" s="10"/>
      <c r="AM29" s="10"/>
      <c r="AN29" s="10"/>
      <c r="AO29" s="10"/>
      <c r="AP29" s="10"/>
      <c r="AR29" s="4">
        <v>0</v>
      </c>
      <c r="AS29" s="4">
        <v>299982</v>
      </c>
      <c r="AT29" s="4"/>
      <c r="AU29" s="4"/>
      <c r="AV29" s="4">
        <v>18749</v>
      </c>
      <c r="AW29" s="4">
        <v>0</v>
      </c>
    </row>
    <row r="30" spans="1:49" ht="15" thickBot="1" x14ac:dyDescent="0.35">
      <c r="A30" s="34">
        <f t="shared" si="3"/>
        <v>22</v>
      </c>
      <c r="B30" s="32">
        <f ca="1">OFFSET(Table1[[#This Row],[Pay Period]],-1,0)+0.5</f>
        <v>11</v>
      </c>
      <c r="C30" s="29">
        <f t="shared" si="4"/>
        <v>11</v>
      </c>
      <c r="D30" s="36">
        <f t="shared" si="1"/>
        <v>0</v>
      </c>
      <c r="E30" s="36">
        <f t="shared" si="2"/>
        <v>0</v>
      </c>
      <c r="F30" s="36">
        <f>IF(Table1[[#This Row],[Assumed Contract Value ]]&gt;0.1,Table1[[#This Row],[timeFromValuation]]&gt;=Activation_Time,0)</f>
        <v>0</v>
      </c>
      <c r="G30" s="36">
        <v>0</v>
      </c>
      <c r="H30" s="36" t="b">
        <f>Table1[[#This Row],[timeFromValuation]]=INT(Table1[[#This Row],[timeFromValuation]])</f>
        <v>1</v>
      </c>
      <c r="I30" s="7">
        <f>IF((Table1[[#This Row],[Is Anniversery]]), Table1[[#This Row],[Assumed Contract Value ]],0)</f>
        <v>0</v>
      </c>
      <c r="J30" s="7">
        <f ca="1">IF(NOT(Table1[[#This Row],[Is Activation]]),OFFSET(Table1[[#This Row],[Income Credit Base]],-1,0)+Table1[[#This Row],[Purchase Payments]]+Table1[[#This Row],[Income Credit]],0)</f>
        <v>0</v>
      </c>
      <c r="K30" s="7">
        <f>IF(AND(Table1[[#This Row],[Is Activation]]=FALSE,Table1[[#This Row],[Is Anniversery]]=TRUE),Table1[[#This Row],[Income Credit Base]]*ICP,0)</f>
        <v>0</v>
      </c>
      <c r="L3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30" s="42" t="e">
        <f>IF(NOT(Table1[[#This Row],[Is Activation]]),(Table1[[#This Row],[Withdrawal Taken  ]]/Table1[[#This Row],[Assumed Contract Value ]]),0)</f>
        <v>#DIV/0!</v>
      </c>
      <c r="N3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30" s="5">
        <f>IF(NOT(Table1[[#This Row],[Has Lifetime Income Started]]),Table1[[#This Row],[Income Base]]*MAW,0)</f>
        <v>0</v>
      </c>
      <c r="P30" s="9" t="e">
        <f ca="1">IF(AND(Table1[[#This Row],[Has Lifetime Income Started]],Table1[[#This Row],[Is Anniversery]]),Table1[[#This Row],[Income Base]]*PIP,0)</f>
        <v>#DIV/0!</v>
      </c>
      <c r="Q30" s="37" t="b">
        <f t="shared" si="0"/>
        <v>1</v>
      </c>
      <c r="R30" s="10">
        <f>1/(1+InterestRate)^Table1[[#This Row],[timeFromValuation]]</f>
        <v>0.5846792890864374</v>
      </c>
      <c r="S30" s="10">
        <f>Table1[[#This Row],[timeFromValuation]]</f>
        <v>11</v>
      </c>
      <c r="T30" s="117">
        <f>VLOOKUP(Qx!J30,Table2[],Qx!L$6,FALSE)</f>
        <v>0.98245000000000005</v>
      </c>
      <c r="U30" s="117">
        <f>VLOOKUP(Qx!K30,Table2[],Qx!M$6,FALSE)</f>
        <v>0.92366000000000004</v>
      </c>
      <c r="V30" s="117">
        <f>PRODUCT($T$8:$T30)</f>
        <v>0.84088696769636762</v>
      </c>
      <c r="W30" s="117">
        <f>PRODUCT($U$8:$U30)</f>
        <v>0.51352168260873587</v>
      </c>
      <c r="X30" s="117">
        <f>Table1[[#This Row],[Primary Annuitant Px]]+Table1[[#This Row],[Secondary Annuitant Py]]-Table1[[#This Row],[Primary Annuitant Px]]*Table1[[#This Row],[Secondary Annuitant Py]]</f>
        <v>0.99866023299999984</v>
      </c>
      <c r="Y30" s="117">
        <f>PRODUCT($X$8:$X30)</f>
        <v>0.99308083225688892</v>
      </c>
      <c r="Z30" s="2"/>
      <c r="AA30" s="24">
        <f t="shared" si="6"/>
        <v>11</v>
      </c>
      <c r="AB30" s="25">
        <v>0</v>
      </c>
      <c r="AC30" s="25">
        <v>0</v>
      </c>
      <c r="AD30" s="23">
        <v>0</v>
      </c>
      <c r="AE30" s="17">
        <v>0</v>
      </c>
      <c r="AF30" s="15">
        <v>299982</v>
      </c>
      <c r="AG30" s="16">
        <v>0</v>
      </c>
      <c r="AH30" s="16">
        <v>0</v>
      </c>
      <c r="AI30" s="15">
        <v>0</v>
      </c>
      <c r="AJ30" s="18">
        <v>11999</v>
      </c>
      <c r="AK30" s="10"/>
      <c r="AL30" s="10"/>
      <c r="AM30" s="10"/>
      <c r="AN30" s="10"/>
      <c r="AO30" s="10"/>
      <c r="AP30" s="10"/>
      <c r="AR30" s="4">
        <v>0</v>
      </c>
      <c r="AS30" s="4">
        <v>299982</v>
      </c>
      <c r="AT30" s="4"/>
      <c r="AU30" s="4"/>
      <c r="AV30" s="4">
        <v>0</v>
      </c>
      <c r="AW30" s="4">
        <v>11999</v>
      </c>
    </row>
    <row r="31" spans="1:49" x14ac:dyDescent="0.3">
      <c r="A31" s="34">
        <f t="shared" si="3"/>
        <v>23</v>
      </c>
      <c r="B31" s="32">
        <f ca="1">OFFSET(Table1[[#This Row],[Pay Period]],-1,0)+0.5</f>
        <v>11.5</v>
      </c>
      <c r="C31" s="29">
        <f t="shared" si="4"/>
        <v>11.5</v>
      </c>
      <c r="D31" s="36">
        <f t="shared" ref="D31:D94" si="17">AB31</f>
        <v>0</v>
      </c>
      <c r="E31" s="36">
        <f t="shared" ref="E31:E94" si="18">AC31</f>
        <v>0</v>
      </c>
      <c r="F31" s="36">
        <f>IF(Table1[[#This Row],[Assumed Contract Value ]]&gt;0.1,Table1[[#This Row],[timeFromValuation]]&gt;=Activation_Time,0)</f>
        <v>0</v>
      </c>
      <c r="G31" s="36">
        <v>0</v>
      </c>
      <c r="H31" s="36" t="b">
        <f>Table1[[#This Row],[timeFromValuation]]=INT(Table1[[#This Row],[timeFromValuation]])</f>
        <v>0</v>
      </c>
      <c r="I31" s="7">
        <f>IF((Table1[[#This Row],[Is Anniversery]]), Table1[[#This Row],[Assumed Contract Value ]],0)</f>
        <v>0</v>
      </c>
      <c r="J31" s="7">
        <f ca="1">IF(NOT(Table1[[#This Row],[Is Activation]]),OFFSET(Table1[[#This Row],[Income Credit Base]],-1,0)+Table1[[#This Row],[Purchase Payments]]+Table1[[#This Row],[Income Credit]],0)</f>
        <v>0</v>
      </c>
      <c r="K31" s="7">
        <f>IF(AND(Table1[[#This Row],[Is Activation]]=FALSE,Table1[[#This Row],[Is Anniversery]]=TRUE),Table1[[#This Row],[Income Credit Base]]*ICP,0)</f>
        <v>0</v>
      </c>
      <c r="L3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31" s="42" t="e">
        <f>IF(NOT(Table1[[#This Row],[Is Activation]]),(Table1[[#This Row],[Withdrawal Taken  ]]/Table1[[#This Row],[Assumed Contract Value ]]),0)</f>
        <v>#DIV/0!</v>
      </c>
      <c r="N3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31" s="5">
        <f>IF(NOT(Table1[[#This Row],[Has Lifetime Income Started]]),Table1[[#This Row],[Income Base]]*MAW,0)</f>
        <v>0</v>
      </c>
      <c r="P31" s="9">
        <f>IF(AND(Table1[[#This Row],[Has Lifetime Income Started]],Table1[[#This Row],[Is Anniversery]]),Table1[[#This Row],[Income Base]]*PIP,0)</f>
        <v>0</v>
      </c>
      <c r="Q31" s="37" t="b">
        <f t="shared" si="0"/>
        <v>1</v>
      </c>
      <c r="R31" s="10">
        <f>1/(1+InterestRate)^Table1[[#This Row],[timeFromValuation]]</f>
        <v>0.57058856087095067</v>
      </c>
      <c r="S31" s="10">
        <f>Table1[[#This Row],[timeFromValuation]]</f>
        <v>11.5</v>
      </c>
      <c r="T31" s="117">
        <f>VLOOKUP(Qx!J31,Table2[],Qx!L$6,FALSE)</f>
        <v>0.98041800000000001</v>
      </c>
      <c r="U31" s="117">
        <f>VLOOKUP(Qx!K31,Table2[],Qx!M$6,FALSE)</f>
        <v>0.91361199999999998</v>
      </c>
      <c r="V31" s="117">
        <f>PRODUCT($T$8:$T31)</f>
        <v>0.8244207190949373</v>
      </c>
      <c r="W31" s="117">
        <f>PRODUCT($U$8:$U31)</f>
        <v>0.46915957149153237</v>
      </c>
      <c r="X31" s="117">
        <f>Table1[[#This Row],[Primary Annuitant Px]]+Table1[[#This Row],[Secondary Annuitant Py]]-Table1[[#This Row],[Primary Annuitant Px]]*Table1[[#This Row],[Secondary Annuitant Py]]</f>
        <v>0.99830835018399988</v>
      </c>
      <c r="Y31" s="117">
        <f>PRODUCT($X$8:$X31)</f>
        <v>0.9914008872497283</v>
      </c>
    </row>
    <row r="32" spans="1:49" x14ac:dyDescent="0.3">
      <c r="A32" s="34">
        <f t="shared" si="3"/>
        <v>24</v>
      </c>
      <c r="B32" s="32">
        <f ca="1">OFFSET(Table1[[#This Row],[Pay Period]],-1,0)+0.5</f>
        <v>12</v>
      </c>
      <c r="C32" s="29">
        <f t="shared" si="4"/>
        <v>12</v>
      </c>
      <c r="D32" s="36">
        <f t="shared" si="17"/>
        <v>0</v>
      </c>
      <c r="E32" s="36">
        <f t="shared" si="18"/>
        <v>0</v>
      </c>
      <c r="F32" s="36">
        <f>IF(Table1[[#This Row],[Assumed Contract Value ]]&gt;0.1,Table1[[#This Row],[timeFromValuation]]&gt;=Activation_Time,0)</f>
        <v>0</v>
      </c>
      <c r="G32" s="36">
        <v>0</v>
      </c>
      <c r="H32" s="36" t="b">
        <f>Table1[[#This Row],[timeFromValuation]]=INT(Table1[[#This Row],[timeFromValuation]])</f>
        <v>1</v>
      </c>
      <c r="I32" s="7">
        <f>IF((Table1[[#This Row],[Is Anniversery]]), Table1[[#This Row],[Assumed Contract Value ]],0)</f>
        <v>0</v>
      </c>
      <c r="J32" s="7">
        <f ca="1">IF(NOT(Table1[[#This Row],[Is Activation]]),OFFSET(Table1[[#This Row],[Income Credit Base]],-1,0)+Table1[[#This Row],[Purchase Payments]]+Table1[[#This Row],[Income Credit]],0)</f>
        <v>0</v>
      </c>
      <c r="K32" s="7">
        <f>IF(AND(Table1[[#This Row],[Is Activation]]=FALSE,Table1[[#This Row],[Is Anniversery]]=TRUE),Table1[[#This Row],[Income Credit Base]]*ICP,0)</f>
        <v>0</v>
      </c>
      <c r="L3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32" s="42" t="e">
        <f>IF(NOT(Table1[[#This Row],[Is Activation]]),(Table1[[#This Row],[Withdrawal Taken  ]]/Table1[[#This Row],[Assumed Contract Value ]]),0)</f>
        <v>#DIV/0!</v>
      </c>
      <c r="N3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32" s="5">
        <f>IF(NOT(Table1[[#This Row],[Has Lifetime Income Started]]),Table1[[#This Row],[Income Base]]*MAW,0)</f>
        <v>0</v>
      </c>
      <c r="P32" s="9" t="e">
        <f ca="1">IF(AND(Table1[[#This Row],[Has Lifetime Income Started]],Table1[[#This Row],[Is Anniversery]]),Table1[[#This Row],[Income Base]]*PIP,0)</f>
        <v>#DIV/0!</v>
      </c>
      <c r="Q32" s="37" t="b">
        <f t="shared" si="0"/>
        <v>1</v>
      </c>
      <c r="R32" s="10">
        <f>1/(1+InterestRate)^Table1[[#This Row],[timeFromValuation]]</f>
        <v>0.5568374181775595</v>
      </c>
      <c r="S32" s="10">
        <f>Table1[[#This Row],[timeFromValuation]]</f>
        <v>12</v>
      </c>
      <c r="T32" s="117">
        <f>VLOOKUP(Qx!J32,Table2[],Qx!L$6,FALSE)</f>
        <v>0.97802999999999995</v>
      </c>
      <c r="U32" s="117">
        <f>VLOOKUP(Qx!K32,Table2[],Qx!M$6,FALSE)</f>
        <v>0.902366</v>
      </c>
      <c r="V32" s="117">
        <f>PRODUCT($T$8:$T32)</f>
        <v>0.80630819589642144</v>
      </c>
      <c r="W32" s="117">
        <f>PRODUCT($U$8:$U32)</f>
        <v>0.42335364588852809</v>
      </c>
      <c r="X32" s="117">
        <f>Table1[[#This Row],[Primary Annuitant Px]]+Table1[[#This Row],[Secondary Annuitant Py]]-Table1[[#This Row],[Primary Annuitant Px]]*Table1[[#This Row],[Secondary Annuitant Py]]</f>
        <v>0.99785498102000003</v>
      </c>
      <c r="Y32" s="117">
        <f>PRODUCT($X$8:$X32)</f>
        <v>0.98927431352978878</v>
      </c>
    </row>
    <row r="33" spans="1:25" x14ac:dyDescent="0.3">
      <c r="A33" s="34">
        <f t="shared" si="3"/>
        <v>25</v>
      </c>
      <c r="B33" s="32">
        <f ca="1">OFFSET(Table1[[#This Row],[Pay Period]],-1,0)+0.5</f>
        <v>12.5</v>
      </c>
      <c r="C33" s="29">
        <f t="shared" si="4"/>
        <v>12.5</v>
      </c>
      <c r="D33" s="36">
        <f t="shared" si="17"/>
        <v>0</v>
      </c>
      <c r="E33" s="36">
        <f t="shared" si="18"/>
        <v>0</v>
      </c>
      <c r="F33" s="36">
        <f>IF(Table1[[#This Row],[Assumed Contract Value ]]&gt;0.1,Table1[[#This Row],[timeFromValuation]]&gt;=Activation_Time,0)</f>
        <v>0</v>
      </c>
      <c r="G33" s="36">
        <v>0</v>
      </c>
      <c r="H33" s="36" t="b">
        <f>Table1[[#This Row],[timeFromValuation]]=INT(Table1[[#This Row],[timeFromValuation]])</f>
        <v>0</v>
      </c>
      <c r="I33" s="7">
        <f>IF((Table1[[#This Row],[Is Anniversery]]), Table1[[#This Row],[Assumed Contract Value ]],0)</f>
        <v>0</v>
      </c>
      <c r="J33" s="7">
        <f ca="1">IF(NOT(Table1[[#This Row],[Is Activation]]),OFFSET(Table1[[#This Row],[Income Credit Base]],-1,0)+Table1[[#This Row],[Purchase Payments]]+Table1[[#This Row],[Income Credit]],0)</f>
        <v>0</v>
      </c>
      <c r="K33" s="7">
        <f>IF(AND(Table1[[#This Row],[Is Activation]]=FALSE,Table1[[#This Row],[Is Anniversery]]=TRUE),Table1[[#This Row],[Income Credit Base]]*ICP,0)</f>
        <v>0</v>
      </c>
      <c r="L3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33" s="42" t="e">
        <f>IF(NOT(Table1[[#This Row],[Is Activation]]),(Table1[[#This Row],[Withdrawal Taken  ]]/Table1[[#This Row],[Assumed Contract Value ]]),0)</f>
        <v>#DIV/0!</v>
      </c>
      <c r="N3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33" s="5">
        <f>IF(NOT(Table1[[#This Row],[Has Lifetime Income Started]]),Table1[[#This Row],[Income Base]]*MAW,0)</f>
        <v>0</v>
      </c>
      <c r="P33" s="9">
        <f>IF(AND(Table1[[#This Row],[Has Lifetime Income Started]],Table1[[#This Row],[Is Anniversery]]),Table1[[#This Row],[Income Base]]*PIP,0)</f>
        <v>0</v>
      </c>
      <c r="Q33" s="37" t="b">
        <f t="shared" si="0"/>
        <v>1</v>
      </c>
      <c r="R33" s="10">
        <f>1/(1+InterestRate)^Table1[[#This Row],[timeFromValuation]]</f>
        <v>0.54341767701995292</v>
      </c>
      <c r="S33" s="10">
        <f>Table1[[#This Row],[timeFromValuation]]</f>
        <v>12.5</v>
      </c>
      <c r="T33" s="117">
        <f>VLOOKUP(Qx!J33,Table2[],Qx!L$6,FALSE)</f>
        <v>0.97517900000000002</v>
      </c>
      <c r="U33" s="117">
        <f>VLOOKUP(Qx!K33,Table2[],Qx!M$6,FALSE)</f>
        <v>0.89000699999999999</v>
      </c>
      <c r="V33" s="117">
        <f>PRODUCT($T$8:$T33)</f>
        <v>0.78629482016607644</v>
      </c>
      <c r="W33" s="117">
        <f>PRODUCT($U$8:$U33)</f>
        <v>0.3767877083163112</v>
      </c>
      <c r="X33" s="117">
        <f>Table1[[#This Row],[Primary Annuitant Px]]+Table1[[#This Row],[Secondary Annuitant Py]]-Table1[[#This Row],[Primary Annuitant Px]]*Table1[[#This Row],[Secondary Annuitant Py]]</f>
        <v>0.997269863747</v>
      </c>
      <c r="Y33" s="117">
        <f>PRODUCT($X$8:$X33)</f>
        <v>0.98657345986225942</v>
      </c>
    </row>
    <row r="34" spans="1:25" x14ac:dyDescent="0.3">
      <c r="A34" s="34">
        <f t="shared" si="3"/>
        <v>26</v>
      </c>
      <c r="B34" s="32">
        <f ca="1">OFFSET(Table1[[#This Row],[Pay Period]],-1,0)+0.5</f>
        <v>13</v>
      </c>
      <c r="C34" s="29">
        <f t="shared" si="4"/>
        <v>13</v>
      </c>
      <c r="D34" s="36">
        <f t="shared" si="17"/>
        <v>0</v>
      </c>
      <c r="E34" s="36">
        <f t="shared" si="18"/>
        <v>0</v>
      </c>
      <c r="F34" s="36">
        <f>IF(Table1[[#This Row],[Assumed Contract Value ]]&gt;0.1,Table1[[#This Row],[timeFromValuation]]&gt;=Activation_Time,0)</f>
        <v>0</v>
      </c>
      <c r="G34" s="36">
        <v>0</v>
      </c>
      <c r="H34" s="36" t="b">
        <f>Table1[[#This Row],[timeFromValuation]]=INT(Table1[[#This Row],[timeFromValuation]])</f>
        <v>1</v>
      </c>
      <c r="I34" s="7">
        <f>IF((Table1[[#This Row],[Is Anniversery]]), Table1[[#This Row],[Assumed Contract Value ]],0)</f>
        <v>0</v>
      </c>
      <c r="J34" s="7">
        <f ca="1">IF(NOT(Table1[[#This Row],[Is Activation]]),OFFSET(Table1[[#This Row],[Income Credit Base]],-1,0)+Table1[[#This Row],[Purchase Payments]]+Table1[[#This Row],[Income Credit]],0)</f>
        <v>0</v>
      </c>
      <c r="K34" s="7">
        <f>IF(AND(Table1[[#This Row],[Is Activation]]=FALSE,Table1[[#This Row],[Is Anniversery]]=TRUE),Table1[[#This Row],[Income Credit Base]]*ICP,0)</f>
        <v>0</v>
      </c>
      <c r="L3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34" s="42" t="e">
        <f>IF(NOT(Table1[[#This Row],[Is Activation]]),(Table1[[#This Row],[Withdrawal Taken  ]]/Table1[[#This Row],[Assumed Contract Value ]]),0)</f>
        <v>#DIV/0!</v>
      </c>
      <c r="N3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34" s="5">
        <f>IF(NOT(Table1[[#This Row],[Has Lifetime Income Started]]),Table1[[#This Row],[Income Base]]*MAW,0)</f>
        <v>0</v>
      </c>
      <c r="P34" s="9" t="e">
        <f ca="1">IF(AND(Table1[[#This Row],[Has Lifetime Income Started]],Table1[[#This Row],[Is Anniversery]]),Table1[[#This Row],[Income Base]]*PIP,0)</f>
        <v>#DIV/0!</v>
      </c>
      <c r="Q34" s="37" t="b">
        <f t="shared" si="0"/>
        <v>1</v>
      </c>
      <c r="R34" s="10">
        <f>1/(1+InterestRate)^Table1[[#This Row],[timeFromValuation]]</f>
        <v>0.53032135064529462</v>
      </c>
      <c r="S34" s="10">
        <f>Table1[[#This Row],[timeFromValuation]]</f>
        <v>13</v>
      </c>
      <c r="T34" s="117">
        <f>VLOOKUP(Qx!J34,Table2[],Qx!L$6,FALSE)</f>
        <v>0.97164899999999998</v>
      </c>
      <c r="U34" s="117">
        <f>VLOOKUP(Qx!K34,Table2[],Qx!M$6,FALSE)</f>
        <v>0.87688100000000002</v>
      </c>
      <c r="V34" s="117">
        <f>PRODUCT($T$8:$T34)</f>
        <v>0.76400257571954799</v>
      </c>
      <c r="W34" s="117">
        <f>PRODUCT($U$8:$U34)</f>
        <v>0.33039798245611529</v>
      </c>
      <c r="X34" s="117">
        <f>Table1[[#This Row],[Primary Annuitant Px]]+Table1[[#This Row],[Secondary Annuitant Py]]-Table1[[#This Row],[Primary Annuitant Px]]*Table1[[#This Row],[Secondary Annuitant Py]]</f>
        <v>0.99650945323100004</v>
      </c>
      <c r="Y34" s="117">
        <f>PRODUCT($X$8:$X34)</f>
        <v>0.98312977905955612</v>
      </c>
    </row>
    <row r="35" spans="1:25" x14ac:dyDescent="0.3">
      <c r="A35" s="34">
        <f t="shared" si="3"/>
        <v>27</v>
      </c>
      <c r="B35" s="32">
        <f ca="1">OFFSET(Table1[[#This Row],[Pay Period]],-1,0)+0.5</f>
        <v>13.5</v>
      </c>
      <c r="C35" s="29">
        <f t="shared" si="4"/>
        <v>13.5</v>
      </c>
      <c r="D35" s="36">
        <f t="shared" si="17"/>
        <v>0</v>
      </c>
      <c r="E35" s="36">
        <f t="shared" si="18"/>
        <v>0</v>
      </c>
      <c r="F35" s="36">
        <f>IF(Table1[[#This Row],[Assumed Contract Value ]]&gt;0.1,Table1[[#This Row],[timeFromValuation]]&gt;=Activation_Time,0)</f>
        <v>0</v>
      </c>
      <c r="G35" s="36">
        <v>0</v>
      </c>
      <c r="H35" s="36" t="b">
        <f>Table1[[#This Row],[timeFromValuation]]=INT(Table1[[#This Row],[timeFromValuation]])</f>
        <v>0</v>
      </c>
      <c r="I35" s="7">
        <f>IF((Table1[[#This Row],[Is Anniversery]]), Table1[[#This Row],[Assumed Contract Value ]],0)</f>
        <v>0</v>
      </c>
      <c r="J35" s="7">
        <f ca="1">IF(NOT(Table1[[#This Row],[Is Activation]]),OFFSET(Table1[[#This Row],[Income Credit Base]],-1,0)+Table1[[#This Row],[Purchase Payments]]+Table1[[#This Row],[Income Credit]],0)</f>
        <v>0</v>
      </c>
      <c r="K35" s="7">
        <f>IF(AND(Table1[[#This Row],[Is Activation]]=FALSE,Table1[[#This Row],[Is Anniversery]]=TRUE),Table1[[#This Row],[Income Credit Base]]*ICP,0)</f>
        <v>0</v>
      </c>
      <c r="L3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35" s="42" t="e">
        <f>IF(NOT(Table1[[#This Row],[Is Activation]]),(Table1[[#This Row],[Withdrawal Taken  ]]/Table1[[#This Row],[Assumed Contract Value ]]),0)</f>
        <v>#DIV/0!</v>
      </c>
      <c r="N3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35" s="5">
        <f>IF(NOT(Table1[[#This Row],[Has Lifetime Income Started]]),Table1[[#This Row],[Income Base]]*MAW,0)</f>
        <v>0</v>
      </c>
      <c r="P35" s="9">
        <f>IF(AND(Table1[[#This Row],[Has Lifetime Income Started]],Table1[[#This Row],[Is Anniversery]]),Table1[[#This Row],[Income Base]]*PIP,0)</f>
        <v>0</v>
      </c>
      <c r="Q35" s="37" t="b">
        <f t="shared" si="0"/>
        <v>1</v>
      </c>
      <c r="R35" s="10">
        <f>1/(1+InterestRate)^Table1[[#This Row],[timeFromValuation]]</f>
        <v>0.51754064478090755</v>
      </c>
      <c r="S35" s="10">
        <f>Table1[[#This Row],[timeFromValuation]]</f>
        <v>13.5</v>
      </c>
      <c r="T35" s="117">
        <f>VLOOKUP(Qx!J35,Table2[],Qx!L$6,FALSE)</f>
        <v>0.96749099999999999</v>
      </c>
      <c r="U35" s="117">
        <f>VLOOKUP(Qx!K35,Table2[],Qx!M$6,FALSE)</f>
        <v>0.86283200000000004</v>
      </c>
      <c r="V35" s="117">
        <f>PRODUCT($T$8:$T35)</f>
        <v>0.73916561598548125</v>
      </c>
      <c r="W35" s="117">
        <f>PRODUCT($U$8:$U35)</f>
        <v>0.28507795199857489</v>
      </c>
      <c r="X35" s="117">
        <f>Table1[[#This Row],[Primary Annuitant Px]]+Table1[[#This Row],[Secondary Annuitant Py]]-Table1[[#This Row],[Primary Annuitant Px]]*Table1[[#This Row],[Secondary Annuitant Py]]</f>
        <v>0.99554080548799984</v>
      </c>
      <c r="Y35" s="117">
        <f>PRODUCT($X$8:$X35)</f>
        <v>0.97874581214418976</v>
      </c>
    </row>
    <row r="36" spans="1:25" x14ac:dyDescent="0.3">
      <c r="A36" s="34">
        <f t="shared" si="3"/>
        <v>28</v>
      </c>
      <c r="B36" s="32">
        <f ca="1">OFFSET(Table1[[#This Row],[Pay Period]],-1,0)+0.5</f>
        <v>14</v>
      </c>
      <c r="C36" s="29">
        <f t="shared" si="4"/>
        <v>14</v>
      </c>
      <c r="D36" s="36">
        <f t="shared" si="17"/>
        <v>0</v>
      </c>
      <c r="E36" s="36">
        <f t="shared" si="18"/>
        <v>0</v>
      </c>
      <c r="F36" s="36">
        <f>IF(Table1[[#This Row],[Assumed Contract Value ]]&gt;0.1,Table1[[#This Row],[timeFromValuation]]&gt;=Activation_Time,0)</f>
        <v>0</v>
      </c>
      <c r="G36" s="36">
        <v>0</v>
      </c>
      <c r="H36" s="36" t="b">
        <f>Table1[[#This Row],[timeFromValuation]]=INT(Table1[[#This Row],[timeFromValuation]])</f>
        <v>1</v>
      </c>
      <c r="I36" s="7">
        <f>IF((Table1[[#This Row],[Is Anniversery]]), Table1[[#This Row],[Assumed Contract Value ]],0)</f>
        <v>0</v>
      </c>
      <c r="J36" s="7">
        <f ca="1">IF(NOT(Table1[[#This Row],[Is Activation]]),OFFSET(Table1[[#This Row],[Income Credit Base]],-1,0)+Table1[[#This Row],[Purchase Payments]]+Table1[[#This Row],[Income Credit]],0)</f>
        <v>0</v>
      </c>
      <c r="K36" s="7">
        <f>IF(AND(Table1[[#This Row],[Is Activation]]=FALSE,Table1[[#This Row],[Is Anniversery]]=TRUE),Table1[[#This Row],[Income Credit Base]]*ICP,0)</f>
        <v>0</v>
      </c>
      <c r="L3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36" s="42" t="e">
        <f>IF(NOT(Table1[[#This Row],[Is Activation]]),(Table1[[#This Row],[Withdrawal Taken  ]]/Table1[[#This Row],[Assumed Contract Value ]]),0)</f>
        <v>#DIV/0!</v>
      </c>
      <c r="N3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36" s="5">
        <f>IF(NOT(Table1[[#This Row],[Has Lifetime Income Started]]),Table1[[#This Row],[Income Base]]*MAW,0)</f>
        <v>0</v>
      </c>
      <c r="P36" s="9" t="e">
        <f ca="1">IF(AND(Table1[[#This Row],[Has Lifetime Income Started]],Table1[[#This Row],[Is Anniversery]]),Table1[[#This Row],[Income Base]]*PIP,0)</f>
        <v>#DIV/0!</v>
      </c>
      <c r="Q36" s="37" t="b">
        <f t="shared" si="0"/>
        <v>1</v>
      </c>
      <c r="R36" s="10">
        <f>1/(1+InterestRate)^Table1[[#This Row],[timeFromValuation]]</f>
        <v>0.50506795299551888</v>
      </c>
      <c r="S36" s="10">
        <f>Table1[[#This Row],[timeFromValuation]]</f>
        <v>14</v>
      </c>
      <c r="T36" s="117">
        <f>VLOOKUP(Qx!J36,Table2[],Qx!L$6,FALSE)</f>
        <v>0.96267100000000005</v>
      </c>
      <c r="U36" s="117">
        <f>VLOOKUP(Qx!K36,Table2[],Qx!M$6,FALSE)</f>
        <v>0.84782899999999994</v>
      </c>
      <c r="V36" s="117">
        <f>PRODUCT($T$8:$T36)</f>
        <v>0.71157330270635921</v>
      </c>
      <c r="W36" s="117">
        <f>PRODUCT($U$8:$U36)</f>
        <v>0.24169735496499972</v>
      </c>
      <c r="X36" s="117">
        <f>Table1[[#This Row],[Primary Annuitant Px]]+Table1[[#This Row],[Secondary Annuitant Py]]-Table1[[#This Row],[Primary Annuitant Px]]*Table1[[#This Row],[Secondary Annuitant Py]]</f>
        <v>0.99431960874100001</v>
      </c>
      <c r="Y36" s="117">
        <f>PRODUCT($X$8:$X36)</f>
        <v>0.97318615298810307</v>
      </c>
    </row>
    <row r="37" spans="1:25" x14ac:dyDescent="0.3">
      <c r="A37" s="34">
        <f t="shared" si="3"/>
        <v>29</v>
      </c>
      <c r="B37" s="32">
        <f ca="1">OFFSET(Table1[[#This Row],[Pay Period]],-1,0)+0.5</f>
        <v>14.5</v>
      </c>
      <c r="C37" s="29">
        <f t="shared" si="4"/>
        <v>14.5</v>
      </c>
      <c r="D37" s="36">
        <f t="shared" si="17"/>
        <v>0</v>
      </c>
      <c r="E37" s="36">
        <f t="shared" si="18"/>
        <v>0</v>
      </c>
      <c r="F37" s="36">
        <f>IF(Table1[[#This Row],[Assumed Contract Value ]]&gt;0.1,Table1[[#This Row],[timeFromValuation]]&gt;=Activation_Time,0)</f>
        <v>0</v>
      </c>
      <c r="G37" s="36">
        <v>0</v>
      </c>
      <c r="H37" s="36" t="b">
        <f>Table1[[#This Row],[timeFromValuation]]=INT(Table1[[#This Row],[timeFromValuation]])</f>
        <v>0</v>
      </c>
      <c r="I37" s="7">
        <f>IF((Table1[[#This Row],[Is Anniversery]]), Table1[[#This Row],[Assumed Contract Value ]],0)</f>
        <v>0</v>
      </c>
      <c r="J37" s="7">
        <f ca="1">IF(NOT(Table1[[#This Row],[Is Activation]]),OFFSET(Table1[[#This Row],[Income Credit Base]],-1,0)+Table1[[#This Row],[Purchase Payments]]+Table1[[#This Row],[Income Credit]],0)</f>
        <v>0</v>
      </c>
      <c r="K37" s="7">
        <f>IF(AND(Table1[[#This Row],[Is Activation]]=FALSE,Table1[[#This Row],[Is Anniversery]]=TRUE),Table1[[#This Row],[Income Credit Base]]*ICP,0)</f>
        <v>0</v>
      </c>
      <c r="L3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37" s="42" t="e">
        <f>IF(NOT(Table1[[#This Row],[Is Activation]]),(Table1[[#This Row],[Withdrawal Taken  ]]/Table1[[#This Row],[Assumed Contract Value ]]),0)</f>
        <v>#DIV/0!</v>
      </c>
      <c r="N3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37" s="5">
        <f>IF(NOT(Table1[[#This Row],[Has Lifetime Income Started]]),Table1[[#This Row],[Income Base]]*MAW,0)</f>
        <v>0</v>
      </c>
      <c r="P37" s="9">
        <f>IF(AND(Table1[[#This Row],[Has Lifetime Income Started]],Table1[[#This Row],[Is Anniversery]]),Table1[[#This Row],[Income Base]]*PIP,0)</f>
        <v>0</v>
      </c>
      <c r="Q37" s="37" t="b">
        <f t="shared" si="0"/>
        <v>1</v>
      </c>
      <c r="R37" s="10">
        <f>1/(1+InterestRate)^Table1[[#This Row],[timeFromValuation]]</f>
        <v>0.49289585217229281</v>
      </c>
      <c r="S37" s="10">
        <f>Table1[[#This Row],[timeFromValuation]]</f>
        <v>14.5</v>
      </c>
      <c r="T37" s="117">
        <f>VLOOKUP(Qx!J37,Table2[],Qx!L$6,FALSE)</f>
        <v>0.95716999999999997</v>
      </c>
      <c r="U37" s="117">
        <f>VLOOKUP(Qx!K37,Table2[],Qx!M$6,FALSE)</f>
        <v>0.83180600000000005</v>
      </c>
      <c r="V37" s="117">
        <f>PRODUCT($T$8:$T37)</f>
        <v>0.68109661815144584</v>
      </c>
      <c r="W37" s="117">
        <f>PRODUCT($U$8:$U37)</f>
        <v>0.20104531004401657</v>
      </c>
      <c r="X37" s="117">
        <f>Table1[[#This Row],[Primary Annuitant Px]]+Table1[[#This Row],[Secondary Annuitant Py]]-Table1[[#This Row],[Primary Annuitant Px]]*Table1[[#This Row],[Secondary Annuitant Py]]</f>
        <v>0.99279625097999991</v>
      </c>
      <c r="Y37" s="117">
        <f>PRODUCT($X$8:$X37)</f>
        <v>0.96617556419223738</v>
      </c>
    </row>
    <row r="38" spans="1:25" x14ac:dyDescent="0.3">
      <c r="A38" s="34">
        <f t="shared" si="3"/>
        <v>30</v>
      </c>
      <c r="B38" s="32">
        <f ca="1">OFFSET(Table1[[#This Row],[Pay Period]],-1,0)+0.5</f>
        <v>15</v>
      </c>
      <c r="C38" s="29">
        <f t="shared" si="4"/>
        <v>15</v>
      </c>
      <c r="D38" s="36">
        <f t="shared" si="17"/>
        <v>0</v>
      </c>
      <c r="E38" s="36">
        <f t="shared" si="18"/>
        <v>0</v>
      </c>
      <c r="F38" s="36">
        <f>IF(Table1[[#This Row],[Assumed Contract Value ]]&gt;0.1,Table1[[#This Row],[timeFromValuation]]&gt;=Activation_Time,0)</f>
        <v>0</v>
      </c>
      <c r="G38" s="36">
        <v>0</v>
      </c>
      <c r="H38" s="36" t="b">
        <f>Table1[[#This Row],[timeFromValuation]]=INT(Table1[[#This Row],[timeFromValuation]])</f>
        <v>1</v>
      </c>
      <c r="I38" s="7">
        <f>IF((Table1[[#This Row],[Is Anniversery]]), Table1[[#This Row],[Assumed Contract Value ]],0)</f>
        <v>0</v>
      </c>
      <c r="J38" s="7">
        <f ca="1">IF(NOT(Table1[[#This Row],[Is Activation]]),OFFSET(Table1[[#This Row],[Income Credit Base]],-1,0)+Table1[[#This Row],[Purchase Payments]]+Table1[[#This Row],[Income Credit]],0)</f>
        <v>0</v>
      </c>
      <c r="K38" s="7">
        <f>IF(AND(Table1[[#This Row],[Is Activation]]=FALSE,Table1[[#This Row],[Is Anniversery]]=TRUE),Table1[[#This Row],[Income Credit Base]]*ICP,0)</f>
        <v>0</v>
      </c>
      <c r="L3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38" s="42" t="e">
        <f>IF(NOT(Table1[[#This Row],[Is Activation]]),(Table1[[#This Row],[Withdrawal Taken  ]]/Table1[[#This Row],[Assumed Contract Value ]]),0)</f>
        <v>#DIV/0!</v>
      </c>
      <c r="N3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38" s="5">
        <f>IF(NOT(Table1[[#This Row],[Has Lifetime Income Started]]),Table1[[#This Row],[Income Base]]*MAW,0)</f>
        <v>0</v>
      </c>
      <c r="P38" s="9" t="e">
        <f ca="1">IF(AND(Table1[[#This Row],[Has Lifetime Income Started]],Table1[[#This Row],[Is Anniversery]]),Table1[[#This Row],[Income Base]]*PIP,0)</f>
        <v>#DIV/0!</v>
      </c>
      <c r="Q38" s="37" t="b">
        <f t="shared" si="0"/>
        <v>1</v>
      </c>
      <c r="R38" s="10">
        <f>1/(1+InterestRate)^Table1[[#This Row],[timeFromValuation]]</f>
        <v>0.48101709809097021</v>
      </c>
      <c r="S38" s="10">
        <f>Table1[[#This Row],[timeFromValuation]]</f>
        <v>15</v>
      </c>
      <c r="T38" s="117">
        <f>VLOOKUP(Qx!J38,Table2[],Qx!L$6,FALSE)</f>
        <v>0.95100300000000004</v>
      </c>
      <c r="U38" s="117">
        <f>VLOOKUP(Qx!K38,Table2[],Qx!M$6,FALSE)</f>
        <v>0.81474000000000002</v>
      </c>
      <c r="V38" s="117">
        <f>PRODUCT($T$8:$T38)</f>
        <v>0.64772492715187946</v>
      </c>
      <c r="W38" s="117">
        <f>PRODUCT($U$8:$U38)</f>
        <v>0.16379965590526208</v>
      </c>
      <c r="X38" s="117">
        <f>Table1[[#This Row],[Primary Annuitant Px]]+Table1[[#This Row],[Secondary Annuitant Py]]-Table1[[#This Row],[Primary Annuitant Px]]*Table1[[#This Row],[Secondary Annuitant Py]]</f>
        <v>0.99092281577999997</v>
      </c>
      <c r="Y38" s="117">
        <f>PRODUCT($X$8:$X38)</f>
        <v>0.95740541060720197</v>
      </c>
    </row>
    <row r="39" spans="1:25" x14ac:dyDescent="0.3">
      <c r="A39" s="34">
        <f t="shared" si="3"/>
        <v>31</v>
      </c>
      <c r="B39" s="32">
        <f ca="1">OFFSET(Table1[[#This Row],[Pay Period]],-1,0)+0.5</f>
        <v>15.5</v>
      </c>
      <c r="C39" s="29">
        <f t="shared" si="4"/>
        <v>15.5</v>
      </c>
      <c r="D39" s="36">
        <f t="shared" si="17"/>
        <v>0</v>
      </c>
      <c r="E39" s="36">
        <f t="shared" si="18"/>
        <v>0</v>
      </c>
      <c r="F39" s="36">
        <f>IF(Table1[[#This Row],[Assumed Contract Value ]]&gt;0.1,Table1[[#This Row],[timeFromValuation]]&gt;=Activation_Time,0)</f>
        <v>0</v>
      </c>
      <c r="G39" s="36">
        <v>0</v>
      </c>
      <c r="H39" s="36" t="b">
        <f>Table1[[#This Row],[timeFromValuation]]=INT(Table1[[#This Row],[timeFromValuation]])</f>
        <v>0</v>
      </c>
      <c r="I39" s="7">
        <f>IF((Table1[[#This Row],[Is Anniversery]]), Table1[[#This Row],[Assumed Contract Value ]],0)</f>
        <v>0</v>
      </c>
      <c r="J39" s="7">
        <f ca="1">IF(NOT(Table1[[#This Row],[Is Activation]]),OFFSET(Table1[[#This Row],[Income Credit Base]],-1,0)+Table1[[#This Row],[Purchase Payments]]+Table1[[#This Row],[Income Credit]],0)</f>
        <v>0</v>
      </c>
      <c r="K39" s="7">
        <f>IF(AND(Table1[[#This Row],[Is Activation]]=FALSE,Table1[[#This Row],[Is Anniversery]]=TRUE),Table1[[#This Row],[Income Credit Base]]*ICP,0)</f>
        <v>0</v>
      </c>
      <c r="L3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39" s="42" t="e">
        <f>IF(NOT(Table1[[#This Row],[Is Activation]]),(Table1[[#This Row],[Withdrawal Taken  ]]/Table1[[#This Row],[Assumed Contract Value ]]),0)</f>
        <v>#DIV/0!</v>
      </c>
      <c r="N3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39" s="5">
        <f>IF(NOT(Table1[[#This Row],[Has Lifetime Income Started]]),Table1[[#This Row],[Income Base]]*MAW,0)</f>
        <v>0</v>
      </c>
      <c r="P39" s="9">
        <f>IF(AND(Table1[[#This Row],[Has Lifetime Income Started]],Table1[[#This Row],[Is Anniversery]]),Table1[[#This Row],[Income Base]]*PIP,0)</f>
        <v>0</v>
      </c>
      <c r="Q39" s="37" t="b">
        <f t="shared" si="0"/>
        <v>1</v>
      </c>
      <c r="R39" s="10">
        <f>1/(1+InterestRate)^Table1[[#This Row],[timeFromValuation]]</f>
        <v>0.46942462111646938</v>
      </c>
      <c r="S39" s="10">
        <f>Table1[[#This Row],[timeFromValuation]]</f>
        <v>15.5</v>
      </c>
      <c r="T39" s="117">
        <f>VLOOKUP(Qx!J39,Table2[],Qx!L$6,FALSE)</f>
        <v>0.94422600000000001</v>
      </c>
      <c r="U39" s="117">
        <f>VLOOKUP(Qx!K39,Table2[],Qx!M$6,FALSE)</f>
        <v>0.802678</v>
      </c>
      <c r="V39" s="117">
        <f>PRODUCT($T$8:$T39)</f>
        <v>0.61159871706491054</v>
      </c>
      <c r="W39" s="117">
        <f>PRODUCT($U$8:$U39)</f>
        <v>0.13147838020272395</v>
      </c>
      <c r="X39" s="117">
        <f>Table1[[#This Row],[Primary Annuitant Px]]+Table1[[#This Row],[Secondary Annuitant Py]]-Table1[[#This Row],[Primary Annuitant Px]]*Table1[[#This Row],[Secondary Annuitant Py]]</f>
        <v>0.98899456277200004</v>
      </c>
      <c r="Y39" s="117">
        <f>PRODUCT($X$8:$X39)</f>
        <v>0.94686874545901689</v>
      </c>
    </row>
    <row r="40" spans="1:25" x14ac:dyDescent="0.3">
      <c r="A40" s="34">
        <f t="shared" si="3"/>
        <v>32</v>
      </c>
      <c r="B40" s="32">
        <f ca="1">OFFSET(Table1[[#This Row],[Pay Period]],-1,0)+0.5</f>
        <v>16</v>
      </c>
      <c r="C40" s="29">
        <f t="shared" si="4"/>
        <v>16</v>
      </c>
      <c r="D40" s="36">
        <f t="shared" si="17"/>
        <v>0</v>
      </c>
      <c r="E40" s="36">
        <f t="shared" si="18"/>
        <v>0</v>
      </c>
      <c r="F40" s="36">
        <f>IF(Table1[[#This Row],[Assumed Contract Value ]]&gt;0.1,Table1[[#This Row],[timeFromValuation]]&gt;=Activation_Time,0)</f>
        <v>0</v>
      </c>
      <c r="G40" s="36">
        <v>0</v>
      </c>
      <c r="H40" s="36" t="b">
        <f>Table1[[#This Row],[timeFromValuation]]=INT(Table1[[#This Row],[timeFromValuation]])</f>
        <v>1</v>
      </c>
      <c r="I40" s="7">
        <f>IF((Table1[[#This Row],[Is Anniversery]]), Table1[[#This Row],[Assumed Contract Value ]],0)</f>
        <v>0</v>
      </c>
      <c r="J40" s="7">
        <f ca="1">IF(NOT(Table1[[#This Row],[Is Activation]]),OFFSET(Table1[[#This Row],[Income Credit Base]],-1,0)+Table1[[#This Row],[Purchase Payments]]+Table1[[#This Row],[Income Credit]],0)</f>
        <v>0</v>
      </c>
      <c r="K40" s="7">
        <f>IF(AND(Table1[[#This Row],[Is Activation]]=FALSE,Table1[[#This Row],[Is Anniversery]]=TRUE),Table1[[#This Row],[Income Credit Base]]*ICP,0)</f>
        <v>0</v>
      </c>
      <c r="L4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40" s="42" t="e">
        <f>IF(NOT(Table1[[#This Row],[Is Activation]]),(Table1[[#This Row],[Withdrawal Taken  ]]/Table1[[#This Row],[Assumed Contract Value ]]),0)</f>
        <v>#DIV/0!</v>
      </c>
      <c r="N4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40" s="5">
        <f>IF(NOT(Table1[[#This Row],[Has Lifetime Income Started]]),Table1[[#This Row],[Income Base]]*MAW,0)</f>
        <v>0</v>
      </c>
      <c r="P40" s="9" t="e">
        <f ca="1">IF(AND(Table1[[#This Row],[Has Lifetime Income Started]],Table1[[#This Row],[Is Anniversery]]),Table1[[#This Row],[Income Base]]*PIP,0)</f>
        <v>#DIV/0!</v>
      </c>
      <c r="Q40" s="37" t="b">
        <f t="shared" si="0"/>
        <v>1</v>
      </c>
      <c r="R40" s="10">
        <f>1/(1+InterestRate)^Table1[[#This Row],[timeFromValuation]]</f>
        <v>0.45811152199140021</v>
      </c>
      <c r="S40" s="10">
        <f>Table1[[#This Row],[timeFromValuation]]</f>
        <v>16</v>
      </c>
      <c r="T40" s="117">
        <f>VLOOKUP(Qx!J40,Table2[],Qx!L$6,FALSE)</f>
        <v>0.93686000000000003</v>
      </c>
      <c r="U40" s="117">
        <f>VLOOKUP(Qx!K40,Table2[],Qx!M$6,FALSE)</f>
        <v>0.78524899999999997</v>
      </c>
      <c r="V40" s="117">
        <f>PRODUCT($T$8:$T40)</f>
        <v>0.57298237406943209</v>
      </c>
      <c r="W40" s="117">
        <f>PRODUCT($U$8:$U40)</f>
        <v>0.10324326657580878</v>
      </c>
      <c r="X40" s="117">
        <f>Table1[[#This Row],[Primary Annuitant Px]]+Table1[[#This Row],[Secondary Annuitant Py]]-Table1[[#This Row],[Primary Annuitant Px]]*Table1[[#This Row],[Secondary Annuitant Py]]</f>
        <v>0.98644062186000014</v>
      </c>
      <c r="Y40" s="117">
        <f>PRODUCT($X$8:$X40)</f>
        <v>0.93402979409039077</v>
      </c>
    </row>
    <row r="41" spans="1:25" x14ac:dyDescent="0.3">
      <c r="A41" s="34">
        <f t="shared" si="3"/>
        <v>33</v>
      </c>
      <c r="B41" s="32">
        <f ca="1">OFFSET(Table1[[#This Row],[Pay Period]],-1,0)+0.5</f>
        <v>16.5</v>
      </c>
      <c r="C41" s="29">
        <f t="shared" si="4"/>
        <v>16.5</v>
      </c>
      <c r="D41" s="36">
        <f t="shared" si="17"/>
        <v>0</v>
      </c>
      <c r="E41" s="36">
        <f t="shared" si="18"/>
        <v>0</v>
      </c>
      <c r="F41" s="36">
        <f>IF(Table1[[#This Row],[Assumed Contract Value ]]&gt;0.1,Table1[[#This Row],[timeFromValuation]]&gt;=Activation_Time,0)</f>
        <v>0</v>
      </c>
      <c r="G41" s="36">
        <v>0</v>
      </c>
      <c r="H41" s="36" t="b">
        <f>Table1[[#This Row],[timeFromValuation]]=INT(Table1[[#This Row],[timeFromValuation]])</f>
        <v>0</v>
      </c>
      <c r="I41" s="7">
        <f>IF((Table1[[#This Row],[Is Anniversery]]), Table1[[#This Row],[Assumed Contract Value ]],0)</f>
        <v>0</v>
      </c>
      <c r="J41" s="7">
        <f ca="1">IF(NOT(Table1[[#This Row],[Is Activation]]),OFFSET(Table1[[#This Row],[Income Credit Base]],-1,0)+Table1[[#This Row],[Purchase Payments]]+Table1[[#This Row],[Income Credit]],0)</f>
        <v>0</v>
      </c>
      <c r="K41" s="7">
        <f>IF(AND(Table1[[#This Row],[Is Activation]]=FALSE,Table1[[#This Row],[Is Anniversery]]=TRUE),Table1[[#This Row],[Income Credit Base]]*ICP,0)</f>
        <v>0</v>
      </c>
      <c r="L4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41" s="42" t="e">
        <f>IF(NOT(Table1[[#This Row],[Is Activation]]),(Table1[[#This Row],[Withdrawal Taken  ]]/Table1[[#This Row],[Assumed Contract Value ]]),0)</f>
        <v>#DIV/0!</v>
      </c>
      <c r="N4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41" s="5">
        <f>IF(NOT(Table1[[#This Row],[Has Lifetime Income Started]]),Table1[[#This Row],[Income Base]]*MAW,0)</f>
        <v>0</v>
      </c>
      <c r="P41" s="9">
        <f>IF(AND(Table1[[#This Row],[Has Lifetime Income Started]],Table1[[#This Row],[Is Anniversery]]),Table1[[#This Row],[Income Base]]*PIP,0)</f>
        <v>0</v>
      </c>
      <c r="Q41" s="37" t="b">
        <f t="shared" si="0"/>
        <v>1</v>
      </c>
      <c r="R41" s="10">
        <f>1/(1+InterestRate)^Table1[[#This Row],[timeFromValuation]]</f>
        <v>0.44707106772997074</v>
      </c>
      <c r="S41" s="10">
        <f>Table1[[#This Row],[timeFromValuation]]</f>
        <v>16.5</v>
      </c>
      <c r="T41" s="117">
        <f>VLOOKUP(Qx!J41,Table2[],Qx!L$6,FALSE)</f>
        <v>0.92893400000000004</v>
      </c>
      <c r="U41" s="117">
        <f>VLOOKUP(Qx!K41,Table2[],Qx!M$6,FALSE)</f>
        <v>0.76749299999999998</v>
      </c>
      <c r="V41" s="117">
        <f>PRODUCT($T$8:$T41)</f>
        <v>0.53226280867381381</v>
      </c>
      <c r="W41" s="117">
        <f>PRODUCT($U$8:$U41)</f>
        <v>7.9238484394067207E-2</v>
      </c>
      <c r="X41" s="117">
        <f>Table1[[#This Row],[Primary Annuitant Px]]+Table1[[#This Row],[Secondary Annuitant Py]]-Table1[[#This Row],[Primary Annuitant Px]]*Table1[[#This Row],[Secondary Annuitant Py]]</f>
        <v>0.98347665753799984</v>
      </c>
      <c r="Y41" s="117">
        <f>PRODUCT($X$8:$X41)</f>
        <v>0.9185964999329238</v>
      </c>
    </row>
    <row r="42" spans="1:25" x14ac:dyDescent="0.3">
      <c r="A42" s="34">
        <f t="shared" si="3"/>
        <v>34</v>
      </c>
      <c r="B42" s="32">
        <f ca="1">OFFSET(Table1[[#This Row],[Pay Period]],-1,0)+0.5</f>
        <v>17</v>
      </c>
      <c r="C42" s="29">
        <f t="shared" si="4"/>
        <v>17</v>
      </c>
      <c r="D42" s="36">
        <f t="shared" si="17"/>
        <v>0</v>
      </c>
      <c r="E42" s="36">
        <f t="shared" si="18"/>
        <v>0</v>
      </c>
      <c r="F42" s="36">
        <f>IF(Table1[[#This Row],[Assumed Contract Value ]]&gt;0.1,Table1[[#This Row],[timeFromValuation]]&gt;=Activation_Time,0)</f>
        <v>0</v>
      </c>
      <c r="G42" s="36">
        <v>0</v>
      </c>
      <c r="H42" s="36" t="b">
        <f>Table1[[#This Row],[timeFromValuation]]=INT(Table1[[#This Row],[timeFromValuation]])</f>
        <v>1</v>
      </c>
      <c r="I42" s="7">
        <f>IF((Table1[[#This Row],[Is Anniversery]]), Table1[[#This Row],[Assumed Contract Value ]],0)</f>
        <v>0</v>
      </c>
      <c r="J42" s="7">
        <f ca="1">IF(NOT(Table1[[#This Row],[Is Activation]]),OFFSET(Table1[[#This Row],[Income Credit Base]],-1,0)+Table1[[#This Row],[Purchase Payments]]+Table1[[#This Row],[Income Credit]],0)</f>
        <v>0</v>
      </c>
      <c r="K42" s="7">
        <f>IF(AND(Table1[[#This Row],[Is Activation]]=FALSE,Table1[[#This Row],[Is Anniversery]]=TRUE),Table1[[#This Row],[Income Credit Base]]*ICP,0)</f>
        <v>0</v>
      </c>
      <c r="L4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42" s="42" t="e">
        <f>IF(NOT(Table1[[#This Row],[Is Activation]]),(Table1[[#This Row],[Withdrawal Taken  ]]/Table1[[#This Row],[Assumed Contract Value ]]),0)</f>
        <v>#DIV/0!</v>
      </c>
      <c r="N4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42" s="5">
        <f>IF(NOT(Table1[[#This Row],[Has Lifetime Income Started]]),Table1[[#This Row],[Income Base]]*MAW,0)</f>
        <v>0</v>
      </c>
      <c r="P42" s="9" t="e">
        <f ca="1">IF(AND(Table1[[#This Row],[Has Lifetime Income Started]],Table1[[#This Row],[Is Anniversery]]),Table1[[#This Row],[Income Base]]*PIP,0)</f>
        <v>#DIV/0!</v>
      </c>
      <c r="Q42" s="37" t="b">
        <f t="shared" si="0"/>
        <v>1</v>
      </c>
      <c r="R42" s="10">
        <f>1/(1+InterestRate)^Table1[[#This Row],[timeFromValuation]]</f>
        <v>0.43629668761085727</v>
      </c>
      <c r="S42" s="10">
        <f>Table1[[#This Row],[timeFromValuation]]</f>
        <v>17</v>
      </c>
      <c r="T42" s="117">
        <f>VLOOKUP(Qx!J42,Table2[],Qx!L$6,FALSE)</f>
        <v>0.92049800000000004</v>
      </c>
      <c r="U42" s="117">
        <f>VLOOKUP(Qx!K42,Table2[],Qx!M$6,FALSE)</f>
        <v>0.74960300000000002</v>
      </c>
      <c r="V42" s="117">
        <f>PRODUCT($T$8:$T42)</f>
        <v>0.48994685085862827</v>
      </c>
      <c r="W42" s="117">
        <f>PRODUCT($U$8:$U42)</f>
        <v>5.9397405617245963E-2</v>
      </c>
      <c r="X42" s="117">
        <f>Table1[[#This Row],[Primary Annuitant Px]]+Table1[[#This Row],[Secondary Annuitant Py]]-Table1[[#This Row],[Primary Annuitant Px]]*Table1[[#This Row],[Secondary Annuitant Py]]</f>
        <v>0.98009293770600003</v>
      </c>
      <c r="Y42" s="117">
        <f>PRODUCT($X$8:$X42)</f>
        <v>0.9003099421857087</v>
      </c>
    </row>
    <row r="43" spans="1:25" x14ac:dyDescent="0.3">
      <c r="A43" s="34">
        <f t="shared" si="3"/>
        <v>35</v>
      </c>
      <c r="B43" s="32">
        <f ca="1">OFFSET(Table1[[#This Row],[Pay Period]],-1,0)+0.5</f>
        <v>17.5</v>
      </c>
      <c r="C43" s="29">
        <f t="shared" si="4"/>
        <v>17.5</v>
      </c>
      <c r="D43" s="36">
        <f t="shared" si="17"/>
        <v>0</v>
      </c>
      <c r="E43" s="36">
        <f t="shared" si="18"/>
        <v>0</v>
      </c>
      <c r="F43" s="36">
        <f>IF(Table1[[#This Row],[Assumed Contract Value ]]&gt;0.1,Table1[[#This Row],[timeFromValuation]]&gt;=Activation_Time,0)</f>
        <v>0</v>
      </c>
      <c r="G43" s="36">
        <v>0</v>
      </c>
      <c r="H43" s="36" t="b">
        <f>Table1[[#This Row],[timeFromValuation]]=INT(Table1[[#This Row],[timeFromValuation]])</f>
        <v>0</v>
      </c>
      <c r="I43" s="7">
        <f>IF((Table1[[#This Row],[Is Anniversery]]), Table1[[#This Row],[Assumed Contract Value ]],0)</f>
        <v>0</v>
      </c>
      <c r="J43" s="7">
        <f ca="1">IF(NOT(Table1[[#This Row],[Is Activation]]),OFFSET(Table1[[#This Row],[Income Credit Base]],-1,0)+Table1[[#This Row],[Purchase Payments]]+Table1[[#This Row],[Income Credit]],0)</f>
        <v>0</v>
      </c>
      <c r="K43" s="7">
        <f>IF(AND(Table1[[#This Row],[Is Activation]]=FALSE,Table1[[#This Row],[Is Anniversery]]=TRUE),Table1[[#This Row],[Income Credit Base]]*ICP,0)</f>
        <v>0</v>
      </c>
      <c r="L4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43" s="42" t="e">
        <f>IF(NOT(Table1[[#This Row],[Is Activation]]),(Table1[[#This Row],[Withdrawal Taken  ]]/Table1[[#This Row],[Assumed Contract Value ]]),0)</f>
        <v>#DIV/0!</v>
      </c>
      <c r="N4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43" s="5">
        <f>IF(NOT(Table1[[#This Row],[Has Lifetime Income Started]]),Table1[[#This Row],[Income Base]]*MAW,0)</f>
        <v>0</v>
      </c>
      <c r="P43" s="9">
        <f>IF(AND(Table1[[#This Row],[Has Lifetime Income Started]],Table1[[#This Row],[Is Anniversery]]),Table1[[#This Row],[Income Base]]*PIP,0)</f>
        <v>0</v>
      </c>
      <c r="Q43" s="37" t="b">
        <f t="shared" si="0"/>
        <v>1</v>
      </c>
      <c r="R43" s="10">
        <f>1/(1+InterestRate)^Table1[[#This Row],[timeFromValuation]]</f>
        <v>0.42578196926663886</v>
      </c>
      <c r="S43" s="10">
        <f>Table1[[#This Row],[timeFromValuation]]</f>
        <v>17.5</v>
      </c>
      <c r="T43" s="117">
        <f>VLOOKUP(Qx!J43,Table2[],Qx!L$6,FALSE)</f>
        <v>0.91162299999999996</v>
      </c>
      <c r="U43" s="117">
        <f>VLOOKUP(Qx!K43,Table2[],Qx!M$6,FALSE)</f>
        <v>0.73139299999999996</v>
      </c>
      <c r="V43" s="117">
        <f>PRODUCT($T$8:$T43)</f>
        <v>0.44664681802029527</v>
      </c>
      <c r="W43" s="117">
        <f>PRODUCT($U$8:$U43)</f>
        <v>4.3442846686614377E-2</v>
      </c>
      <c r="X43" s="117">
        <f>Table1[[#This Row],[Primary Annuitant Px]]+Table1[[#This Row],[Secondary Annuitant Py]]-Table1[[#This Row],[Primary Annuitant Px]]*Table1[[#This Row],[Secondary Annuitant Py]]</f>
        <v>0.9762613191609999</v>
      </c>
      <c r="Y43" s="117">
        <f>PRODUCT($X$8:$X43)</f>
        <v>0.87893777181198351</v>
      </c>
    </row>
    <row r="44" spans="1:25" x14ac:dyDescent="0.3">
      <c r="A44" s="34">
        <f t="shared" si="3"/>
        <v>36</v>
      </c>
      <c r="B44" s="32">
        <f ca="1">OFFSET(Table1[[#This Row],[Pay Period]],-1,0)+0.5</f>
        <v>18</v>
      </c>
      <c r="C44" s="29">
        <f t="shared" si="4"/>
        <v>18</v>
      </c>
      <c r="D44" s="36">
        <f t="shared" si="17"/>
        <v>0</v>
      </c>
      <c r="E44" s="36">
        <f t="shared" si="18"/>
        <v>0</v>
      </c>
      <c r="F44" s="36">
        <f>IF(Table1[[#This Row],[Assumed Contract Value ]]&gt;0.1,Table1[[#This Row],[timeFromValuation]]&gt;=Activation_Time,0)</f>
        <v>0</v>
      </c>
      <c r="G44" s="36">
        <v>0</v>
      </c>
      <c r="H44" s="36" t="b">
        <f>Table1[[#This Row],[timeFromValuation]]=INT(Table1[[#This Row],[timeFromValuation]])</f>
        <v>1</v>
      </c>
      <c r="I44" s="7">
        <f>IF((Table1[[#This Row],[Is Anniversery]]), Table1[[#This Row],[Assumed Contract Value ]],0)</f>
        <v>0</v>
      </c>
      <c r="J44" s="7">
        <f ca="1">IF(NOT(Table1[[#This Row],[Is Activation]]),OFFSET(Table1[[#This Row],[Income Credit Base]],-1,0)+Table1[[#This Row],[Purchase Payments]]+Table1[[#This Row],[Income Credit]],0)</f>
        <v>0</v>
      </c>
      <c r="K44" s="7">
        <f>IF(AND(Table1[[#This Row],[Is Activation]]=FALSE,Table1[[#This Row],[Is Anniversery]]=TRUE),Table1[[#This Row],[Income Credit Base]]*ICP,0)</f>
        <v>0</v>
      </c>
      <c r="L4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44" s="42" t="e">
        <f>IF(NOT(Table1[[#This Row],[Is Activation]]),(Table1[[#This Row],[Withdrawal Taken  ]]/Table1[[#This Row],[Assumed Contract Value ]]),0)</f>
        <v>#DIV/0!</v>
      </c>
      <c r="N4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44" s="5">
        <f>IF(NOT(Table1[[#This Row],[Has Lifetime Income Started]]),Table1[[#This Row],[Income Base]]*MAW,0)</f>
        <v>0</v>
      </c>
      <c r="P44" s="9" t="e">
        <f ca="1">IF(AND(Table1[[#This Row],[Has Lifetime Income Started]],Table1[[#This Row],[Is Anniversery]]),Table1[[#This Row],[Income Base]]*PIP,0)</f>
        <v>#DIV/0!</v>
      </c>
      <c r="Q44" s="37" t="b">
        <f t="shared" si="0"/>
        <v>1</v>
      </c>
      <c r="R44" s="10">
        <f>1/(1+InterestRate)^Table1[[#This Row],[timeFromValuation]]</f>
        <v>0.41552065486748313</v>
      </c>
      <c r="S44" s="10">
        <f>Table1[[#This Row],[timeFromValuation]]</f>
        <v>18</v>
      </c>
      <c r="T44" s="117">
        <f>VLOOKUP(Qx!J44,Table2[],Qx!L$6,FALSE)</f>
        <v>0.90250900000000001</v>
      </c>
      <c r="U44" s="117">
        <f>VLOOKUP(Qx!K44,Table2[],Qx!M$6,FALSE)</f>
        <v>0.70998399999999995</v>
      </c>
      <c r="V44" s="117">
        <f>PRODUCT($T$8:$T44)</f>
        <v>0.40310277308467868</v>
      </c>
      <c r="W44" s="117">
        <f>PRODUCT($U$8:$U44)</f>
        <v>3.0843726061949218E-2</v>
      </c>
      <c r="X44" s="117">
        <f>Table1[[#This Row],[Primary Annuitant Px]]+Table1[[#This Row],[Secondary Annuitant Py]]-Table1[[#This Row],[Primary Annuitant Px]]*Table1[[#This Row],[Secondary Annuitant Py]]</f>
        <v>0.97172605014400004</v>
      </c>
      <c r="Y44" s="117">
        <f>PRODUCT($X$8:$X44)</f>
        <v>0.85408672932522711</v>
      </c>
    </row>
    <row r="45" spans="1:25" x14ac:dyDescent="0.3">
      <c r="A45" s="34">
        <f t="shared" si="3"/>
        <v>37</v>
      </c>
      <c r="B45" s="32">
        <f ca="1">OFFSET(Table1[[#This Row],[Pay Period]],-1,0)+0.5</f>
        <v>18.5</v>
      </c>
      <c r="C45" s="29">
        <f t="shared" si="4"/>
        <v>18.5</v>
      </c>
      <c r="D45" s="36">
        <f t="shared" si="17"/>
        <v>0</v>
      </c>
      <c r="E45" s="36">
        <f t="shared" si="18"/>
        <v>0</v>
      </c>
      <c r="F45" s="36">
        <f>IF(Table1[[#This Row],[Assumed Contract Value ]]&gt;0.1,Table1[[#This Row],[timeFromValuation]]&gt;=Activation_Time,0)</f>
        <v>0</v>
      </c>
      <c r="G45" s="36">
        <v>0</v>
      </c>
      <c r="H45" s="36" t="b">
        <f>Table1[[#This Row],[timeFromValuation]]=INT(Table1[[#This Row],[timeFromValuation]])</f>
        <v>0</v>
      </c>
      <c r="I45" s="7">
        <f>IF((Table1[[#This Row],[Is Anniversery]]), Table1[[#This Row],[Assumed Contract Value ]],0)</f>
        <v>0</v>
      </c>
      <c r="J45" s="7">
        <f ca="1">IF(NOT(Table1[[#This Row],[Is Activation]]),OFFSET(Table1[[#This Row],[Income Credit Base]],-1,0)+Table1[[#This Row],[Purchase Payments]]+Table1[[#This Row],[Income Credit]],0)</f>
        <v>0</v>
      </c>
      <c r="K45" s="7">
        <f>IF(AND(Table1[[#This Row],[Is Activation]]=FALSE,Table1[[#This Row],[Is Anniversery]]=TRUE),Table1[[#This Row],[Income Credit Base]]*ICP,0)</f>
        <v>0</v>
      </c>
      <c r="L4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45" s="42" t="e">
        <f>IF(NOT(Table1[[#This Row],[Is Activation]]),(Table1[[#This Row],[Withdrawal Taken  ]]/Table1[[#This Row],[Assumed Contract Value ]]),0)</f>
        <v>#DIV/0!</v>
      </c>
      <c r="N4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45" s="5">
        <f>IF(NOT(Table1[[#This Row],[Has Lifetime Income Started]]),Table1[[#This Row],[Income Base]]*MAW,0)</f>
        <v>0</v>
      </c>
      <c r="P45" s="9">
        <f>IF(AND(Table1[[#This Row],[Has Lifetime Income Started]],Table1[[#This Row],[Is Anniversery]]),Table1[[#This Row],[Income Base]]*PIP,0)</f>
        <v>0</v>
      </c>
      <c r="Q45" s="37" t="b">
        <f t="shared" si="0"/>
        <v>1</v>
      </c>
      <c r="R45" s="10">
        <f>1/(1+InterestRate)^Table1[[#This Row],[timeFromValuation]]</f>
        <v>0.40550663739679882</v>
      </c>
      <c r="S45" s="10">
        <f>Table1[[#This Row],[timeFromValuation]]</f>
        <v>18.5</v>
      </c>
      <c r="T45" s="117">
        <f>VLOOKUP(Qx!J45,Table2[],Qx!L$6,FALSE)</f>
        <v>0.89273099999999994</v>
      </c>
      <c r="U45" s="117">
        <f>VLOOKUP(Qx!K45,Table2[],Qx!M$6,FALSE)</f>
        <v>0.68815099999999996</v>
      </c>
      <c r="V45" s="117">
        <f>PRODUCT($T$8:$T45)</f>
        <v>0.35986234171865827</v>
      </c>
      <c r="W45" s="117">
        <f>PRODUCT($U$8:$U45)</f>
        <v>2.1225140933256417E-2</v>
      </c>
      <c r="X45" s="117">
        <f>Table1[[#This Row],[Primary Annuitant Px]]+Table1[[#This Row],[Secondary Annuitant Py]]-Table1[[#This Row],[Primary Annuitant Px]]*Table1[[#This Row],[Secondary Annuitant Py]]</f>
        <v>0.96654826961899998</v>
      </c>
      <c r="Y45" s="117">
        <f>PRODUCT($X$8:$X45)</f>
        <v>0.82551605033384945</v>
      </c>
    </row>
    <row r="46" spans="1:25" x14ac:dyDescent="0.3">
      <c r="A46" s="34">
        <f t="shared" si="3"/>
        <v>38</v>
      </c>
      <c r="B46" s="32">
        <f ca="1">OFFSET(Table1[[#This Row],[Pay Period]],-1,0)+0.5</f>
        <v>19</v>
      </c>
      <c r="C46" s="29">
        <f t="shared" si="4"/>
        <v>19</v>
      </c>
      <c r="D46" s="36">
        <f t="shared" si="17"/>
        <v>0</v>
      </c>
      <c r="E46" s="36">
        <f t="shared" si="18"/>
        <v>0</v>
      </c>
      <c r="F46" s="36">
        <f>IF(Table1[[#This Row],[Assumed Contract Value ]]&gt;0.1,Table1[[#This Row],[timeFromValuation]]&gt;=Activation_Time,0)</f>
        <v>0</v>
      </c>
      <c r="G46" s="36">
        <v>0</v>
      </c>
      <c r="H46" s="36" t="b">
        <f>Table1[[#This Row],[timeFromValuation]]=INT(Table1[[#This Row],[timeFromValuation]])</f>
        <v>1</v>
      </c>
      <c r="I46" s="7">
        <f>IF((Table1[[#This Row],[Is Anniversery]]), Table1[[#This Row],[Assumed Contract Value ]],0)</f>
        <v>0</v>
      </c>
      <c r="J46" s="7">
        <f ca="1">IF(NOT(Table1[[#This Row],[Is Activation]]),OFFSET(Table1[[#This Row],[Income Credit Base]],-1,0)+Table1[[#This Row],[Purchase Payments]]+Table1[[#This Row],[Income Credit]],0)</f>
        <v>0</v>
      </c>
      <c r="K46" s="7">
        <f>IF(AND(Table1[[#This Row],[Is Activation]]=FALSE,Table1[[#This Row],[Is Anniversery]]=TRUE),Table1[[#This Row],[Income Credit Base]]*ICP,0)</f>
        <v>0</v>
      </c>
      <c r="L4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46" s="42" t="e">
        <f>IF(NOT(Table1[[#This Row],[Is Activation]]),(Table1[[#This Row],[Withdrawal Taken  ]]/Table1[[#This Row],[Assumed Contract Value ]]),0)</f>
        <v>#DIV/0!</v>
      </c>
      <c r="N4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46" s="5">
        <f>IF(NOT(Table1[[#This Row],[Has Lifetime Income Started]]),Table1[[#This Row],[Income Base]]*MAW,0)</f>
        <v>0</v>
      </c>
      <c r="P46" s="9" t="e">
        <f ca="1">IF(AND(Table1[[#This Row],[Has Lifetime Income Started]],Table1[[#This Row],[Is Anniversery]]),Table1[[#This Row],[Income Base]]*PIP,0)</f>
        <v>#DIV/0!</v>
      </c>
      <c r="Q46" s="37" t="b">
        <f t="shared" si="0"/>
        <v>1</v>
      </c>
      <c r="R46" s="10">
        <f>1/(1+InterestRate)^Table1[[#This Row],[timeFromValuation]]</f>
        <v>0.39573395701665059</v>
      </c>
      <c r="S46" s="10">
        <f>Table1[[#This Row],[timeFromValuation]]</f>
        <v>19</v>
      </c>
      <c r="T46" s="117">
        <f>VLOOKUP(Qx!J46,Table2[],Qx!L$6,FALSE)</f>
        <v>0.881799</v>
      </c>
      <c r="U46" s="117">
        <f>VLOOKUP(Qx!K46,Table2[],Qx!M$6,FALSE)</f>
        <v>0.66603800000000002</v>
      </c>
      <c r="V46" s="117">
        <f>PRODUCT($T$8:$T46)</f>
        <v>0.31732625306517115</v>
      </c>
      <c r="W46" s="117">
        <f>PRODUCT($U$8:$U46)</f>
        <v>1.4136750416904237E-2</v>
      </c>
      <c r="X46" s="117">
        <f>Table1[[#This Row],[Primary Annuitant Px]]+Table1[[#This Row],[Secondary Annuitant Py]]-Table1[[#This Row],[Primary Annuitant Px]]*Table1[[#This Row],[Secondary Annuitant Py]]</f>
        <v>0.96052535763799984</v>
      </c>
      <c r="Y46" s="117">
        <f>PRODUCT($X$8:$X46)</f>
        <v>0.79292909948282986</v>
      </c>
    </row>
    <row r="47" spans="1:25" x14ac:dyDescent="0.3">
      <c r="A47" s="34">
        <f t="shared" si="3"/>
        <v>39</v>
      </c>
      <c r="B47" s="32">
        <f ca="1">OFFSET(Table1[[#This Row],[Pay Period]],-1,0)+0.5</f>
        <v>19.5</v>
      </c>
      <c r="C47" s="29">
        <f t="shared" si="4"/>
        <v>19.5</v>
      </c>
      <c r="D47" s="36">
        <f t="shared" si="17"/>
        <v>0</v>
      </c>
      <c r="E47" s="36">
        <f t="shared" si="18"/>
        <v>0</v>
      </c>
      <c r="F47" s="36">
        <f>IF(Table1[[#This Row],[Assumed Contract Value ]]&gt;0.1,Table1[[#This Row],[timeFromValuation]]&gt;=Activation_Time,0)</f>
        <v>0</v>
      </c>
      <c r="G47" s="36">
        <v>0</v>
      </c>
      <c r="H47" s="36" t="b">
        <f>Table1[[#This Row],[timeFromValuation]]=INT(Table1[[#This Row],[timeFromValuation]])</f>
        <v>0</v>
      </c>
      <c r="I47" s="7">
        <f>IF((Table1[[#This Row],[Is Anniversery]]), Table1[[#This Row],[Assumed Contract Value ]],0)</f>
        <v>0</v>
      </c>
      <c r="J47" s="7">
        <f ca="1">IF(NOT(Table1[[#This Row],[Is Activation]]),OFFSET(Table1[[#This Row],[Income Credit Base]],-1,0)+Table1[[#This Row],[Purchase Payments]]+Table1[[#This Row],[Income Credit]],0)</f>
        <v>0</v>
      </c>
      <c r="K47" s="7">
        <f>IF(AND(Table1[[#This Row],[Is Activation]]=FALSE,Table1[[#This Row],[Is Anniversery]]=TRUE),Table1[[#This Row],[Income Credit Base]]*ICP,0)</f>
        <v>0</v>
      </c>
      <c r="L4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47" s="42" t="e">
        <f>IF(NOT(Table1[[#This Row],[Is Activation]]),(Table1[[#This Row],[Withdrawal Taken  ]]/Table1[[#This Row],[Assumed Contract Value ]]),0)</f>
        <v>#DIV/0!</v>
      </c>
      <c r="N4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47" s="5">
        <f>IF(NOT(Table1[[#This Row],[Has Lifetime Income Started]]),Table1[[#This Row],[Income Base]]*MAW,0)</f>
        <v>0</v>
      </c>
      <c r="P47" s="9">
        <f>IF(AND(Table1[[#This Row],[Has Lifetime Income Started]],Table1[[#This Row],[Is Anniversery]]),Table1[[#This Row],[Income Base]]*PIP,0)</f>
        <v>0</v>
      </c>
      <c r="Q47" s="37" t="b">
        <f t="shared" si="0"/>
        <v>1</v>
      </c>
      <c r="R47" s="10">
        <f>1/(1+InterestRate)^Table1[[#This Row],[timeFromValuation]]</f>
        <v>0.3861967975207608</v>
      </c>
      <c r="S47" s="10">
        <f>Table1[[#This Row],[timeFromValuation]]</f>
        <v>19.5</v>
      </c>
      <c r="T47" s="117">
        <f>VLOOKUP(Qx!J47,Table2[],Qx!L$6,FALSE)</f>
        <v>0.869031</v>
      </c>
      <c r="U47" s="117">
        <f>VLOOKUP(Qx!K47,Table2[],Qx!M$6,FALSE)</f>
        <v>0.64379300000000006</v>
      </c>
      <c r="V47" s="117">
        <f>PRODUCT($T$8:$T47)</f>
        <v>0.27576635102747876</v>
      </c>
      <c r="W47" s="117">
        <f>PRODUCT($U$8:$U47)</f>
        <v>9.10114096115003E-3</v>
      </c>
      <c r="X47" s="117">
        <f>Table1[[#This Row],[Primary Annuitant Px]]+Table1[[#This Row],[Secondary Annuitant Py]]-Table1[[#This Row],[Primary Annuitant Px]]*Table1[[#This Row],[Secondary Annuitant Py]]</f>
        <v>0.95334792541700009</v>
      </c>
      <c r="Y47" s="117">
        <f>PRODUCT($X$8:$X47)</f>
        <v>0.75593731199472591</v>
      </c>
    </row>
    <row r="48" spans="1:25" x14ac:dyDescent="0.3">
      <c r="A48" s="34">
        <f t="shared" si="3"/>
        <v>40</v>
      </c>
      <c r="B48" s="32">
        <f ca="1">OFFSET(Table1[[#This Row],[Pay Period]],-1,0)+0.5</f>
        <v>20</v>
      </c>
      <c r="C48" s="29">
        <f t="shared" si="4"/>
        <v>20</v>
      </c>
      <c r="D48" s="36">
        <f t="shared" si="17"/>
        <v>0</v>
      </c>
      <c r="E48" s="36">
        <f t="shared" si="18"/>
        <v>0</v>
      </c>
      <c r="F48" s="36">
        <f>IF(Table1[[#This Row],[Assumed Contract Value ]]&gt;0.1,Table1[[#This Row],[timeFromValuation]]&gt;=Activation_Time,0)</f>
        <v>0</v>
      </c>
      <c r="G48" s="36">
        <v>0</v>
      </c>
      <c r="H48" s="36" t="b">
        <f>Table1[[#This Row],[timeFromValuation]]=INT(Table1[[#This Row],[timeFromValuation]])</f>
        <v>1</v>
      </c>
      <c r="I48" s="7">
        <f>IF((Table1[[#This Row],[Is Anniversery]]), Table1[[#This Row],[Assumed Contract Value ]],0)</f>
        <v>0</v>
      </c>
      <c r="J48" s="7">
        <f ca="1">IF(NOT(Table1[[#This Row],[Is Activation]]),OFFSET(Table1[[#This Row],[Income Credit Base]],-1,0)+Table1[[#This Row],[Purchase Payments]]+Table1[[#This Row],[Income Credit]],0)</f>
        <v>0</v>
      </c>
      <c r="K48" s="7">
        <f>IF(AND(Table1[[#This Row],[Is Activation]]=FALSE,Table1[[#This Row],[Is Anniversery]]=TRUE),Table1[[#This Row],[Income Credit Base]]*ICP,0)</f>
        <v>0</v>
      </c>
      <c r="L4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48" s="42" t="e">
        <f>IF(NOT(Table1[[#This Row],[Is Activation]]),(Table1[[#This Row],[Withdrawal Taken  ]]/Table1[[#This Row],[Assumed Contract Value ]]),0)</f>
        <v>#DIV/0!</v>
      </c>
      <c r="N4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48" s="5">
        <f>IF(NOT(Table1[[#This Row],[Has Lifetime Income Started]]),Table1[[#This Row],[Income Base]]*MAW,0)</f>
        <v>0</v>
      </c>
      <c r="P48" s="9" t="e">
        <f ca="1">IF(AND(Table1[[#This Row],[Has Lifetime Income Started]],Table1[[#This Row],[Is Anniversery]]),Table1[[#This Row],[Income Base]]*PIP,0)</f>
        <v>#DIV/0!</v>
      </c>
      <c r="Q48" s="37" t="b">
        <f t="shared" si="0"/>
        <v>1</v>
      </c>
      <c r="R48" s="10">
        <f>1/(1+InterestRate)^Table1[[#This Row],[timeFromValuation]]</f>
        <v>0.37688948287300061</v>
      </c>
      <c r="S48" s="10">
        <f>Table1[[#This Row],[timeFromValuation]]</f>
        <v>20</v>
      </c>
      <c r="T48" s="117">
        <f>VLOOKUP(Qx!J48,Table2[],Qx!L$6,FALSE)</f>
        <v>0.85355099999999995</v>
      </c>
      <c r="U48" s="117">
        <f>VLOOKUP(Qx!K48,Table2[],Qx!M$6,FALSE)</f>
        <v>0.62</v>
      </c>
      <c r="V48" s="117">
        <f>PRODUCT($T$8:$T48)</f>
        <v>0.23538064468585551</v>
      </c>
      <c r="W48" s="117">
        <f>PRODUCT($U$8:$U48)</f>
        <v>5.6427073959130188E-3</v>
      </c>
      <c r="X48" s="117">
        <f>Table1[[#This Row],[Primary Annuitant Px]]+Table1[[#This Row],[Secondary Annuitant Py]]-Table1[[#This Row],[Primary Annuitant Px]]*Table1[[#This Row],[Secondary Annuitant Py]]</f>
        <v>0.94434938000000013</v>
      </c>
      <c r="Y48" s="117">
        <f>PRODUCT($X$8:$X48)</f>
        <v>0.71386893190108602</v>
      </c>
    </row>
    <row r="49" spans="1:25" x14ac:dyDescent="0.3">
      <c r="A49" s="34">
        <f t="shared" si="3"/>
        <v>41</v>
      </c>
      <c r="B49" s="32">
        <f ca="1">OFFSET(Table1[[#This Row],[Pay Period]],-1,0)+0.5</f>
        <v>20.5</v>
      </c>
      <c r="C49" s="29">
        <f t="shared" si="4"/>
        <v>20.5</v>
      </c>
      <c r="D49" s="36">
        <f t="shared" si="17"/>
        <v>0</v>
      </c>
      <c r="E49" s="36">
        <f t="shared" si="18"/>
        <v>0</v>
      </c>
      <c r="F49" s="36">
        <f>IF(Table1[[#This Row],[Assumed Contract Value ]]&gt;0.1,Table1[[#This Row],[timeFromValuation]]&gt;=Activation_Time,0)</f>
        <v>0</v>
      </c>
      <c r="G49" s="36">
        <v>0</v>
      </c>
      <c r="H49" s="36" t="b">
        <f>Table1[[#This Row],[timeFromValuation]]=INT(Table1[[#This Row],[timeFromValuation]])</f>
        <v>0</v>
      </c>
      <c r="I49" s="7">
        <f>IF((Table1[[#This Row],[Is Anniversery]]), Table1[[#This Row],[Assumed Contract Value ]],0)</f>
        <v>0</v>
      </c>
      <c r="J49" s="7">
        <f ca="1">IF(NOT(Table1[[#This Row],[Is Activation]]),OFFSET(Table1[[#This Row],[Income Credit Base]],-1,0)+Table1[[#This Row],[Purchase Payments]]+Table1[[#This Row],[Income Credit]],0)</f>
        <v>0</v>
      </c>
      <c r="K49" s="7">
        <f>IF(AND(Table1[[#This Row],[Is Activation]]=FALSE,Table1[[#This Row],[Is Anniversery]]=TRUE),Table1[[#This Row],[Income Credit Base]]*ICP,0)</f>
        <v>0</v>
      </c>
      <c r="L4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49" s="42" t="e">
        <f>IF(NOT(Table1[[#This Row],[Is Activation]]),(Table1[[#This Row],[Withdrawal Taken  ]]/Table1[[#This Row],[Assumed Contract Value ]]),0)</f>
        <v>#DIV/0!</v>
      </c>
      <c r="N4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49" s="5">
        <f>IF(NOT(Table1[[#This Row],[Has Lifetime Income Started]]),Table1[[#This Row],[Income Base]]*MAW,0)</f>
        <v>0</v>
      </c>
      <c r="P49" s="9">
        <f>IF(AND(Table1[[#This Row],[Has Lifetime Income Started]],Table1[[#This Row],[Is Anniversery]]),Table1[[#This Row],[Income Base]]*PIP,0)</f>
        <v>0</v>
      </c>
      <c r="Q49" s="37" t="b">
        <f t="shared" si="0"/>
        <v>1</v>
      </c>
      <c r="R49" s="10">
        <f>1/(1+InterestRate)^Table1[[#This Row],[timeFromValuation]]</f>
        <v>0.36780647382929599</v>
      </c>
      <c r="S49" s="10">
        <f>Table1[[#This Row],[timeFromValuation]]</f>
        <v>20.5</v>
      </c>
      <c r="T49" s="117">
        <f>VLOOKUP(Qx!J49,Table2[],Qx!L$6,FALSE)</f>
        <v>0.83609200000000006</v>
      </c>
      <c r="U49" s="117">
        <f>VLOOKUP(Qx!K49,Table2[],Qx!M$6,FALSE)</f>
        <v>0.6</v>
      </c>
      <c r="V49" s="117">
        <f>PRODUCT($T$8:$T49)</f>
        <v>0.19679987397668633</v>
      </c>
      <c r="W49" s="117">
        <f>PRODUCT($U$8:$U49)</f>
        <v>3.3856244375478112E-3</v>
      </c>
      <c r="X49" s="117">
        <f>Table1[[#This Row],[Primary Annuitant Px]]+Table1[[#This Row],[Secondary Annuitant Py]]-Table1[[#This Row],[Primary Annuitant Px]]*Table1[[#This Row],[Secondary Annuitant Py]]</f>
        <v>0.93443679999999996</v>
      </c>
      <c r="Y49" s="117">
        <f>PRODUCT($X$8:$X49)</f>
        <v>0.66706540034506867</v>
      </c>
    </row>
    <row r="50" spans="1:25" x14ac:dyDescent="0.3">
      <c r="A50" s="34">
        <f t="shared" si="3"/>
        <v>42</v>
      </c>
      <c r="B50" s="32">
        <f ca="1">OFFSET(Table1[[#This Row],[Pay Period]],-1,0)+0.5</f>
        <v>21</v>
      </c>
      <c r="C50" s="29">
        <f t="shared" si="4"/>
        <v>21</v>
      </c>
      <c r="D50" s="36">
        <f t="shared" si="17"/>
        <v>0</v>
      </c>
      <c r="E50" s="36">
        <f t="shared" si="18"/>
        <v>0</v>
      </c>
      <c r="F50" s="36">
        <f>IF(Table1[[#This Row],[Assumed Contract Value ]]&gt;0.1,Table1[[#This Row],[timeFromValuation]]&gt;=Activation_Time,0)</f>
        <v>0</v>
      </c>
      <c r="G50" s="36">
        <v>0</v>
      </c>
      <c r="H50" s="36" t="b">
        <f>Table1[[#This Row],[timeFromValuation]]=INT(Table1[[#This Row],[timeFromValuation]])</f>
        <v>1</v>
      </c>
      <c r="I50" s="7">
        <f>IF((Table1[[#This Row],[Is Anniversery]]), Table1[[#This Row],[Assumed Contract Value ]],0)</f>
        <v>0</v>
      </c>
      <c r="J50" s="7">
        <f ca="1">IF(NOT(Table1[[#This Row],[Is Activation]]),OFFSET(Table1[[#This Row],[Income Credit Base]],-1,0)+Table1[[#This Row],[Purchase Payments]]+Table1[[#This Row],[Income Credit]],0)</f>
        <v>0</v>
      </c>
      <c r="K50" s="7">
        <f>IF(AND(Table1[[#This Row],[Is Activation]]=FALSE,Table1[[#This Row],[Is Anniversery]]=TRUE),Table1[[#This Row],[Income Credit Base]]*ICP,0)</f>
        <v>0</v>
      </c>
      <c r="L5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50" s="42" t="e">
        <f>IF(NOT(Table1[[#This Row],[Is Activation]]),(Table1[[#This Row],[Withdrawal Taken  ]]/Table1[[#This Row],[Assumed Contract Value ]]),0)</f>
        <v>#DIV/0!</v>
      </c>
      <c r="N5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50" s="5">
        <f>IF(NOT(Table1[[#This Row],[Has Lifetime Income Started]]),Table1[[#This Row],[Income Base]]*MAW,0)</f>
        <v>0</v>
      </c>
      <c r="P50" s="9" t="e">
        <f ca="1">IF(AND(Table1[[#This Row],[Has Lifetime Income Started]],Table1[[#This Row],[Is Anniversery]]),Table1[[#This Row],[Income Base]]*PIP,0)</f>
        <v>#DIV/0!</v>
      </c>
      <c r="Q50" s="37" t="b">
        <f t="shared" si="0"/>
        <v>1</v>
      </c>
      <c r="R50" s="10">
        <f>1/(1+InterestRate)^Table1[[#This Row],[timeFromValuation]]</f>
        <v>0.35894236464095297</v>
      </c>
      <c r="S50" s="10">
        <f>Table1[[#This Row],[timeFromValuation]]</f>
        <v>21</v>
      </c>
      <c r="T50" s="117">
        <f>VLOOKUP(Qx!J50,Table2[],Qx!L$6,FALSE)</f>
        <v>0.82030500000000006</v>
      </c>
      <c r="U50" s="117">
        <f>VLOOKUP(Qx!K50,Table2[],Qx!M$6,FALSE)</f>
        <v>0.6</v>
      </c>
      <c r="V50" s="117">
        <f>PRODUCT($T$8:$T50)</f>
        <v>0.16143592062244569</v>
      </c>
      <c r="W50" s="117">
        <f>PRODUCT($U$8:$U50)</f>
        <v>2.0313746625286867E-3</v>
      </c>
      <c r="X50" s="117">
        <f>Table1[[#This Row],[Primary Annuitant Px]]+Table1[[#This Row],[Secondary Annuitant Py]]-Table1[[#This Row],[Primary Annuitant Px]]*Table1[[#This Row],[Secondary Annuitant Py]]</f>
        <v>0.92812199999999989</v>
      </c>
      <c r="Y50" s="117">
        <f>PRODUCT($X$8:$X50)</f>
        <v>0.61911807349906578</v>
      </c>
    </row>
    <row r="51" spans="1:25" x14ac:dyDescent="0.3">
      <c r="A51" s="34">
        <f t="shared" si="3"/>
        <v>43</v>
      </c>
      <c r="B51" s="32">
        <f ca="1">OFFSET(Table1[[#This Row],[Pay Period]],-1,0)+0.5</f>
        <v>21.5</v>
      </c>
      <c r="C51" s="29">
        <f t="shared" si="4"/>
        <v>21.5</v>
      </c>
      <c r="D51" s="36">
        <f t="shared" si="17"/>
        <v>0</v>
      </c>
      <c r="E51" s="36">
        <f t="shared" si="18"/>
        <v>0</v>
      </c>
      <c r="F51" s="36">
        <f>IF(Table1[[#This Row],[Assumed Contract Value ]]&gt;0.1,Table1[[#This Row],[timeFromValuation]]&gt;=Activation_Time,0)</f>
        <v>0</v>
      </c>
      <c r="G51" s="36">
        <v>0</v>
      </c>
      <c r="H51" s="36" t="b">
        <f>Table1[[#This Row],[timeFromValuation]]=INT(Table1[[#This Row],[timeFromValuation]])</f>
        <v>0</v>
      </c>
      <c r="I51" s="7">
        <f>IF((Table1[[#This Row],[Is Anniversery]]), Table1[[#This Row],[Assumed Contract Value ]],0)</f>
        <v>0</v>
      </c>
      <c r="J51" s="7">
        <f ca="1">IF(NOT(Table1[[#This Row],[Is Activation]]),OFFSET(Table1[[#This Row],[Income Credit Base]],-1,0)+Table1[[#This Row],[Purchase Payments]]+Table1[[#This Row],[Income Credit]],0)</f>
        <v>0</v>
      </c>
      <c r="K51" s="7">
        <f>IF(AND(Table1[[#This Row],[Is Activation]]=FALSE,Table1[[#This Row],[Is Anniversery]]=TRUE),Table1[[#This Row],[Income Credit Base]]*ICP,0)</f>
        <v>0</v>
      </c>
      <c r="L5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51" s="42" t="e">
        <f>IF(NOT(Table1[[#This Row],[Is Activation]]),(Table1[[#This Row],[Withdrawal Taken  ]]/Table1[[#This Row],[Assumed Contract Value ]]),0)</f>
        <v>#DIV/0!</v>
      </c>
      <c r="N5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51" s="5">
        <f>IF(NOT(Table1[[#This Row],[Has Lifetime Income Started]]),Table1[[#This Row],[Income Base]]*MAW,0)</f>
        <v>0</v>
      </c>
      <c r="P51" s="9">
        <f>IF(AND(Table1[[#This Row],[Has Lifetime Income Started]],Table1[[#This Row],[Is Anniversery]]),Table1[[#This Row],[Income Base]]*PIP,0)</f>
        <v>0</v>
      </c>
      <c r="Q51" s="37" t="b">
        <f t="shared" si="0"/>
        <v>1</v>
      </c>
      <c r="R51" s="10">
        <f>1/(1+InterestRate)^Table1[[#This Row],[timeFromValuation]]</f>
        <v>0.35029187983742477</v>
      </c>
      <c r="S51" s="10">
        <f>Table1[[#This Row],[timeFromValuation]]</f>
        <v>21.5</v>
      </c>
      <c r="T51" s="117">
        <f>VLOOKUP(Qx!J51,Table2[],Qx!L$6,FALSE)</f>
        <v>0.80384900000000004</v>
      </c>
      <c r="U51" s="117">
        <f>VLOOKUP(Qx!K51,Table2[],Qx!M$6,FALSE)</f>
        <v>0.6</v>
      </c>
      <c r="V51" s="117">
        <f>PRODUCT($T$8:$T51)</f>
        <v>0.12977010335643235</v>
      </c>
      <c r="W51" s="117">
        <f>PRODUCT($U$8:$U51)</f>
        <v>1.2188247975172121E-3</v>
      </c>
      <c r="X51" s="117">
        <f>Table1[[#This Row],[Primary Annuitant Px]]+Table1[[#This Row],[Secondary Annuitant Py]]-Table1[[#This Row],[Primary Annuitant Px]]*Table1[[#This Row],[Secondary Annuitant Py]]</f>
        <v>0.92153960000000013</v>
      </c>
      <c r="Y51" s="117">
        <f>PRODUCT($X$8:$X51)</f>
        <v>0.57054182180509971</v>
      </c>
    </row>
    <row r="52" spans="1:25" x14ac:dyDescent="0.3">
      <c r="A52" s="34">
        <f t="shared" si="3"/>
        <v>44</v>
      </c>
      <c r="B52" s="32">
        <f ca="1">OFFSET(Table1[[#This Row],[Pay Period]],-1,0)+0.5</f>
        <v>22</v>
      </c>
      <c r="C52" s="29">
        <f t="shared" si="4"/>
        <v>22</v>
      </c>
      <c r="D52" s="36">
        <f t="shared" si="17"/>
        <v>0</v>
      </c>
      <c r="E52" s="36">
        <f t="shared" si="18"/>
        <v>0</v>
      </c>
      <c r="F52" s="36">
        <f>IF(Table1[[#This Row],[Assumed Contract Value ]]&gt;0.1,Table1[[#This Row],[timeFromValuation]]&gt;=Activation_Time,0)</f>
        <v>0</v>
      </c>
      <c r="G52" s="36">
        <v>0</v>
      </c>
      <c r="H52" s="36" t="b">
        <f>Table1[[#This Row],[timeFromValuation]]=INT(Table1[[#This Row],[timeFromValuation]])</f>
        <v>1</v>
      </c>
      <c r="I52" s="7">
        <f>IF((Table1[[#This Row],[Is Anniversery]]), Table1[[#This Row],[Assumed Contract Value ]],0)</f>
        <v>0</v>
      </c>
      <c r="J52" s="7">
        <f ca="1">IF(NOT(Table1[[#This Row],[Is Activation]]),OFFSET(Table1[[#This Row],[Income Credit Base]],-1,0)+Table1[[#This Row],[Purchase Payments]]+Table1[[#This Row],[Income Credit]],0)</f>
        <v>0</v>
      </c>
      <c r="K52" s="7">
        <f>IF(AND(Table1[[#This Row],[Is Activation]]=FALSE,Table1[[#This Row],[Is Anniversery]]=TRUE),Table1[[#This Row],[Income Credit Base]]*ICP,0)</f>
        <v>0</v>
      </c>
      <c r="L5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52" s="42" t="e">
        <f>IF(NOT(Table1[[#This Row],[Is Activation]]),(Table1[[#This Row],[Withdrawal Taken  ]]/Table1[[#This Row],[Assumed Contract Value ]]),0)</f>
        <v>#DIV/0!</v>
      </c>
      <c r="N5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52" s="5">
        <f>IF(NOT(Table1[[#This Row],[Has Lifetime Income Started]]),Table1[[#This Row],[Income Base]]*MAW,0)</f>
        <v>0</v>
      </c>
      <c r="P52" s="9" t="e">
        <f ca="1">IF(AND(Table1[[#This Row],[Has Lifetime Income Started]],Table1[[#This Row],[Is Anniversery]]),Table1[[#This Row],[Income Base]]*PIP,0)</f>
        <v>#DIV/0!</v>
      </c>
      <c r="Q52" s="37" t="b">
        <f t="shared" si="0"/>
        <v>1</v>
      </c>
      <c r="R52" s="10">
        <f>1/(1+InterestRate)^Table1[[#This Row],[timeFromValuation]]</f>
        <v>0.3418498710866219</v>
      </c>
      <c r="S52" s="10">
        <f>Table1[[#This Row],[timeFromValuation]]</f>
        <v>22</v>
      </c>
      <c r="T52" s="117">
        <f>VLOOKUP(Qx!J52,Table2[],Qx!L$6,FALSE)</f>
        <v>0.78685000000000005</v>
      </c>
      <c r="U52" s="117">
        <f>VLOOKUP(Qx!K52,Table2[],Qx!M$6,FALSE)</f>
        <v>0.6</v>
      </c>
      <c r="V52" s="117">
        <f>PRODUCT($T$8:$T52)</f>
        <v>0.10210960582600881</v>
      </c>
      <c r="W52" s="117">
        <f>PRODUCT($U$8:$U52)</f>
        <v>7.3129487851032726E-4</v>
      </c>
      <c r="X52" s="117">
        <f>Table1[[#This Row],[Primary Annuitant Px]]+Table1[[#This Row],[Secondary Annuitant Py]]-Table1[[#This Row],[Primary Annuitant Px]]*Table1[[#This Row],[Secondary Annuitant Py]]</f>
        <v>0.91473999999999989</v>
      </c>
      <c r="Y52" s="117">
        <f>PRODUCT($X$8:$X52)</f>
        <v>0.52189742607799683</v>
      </c>
    </row>
    <row r="53" spans="1:25" x14ac:dyDescent="0.3">
      <c r="A53" s="34">
        <f t="shared" si="3"/>
        <v>45</v>
      </c>
      <c r="B53" s="32">
        <f ca="1">OFFSET(Table1[[#This Row],[Pay Period]],-1,0)+0.5</f>
        <v>22.5</v>
      </c>
      <c r="C53" s="29">
        <f t="shared" si="4"/>
        <v>22.5</v>
      </c>
      <c r="D53" s="36">
        <f t="shared" si="17"/>
        <v>0</v>
      </c>
      <c r="E53" s="36">
        <f t="shared" si="18"/>
        <v>0</v>
      </c>
      <c r="F53" s="36">
        <f>IF(Table1[[#This Row],[Assumed Contract Value ]]&gt;0.1,Table1[[#This Row],[timeFromValuation]]&gt;=Activation_Time,0)</f>
        <v>0</v>
      </c>
      <c r="G53" s="36">
        <v>0</v>
      </c>
      <c r="H53" s="36" t="b">
        <f>Table1[[#This Row],[timeFromValuation]]=INT(Table1[[#This Row],[timeFromValuation]])</f>
        <v>0</v>
      </c>
      <c r="I53" s="7">
        <f>IF((Table1[[#This Row],[Is Anniversery]]), Table1[[#This Row],[Assumed Contract Value ]],0)</f>
        <v>0</v>
      </c>
      <c r="J53" s="7">
        <f ca="1">IF(NOT(Table1[[#This Row],[Is Activation]]),OFFSET(Table1[[#This Row],[Income Credit Base]],-1,0)+Table1[[#This Row],[Purchase Payments]]+Table1[[#This Row],[Income Credit]],0)</f>
        <v>0</v>
      </c>
      <c r="K53" s="7">
        <f>IF(AND(Table1[[#This Row],[Is Activation]]=FALSE,Table1[[#This Row],[Is Anniversery]]=TRUE),Table1[[#This Row],[Income Credit Base]]*ICP,0)</f>
        <v>0</v>
      </c>
      <c r="L5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53" s="42" t="e">
        <f>IF(NOT(Table1[[#This Row],[Is Activation]]),(Table1[[#This Row],[Withdrawal Taken  ]]/Table1[[#This Row],[Assumed Contract Value ]]),0)</f>
        <v>#DIV/0!</v>
      </c>
      <c r="N5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53" s="5">
        <f>IF(NOT(Table1[[#This Row],[Has Lifetime Income Started]]),Table1[[#This Row],[Income Base]]*MAW,0)</f>
        <v>0</v>
      </c>
      <c r="P53" s="9">
        <f>IF(AND(Table1[[#This Row],[Has Lifetime Income Started]],Table1[[#This Row],[Is Anniversery]]),Table1[[#This Row],[Income Base]]*PIP,0)</f>
        <v>0</v>
      </c>
      <c r="Q53" s="37" t="b">
        <f t="shared" si="0"/>
        <v>1</v>
      </c>
      <c r="R53" s="10">
        <f>1/(1+InterestRate)^Table1[[#This Row],[timeFromValuation]]</f>
        <v>0.33361131413088069</v>
      </c>
      <c r="S53" s="10">
        <f>Table1[[#This Row],[timeFromValuation]]</f>
        <v>22.5</v>
      </c>
      <c r="T53" s="117">
        <f>VLOOKUP(Qx!J53,Table2[],Qx!L$6,FALSE)</f>
        <v>0.76927800000000002</v>
      </c>
      <c r="U53" s="117">
        <f>VLOOKUP(Qx!K53,Table2[],Qx!M$6,FALSE)</f>
        <v>0.6</v>
      </c>
      <c r="V53" s="117">
        <f>PRODUCT($T$8:$T53)</f>
        <v>7.8550673350620409E-2</v>
      </c>
      <c r="W53" s="117">
        <f>PRODUCT($U$8:$U53)</f>
        <v>4.3877692710619633E-4</v>
      </c>
      <c r="X53" s="117">
        <f>Table1[[#This Row],[Primary Annuitant Px]]+Table1[[#This Row],[Secondary Annuitant Py]]-Table1[[#This Row],[Primary Annuitant Px]]*Table1[[#This Row],[Secondary Annuitant Py]]</f>
        <v>0.90771120000000005</v>
      </c>
      <c r="Y53" s="117">
        <f>PRODUCT($X$8:$X53)</f>
        <v>0.47373213890216981</v>
      </c>
    </row>
    <row r="54" spans="1:25" x14ac:dyDescent="0.3">
      <c r="A54" s="34">
        <f t="shared" si="3"/>
        <v>46</v>
      </c>
      <c r="B54" s="32">
        <f ca="1">OFFSET(Table1[[#This Row],[Pay Period]],-1,0)+0.5</f>
        <v>23</v>
      </c>
      <c r="C54" s="29">
        <f t="shared" si="4"/>
        <v>23</v>
      </c>
      <c r="D54" s="36">
        <f t="shared" si="17"/>
        <v>0</v>
      </c>
      <c r="E54" s="36">
        <f t="shared" si="18"/>
        <v>0</v>
      </c>
      <c r="F54" s="36">
        <f>IF(Table1[[#This Row],[Assumed Contract Value ]]&gt;0.1,Table1[[#This Row],[timeFromValuation]]&gt;=Activation_Time,0)</f>
        <v>0</v>
      </c>
      <c r="G54" s="36">
        <v>0</v>
      </c>
      <c r="H54" s="36" t="b">
        <f>Table1[[#This Row],[timeFromValuation]]=INT(Table1[[#This Row],[timeFromValuation]])</f>
        <v>1</v>
      </c>
      <c r="I54" s="7">
        <f>IF((Table1[[#This Row],[Is Anniversery]]), Table1[[#This Row],[Assumed Contract Value ]],0)</f>
        <v>0</v>
      </c>
      <c r="J54" s="7">
        <f ca="1">IF(NOT(Table1[[#This Row],[Is Activation]]),OFFSET(Table1[[#This Row],[Income Credit Base]],-1,0)+Table1[[#This Row],[Purchase Payments]]+Table1[[#This Row],[Income Credit]],0)</f>
        <v>0</v>
      </c>
      <c r="K54" s="7">
        <f>IF(AND(Table1[[#This Row],[Is Activation]]=FALSE,Table1[[#This Row],[Is Anniversery]]=TRUE),Table1[[#This Row],[Income Credit Base]]*ICP,0)</f>
        <v>0</v>
      </c>
      <c r="L5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54" s="42" t="e">
        <f>IF(NOT(Table1[[#This Row],[Is Activation]]),(Table1[[#This Row],[Withdrawal Taken  ]]/Table1[[#This Row],[Assumed Contract Value ]]),0)</f>
        <v>#DIV/0!</v>
      </c>
      <c r="N5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54" s="5">
        <f>IF(NOT(Table1[[#This Row],[Has Lifetime Income Started]]),Table1[[#This Row],[Income Base]]*MAW,0)</f>
        <v>0</v>
      </c>
      <c r="P54" s="9" t="e">
        <f ca="1">IF(AND(Table1[[#This Row],[Has Lifetime Income Started]],Table1[[#This Row],[Is Anniversery]]),Table1[[#This Row],[Income Base]]*PIP,0)</f>
        <v>#DIV/0!</v>
      </c>
      <c r="Q54" s="37" t="b">
        <f t="shared" si="0"/>
        <v>1</v>
      </c>
      <c r="R54" s="10">
        <f>1/(1+InterestRate)^Table1[[#This Row],[timeFromValuation]]</f>
        <v>0.32557130579678267</v>
      </c>
      <c r="S54" s="10">
        <f>Table1[[#This Row],[timeFromValuation]]</f>
        <v>23</v>
      </c>
      <c r="T54" s="117">
        <f>VLOOKUP(Qx!J54,Table2[],Qx!L$6,FALSE)</f>
        <v>0.74849500000000002</v>
      </c>
      <c r="U54" s="117">
        <f>VLOOKUP(Qx!K54,Table2[],Qx!M$6,FALSE)</f>
        <v>0.6</v>
      </c>
      <c r="V54" s="117">
        <f>PRODUCT($T$8:$T54)</f>
        <v>5.8794786249572628E-2</v>
      </c>
      <c r="W54" s="117">
        <f>PRODUCT($U$8:$U54)</f>
        <v>2.632661562637178E-4</v>
      </c>
      <c r="X54" s="117">
        <f>Table1[[#This Row],[Primary Annuitant Px]]+Table1[[#This Row],[Secondary Annuitant Py]]-Table1[[#This Row],[Primary Annuitant Px]]*Table1[[#This Row],[Secondary Annuitant Py]]</f>
        <v>0.89939799999999992</v>
      </c>
      <c r="Y54" s="117">
        <f>PRODUCT($X$8:$X54)</f>
        <v>0.4260737382643337</v>
      </c>
    </row>
    <row r="55" spans="1:25" x14ac:dyDescent="0.3">
      <c r="A55" s="34">
        <f t="shared" si="3"/>
        <v>47</v>
      </c>
      <c r="B55" s="32">
        <f ca="1">OFFSET(Table1[[#This Row],[Pay Period]],-1,0)+0.5</f>
        <v>23.5</v>
      </c>
      <c r="C55" s="29">
        <f t="shared" si="4"/>
        <v>23.5</v>
      </c>
      <c r="D55" s="36">
        <f t="shared" si="17"/>
        <v>0</v>
      </c>
      <c r="E55" s="36">
        <f t="shared" si="18"/>
        <v>0</v>
      </c>
      <c r="F55" s="36">
        <f>IF(Table1[[#This Row],[Assumed Contract Value ]]&gt;0.1,Table1[[#This Row],[timeFromValuation]]&gt;=Activation_Time,0)</f>
        <v>0</v>
      </c>
      <c r="G55" s="36">
        <v>0</v>
      </c>
      <c r="H55" s="36" t="b">
        <f>Table1[[#This Row],[timeFromValuation]]=INT(Table1[[#This Row],[timeFromValuation]])</f>
        <v>0</v>
      </c>
      <c r="I55" s="7">
        <f>IF((Table1[[#This Row],[Is Anniversery]]), Table1[[#This Row],[Assumed Contract Value ]],0)</f>
        <v>0</v>
      </c>
      <c r="J55" s="7">
        <f ca="1">IF(NOT(Table1[[#This Row],[Is Activation]]),OFFSET(Table1[[#This Row],[Income Credit Base]],-1,0)+Table1[[#This Row],[Purchase Payments]]+Table1[[#This Row],[Income Credit]],0)</f>
        <v>0</v>
      </c>
      <c r="K55" s="7">
        <f>IF(AND(Table1[[#This Row],[Is Activation]]=FALSE,Table1[[#This Row],[Is Anniversery]]=TRUE),Table1[[#This Row],[Income Credit Base]]*ICP,0)</f>
        <v>0</v>
      </c>
      <c r="L5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55" s="42" t="e">
        <f>IF(NOT(Table1[[#This Row],[Is Activation]]),(Table1[[#This Row],[Withdrawal Taken  ]]/Table1[[#This Row],[Assumed Contract Value ]]),0)</f>
        <v>#DIV/0!</v>
      </c>
      <c r="N5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55" s="5">
        <f>IF(NOT(Table1[[#This Row],[Has Lifetime Income Started]]),Table1[[#This Row],[Income Base]]*MAW,0)</f>
        <v>0</v>
      </c>
      <c r="P55" s="9">
        <f>IF(AND(Table1[[#This Row],[Has Lifetime Income Started]],Table1[[#This Row],[Is Anniversery]]),Table1[[#This Row],[Income Base]]*PIP,0)</f>
        <v>0</v>
      </c>
      <c r="Q55" s="37" t="b">
        <f t="shared" si="0"/>
        <v>1</v>
      </c>
      <c r="R55" s="10">
        <f>1/(1+InterestRate)^Table1[[#This Row],[timeFromValuation]]</f>
        <v>0.31772506107702925</v>
      </c>
      <c r="S55" s="10">
        <f>Table1[[#This Row],[timeFromValuation]]</f>
        <v>23.5</v>
      </c>
      <c r="T55" s="117">
        <f>VLOOKUP(Qx!J55,Table2[],Qx!L$6,FALSE)</f>
        <v>0.726993</v>
      </c>
      <c r="U55" s="117">
        <f>VLOOKUP(Qx!K55,Table2[],Qx!M$6,FALSE)</f>
        <v>0.6</v>
      </c>
      <c r="V55" s="117">
        <f>PRODUCT($T$8:$T55)</f>
        <v>4.2743398039935557E-2</v>
      </c>
      <c r="W55" s="117">
        <f>PRODUCT($U$8:$U55)</f>
        <v>1.5795969375823068E-4</v>
      </c>
      <c r="X55" s="117">
        <f>Table1[[#This Row],[Primary Annuitant Px]]+Table1[[#This Row],[Secondary Annuitant Py]]-Table1[[#This Row],[Primary Annuitant Px]]*Table1[[#This Row],[Secondary Annuitant Py]]</f>
        <v>0.89079719999999996</v>
      </c>
      <c r="Y55" s="117">
        <f>PRODUCT($X$8:$X55)</f>
        <v>0.37954529303940132</v>
      </c>
    </row>
    <row r="56" spans="1:25" x14ac:dyDescent="0.3">
      <c r="A56" s="34">
        <f t="shared" si="3"/>
        <v>48</v>
      </c>
      <c r="B56" s="32">
        <f ca="1">OFFSET(Table1[[#This Row],[Pay Period]],-1,0)+0.5</f>
        <v>24</v>
      </c>
      <c r="C56" s="29">
        <f t="shared" si="4"/>
        <v>24</v>
      </c>
      <c r="D56" s="36">
        <f t="shared" si="17"/>
        <v>0</v>
      </c>
      <c r="E56" s="36">
        <f t="shared" si="18"/>
        <v>0</v>
      </c>
      <c r="F56" s="36">
        <f>IF(Table1[[#This Row],[Assumed Contract Value ]]&gt;0.1,Table1[[#This Row],[timeFromValuation]]&gt;=Activation_Time,0)</f>
        <v>0</v>
      </c>
      <c r="G56" s="36">
        <v>0</v>
      </c>
      <c r="H56" s="36" t="b">
        <f>Table1[[#This Row],[timeFromValuation]]=INT(Table1[[#This Row],[timeFromValuation]])</f>
        <v>1</v>
      </c>
      <c r="I56" s="7">
        <f>IF((Table1[[#This Row],[Is Anniversery]]), Table1[[#This Row],[Assumed Contract Value ]],0)</f>
        <v>0</v>
      </c>
      <c r="J56" s="7">
        <f ca="1">IF(NOT(Table1[[#This Row],[Is Activation]]),OFFSET(Table1[[#This Row],[Income Credit Base]],-1,0)+Table1[[#This Row],[Purchase Payments]]+Table1[[#This Row],[Income Credit]],0)</f>
        <v>0</v>
      </c>
      <c r="K56" s="7">
        <f>IF(AND(Table1[[#This Row],[Is Activation]]=FALSE,Table1[[#This Row],[Is Anniversery]]=TRUE),Table1[[#This Row],[Income Credit Base]]*ICP,0)</f>
        <v>0</v>
      </c>
      <c r="L5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56" s="42" t="e">
        <f>IF(NOT(Table1[[#This Row],[Is Activation]]),(Table1[[#This Row],[Withdrawal Taken  ]]/Table1[[#This Row],[Assumed Contract Value ]]),0)</f>
        <v>#DIV/0!</v>
      </c>
      <c r="N5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56" s="5">
        <f>IF(NOT(Table1[[#This Row],[Has Lifetime Income Started]]),Table1[[#This Row],[Income Base]]*MAW,0)</f>
        <v>0</v>
      </c>
      <c r="P56" s="9" t="e">
        <f ca="1">IF(AND(Table1[[#This Row],[Has Lifetime Income Started]],Table1[[#This Row],[Is Anniversery]]),Table1[[#This Row],[Income Base]]*PIP,0)</f>
        <v>#DIV/0!</v>
      </c>
      <c r="Q56" s="37" t="b">
        <f t="shared" si="0"/>
        <v>1</v>
      </c>
      <c r="R56" s="10">
        <f>1/(1+InterestRate)^Table1[[#This Row],[timeFromValuation]]</f>
        <v>0.31006791028265024</v>
      </c>
      <c r="S56" s="10">
        <f>Table1[[#This Row],[timeFromValuation]]</f>
        <v>24</v>
      </c>
      <c r="T56" s="117">
        <f>VLOOKUP(Qx!J56,Table2[],Qx!L$6,FALSE)</f>
        <v>0.70491400000000004</v>
      </c>
      <c r="U56" s="117">
        <f>VLOOKUP(Qx!K56,Table2[],Qx!M$6,FALSE)</f>
        <v>0.6</v>
      </c>
      <c r="V56" s="117">
        <f>PRODUCT($T$8:$T56)</f>
        <v>3.0130419685923136E-2</v>
      </c>
      <c r="W56" s="117">
        <f>PRODUCT($U$8:$U56)</f>
        <v>9.477581625493841E-5</v>
      </c>
      <c r="X56" s="117">
        <f>Table1[[#This Row],[Primary Annuitant Px]]+Table1[[#This Row],[Secondary Annuitant Py]]-Table1[[#This Row],[Primary Annuitant Px]]*Table1[[#This Row],[Secondary Annuitant Py]]</f>
        <v>0.88196560000000013</v>
      </c>
      <c r="Y56" s="117">
        <f>PRODUCT($X$8:$X56)</f>
        <v>0.33474589210267147</v>
      </c>
    </row>
    <row r="57" spans="1:25" x14ac:dyDescent="0.3">
      <c r="A57" s="34">
        <f t="shared" si="3"/>
        <v>49</v>
      </c>
      <c r="B57" s="32">
        <f ca="1">OFFSET(Table1[[#This Row],[Pay Period]],-1,0)+0.5</f>
        <v>24.5</v>
      </c>
      <c r="C57" s="29">
        <f t="shared" si="4"/>
        <v>24.5</v>
      </c>
      <c r="D57" s="36">
        <f t="shared" si="17"/>
        <v>0</v>
      </c>
      <c r="E57" s="36">
        <f t="shared" si="18"/>
        <v>0</v>
      </c>
      <c r="F57" s="36">
        <f>IF(Table1[[#This Row],[Assumed Contract Value ]]&gt;0.1,Table1[[#This Row],[timeFromValuation]]&gt;=Activation_Time,0)</f>
        <v>0</v>
      </c>
      <c r="G57" s="36">
        <v>0</v>
      </c>
      <c r="H57" s="36" t="b">
        <f>Table1[[#This Row],[timeFromValuation]]=INT(Table1[[#This Row],[timeFromValuation]])</f>
        <v>0</v>
      </c>
      <c r="I57" s="7">
        <f>IF((Table1[[#This Row],[Is Anniversery]]), Table1[[#This Row],[Assumed Contract Value ]],0)</f>
        <v>0</v>
      </c>
      <c r="J57" s="7">
        <f ca="1">IF(NOT(Table1[[#This Row],[Is Activation]]),OFFSET(Table1[[#This Row],[Income Credit Base]],-1,0)+Table1[[#This Row],[Purchase Payments]]+Table1[[#This Row],[Income Credit]],0)</f>
        <v>0</v>
      </c>
      <c r="K57" s="7">
        <f>IF(AND(Table1[[#This Row],[Is Activation]]=FALSE,Table1[[#This Row],[Is Anniversery]]=TRUE),Table1[[#This Row],[Income Credit Base]]*ICP,0)</f>
        <v>0</v>
      </c>
      <c r="L5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57" s="42" t="e">
        <f>IF(NOT(Table1[[#This Row],[Is Activation]]),(Table1[[#This Row],[Withdrawal Taken  ]]/Table1[[#This Row],[Assumed Contract Value ]]),0)</f>
        <v>#DIV/0!</v>
      </c>
      <c r="N5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57" s="5">
        <f>IF(NOT(Table1[[#This Row],[Has Lifetime Income Started]]),Table1[[#This Row],[Income Base]]*MAW,0)</f>
        <v>0</v>
      </c>
      <c r="P57" s="9">
        <f>IF(AND(Table1[[#This Row],[Has Lifetime Income Started]],Table1[[#This Row],[Is Anniversery]]),Table1[[#This Row],[Income Base]]*PIP,0)</f>
        <v>0</v>
      </c>
      <c r="Q57" s="37" t="b">
        <f t="shared" si="0"/>
        <v>1</v>
      </c>
      <c r="R57" s="10">
        <f>1/(1+InterestRate)^Table1[[#This Row],[timeFromValuation]]</f>
        <v>0.3025952962638373</v>
      </c>
      <c r="S57" s="10">
        <f>Table1[[#This Row],[timeFromValuation]]</f>
        <v>24.5</v>
      </c>
      <c r="T57" s="117">
        <f>VLOOKUP(Qx!J57,Table2[],Qx!L$6,FALSE)</f>
        <v>0.68240900000000004</v>
      </c>
      <c r="U57" s="117">
        <f>VLOOKUP(Qx!K57,Table2[],Qx!M$6,FALSE)</f>
        <v>0.6</v>
      </c>
      <c r="V57" s="117">
        <f>PRODUCT($T$8:$T57)</f>
        <v>2.0561269567451124E-2</v>
      </c>
      <c r="W57" s="117">
        <f>PRODUCT($U$8:$U57)</f>
        <v>5.6865489752963043E-5</v>
      </c>
      <c r="X57" s="117">
        <f>Table1[[#This Row],[Primary Annuitant Px]]+Table1[[#This Row],[Secondary Annuitant Py]]-Table1[[#This Row],[Primary Annuitant Px]]*Table1[[#This Row],[Secondary Annuitant Py]]</f>
        <v>0.87296359999999984</v>
      </c>
      <c r="Y57" s="117">
        <f>PRODUCT($X$8:$X57)</f>
        <v>0.29222097905515959</v>
      </c>
    </row>
    <row r="58" spans="1:25" x14ac:dyDescent="0.3">
      <c r="A58" s="34">
        <f t="shared" si="3"/>
        <v>50</v>
      </c>
      <c r="B58" s="32">
        <f ca="1">OFFSET(Table1[[#This Row],[Pay Period]],-1,0)+0.5</f>
        <v>25</v>
      </c>
      <c r="C58" s="29">
        <f t="shared" si="4"/>
        <v>25</v>
      </c>
      <c r="D58" s="36">
        <f t="shared" si="17"/>
        <v>0</v>
      </c>
      <c r="E58" s="36">
        <f t="shared" si="18"/>
        <v>0</v>
      </c>
      <c r="F58" s="36">
        <f>IF(Table1[[#This Row],[Assumed Contract Value ]]&gt;0.1,Table1[[#This Row],[timeFromValuation]]&gt;=Activation_Time,0)</f>
        <v>0</v>
      </c>
      <c r="G58" s="36">
        <v>0</v>
      </c>
      <c r="H58" s="36" t="b">
        <f>Table1[[#This Row],[timeFromValuation]]=INT(Table1[[#This Row],[timeFromValuation]])</f>
        <v>1</v>
      </c>
      <c r="I58" s="7">
        <f>IF((Table1[[#This Row],[Is Anniversery]]), Table1[[#This Row],[Assumed Contract Value ]],0)</f>
        <v>0</v>
      </c>
      <c r="J58" s="7">
        <f ca="1">IF(NOT(Table1[[#This Row],[Is Activation]]),OFFSET(Table1[[#This Row],[Income Credit Base]],-1,0)+Table1[[#This Row],[Purchase Payments]]+Table1[[#This Row],[Income Credit]],0)</f>
        <v>0</v>
      </c>
      <c r="K58" s="7">
        <f>IF(AND(Table1[[#This Row],[Is Activation]]=FALSE,Table1[[#This Row],[Is Anniversery]]=TRUE),Table1[[#This Row],[Income Credit Base]]*ICP,0)</f>
        <v>0</v>
      </c>
      <c r="L5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58" s="42" t="e">
        <f>IF(NOT(Table1[[#This Row],[Is Activation]]),(Table1[[#This Row],[Withdrawal Taken  ]]/Table1[[#This Row],[Assumed Contract Value ]]),0)</f>
        <v>#DIV/0!</v>
      </c>
      <c r="N5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58" s="5">
        <f>IF(NOT(Table1[[#This Row],[Has Lifetime Income Started]]),Table1[[#This Row],[Income Base]]*MAW,0)</f>
        <v>0</v>
      </c>
      <c r="P58" s="9" t="e">
        <f ca="1">IF(AND(Table1[[#This Row],[Has Lifetime Income Started]],Table1[[#This Row],[Is Anniversery]]),Table1[[#This Row],[Income Base]]*PIP,0)</f>
        <v>#DIV/0!</v>
      </c>
      <c r="Q58" s="37" t="b">
        <f t="shared" si="0"/>
        <v>1</v>
      </c>
      <c r="R58" s="10">
        <f>1/(1+InterestRate)^Table1[[#This Row],[timeFromValuation]]</f>
        <v>0.29530277169776209</v>
      </c>
      <c r="S58" s="10">
        <f>Table1[[#This Row],[timeFromValuation]]</f>
        <v>25</v>
      </c>
      <c r="T58" s="117">
        <f>VLOOKUP(Qx!J58,Table2[],Qx!L$6,FALSE)</f>
        <v>0.65963799999999995</v>
      </c>
      <c r="U58" s="117">
        <f>VLOOKUP(Qx!K58,Table2[],Qx!M$6,FALSE)</f>
        <v>0.6</v>
      </c>
      <c r="V58" s="117">
        <f>PRODUCT($T$8:$T58)</f>
        <v>1.3562994734934324E-2</v>
      </c>
      <c r="W58" s="117">
        <f>PRODUCT($U$8:$U58)</f>
        <v>3.4119293851777827E-5</v>
      </c>
      <c r="X58" s="117">
        <f>Table1[[#This Row],[Primary Annuitant Px]]+Table1[[#This Row],[Secondary Annuitant Py]]-Table1[[#This Row],[Primary Annuitant Px]]*Table1[[#This Row],[Secondary Annuitant Py]]</f>
        <v>0.86385519999999993</v>
      </c>
      <c r="Y58" s="117">
        <f>PRODUCT($X$8:$X58)</f>
        <v>0.25243661230589071</v>
      </c>
    </row>
    <row r="59" spans="1:25" x14ac:dyDescent="0.3">
      <c r="A59" s="34">
        <f t="shared" si="3"/>
        <v>51</v>
      </c>
      <c r="B59" s="32">
        <f ca="1">OFFSET(Table1[[#This Row],[Pay Period]],-1,0)+0.5</f>
        <v>25.5</v>
      </c>
      <c r="C59" s="29">
        <f t="shared" si="4"/>
        <v>25.5</v>
      </c>
      <c r="D59" s="36">
        <f t="shared" si="17"/>
        <v>0</v>
      </c>
      <c r="E59" s="36">
        <f t="shared" si="18"/>
        <v>0</v>
      </c>
      <c r="F59" s="36">
        <f>IF(Table1[[#This Row],[Assumed Contract Value ]]&gt;0.1,Table1[[#This Row],[timeFromValuation]]&gt;=Activation_Time,0)</f>
        <v>0</v>
      </c>
      <c r="G59" s="36">
        <v>0</v>
      </c>
      <c r="H59" s="36" t="b">
        <f>Table1[[#This Row],[timeFromValuation]]=INT(Table1[[#This Row],[timeFromValuation]])</f>
        <v>0</v>
      </c>
      <c r="I59" s="7">
        <f>IF((Table1[[#This Row],[Is Anniversery]]), Table1[[#This Row],[Assumed Contract Value ]],0)</f>
        <v>0</v>
      </c>
      <c r="J59" s="7">
        <f ca="1">IF(NOT(Table1[[#This Row],[Is Activation]]),OFFSET(Table1[[#This Row],[Income Credit Base]],-1,0)+Table1[[#This Row],[Purchase Payments]]+Table1[[#This Row],[Income Credit]],0)</f>
        <v>0</v>
      </c>
      <c r="K59" s="7">
        <f>IF(AND(Table1[[#This Row],[Is Activation]]=FALSE,Table1[[#This Row],[Is Anniversery]]=TRUE),Table1[[#This Row],[Income Credit Base]]*ICP,0)</f>
        <v>0</v>
      </c>
      <c r="L5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59" s="42" t="e">
        <f>IF(NOT(Table1[[#This Row],[Is Activation]]),(Table1[[#This Row],[Withdrawal Taken  ]]/Table1[[#This Row],[Assumed Contract Value ]]),0)</f>
        <v>#DIV/0!</v>
      </c>
      <c r="N5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59" s="5">
        <f>IF(NOT(Table1[[#This Row],[Has Lifetime Income Started]]),Table1[[#This Row],[Income Base]]*MAW,0)</f>
        <v>0</v>
      </c>
      <c r="P59" s="9">
        <f>IF(AND(Table1[[#This Row],[Has Lifetime Income Started]],Table1[[#This Row],[Is Anniversery]]),Table1[[#This Row],[Income Base]]*PIP,0)</f>
        <v>0</v>
      </c>
      <c r="Q59" s="37" t="b">
        <f t="shared" si="0"/>
        <v>1</v>
      </c>
      <c r="R59" s="10">
        <f>1/(1+InterestRate)^Table1[[#This Row],[timeFromValuation]]</f>
        <v>0.28818599644174986</v>
      </c>
      <c r="S59" s="10">
        <f>Table1[[#This Row],[timeFromValuation]]</f>
        <v>25.5</v>
      </c>
      <c r="T59" s="117">
        <f>VLOOKUP(Qx!J59,Table2[],Qx!L$6,FALSE)</f>
        <v>0.637629</v>
      </c>
      <c r="U59" s="117">
        <f>VLOOKUP(Qx!K59,Table2[],Qx!M$6,FALSE)</f>
        <v>0.6</v>
      </c>
      <c r="V59" s="117">
        <f>PRODUCT($T$8:$T59)</f>
        <v>8.6481587698414384E-3</v>
      </c>
      <c r="W59" s="117">
        <f>PRODUCT($U$8:$U59)</f>
        <v>2.0471576311066697E-5</v>
      </c>
      <c r="X59" s="117">
        <f>Table1[[#This Row],[Primary Annuitant Px]]+Table1[[#This Row],[Secondary Annuitant Py]]-Table1[[#This Row],[Primary Annuitant Px]]*Table1[[#This Row],[Secondary Annuitant Py]]</f>
        <v>0.85505160000000013</v>
      </c>
      <c r="Y59" s="117">
        <f>PRODUCT($X$8:$X59)</f>
        <v>0.21584632925073158</v>
      </c>
    </row>
    <row r="60" spans="1:25" x14ac:dyDescent="0.3">
      <c r="A60" s="34">
        <f t="shared" si="3"/>
        <v>52</v>
      </c>
      <c r="B60" s="32">
        <f ca="1">OFFSET(Table1[[#This Row],[Pay Period]],-1,0)+0.5</f>
        <v>26</v>
      </c>
      <c r="C60" s="29">
        <f t="shared" si="4"/>
        <v>26</v>
      </c>
      <c r="D60" s="36">
        <f t="shared" si="17"/>
        <v>0</v>
      </c>
      <c r="E60" s="36">
        <f t="shared" si="18"/>
        <v>0</v>
      </c>
      <c r="F60" s="36">
        <f>IF(Table1[[#This Row],[Assumed Contract Value ]]&gt;0.1,Table1[[#This Row],[timeFromValuation]]&gt;=Activation_Time,0)</f>
        <v>0</v>
      </c>
      <c r="G60" s="36">
        <v>0</v>
      </c>
      <c r="H60" s="36" t="b">
        <f>Table1[[#This Row],[timeFromValuation]]=INT(Table1[[#This Row],[timeFromValuation]])</f>
        <v>1</v>
      </c>
      <c r="I60" s="7">
        <f>IF((Table1[[#This Row],[Is Anniversery]]), Table1[[#This Row],[Assumed Contract Value ]],0)</f>
        <v>0</v>
      </c>
      <c r="J60" s="7">
        <f ca="1">IF(NOT(Table1[[#This Row],[Is Activation]]),OFFSET(Table1[[#This Row],[Income Credit Base]],-1,0)+Table1[[#This Row],[Purchase Payments]]+Table1[[#This Row],[Income Credit]],0)</f>
        <v>0</v>
      </c>
      <c r="K60" s="7">
        <f>IF(AND(Table1[[#This Row],[Is Activation]]=FALSE,Table1[[#This Row],[Is Anniversery]]=TRUE),Table1[[#This Row],[Income Credit Base]]*ICP,0)</f>
        <v>0</v>
      </c>
      <c r="L6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60" s="42" t="e">
        <f>IF(NOT(Table1[[#This Row],[Is Activation]]),(Table1[[#This Row],[Withdrawal Taken  ]]/Table1[[#This Row],[Assumed Contract Value ]]),0)</f>
        <v>#DIV/0!</v>
      </c>
      <c r="N6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60" s="5">
        <f>IF(NOT(Table1[[#This Row],[Has Lifetime Income Started]]),Table1[[#This Row],[Income Base]]*MAW,0)</f>
        <v>0</v>
      </c>
      <c r="P60" s="9" t="e">
        <f ca="1">IF(AND(Table1[[#This Row],[Has Lifetime Income Started]],Table1[[#This Row],[Is Anniversery]]),Table1[[#This Row],[Income Base]]*PIP,0)</f>
        <v>#DIV/0!</v>
      </c>
      <c r="Q60" s="37" t="b">
        <f t="shared" si="0"/>
        <v>1</v>
      </c>
      <c r="R60" s="10">
        <f>1/(1+InterestRate)^Table1[[#This Row],[timeFromValuation]]</f>
        <v>0.28124073495024959</v>
      </c>
      <c r="S60" s="10">
        <f>Table1[[#This Row],[timeFromValuation]]</f>
        <v>26</v>
      </c>
      <c r="T60" s="117">
        <f>VLOOKUP(Qx!J60,Table2[],Qx!L$6,FALSE)</f>
        <v>0.61588700000000007</v>
      </c>
      <c r="U60" s="117">
        <f>VLOOKUP(Qx!K60,Table2[],Qx!M$6,FALSE)</f>
        <v>0.6</v>
      </c>
      <c r="V60" s="117">
        <f>PRODUCT($T$8:$T60)</f>
        <v>5.3262885602813346E-3</v>
      </c>
      <c r="W60" s="117">
        <f>PRODUCT($U$8:$U60)</f>
        <v>1.2282945786640019E-5</v>
      </c>
      <c r="X60" s="117">
        <f>Table1[[#This Row],[Primary Annuitant Px]]+Table1[[#This Row],[Secondary Annuitant Py]]-Table1[[#This Row],[Primary Annuitant Px]]*Table1[[#This Row],[Secondary Annuitant Py]]</f>
        <v>0.84635479999999985</v>
      </c>
      <c r="Y60" s="117">
        <f>PRODUCT($X$8:$X60)</f>
        <v>0.18268257682373704</v>
      </c>
    </row>
    <row r="61" spans="1:25" x14ac:dyDescent="0.3">
      <c r="A61" s="34">
        <f t="shared" si="3"/>
        <v>53</v>
      </c>
      <c r="B61" s="32">
        <f ca="1">OFFSET(Table1[[#This Row],[Pay Period]],-1,0)+0.5</f>
        <v>26.5</v>
      </c>
      <c r="C61" s="29">
        <f t="shared" si="4"/>
        <v>26.5</v>
      </c>
      <c r="D61" s="36">
        <f t="shared" si="17"/>
        <v>0</v>
      </c>
      <c r="E61" s="36">
        <f t="shared" si="18"/>
        <v>0</v>
      </c>
      <c r="F61" s="36">
        <f>IF(Table1[[#This Row],[Assumed Contract Value ]]&gt;0.1,Table1[[#This Row],[timeFromValuation]]&gt;=Activation_Time,0)</f>
        <v>0</v>
      </c>
      <c r="G61" s="36">
        <v>0</v>
      </c>
      <c r="H61" s="36" t="b">
        <f>Table1[[#This Row],[timeFromValuation]]=INT(Table1[[#This Row],[timeFromValuation]])</f>
        <v>0</v>
      </c>
      <c r="I61" s="7">
        <f>IF((Table1[[#This Row],[Is Anniversery]]), Table1[[#This Row],[Assumed Contract Value ]],0)</f>
        <v>0</v>
      </c>
      <c r="J61" s="7">
        <f ca="1">IF(NOT(Table1[[#This Row],[Is Activation]]),OFFSET(Table1[[#This Row],[Income Credit Base]],-1,0)+Table1[[#This Row],[Purchase Payments]]+Table1[[#This Row],[Income Credit]],0)</f>
        <v>0</v>
      </c>
      <c r="K61" s="7">
        <f>IF(AND(Table1[[#This Row],[Is Activation]]=FALSE,Table1[[#This Row],[Is Anniversery]]=TRUE),Table1[[#This Row],[Income Credit Base]]*ICP,0)</f>
        <v>0</v>
      </c>
      <c r="L6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61" s="42" t="e">
        <f>IF(NOT(Table1[[#This Row],[Is Activation]]),(Table1[[#This Row],[Withdrawal Taken  ]]/Table1[[#This Row],[Assumed Contract Value ]]),0)</f>
        <v>#DIV/0!</v>
      </c>
      <c r="N6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61" s="5">
        <f>IF(NOT(Table1[[#This Row],[Has Lifetime Income Started]]),Table1[[#This Row],[Income Base]]*MAW,0)</f>
        <v>0</v>
      </c>
      <c r="P61" s="9">
        <f>IF(AND(Table1[[#This Row],[Has Lifetime Income Started]],Table1[[#This Row],[Is Anniversery]]),Table1[[#This Row],[Income Base]]*PIP,0)</f>
        <v>0</v>
      </c>
      <c r="Q61" s="37" t="b">
        <f t="shared" si="0"/>
        <v>1</v>
      </c>
      <c r="R61" s="10">
        <f>1/(1+InterestRate)^Table1[[#This Row],[timeFromValuation]]</f>
        <v>0.27446285375404744</v>
      </c>
      <c r="S61" s="10">
        <f>Table1[[#This Row],[timeFromValuation]]</f>
        <v>26.5</v>
      </c>
      <c r="T61" s="117">
        <f>VLOOKUP(Qx!J61,Table2[],Qx!L$6,FALSE)</f>
        <v>0.6</v>
      </c>
      <c r="U61" s="117">
        <f>VLOOKUP(Qx!K61,Table2[],Qx!M$6,FALSE)</f>
        <v>0.6</v>
      </c>
      <c r="V61" s="117">
        <f>PRODUCT($T$8:$T61)</f>
        <v>3.1957731361688005E-3</v>
      </c>
      <c r="W61" s="117">
        <f>PRODUCT($U$8:$U61)</f>
        <v>7.3697674719840105E-6</v>
      </c>
      <c r="X61" s="117">
        <f>Table1[[#This Row],[Primary Annuitant Px]]+Table1[[#This Row],[Secondary Annuitant Py]]-Table1[[#This Row],[Primary Annuitant Px]]*Table1[[#This Row],[Secondary Annuitant Py]]</f>
        <v>0.84</v>
      </c>
      <c r="Y61" s="117">
        <f>PRODUCT($X$8:$X61)</f>
        <v>0.15345336453193911</v>
      </c>
    </row>
    <row r="62" spans="1:25" x14ac:dyDescent="0.3">
      <c r="A62" s="34">
        <f t="shared" si="3"/>
        <v>54</v>
      </c>
      <c r="B62" s="32">
        <f ca="1">OFFSET(Table1[[#This Row],[Pay Period]],-1,0)+0.5</f>
        <v>27</v>
      </c>
      <c r="C62" s="29">
        <f t="shared" si="4"/>
        <v>27</v>
      </c>
      <c r="D62" s="36">
        <f t="shared" si="17"/>
        <v>0</v>
      </c>
      <c r="E62" s="36">
        <f t="shared" si="18"/>
        <v>0</v>
      </c>
      <c r="F62" s="36">
        <f>IF(Table1[[#This Row],[Assumed Contract Value ]]&gt;0.1,Table1[[#This Row],[timeFromValuation]]&gt;=Activation_Time,0)</f>
        <v>0</v>
      </c>
      <c r="G62" s="36">
        <v>0</v>
      </c>
      <c r="H62" s="36" t="b">
        <f>Table1[[#This Row],[timeFromValuation]]=INT(Table1[[#This Row],[timeFromValuation]])</f>
        <v>1</v>
      </c>
      <c r="I62" s="7">
        <f>IF((Table1[[#This Row],[Is Anniversery]]), Table1[[#This Row],[Assumed Contract Value ]],0)</f>
        <v>0</v>
      </c>
      <c r="J62" s="7">
        <f ca="1">IF(NOT(Table1[[#This Row],[Is Activation]]),OFFSET(Table1[[#This Row],[Income Credit Base]],-1,0)+Table1[[#This Row],[Purchase Payments]]+Table1[[#This Row],[Income Credit]],0)</f>
        <v>0</v>
      </c>
      <c r="K62" s="7">
        <f>IF(AND(Table1[[#This Row],[Is Activation]]=FALSE,Table1[[#This Row],[Is Anniversery]]=TRUE),Table1[[#This Row],[Income Credit Base]]*ICP,0)</f>
        <v>0</v>
      </c>
      <c r="L6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62" s="42" t="e">
        <f>IF(NOT(Table1[[#This Row],[Is Activation]]),(Table1[[#This Row],[Withdrawal Taken  ]]/Table1[[#This Row],[Assumed Contract Value ]]),0)</f>
        <v>#DIV/0!</v>
      </c>
      <c r="N6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62" s="5">
        <f>IF(NOT(Table1[[#This Row],[Has Lifetime Income Started]]),Table1[[#This Row],[Income Base]]*MAW,0)</f>
        <v>0</v>
      </c>
      <c r="P62" s="9" t="e">
        <f ca="1">IF(AND(Table1[[#This Row],[Has Lifetime Income Started]],Table1[[#This Row],[Is Anniversery]]),Table1[[#This Row],[Income Base]]*PIP,0)</f>
        <v>#DIV/0!</v>
      </c>
      <c r="Q62" s="37" t="b">
        <f t="shared" si="0"/>
        <v>1</v>
      </c>
      <c r="R62" s="10">
        <f>1/(1+InterestRate)^Table1[[#This Row],[timeFromValuation]]</f>
        <v>0.2678483190002377</v>
      </c>
      <c r="S62" s="10">
        <f>Table1[[#This Row],[timeFromValuation]]</f>
        <v>27</v>
      </c>
      <c r="T62" s="117">
        <f>VLOOKUP(Qx!J62,Table2[],Qx!L$6,FALSE)</f>
        <v>0.6</v>
      </c>
      <c r="U62" s="117">
        <f>VLOOKUP(Qx!K62,Table2[],Qx!M$6,FALSE)</f>
        <v>0.6</v>
      </c>
      <c r="V62" s="117">
        <f>PRODUCT($T$8:$T62)</f>
        <v>1.9174638817012802E-3</v>
      </c>
      <c r="W62" s="117">
        <f>PRODUCT($U$8:$U62)</f>
        <v>4.4218604831904061E-6</v>
      </c>
      <c r="X62" s="117">
        <f>Table1[[#This Row],[Primary Annuitant Px]]+Table1[[#This Row],[Secondary Annuitant Py]]-Table1[[#This Row],[Primary Annuitant Px]]*Table1[[#This Row],[Secondary Annuitant Py]]</f>
        <v>0.84</v>
      </c>
      <c r="Y62" s="117">
        <f>PRODUCT($X$8:$X62)</f>
        <v>0.12890082620682886</v>
      </c>
    </row>
    <row r="63" spans="1:25" x14ac:dyDescent="0.3">
      <c r="A63" s="34">
        <f t="shared" si="3"/>
        <v>55</v>
      </c>
      <c r="B63" s="32">
        <f ca="1">OFFSET(Table1[[#This Row],[Pay Period]],-1,0)+0.5</f>
        <v>27.5</v>
      </c>
      <c r="C63" s="29">
        <f t="shared" si="4"/>
        <v>27.5</v>
      </c>
      <c r="D63" s="36">
        <f t="shared" si="17"/>
        <v>0</v>
      </c>
      <c r="E63" s="36">
        <f t="shared" si="18"/>
        <v>0</v>
      </c>
      <c r="F63" s="36">
        <f>IF(Table1[[#This Row],[Assumed Contract Value ]]&gt;0.1,Table1[[#This Row],[timeFromValuation]]&gt;=Activation_Time,0)</f>
        <v>0</v>
      </c>
      <c r="G63" s="36">
        <v>0</v>
      </c>
      <c r="H63" s="36" t="b">
        <f>Table1[[#This Row],[timeFromValuation]]=INT(Table1[[#This Row],[timeFromValuation]])</f>
        <v>0</v>
      </c>
      <c r="I63" s="7">
        <f>IF((Table1[[#This Row],[Is Anniversery]]), Table1[[#This Row],[Assumed Contract Value ]],0)</f>
        <v>0</v>
      </c>
      <c r="J63" s="7">
        <f ca="1">IF(NOT(Table1[[#This Row],[Is Activation]]),OFFSET(Table1[[#This Row],[Income Credit Base]],-1,0)+Table1[[#This Row],[Purchase Payments]]+Table1[[#This Row],[Income Credit]],0)</f>
        <v>0</v>
      </c>
      <c r="K63" s="7">
        <f>IF(AND(Table1[[#This Row],[Is Activation]]=FALSE,Table1[[#This Row],[Is Anniversery]]=TRUE),Table1[[#This Row],[Income Credit Base]]*ICP,0)</f>
        <v>0</v>
      </c>
      <c r="L6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63" s="42" t="e">
        <f>IF(NOT(Table1[[#This Row],[Is Activation]]),(Table1[[#This Row],[Withdrawal Taken  ]]/Table1[[#This Row],[Assumed Contract Value ]]),0)</f>
        <v>#DIV/0!</v>
      </c>
      <c r="N6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63" s="5">
        <f>IF(NOT(Table1[[#This Row],[Has Lifetime Income Started]]),Table1[[#This Row],[Income Base]]*MAW,0)</f>
        <v>0</v>
      </c>
      <c r="P63" s="9">
        <f>IF(AND(Table1[[#This Row],[Has Lifetime Income Started]],Table1[[#This Row],[Is Anniversery]]),Table1[[#This Row],[Income Base]]*PIP,0)</f>
        <v>0</v>
      </c>
      <c r="Q63" s="37" t="b">
        <f t="shared" si="0"/>
        <v>1</v>
      </c>
      <c r="R63" s="10">
        <f>1/(1+InterestRate)^Table1[[#This Row],[timeFromValuation]]</f>
        <v>0.26139319405147377</v>
      </c>
      <c r="S63" s="10">
        <f>Table1[[#This Row],[timeFromValuation]]</f>
        <v>27.5</v>
      </c>
      <c r="T63" s="117">
        <f>VLOOKUP(Qx!J63,Table2[],Qx!L$6,FALSE)</f>
        <v>0.6</v>
      </c>
      <c r="U63" s="117">
        <f>VLOOKUP(Qx!K63,Table2[],Qx!M$6,FALSE)</f>
        <v>0</v>
      </c>
      <c r="V63" s="117">
        <f>PRODUCT($T$8:$T63)</f>
        <v>1.150478329020768E-3</v>
      </c>
      <c r="W63" s="117">
        <f>PRODUCT($U$8:$U63)</f>
        <v>0</v>
      </c>
      <c r="X63" s="117">
        <f>Table1[[#This Row],[Primary Annuitant Px]]+Table1[[#This Row],[Secondary Annuitant Py]]-Table1[[#This Row],[Primary Annuitant Px]]*Table1[[#This Row],[Secondary Annuitant Py]]</f>
        <v>0.6</v>
      </c>
      <c r="Y63" s="117">
        <f>PRODUCT($X$8:$X63)</f>
        <v>7.7340495724097305E-2</v>
      </c>
    </row>
    <row r="64" spans="1:25" x14ac:dyDescent="0.3">
      <c r="A64" s="34">
        <f t="shared" si="3"/>
        <v>56</v>
      </c>
      <c r="B64" s="32">
        <f ca="1">OFFSET(Table1[[#This Row],[Pay Period]],-1,0)+0.5</f>
        <v>28</v>
      </c>
      <c r="C64" s="29">
        <f t="shared" si="4"/>
        <v>28</v>
      </c>
      <c r="D64" s="36">
        <f t="shared" si="17"/>
        <v>0</v>
      </c>
      <c r="E64" s="36">
        <f t="shared" si="18"/>
        <v>0</v>
      </c>
      <c r="F64" s="36">
        <f>IF(Table1[[#This Row],[Assumed Contract Value ]]&gt;0.1,Table1[[#This Row],[timeFromValuation]]&gt;=Activation_Time,0)</f>
        <v>0</v>
      </c>
      <c r="G64" s="36">
        <v>0</v>
      </c>
      <c r="H64" s="36" t="b">
        <f>Table1[[#This Row],[timeFromValuation]]=INT(Table1[[#This Row],[timeFromValuation]])</f>
        <v>1</v>
      </c>
      <c r="I64" s="7">
        <f>IF((Table1[[#This Row],[Is Anniversery]]), Table1[[#This Row],[Assumed Contract Value ]],0)</f>
        <v>0</v>
      </c>
      <c r="J64" s="7">
        <f ca="1">IF(NOT(Table1[[#This Row],[Is Activation]]),OFFSET(Table1[[#This Row],[Income Credit Base]],-1,0)+Table1[[#This Row],[Purchase Payments]]+Table1[[#This Row],[Income Credit]],0)</f>
        <v>0</v>
      </c>
      <c r="K64" s="7">
        <f>IF(AND(Table1[[#This Row],[Is Activation]]=FALSE,Table1[[#This Row],[Is Anniversery]]=TRUE),Table1[[#This Row],[Income Credit Base]]*ICP,0)</f>
        <v>0</v>
      </c>
      <c r="L6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64" s="42" t="e">
        <f>IF(NOT(Table1[[#This Row],[Is Activation]]),(Table1[[#This Row],[Withdrawal Taken  ]]/Table1[[#This Row],[Assumed Contract Value ]]),0)</f>
        <v>#DIV/0!</v>
      </c>
      <c r="N6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64" s="5">
        <f>IF(NOT(Table1[[#This Row],[Has Lifetime Income Started]]),Table1[[#This Row],[Income Base]]*MAW,0)</f>
        <v>0</v>
      </c>
      <c r="P64" s="9" t="e">
        <f ca="1">IF(AND(Table1[[#This Row],[Has Lifetime Income Started]],Table1[[#This Row],[Is Anniversery]]),Table1[[#This Row],[Income Base]]*PIP,0)</f>
        <v>#DIV/0!</v>
      </c>
      <c r="Q64" s="37" t="b">
        <f t="shared" si="0"/>
        <v>1</v>
      </c>
      <c r="R64" s="10">
        <f>1/(1+InterestRate)^Table1[[#This Row],[timeFromValuation]]</f>
        <v>0.25509363714308358</v>
      </c>
      <c r="S64" s="10">
        <f>Table1[[#This Row],[timeFromValuation]]</f>
        <v>28</v>
      </c>
      <c r="T64" s="117">
        <f>VLOOKUP(Qx!J64,Table2[],Qx!L$6,FALSE)</f>
        <v>0.6</v>
      </c>
      <c r="U64" s="117">
        <f>VLOOKUP(Qx!K64,Table2[],Qx!M$6,FALSE)</f>
        <v>0</v>
      </c>
      <c r="V64" s="117">
        <f>PRODUCT($T$8:$T64)</f>
        <v>6.9028699741246081E-4</v>
      </c>
      <c r="W64" s="117">
        <f>PRODUCT($U$8:$U64)</f>
        <v>0</v>
      </c>
      <c r="X64" s="117">
        <f>Table1[[#This Row],[Primary Annuitant Px]]+Table1[[#This Row],[Secondary Annuitant Py]]-Table1[[#This Row],[Primary Annuitant Px]]*Table1[[#This Row],[Secondary Annuitant Py]]</f>
        <v>0.6</v>
      </c>
      <c r="Y64" s="117">
        <f>PRODUCT($X$8:$X64)</f>
        <v>4.6404297434458383E-2</v>
      </c>
    </row>
    <row r="65" spans="1:25" x14ac:dyDescent="0.3">
      <c r="A65" s="34">
        <f t="shared" si="3"/>
        <v>57</v>
      </c>
      <c r="B65" s="32">
        <f ca="1">OFFSET(Table1[[#This Row],[Pay Period]],-1,0)+0.5</f>
        <v>28.5</v>
      </c>
      <c r="C65" s="29">
        <f t="shared" si="4"/>
        <v>28.5</v>
      </c>
      <c r="D65" s="36">
        <f t="shared" si="17"/>
        <v>0</v>
      </c>
      <c r="E65" s="36">
        <f t="shared" si="18"/>
        <v>0</v>
      </c>
      <c r="F65" s="36">
        <f>IF(Table1[[#This Row],[Assumed Contract Value ]]&gt;0.1,Table1[[#This Row],[timeFromValuation]]&gt;=Activation_Time,0)</f>
        <v>0</v>
      </c>
      <c r="G65" s="36">
        <v>0</v>
      </c>
      <c r="H65" s="36" t="b">
        <f>Table1[[#This Row],[timeFromValuation]]=INT(Table1[[#This Row],[timeFromValuation]])</f>
        <v>0</v>
      </c>
      <c r="I65" s="7">
        <f>IF((Table1[[#This Row],[Is Anniversery]]), Table1[[#This Row],[Assumed Contract Value ]],0)</f>
        <v>0</v>
      </c>
      <c r="J65" s="7">
        <f ca="1">IF(NOT(Table1[[#This Row],[Is Activation]]),OFFSET(Table1[[#This Row],[Income Credit Base]],-1,0)+Table1[[#This Row],[Purchase Payments]]+Table1[[#This Row],[Income Credit]],0)</f>
        <v>0</v>
      </c>
      <c r="K65" s="7">
        <f>IF(AND(Table1[[#This Row],[Is Activation]]=FALSE,Table1[[#This Row],[Is Anniversery]]=TRUE),Table1[[#This Row],[Income Credit Base]]*ICP,0)</f>
        <v>0</v>
      </c>
      <c r="L6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65" s="42" t="e">
        <f>IF(NOT(Table1[[#This Row],[Is Activation]]),(Table1[[#This Row],[Withdrawal Taken  ]]/Table1[[#This Row],[Assumed Contract Value ]]),0)</f>
        <v>#DIV/0!</v>
      </c>
      <c r="N6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65" s="5">
        <f>IF(NOT(Table1[[#This Row],[Has Lifetime Income Started]]),Table1[[#This Row],[Income Base]]*MAW,0)</f>
        <v>0</v>
      </c>
      <c r="P65" s="9">
        <f>IF(AND(Table1[[#This Row],[Has Lifetime Income Started]],Table1[[#This Row],[Is Anniversery]]),Table1[[#This Row],[Income Base]]*PIP,0)</f>
        <v>0</v>
      </c>
      <c r="Q65" s="37" t="b">
        <f t="shared" si="0"/>
        <v>1</v>
      </c>
      <c r="R65" s="10">
        <f>1/(1+InterestRate)^Table1[[#This Row],[timeFromValuation]]</f>
        <v>0.24894589909664167</v>
      </c>
      <c r="S65" s="10">
        <f>Table1[[#This Row],[timeFromValuation]]</f>
        <v>28.5</v>
      </c>
      <c r="T65" s="117">
        <f>VLOOKUP(Qx!J65,Table2[],Qx!L$6,FALSE)</f>
        <v>0.6</v>
      </c>
      <c r="U65" s="117">
        <f>VLOOKUP(Qx!K65,Table2[],Qx!M$6,FALSE)</f>
        <v>0</v>
      </c>
      <c r="V65" s="117">
        <f>PRODUCT($T$8:$T65)</f>
        <v>4.1417219844747647E-4</v>
      </c>
      <c r="W65" s="117">
        <f>PRODUCT($U$8:$U65)</f>
        <v>0</v>
      </c>
      <c r="X65" s="117">
        <f>Table1[[#This Row],[Primary Annuitant Px]]+Table1[[#This Row],[Secondary Annuitant Py]]-Table1[[#This Row],[Primary Annuitant Px]]*Table1[[#This Row],[Secondary Annuitant Py]]</f>
        <v>0.6</v>
      </c>
      <c r="Y65" s="117">
        <f>PRODUCT($X$8:$X65)</f>
        <v>2.7842578460675029E-2</v>
      </c>
    </row>
    <row r="66" spans="1:25" x14ac:dyDescent="0.3">
      <c r="A66" s="34">
        <f t="shared" si="3"/>
        <v>58</v>
      </c>
      <c r="B66" s="32">
        <f ca="1">OFFSET(Table1[[#This Row],[Pay Period]],-1,0)+0.5</f>
        <v>29</v>
      </c>
      <c r="C66" s="29">
        <f t="shared" si="4"/>
        <v>29</v>
      </c>
      <c r="D66" s="36">
        <f t="shared" si="17"/>
        <v>0</v>
      </c>
      <c r="E66" s="36">
        <f t="shared" si="18"/>
        <v>0</v>
      </c>
      <c r="F66" s="36">
        <f>IF(Table1[[#This Row],[Assumed Contract Value ]]&gt;0.1,Table1[[#This Row],[timeFromValuation]]&gt;=Activation_Time,0)</f>
        <v>0</v>
      </c>
      <c r="G66" s="36">
        <v>0</v>
      </c>
      <c r="H66" s="36" t="b">
        <f>Table1[[#This Row],[timeFromValuation]]=INT(Table1[[#This Row],[timeFromValuation]])</f>
        <v>1</v>
      </c>
      <c r="I66" s="7">
        <f>IF((Table1[[#This Row],[Is Anniversery]]), Table1[[#This Row],[Assumed Contract Value ]],0)</f>
        <v>0</v>
      </c>
      <c r="J66" s="7">
        <f ca="1">IF(NOT(Table1[[#This Row],[Is Activation]]),OFFSET(Table1[[#This Row],[Income Credit Base]],-1,0)+Table1[[#This Row],[Purchase Payments]]+Table1[[#This Row],[Income Credit]],0)</f>
        <v>0</v>
      </c>
      <c r="K66" s="7">
        <f>IF(AND(Table1[[#This Row],[Is Activation]]=FALSE,Table1[[#This Row],[Is Anniversery]]=TRUE),Table1[[#This Row],[Income Credit Base]]*ICP,0)</f>
        <v>0</v>
      </c>
      <c r="L6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66" s="42" t="e">
        <f>IF(NOT(Table1[[#This Row],[Is Activation]]),(Table1[[#This Row],[Withdrawal Taken  ]]/Table1[[#This Row],[Assumed Contract Value ]]),0)</f>
        <v>#DIV/0!</v>
      </c>
      <c r="N6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66" s="5">
        <f>IF(NOT(Table1[[#This Row],[Has Lifetime Income Started]]),Table1[[#This Row],[Income Base]]*MAW,0)</f>
        <v>0</v>
      </c>
      <c r="P66" s="9" t="e">
        <f ca="1">IF(AND(Table1[[#This Row],[Has Lifetime Income Started]],Table1[[#This Row],[Is Anniversery]]),Table1[[#This Row],[Income Base]]*PIP,0)</f>
        <v>#DIV/0!</v>
      </c>
      <c r="Q66" s="37" t="b">
        <f t="shared" si="0"/>
        <v>1</v>
      </c>
      <c r="R66" s="10">
        <f>1/(1+InterestRate)^Table1[[#This Row],[timeFromValuation]]</f>
        <v>0.24294632108865097</v>
      </c>
      <c r="S66" s="10">
        <f>Table1[[#This Row],[timeFromValuation]]</f>
        <v>29</v>
      </c>
      <c r="T66" s="117">
        <f>VLOOKUP(Qx!J66,Table2[],Qx!L$6,FALSE)</f>
        <v>0.6</v>
      </c>
      <c r="U66" s="117">
        <f>VLOOKUP(Qx!K66,Table2[],Qx!M$6,FALSE)</f>
        <v>0</v>
      </c>
      <c r="V66" s="117">
        <f>PRODUCT($T$8:$T66)</f>
        <v>2.485033190684859E-4</v>
      </c>
      <c r="W66" s="117">
        <f>PRODUCT($U$8:$U66)</f>
        <v>0</v>
      </c>
      <c r="X66" s="117">
        <f>Table1[[#This Row],[Primary Annuitant Px]]+Table1[[#This Row],[Secondary Annuitant Py]]-Table1[[#This Row],[Primary Annuitant Px]]*Table1[[#This Row],[Secondary Annuitant Py]]</f>
        <v>0.6</v>
      </c>
      <c r="Y66" s="117">
        <f>PRODUCT($X$8:$X66)</f>
        <v>1.6705547076405015E-2</v>
      </c>
    </row>
    <row r="67" spans="1:25" x14ac:dyDescent="0.3">
      <c r="A67" s="34">
        <f t="shared" si="3"/>
        <v>59</v>
      </c>
      <c r="B67" s="32">
        <f ca="1">OFFSET(Table1[[#This Row],[Pay Period]],-1,0)+0.5</f>
        <v>29.5</v>
      </c>
      <c r="C67" s="29">
        <f t="shared" si="4"/>
        <v>29.5</v>
      </c>
      <c r="D67" s="36">
        <f t="shared" si="17"/>
        <v>0</v>
      </c>
      <c r="E67" s="36">
        <f t="shared" si="18"/>
        <v>0</v>
      </c>
      <c r="F67" s="36">
        <f>IF(Table1[[#This Row],[Assumed Contract Value ]]&gt;0.1,Table1[[#This Row],[timeFromValuation]]&gt;=Activation_Time,0)</f>
        <v>0</v>
      </c>
      <c r="G67" s="36">
        <v>0</v>
      </c>
      <c r="H67" s="36" t="b">
        <f>Table1[[#This Row],[timeFromValuation]]=INT(Table1[[#This Row],[timeFromValuation]])</f>
        <v>0</v>
      </c>
      <c r="I67" s="7">
        <f>IF((Table1[[#This Row],[Is Anniversery]]), Table1[[#This Row],[Assumed Contract Value ]],0)</f>
        <v>0</v>
      </c>
      <c r="J67" s="7">
        <f ca="1">IF(NOT(Table1[[#This Row],[Is Activation]]),OFFSET(Table1[[#This Row],[Income Credit Base]],-1,0)+Table1[[#This Row],[Purchase Payments]]+Table1[[#This Row],[Income Credit]],0)</f>
        <v>0</v>
      </c>
      <c r="K67" s="7">
        <f>IF(AND(Table1[[#This Row],[Is Activation]]=FALSE,Table1[[#This Row],[Is Anniversery]]=TRUE),Table1[[#This Row],[Income Credit Base]]*ICP,0)</f>
        <v>0</v>
      </c>
      <c r="L6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67" s="42" t="e">
        <f>IF(NOT(Table1[[#This Row],[Is Activation]]),(Table1[[#This Row],[Withdrawal Taken  ]]/Table1[[#This Row],[Assumed Contract Value ]]),0)</f>
        <v>#DIV/0!</v>
      </c>
      <c r="N6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67" s="5">
        <f>IF(NOT(Table1[[#This Row],[Has Lifetime Income Started]]),Table1[[#This Row],[Income Base]]*MAW,0)</f>
        <v>0</v>
      </c>
      <c r="P67" s="9">
        <f>IF(AND(Table1[[#This Row],[Has Lifetime Income Started]],Table1[[#This Row],[Is Anniversery]]),Table1[[#This Row],[Income Base]]*PIP,0)</f>
        <v>0</v>
      </c>
      <c r="Q67" s="37" t="b">
        <f t="shared" si="0"/>
        <v>1</v>
      </c>
      <c r="R67" s="10">
        <f>1/(1+InterestRate)^Table1[[#This Row],[timeFromValuation]]</f>
        <v>0.23709133247299205</v>
      </c>
      <c r="S67" s="10">
        <f>Table1[[#This Row],[timeFromValuation]]</f>
        <v>29.5</v>
      </c>
      <c r="T67" s="117">
        <f>VLOOKUP(Qx!J67,Table2[],Qx!L$6,FALSE)</f>
        <v>0.6</v>
      </c>
      <c r="U67" s="117">
        <f>VLOOKUP(Qx!K67,Table2[],Qx!M$6,FALSE)</f>
        <v>0</v>
      </c>
      <c r="V67" s="117">
        <f>PRODUCT($T$8:$T67)</f>
        <v>1.4910199144109153E-4</v>
      </c>
      <c r="W67" s="117">
        <f>PRODUCT($U$8:$U67)</f>
        <v>0</v>
      </c>
      <c r="X67" s="117">
        <f>Table1[[#This Row],[Primary Annuitant Px]]+Table1[[#This Row],[Secondary Annuitant Py]]-Table1[[#This Row],[Primary Annuitant Px]]*Table1[[#This Row],[Secondary Annuitant Py]]</f>
        <v>0.6</v>
      </c>
      <c r="Y67" s="117">
        <f>PRODUCT($X$8:$X67)</f>
        <v>1.0023328245843009E-2</v>
      </c>
    </row>
    <row r="68" spans="1:25" x14ac:dyDescent="0.3">
      <c r="A68" s="34">
        <f t="shared" si="3"/>
        <v>60</v>
      </c>
      <c r="B68" s="32">
        <f ca="1">OFFSET(Table1[[#This Row],[Pay Period]],-1,0)+0.5</f>
        <v>30</v>
      </c>
      <c r="C68" s="29">
        <f t="shared" si="4"/>
        <v>30</v>
      </c>
      <c r="D68" s="36">
        <f t="shared" si="17"/>
        <v>0</v>
      </c>
      <c r="E68" s="36">
        <f t="shared" si="18"/>
        <v>0</v>
      </c>
      <c r="F68" s="36">
        <f>IF(Table1[[#This Row],[Assumed Contract Value ]]&gt;0.1,Table1[[#This Row],[timeFromValuation]]&gt;=Activation_Time,0)</f>
        <v>0</v>
      </c>
      <c r="G68" s="36">
        <v>0</v>
      </c>
      <c r="H68" s="36" t="b">
        <f>Table1[[#This Row],[timeFromValuation]]=INT(Table1[[#This Row],[timeFromValuation]])</f>
        <v>1</v>
      </c>
      <c r="I68" s="7">
        <f>IF((Table1[[#This Row],[Is Anniversery]]), Table1[[#This Row],[Assumed Contract Value ]],0)</f>
        <v>0</v>
      </c>
      <c r="J68" s="7">
        <f ca="1">IF(NOT(Table1[[#This Row],[Is Activation]]),OFFSET(Table1[[#This Row],[Income Credit Base]],-1,0)+Table1[[#This Row],[Purchase Payments]]+Table1[[#This Row],[Income Credit]],0)</f>
        <v>0</v>
      </c>
      <c r="K68" s="7">
        <f>IF(AND(Table1[[#This Row],[Is Activation]]=FALSE,Table1[[#This Row],[Is Anniversery]]=TRUE),Table1[[#This Row],[Income Credit Base]]*ICP,0)</f>
        <v>0</v>
      </c>
      <c r="L6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68" s="42" t="e">
        <f>IF(NOT(Table1[[#This Row],[Is Activation]]),(Table1[[#This Row],[Withdrawal Taken  ]]/Table1[[#This Row],[Assumed Contract Value ]]),0)</f>
        <v>#DIV/0!</v>
      </c>
      <c r="N6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68" s="5">
        <f>IF(NOT(Table1[[#This Row],[Has Lifetime Income Started]]),Table1[[#This Row],[Income Base]]*MAW,0)</f>
        <v>0</v>
      </c>
      <c r="P68" s="9" t="e">
        <f ca="1">IF(AND(Table1[[#This Row],[Has Lifetime Income Started]],Table1[[#This Row],[Is Anniversery]]),Table1[[#This Row],[Income Base]]*PIP,0)</f>
        <v>#DIV/0!</v>
      </c>
      <c r="Q68" s="37" t="b">
        <f t="shared" si="0"/>
        <v>1</v>
      </c>
      <c r="R68" s="10">
        <f>1/(1+InterestRate)^Table1[[#This Row],[timeFromValuation]]</f>
        <v>0.23137744865585813</v>
      </c>
      <c r="S68" s="10">
        <f>Table1[[#This Row],[timeFromValuation]]</f>
        <v>30</v>
      </c>
      <c r="T68" s="117">
        <f>VLOOKUP(Qx!J68,Table2[],Qx!L$6,FALSE)</f>
        <v>0.6</v>
      </c>
      <c r="U68" s="117">
        <f>VLOOKUP(Qx!K68,Table2[],Qx!M$6,FALSE)</f>
        <v>0</v>
      </c>
      <c r="V68" s="117">
        <f>PRODUCT($T$8:$T68)</f>
        <v>8.9461194864654919E-5</v>
      </c>
      <c r="W68" s="117">
        <f>PRODUCT($U$8:$U68)</f>
        <v>0</v>
      </c>
      <c r="X68" s="117">
        <f>Table1[[#This Row],[Primary Annuitant Px]]+Table1[[#This Row],[Secondary Annuitant Py]]-Table1[[#This Row],[Primary Annuitant Px]]*Table1[[#This Row],[Secondary Annuitant Py]]</f>
        <v>0.6</v>
      </c>
      <c r="Y68" s="117">
        <f>PRODUCT($X$8:$X68)</f>
        <v>6.0139969475058053E-3</v>
      </c>
    </row>
    <row r="69" spans="1:25" x14ac:dyDescent="0.3">
      <c r="A69" s="34">
        <f t="shared" si="3"/>
        <v>61</v>
      </c>
      <c r="B69" s="32">
        <f ca="1">OFFSET(Table1[[#This Row],[Pay Period]],-1,0)+0.5</f>
        <v>30.5</v>
      </c>
      <c r="C69" s="29">
        <f t="shared" si="4"/>
        <v>30.5</v>
      </c>
      <c r="D69" s="36">
        <f t="shared" si="17"/>
        <v>0</v>
      </c>
      <c r="E69" s="36">
        <f t="shared" si="18"/>
        <v>0</v>
      </c>
      <c r="F69" s="36">
        <f>IF(Table1[[#This Row],[Assumed Contract Value ]]&gt;0.1,Table1[[#This Row],[timeFromValuation]]&gt;=Activation_Time,0)</f>
        <v>0</v>
      </c>
      <c r="G69" s="36">
        <v>0</v>
      </c>
      <c r="H69" s="36" t="b">
        <f>Table1[[#This Row],[timeFromValuation]]=INT(Table1[[#This Row],[timeFromValuation]])</f>
        <v>0</v>
      </c>
      <c r="I69" s="7">
        <f>IF((Table1[[#This Row],[Is Anniversery]]), Table1[[#This Row],[Assumed Contract Value ]],0)</f>
        <v>0</v>
      </c>
      <c r="J69" s="7">
        <f ca="1">IF(NOT(Table1[[#This Row],[Is Activation]]),OFFSET(Table1[[#This Row],[Income Credit Base]],-1,0)+Table1[[#This Row],[Purchase Payments]]+Table1[[#This Row],[Income Credit]],0)</f>
        <v>0</v>
      </c>
      <c r="K69" s="7">
        <f>IF(AND(Table1[[#This Row],[Is Activation]]=FALSE,Table1[[#This Row],[Is Anniversery]]=TRUE),Table1[[#This Row],[Income Credit Base]]*ICP,0)</f>
        <v>0</v>
      </c>
      <c r="L6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69" s="42" t="e">
        <f>IF(NOT(Table1[[#This Row],[Is Activation]]),(Table1[[#This Row],[Withdrawal Taken  ]]/Table1[[#This Row],[Assumed Contract Value ]]),0)</f>
        <v>#DIV/0!</v>
      </c>
      <c r="N6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69" s="5">
        <f>IF(NOT(Table1[[#This Row],[Has Lifetime Income Started]]),Table1[[#This Row],[Income Base]]*MAW,0)</f>
        <v>0</v>
      </c>
      <c r="P69" s="9">
        <f>IF(AND(Table1[[#This Row],[Has Lifetime Income Started]],Table1[[#This Row],[Is Anniversery]]),Table1[[#This Row],[Income Base]]*PIP,0)</f>
        <v>0</v>
      </c>
      <c r="Q69" s="37" t="b">
        <f t="shared" si="0"/>
        <v>1</v>
      </c>
      <c r="R69" s="10">
        <f>1/(1+InterestRate)^Table1[[#This Row],[timeFromValuation]]</f>
        <v>0.22580126902189715</v>
      </c>
      <c r="S69" s="10">
        <f>Table1[[#This Row],[timeFromValuation]]</f>
        <v>30.5</v>
      </c>
      <c r="T69" s="117">
        <f>VLOOKUP(Qx!J69,Table2[],Qx!L$6,FALSE)</f>
        <v>0.6</v>
      </c>
      <c r="U69" s="117">
        <f>VLOOKUP(Qx!K69,Table2[],Qx!M$6,FALSE)</f>
        <v>0</v>
      </c>
      <c r="V69" s="117">
        <f>PRODUCT($T$8:$T69)</f>
        <v>5.3676716918792953E-5</v>
      </c>
      <c r="W69" s="117">
        <f>PRODUCT($U$8:$U69)</f>
        <v>0</v>
      </c>
      <c r="X69" s="117">
        <f>Table1[[#This Row],[Primary Annuitant Px]]+Table1[[#This Row],[Secondary Annuitant Py]]-Table1[[#This Row],[Primary Annuitant Px]]*Table1[[#This Row],[Secondary Annuitant Py]]</f>
        <v>0.6</v>
      </c>
      <c r="Y69" s="117">
        <f>PRODUCT($X$8:$X69)</f>
        <v>3.6083981685034829E-3</v>
      </c>
    </row>
    <row r="70" spans="1:25" x14ac:dyDescent="0.3">
      <c r="A70" s="34">
        <f t="shared" si="3"/>
        <v>62</v>
      </c>
      <c r="B70" s="32">
        <f ca="1">OFFSET(Table1[[#This Row],[Pay Period]],-1,0)+0.5</f>
        <v>31</v>
      </c>
      <c r="C70" s="29">
        <f t="shared" si="4"/>
        <v>31</v>
      </c>
      <c r="D70" s="36">
        <f t="shared" si="17"/>
        <v>0</v>
      </c>
      <c r="E70" s="36">
        <f t="shared" si="18"/>
        <v>0</v>
      </c>
      <c r="F70" s="36">
        <f>IF(Table1[[#This Row],[Assumed Contract Value ]]&gt;0.1,Table1[[#This Row],[timeFromValuation]]&gt;=Activation_Time,0)</f>
        <v>0</v>
      </c>
      <c r="G70" s="36">
        <v>0</v>
      </c>
      <c r="H70" s="36" t="b">
        <f>Table1[[#This Row],[timeFromValuation]]=INT(Table1[[#This Row],[timeFromValuation]])</f>
        <v>1</v>
      </c>
      <c r="I70" s="7">
        <f>IF((Table1[[#This Row],[Is Anniversery]]), Table1[[#This Row],[Assumed Contract Value ]],0)</f>
        <v>0</v>
      </c>
      <c r="J70" s="7">
        <f ca="1">IF(NOT(Table1[[#This Row],[Is Activation]]),OFFSET(Table1[[#This Row],[Income Credit Base]],-1,0)+Table1[[#This Row],[Purchase Payments]]+Table1[[#This Row],[Income Credit]],0)</f>
        <v>0</v>
      </c>
      <c r="K70" s="7">
        <f>IF(AND(Table1[[#This Row],[Is Activation]]=FALSE,Table1[[#This Row],[Is Anniversery]]=TRUE),Table1[[#This Row],[Income Credit Base]]*ICP,0)</f>
        <v>0</v>
      </c>
      <c r="L7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70" s="42" t="e">
        <f>IF(NOT(Table1[[#This Row],[Is Activation]]),(Table1[[#This Row],[Withdrawal Taken  ]]/Table1[[#This Row],[Assumed Contract Value ]]),0)</f>
        <v>#DIV/0!</v>
      </c>
      <c r="N7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70" s="5">
        <f>IF(NOT(Table1[[#This Row],[Has Lifetime Income Started]]),Table1[[#This Row],[Income Base]]*MAW,0)</f>
        <v>0</v>
      </c>
      <c r="P70" s="9" t="e">
        <f ca="1">IF(AND(Table1[[#This Row],[Has Lifetime Income Started]],Table1[[#This Row],[Is Anniversery]]),Table1[[#This Row],[Income Base]]*PIP,0)</f>
        <v>#DIV/0!</v>
      </c>
      <c r="Q70" s="37" t="b">
        <f t="shared" si="0"/>
        <v>1</v>
      </c>
      <c r="R70" s="10">
        <f>1/(1+InterestRate)^Table1[[#This Row],[timeFromValuation]]</f>
        <v>0.220359474910341</v>
      </c>
      <c r="S70" s="10">
        <f>Table1[[#This Row],[timeFromValuation]]</f>
        <v>31</v>
      </c>
      <c r="T70" s="117">
        <f>VLOOKUP(Qx!J70,Table2[],Qx!L$6,FALSE)</f>
        <v>0.6</v>
      </c>
      <c r="U70" s="117">
        <f>VLOOKUP(Qx!K70,Table2[],Qx!M$6,FALSE)</f>
        <v>0</v>
      </c>
      <c r="V70" s="117">
        <f>PRODUCT($T$8:$T70)</f>
        <v>3.2206030151275773E-5</v>
      </c>
      <c r="W70" s="117">
        <f>PRODUCT($U$8:$U70)</f>
        <v>0</v>
      </c>
      <c r="X70" s="117">
        <f>Table1[[#This Row],[Primary Annuitant Px]]+Table1[[#This Row],[Secondary Annuitant Py]]-Table1[[#This Row],[Primary Annuitant Px]]*Table1[[#This Row],[Secondary Annuitant Py]]</f>
        <v>0.6</v>
      </c>
      <c r="Y70" s="117">
        <f>PRODUCT($X$8:$X70)</f>
        <v>2.1650389011020899E-3</v>
      </c>
    </row>
    <row r="71" spans="1:25" x14ac:dyDescent="0.3">
      <c r="A71" s="34">
        <f t="shared" si="3"/>
        <v>63</v>
      </c>
      <c r="B71" s="32">
        <f ca="1">OFFSET(Table1[[#This Row],[Pay Period]],-1,0)+0.5</f>
        <v>31.5</v>
      </c>
      <c r="C71" s="29">
        <f t="shared" si="4"/>
        <v>31.5</v>
      </c>
      <c r="D71" s="36">
        <f t="shared" si="17"/>
        <v>0</v>
      </c>
      <c r="E71" s="36">
        <f t="shared" si="18"/>
        <v>0</v>
      </c>
      <c r="F71" s="36">
        <f>IF(Table1[[#This Row],[Assumed Contract Value ]]&gt;0.1,Table1[[#This Row],[timeFromValuation]]&gt;=Activation_Time,0)</f>
        <v>0</v>
      </c>
      <c r="G71" s="36">
        <v>0</v>
      </c>
      <c r="H71" s="36" t="b">
        <f>Table1[[#This Row],[timeFromValuation]]=INT(Table1[[#This Row],[timeFromValuation]])</f>
        <v>0</v>
      </c>
      <c r="I71" s="7">
        <f>IF((Table1[[#This Row],[Is Anniversery]]), Table1[[#This Row],[Assumed Contract Value ]],0)</f>
        <v>0</v>
      </c>
      <c r="J71" s="7">
        <f ca="1">IF(NOT(Table1[[#This Row],[Is Activation]]),OFFSET(Table1[[#This Row],[Income Credit Base]],-1,0)+Table1[[#This Row],[Purchase Payments]]+Table1[[#This Row],[Income Credit]],0)</f>
        <v>0</v>
      </c>
      <c r="K71" s="7">
        <f>IF(AND(Table1[[#This Row],[Is Activation]]=FALSE,Table1[[#This Row],[Is Anniversery]]=TRUE),Table1[[#This Row],[Income Credit Base]]*ICP,0)</f>
        <v>0</v>
      </c>
      <c r="L7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71" s="42" t="e">
        <f>IF(NOT(Table1[[#This Row],[Is Activation]]),(Table1[[#This Row],[Withdrawal Taken  ]]/Table1[[#This Row],[Assumed Contract Value ]]),0)</f>
        <v>#DIV/0!</v>
      </c>
      <c r="N7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71" s="5">
        <f>IF(NOT(Table1[[#This Row],[Has Lifetime Income Started]]),Table1[[#This Row],[Income Base]]*MAW,0)</f>
        <v>0</v>
      </c>
      <c r="P71" s="9">
        <f>IF(AND(Table1[[#This Row],[Has Lifetime Income Started]],Table1[[#This Row],[Is Anniversery]]),Table1[[#This Row],[Income Base]]*PIP,0)</f>
        <v>0</v>
      </c>
      <c r="Q71" s="37" t="b">
        <f t="shared" si="0"/>
        <v>1</v>
      </c>
      <c r="R71" s="10">
        <f>1/(1+InterestRate)^Table1[[#This Row],[timeFromValuation]]</f>
        <v>0.21504882763990207</v>
      </c>
      <c r="S71" s="10">
        <f>Table1[[#This Row],[timeFromValuation]]</f>
        <v>31.5</v>
      </c>
      <c r="T71" s="117">
        <f>VLOOKUP(Qx!J71,Table2[],Qx!L$6,FALSE)</f>
        <v>0.6</v>
      </c>
      <c r="U71" s="117">
        <f>VLOOKUP(Qx!K71,Table2[],Qx!M$6,FALSE)</f>
        <v>0</v>
      </c>
      <c r="V71" s="117">
        <f>PRODUCT($T$8:$T71)</f>
        <v>1.9323618090765464E-5</v>
      </c>
      <c r="W71" s="117">
        <f>PRODUCT($U$8:$U71)</f>
        <v>0</v>
      </c>
      <c r="X71" s="117">
        <f>Table1[[#This Row],[Primary Annuitant Px]]+Table1[[#This Row],[Secondary Annuitant Py]]-Table1[[#This Row],[Primary Annuitant Px]]*Table1[[#This Row],[Secondary Annuitant Py]]</f>
        <v>0.6</v>
      </c>
      <c r="Y71" s="117">
        <f>PRODUCT($X$8:$X71)</f>
        <v>1.2990233406612538E-3</v>
      </c>
    </row>
    <row r="72" spans="1:25" x14ac:dyDescent="0.3">
      <c r="A72" s="34">
        <f t="shared" si="3"/>
        <v>64</v>
      </c>
      <c r="B72" s="32">
        <f ca="1">OFFSET(Table1[[#This Row],[Pay Period]],-1,0)+0.5</f>
        <v>32</v>
      </c>
      <c r="C72" s="29">
        <f t="shared" si="4"/>
        <v>32</v>
      </c>
      <c r="D72" s="36">
        <f t="shared" si="17"/>
        <v>0</v>
      </c>
      <c r="E72" s="36">
        <f t="shared" si="18"/>
        <v>0</v>
      </c>
      <c r="F72" s="36">
        <f>IF(Table1[[#This Row],[Assumed Contract Value ]]&gt;0.1,Table1[[#This Row],[timeFromValuation]]&gt;=Activation_Time,0)</f>
        <v>0</v>
      </c>
      <c r="G72" s="36">
        <v>0</v>
      </c>
      <c r="H72" s="36" t="b">
        <f>Table1[[#This Row],[timeFromValuation]]=INT(Table1[[#This Row],[timeFromValuation]])</f>
        <v>1</v>
      </c>
      <c r="I72" s="7">
        <f>IF((Table1[[#This Row],[Is Anniversery]]), Table1[[#This Row],[Assumed Contract Value ]],0)</f>
        <v>0</v>
      </c>
      <c r="J72" s="7">
        <f ca="1">IF(NOT(Table1[[#This Row],[Is Activation]]),OFFSET(Table1[[#This Row],[Income Credit Base]],-1,0)+Table1[[#This Row],[Purchase Payments]]+Table1[[#This Row],[Income Credit]],0)</f>
        <v>0</v>
      </c>
      <c r="K72" s="7">
        <f>IF(AND(Table1[[#This Row],[Is Activation]]=FALSE,Table1[[#This Row],[Is Anniversery]]=TRUE),Table1[[#This Row],[Income Credit Base]]*ICP,0)</f>
        <v>0</v>
      </c>
      <c r="L7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72" s="42" t="e">
        <f>IF(NOT(Table1[[#This Row],[Is Activation]]),(Table1[[#This Row],[Withdrawal Taken  ]]/Table1[[#This Row],[Assumed Contract Value ]]),0)</f>
        <v>#DIV/0!</v>
      </c>
      <c r="N7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72" s="5">
        <f>IF(NOT(Table1[[#This Row],[Has Lifetime Income Started]]),Table1[[#This Row],[Income Base]]*MAW,0)</f>
        <v>0</v>
      </c>
      <c r="P72" s="9" t="e">
        <f ca="1">IF(AND(Table1[[#This Row],[Has Lifetime Income Started]],Table1[[#This Row],[Is Anniversery]]),Table1[[#This Row],[Income Base]]*PIP,0)</f>
        <v>#DIV/0!</v>
      </c>
      <c r="Q72" s="37" t="b">
        <f t="shared" ref="Q72:Q135" si="19">Assumed_Contract_Value2&lt;0.1</f>
        <v>1</v>
      </c>
      <c r="R72" s="10">
        <f>1/(1+InterestRate)^Table1[[#This Row],[timeFromValuation]]</f>
        <v>0.20986616658127716</v>
      </c>
      <c r="S72" s="10">
        <f>Table1[[#This Row],[timeFromValuation]]</f>
        <v>32</v>
      </c>
      <c r="T72" s="117">
        <f>VLOOKUP(Qx!J72,Table2[],Qx!L$6,FALSE)</f>
        <v>0.6</v>
      </c>
      <c r="U72" s="117">
        <f>VLOOKUP(Qx!K72,Table2[],Qx!M$6,FALSE)</f>
        <v>0</v>
      </c>
      <c r="V72" s="117">
        <f>PRODUCT($T$8:$T72)</f>
        <v>1.1594170854459278E-5</v>
      </c>
      <c r="W72" s="117">
        <f>PRODUCT($U$8:$U72)</f>
        <v>0</v>
      </c>
      <c r="X72" s="117">
        <f>Table1[[#This Row],[Primary Annuitant Px]]+Table1[[#This Row],[Secondary Annuitant Py]]-Table1[[#This Row],[Primary Annuitant Px]]*Table1[[#This Row],[Secondary Annuitant Py]]</f>
        <v>0.6</v>
      </c>
      <c r="Y72" s="117">
        <f>PRODUCT($X$8:$X72)</f>
        <v>7.7941400439675225E-4</v>
      </c>
    </row>
    <row r="73" spans="1:25" x14ac:dyDescent="0.3">
      <c r="A73" s="34">
        <f t="shared" si="3"/>
        <v>65</v>
      </c>
      <c r="B73" s="32">
        <f ca="1">OFFSET(Table1[[#This Row],[Pay Period]],-1,0)+0.5</f>
        <v>32.5</v>
      </c>
      <c r="C73" s="29">
        <f t="shared" si="4"/>
        <v>32.5</v>
      </c>
      <c r="D73" s="36">
        <f t="shared" si="17"/>
        <v>0</v>
      </c>
      <c r="E73" s="36">
        <f t="shared" si="18"/>
        <v>0</v>
      </c>
      <c r="F73" s="36">
        <f>IF(Table1[[#This Row],[Assumed Contract Value ]]&gt;0.1,Table1[[#This Row],[timeFromValuation]]&gt;=Activation_Time,0)</f>
        <v>0</v>
      </c>
      <c r="G73" s="36">
        <v>0</v>
      </c>
      <c r="H73" s="36" t="b">
        <f>Table1[[#This Row],[timeFromValuation]]=INT(Table1[[#This Row],[timeFromValuation]])</f>
        <v>0</v>
      </c>
      <c r="I73" s="7">
        <f>IF((Table1[[#This Row],[Is Anniversery]]), Table1[[#This Row],[Assumed Contract Value ]],0)</f>
        <v>0</v>
      </c>
      <c r="J73" s="7">
        <f ca="1">IF(NOT(Table1[[#This Row],[Is Activation]]),OFFSET(Table1[[#This Row],[Income Credit Base]],-1,0)+Table1[[#This Row],[Purchase Payments]]+Table1[[#This Row],[Income Credit]],0)</f>
        <v>0</v>
      </c>
      <c r="K73" s="7">
        <f>IF(AND(Table1[[#This Row],[Is Activation]]=FALSE,Table1[[#This Row],[Is Anniversery]]=TRUE),Table1[[#This Row],[Income Credit Base]]*ICP,0)</f>
        <v>0</v>
      </c>
      <c r="L7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73" s="42" t="e">
        <f>IF(NOT(Table1[[#This Row],[Is Activation]]),(Table1[[#This Row],[Withdrawal Taken  ]]/Table1[[#This Row],[Assumed Contract Value ]]),0)</f>
        <v>#DIV/0!</v>
      </c>
      <c r="N7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73" s="5">
        <f>IF(NOT(Table1[[#This Row],[Has Lifetime Income Started]]),Table1[[#This Row],[Income Base]]*MAW,0)</f>
        <v>0</v>
      </c>
      <c r="P73" s="9">
        <f>IF(AND(Table1[[#This Row],[Has Lifetime Income Started]],Table1[[#This Row],[Is Anniversery]]),Table1[[#This Row],[Income Base]]*PIP,0)</f>
        <v>0</v>
      </c>
      <c r="Q73" s="37" t="b">
        <f t="shared" si="19"/>
        <v>1</v>
      </c>
      <c r="R73" s="10">
        <f>1/(1+InterestRate)^Table1[[#This Row],[timeFromValuation]]</f>
        <v>0.20480840727609717</v>
      </c>
      <c r="S73" s="10">
        <f>Table1[[#This Row],[timeFromValuation]]</f>
        <v>32.5</v>
      </c>
      <c r="T73" s="10">
        <f>VLOOKUP(Qx!J73,Table2[],Qx!L$6,FALSE)</f>
        <v>0</v>
      </c>
      <c r="U73" s="10">
        <f>VLOOKUP(Qx!K73,Table2[],Qx!M$6,FALSE)</f>
        <v>0</v>
      </c>
      <c r="V73" s="10">
        <f>PRODUCT($T$8:$T73)</f>
        <v>0</v>
      </c>
      <c r="W73" s="10">
        <f>PRODUCT($U$8:$U73)</f>
        <v>0</v>
      </c>
      <c r="X73" s="117">
        <f>Table1[[#This Row],[Primary Annuitant Px]]+Table1[[#This Row],[Secondary Annuitant Py]]-Table1[[#This Row],[Primary Annuitant Px]]*Table1[[#This Row],[Secondary Annuitant Py]]</f>
        <v>0</v>
      </c>
      <c r="Y73" s="117">
        <f>PRODUCT($X$8:$X73)</f>
        <v>0</v>
      </c>
    </row>
    <row r="74" spans="1:25" x14ac:dyDescent="0.3">
      <c r="A74" s="34">
        <f t="shared" ref="A74:A137" si="20">A73+1</f>
        <v>66</v>
      </c>
      <c r="B74" s="32">
        <f ca="1">OFFSET(Table1[[#This Row],[Pay Period]],-1,0)+0.5</f>
        <v>33</v>
      </c>
      <c r="C74" s="29">
        <f t="shared" ref="C74:C137" si="21">C73+0.5</f>
        <v>33</v>
      </c>
      <c r="D74" s="36">
        <f t="shared" si="17"/>
        <v>0</v>
      </c>
      <c r="E74" s="36">
        <f t="shared" si="18"/>
        <v>0</v>
      </c>
      <c r="F74" s="36">
        <f>IF(Table1[[#This Row],[Assumed Contract Value ]]&gt;0.1,Table1[[#This Row],[timeFromValuation]]&gt;=Activation_Time,0)</f>
        <v>0</v>
      </c>
      <c r="G74" s="36">
        <v>0</v>
      </c>
      <c r="H74" s="36" t="b">
        <f>Table1[[#This Row],[timeFromValuation]]=INT(Table1[[#This Row],[timeFromValuation]])</f>
        <v>1</v>
      </c>
      <c r="I74" s="7">
        <f>IF((Table1[[#This Row],[Is Anniversery]]), Table1[[#This Row],[Assumed Contract Value ]],0)</f>
        <v>0</v>
      </c>
      <c r="J74" s="7">
        <f ca="1">IF(NOT(Table1[[#This Row],[Is Activation]]),OFFSET(Table1[[#This Row],[Income Credit Base]],-1,0)+Table1[[#This Row],[Purchase Payments]]+Table1[[#This Row],[Income Credit]],0)</f>
        <v>0</v>
      </c>
      <c r="K74" s="7">
        <f>IF(AND(Table1[[#This Row],[Is Activation]]=FALSE,Table1[[#This Row],[Is Anniversery]]=TRUE),Table1[[#This Row],[Income Credit Base]]*ICP,0)</f>
        <v>0</v>
      </c>
      <c r="L7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74" s="42" t="e">
        <f>IF(NOT(Table1[[#This Row],[Is Activation]]),(Table1[[#This Row],[Withdrawal Taken  ]]/Table1[[#This Row],[Assumed Contract Value ]]),0)</f>
        <v>#DIV/0!</v>
      </c>
      <c r="N7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74" s="5">
        <f>IF(NOT(Table1[[#This Row],[Has Lifetime Income Started]]),Table1[[#This Row],[Income Base]]*MAW,0)</f>
        <v>0</v>
      </c>
      <c r="P74" s="9" t="e">
        <f ca="1">IF(AND(Table1[[#This Row],[Has Lifetime Income Started]],Table1[[#This Row],[Is Anniversery]]),Table1[[#This Row],[Income Base]]*PIP,0)</f>
        <v>#DIV/0!</v>
      </c>
      <c r="Q74" s="37" t="b">
        <f t="shared" si="19"/>
        <v>1</v>
      </c>
      <c r="R74" s="10">
        <f>1/(1+InterestRate)^Table1[[#This Row],[timeFromValuation]]</f>
        <v>0.19987253960121634</v>
      </c>
      <c r="S74" s="10">
        <f>Table1[[#This Row],[timeFromValuation]]</f>
        <v>33</v>
      </c>
      <c r="T74" s="10">
        <f>VLOOKUP(Qx!J74,Table2[],Qx!L$6,FALSE)</f>
        <v>0</v>
      </c>
      <c r="U74" s="10">
        <f>VLOOKUP(Qx!K74,Table2[],Qx!M$6,FALSE)</f>
        <v>0</v>
      </c>
      <c r="V74" s="10">
        <f>PRODUCT($T$8:$T74)</f>
        <v>0</v>
      </c>
      <c r="W74" s="10">
        <f>PRODUCT($U$8:$U74)</f>
        <v>0</v>
      </c>
      <c r="X74" s="117">
        <f>Table1[[#This Row],[Primary Annuitant Px]]+Table1[[#This Row],[Secondary Annuitant Py]]-Table1[[#This Row],[Primary Annuitant Px]]*Table1[[#This Row],[Secondary Annuitant Py]]</f>
        <v>0</v>
      </c>
      <c r="Y74" s="117">
        <f>PRODUCT($X$8:$X74)</f>
        <v>0</v>
      </c>
    </row>
    <row r="75" spans="1:25" x14ac:dyDescent="0.3">
      <c r="A75" s="34">
        <f t="shared" si="20"/>
        <v>67</v>
      </c>
      <c r="B75" s="32">
        <f ca="1">OFFSET(Table1[[#This Row],[Pay Period]],-1,0)+0.5</f>
        <v>33.5</v>
      </c>
      <c r="C75" s="29">
        <f t="shared" si="21"/>
        <v>33.5</v>
      </c>
      <c r="D75" s="36">
        <f t="shared" si="17"/>
        <v>0</v>
      </c>
      <c r="E75" s="36">
        <f t="shared" si="18"/>
        <v>0</v>
      </c>
      <c r="F75" s="36">
        <f>IF(Table1[[#This Row],[Assumed Contract Value ]]&gt;0.1,Table1[[#This Row],[timeFromValuation]]&gt;=Activation_Time,0)</f>
        <v>0</v>
      </c>
      <c r="G75" s="36">
        <v>0</v>
      </c>
      <c r="H75" s="36" t="b">
        <f>Table1[[#This Row],[timeFromValuation]]=INT(Table1[[#This Row],[timeFromValuation]])</f>
        <v>0</v>
      </c>
      <c r="I75" s="7">
        <f>IF((Table1[[#This Row],[Is Anniversery]]), Table1[[#This Row],[Assumed Contract Value ]],0)</f>
        <v>0</v>
      </c>
      <c r="J75" s="7">
        <f ca="1">IF(NOT(Table1[[#This Row],[Is Activation]]),OFFSET(Table1[[#This Row],[Income Credit Base]],-1,0)+Table1[[#This Row],[Purchase Payments]]+Table1[[#This Row],[Income Credit]],0)</f>
        <v>0</v>
      </c>
      <c r="K75" s="7">
        <f>IF(AND(Table1[[#This Row],[Is Activation]]=FALSE,Table1[[#This Row],[Is Anniversery]]=TRUE),Table1[[#This Row],[Income Credit Base]]*ICP,0)</f>
        <v>0</v>
      </c>
      <c r="L7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75" s="42" t="e">
        <f>IF(NOT(Table1[[#This Row],[Is Activation]]),(Table1[[#This Row],[Withdrawal Taken  ]]/Table1[[#This Row],[Assumed Contract Value ]]),0)</f>
        <v>#DIV/0!</v>
      </c>
      <c r="N7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75" s="5">
        <f>IF(NOT(Table1[[#This Row],[Has Lifetime Income Started]]),Table1[[#This Row],[Income Base]]*MAW,0)</f>
        <v>0</v>
      </c>
      <c r="P75" s="9">
        <f>IF(AND(Table1[[#This Row],[Has Lifetime Income Started]],Table1[[#This Row],[Is Anniversery]]),Table1[[#This Row],[Income Base]]*PIP,0)</f>
        <v>0</v>
      </c>
      <c r="Q75" s="37" t="b">
        <f t="shared" si="19"/>
        <v>1</v>
      </c>
      <c r="R75" s="10">
        <f>1/(1+InterestRate)^Table1[[#This Row],[timeFromValuation]]</f>
        <v>0.19505562597723539</v>
      </c>
      <c r="S75" s="10">
        <f>Table1[[#This Row],[timeFromValuation]]</f>
        <v>33.5</v>
      </c>
      <c r="T75" s="10">
        <f>VLOOKUP(Qx!J75,Table2[],Qx!L$6,FALSE)</f>
        <v>0</v>
      </c>
      <c r="U75" s="10">
        <f>VLOOKUP(Qx!K75,Table2[],Qx!M$6,FALSE)</f>
        <v>0</v>
      </c>
      <c r="V75" s="10">
        <f>PRODUCT($T$8:$T75)</f>
        <v>0</v>
      </c>
      <c r="W75" s="10">
        <f>PRODUCT($U$8:$U75)</f>
        <v>0</v>
      </c>
      <c r="X75" s="117">
        <f>Table1[[#This Row],[Primary Annuitant Px]]+Table1[[#This Row],[Secondary Annuitant Py]]-Table1[[#This Row],[Primary Annuitant Px]]*Table1[[#This Row],[Secondary Annuitant Py]]</f>
        <v>0</v>
      </c>
      <c r="Y75" s="117">
        <f>PRODUCT($X$8:$X75)</f>
        <v>0</v>
      </c>
    </row>
    <row r="76" spans="1:25" x14ac:dyDescent="0.3">
      <c r="A76" s="34">
        <f t="shared" si="20"/>
        <v>68</v>
      </c>
      <c r="B76" s="32">
        <f ca="1">OFFSET(Table1[[#This Row],[Pay Period]],-1,0)+0.5</f>
        <v>34</v>
      </c>
      <c r="C76" s="29">
        <f t="shared" si="21"/>
        <v>34</v>
      </c>
      <c r="D76" s="36">
        <f t="shared" si="17"/>
        <v>0</v>
      </c>
      <c r="E76" s="36">
        <f t="shared" si="18"/>
        <v>0</v>
      </c>
      <c r="F76" s="36">
        <f>IF(Table1[[#This Row],[Assumed Contract Value ]]&gt;0.1,Table1[[#This Row],[timeFromValuation]]&gt;=Activation_Time,0)</f>
        <v>0</v>
      </c>
      <c r="G76" s="36">
        <v>0</v>
      </c>
      <c r="H76" s="36" t="b">
        <f>Table1[[#This Row],[timeFromValuation]]=INT(Table1[[#This Row],[timeFromValuation]])</f>
        <v>1</v>
      </c>
      <c r="I76" s="7">
        <f>IF((Table1[[#This Row],[Is Anniversery]]), Table1[[#This Row],[Assumed Contract Value ]],0)</f>
        <v>0</v>
      </c>
      <c r="J76" s="7">
        <f ca="1">IF(NOT(Table1[[#This Row],[Is Activation]]),OFFSET(Table1[[#This Row],[Income Credit Base]],-1,0)+Table1[[#This Row],[Purchase Payments]]+Table1[[#This Row],[Income Credit]],0)</f>
        <v>0</v>
      </c>
      <c r="K76" s="7">
        <f>IF(AND(Table1[[#This Row],[Is Activation]]=FALSE,Table1[[#This Row],[Is Anniversery]]=TRUE),Table1[[#This Row],[Income Credit Base]]*ICP,0)</f>
        <v>0</v>
      </c>
      <c r="L7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76" s="42" t="e">
        <f>IF(NOT(Table1[[#This Row],[Is Activation]]),(Table1[[#This Row],[Withdrawal Taken  ]]/Table1[[#This Row],[Assumed Contract Value ]]),0)</f>
        <v>#DIV/0!</v>
      </c>
      <c r="N7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76" s="5">
        <f>IF(NOT(Table1[[#This Row],[Has Lifetime Income Started]]),Table1[[#This Row],[Income Base]]*MAW,0)</f>
        <v>0</v>
      </c>
      <c r="P76" s="9" t="e">
        <f ca="1">IF(AND(Table1[[#This Row],[Has Lifetime Income Started]],Table1[[#This Row],[Is Anniversery]]),Table1[[#This Row],[Income Base]]*PIP,0)</f>
        <v>#DIV/0!</v>
      </c>
      <c r="Q76" s="37" t="b">
        <f t="shared" si="19"/>
        <v>1</v>
      </c>
      <c r="R76" s="10">
        <f>1/(1+InterestRate)^Table1[[#This Row],[timeFromValuation]]</f>
        <v>0.19035479962020604</v>
      </c>
      <c r="S76" s="10">
        <f>Table1[[#This Row],[timeFromValuation]]</f>
        <v>34</v>
      </c>
      <c r="T76" s="10">
        <f>VLOOKUP(Qx!J76,Table2[],Qx!L$6,FALSE)</f>
        <v>0</v>
      </c>
      <c r="U76" s="10">
        <f>VLOOKUP(Qx!K76,Table2[],Qx!M$6,FALSE)</f>
        <v>0</v>
      </c>
      <c r="V76" s="10">
        <f>PRODUCT($T$8:$T76)</f>
        <v>0</v>
      </c>
      <c r="W76" s="10">
        <f>PRODUCT($U$8:$U76)</f>
        <v>0</v>
      </c>
      <c r="X76" s="117">
        <f>Table1[[#This Row],[Primary Annuitant Px]]+Table1[[#This Row],[Secondary Annuitant Py]]-Table1[[#This Row],[Primary Annuitant Px]]*Table1[[#This Row],[Secondary Annuitant Py]]</f>
        <v>0</v>
      </c>
      <c r="Y76" s="117">
        <f>PRODUCT($X$8:$X76)</f>
        <v>0</v>
      </c>
    </row>
    <row r="77" spans="1:25" x14ac:dyDescent="0.3">
      <c r="A77" s="34">
        <f t="shared" si="20"/>
        <v>69</v>
      </c>
      <c r="B77" s="32">
        <f ca="1">OFFSET(Table1[[#This Row],[Pay Period]],-1,0)+0.5</f>
        <v>34.5</v>
      </c>
      <c r="C77" s="29">
        <f t="shared" si="21"/>
        <v>34.5</v>
      </c>
      <c r="D77" s="36">
        <f t="shared" si="17"/>
        <v>0</v>
      </c>
      <c r="E77" s="36">
        <f t="shared" si="18"/>
        <v>0</v>
      </c>
      <c r="F77" s="36">
        <f>IF(Table1[[#This Row],[Assumed Contract Value ]]&gt;0.1,Table1[[#This Row],[timeFromValuation]]&gt;=Activation_Time,0)</f>
        <v>0</v>
      </c>
      <c r="G77" s="36">
        <v>0</v>
      </c>
      <c r="H77" s="36" t="b">
        <f>Table1[[#This Row],[timeFromValuation]]=INT(Table1[[#This Row],[timeFromValuation]])</f>
        <v>0</v>
      </c>
      <c r="I77" s="7">
        <f>IF((Table1[[#This Row],[Is Anniversery]]), Table1[[#This Row],[Assumed Contract Value ]],0)</f>
        <v>0</v>
      </c>
      <c r="J77" s="7">
        <f ca="1">IF(NOT(Table1[[#This Row],[Is Activation]]),OFFSET(Table1[[#This Row],[Income Credit Base]],-1,0)+Table1[[#This Row],[Purchase Payments]]+Table1[[#This Row],[Income Credit]],0)</f>
        <v>0</v>
      </c>
      <c r="K77" s="7">
        <f>IF(AND(Table1[[#This Row],[Is Activation]]=FALSE,Table1[[#This Row],[Is Anniversery]]=TRUE),Table1[[#This Row],[Income Credit Base]]*ICP,0)</f>
        <v>0</v>
      </c>
      <c r="L7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77" s="42" t="e">
        <f>IF(NOT(Table1[[#This Row],[Is Activation]]),(Table1[[#This Row],[Withdrawal Taken  ]]/Table1[[#This Row],[Assumed Contract Value ]]),0)</f>
        <v>#DIV/0!</v>
      </c>
      <c r="N7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77" s="5">
        <f>IF(NOT(Table1[[#This Row],[Has Lifetime Income Started]]),Table1[[#This Row],[Income Base]]*MAW,0)</f>
        <v>0</v>
      </c>
      <c r="P77" s="9">
        <f>IF(AND(Table1[[#This Row],[Has Lifetime Income Started]],Table1[[#This Row],[Is Anniversery]]),Table1[[#This Row],[Income Base]]*PIP,0)</f>
        <v>0</v>
      </c>
      <c r="Q77" s="37" t="b">
        <f t="shared" si="19"/>
        <v>1</v>
      </c>
      <c r="R77" s="10">
        <f>1/(1+InterestRate)^Table1[[#This Row],[timeFromValuation]]</f>
        <v>0.18576726283546227</v>
      </c>
      <c r="S77" s="10">
        <f>Table1[[#This Row],[timeFromValuation]]</f>
        <v>34.5</v>
      </c>
      <c r="T77" s="10">
        <f>VLOOKUP(Qx!J77,Table2[],Qx!L$6,FALSE)</f>
        <v>0</v>
      </c>
      <c r="U77" s="10">
        <f>VLOOKUP(Qx!K77,Table2[],Qx!M$6,FALSE)</f>
        <v>0</v>
      </c>
      <c r="V77" s="10">
        <f>PRODUCT($T$8:$T77)</f>
        <v>0</v>
      </c>
      <c r="W77" s="10">
        <f>PRODUCT($U$8:$U77)</f>
        <v>0</v>
      </c>
      <c r="X77" s="117">
        <f>Table1[[#This Row],[Primary Annuitant Px]]+Table1[[#This Row],[Secondary Annuitant Py]]-Table1[[#This Row],[Primary Annuitant Px]]*Table1[[#This Row],[Secondary Annuitant Py]]</f>
        <v>0</v>
      </c>
      <c r="Y77" s="117">
        <f>PRODUCT($X$8:$X77)</f>
        <v>0</v>
      </c>
    </row>
    <row r="78" spans="1:25" x14ac:dyDescent="0.3">
      <c r="A78" s="34">
        <f t="shared" si="20"/>
        <v>70</v>
      </c>
      <c r="B78" s="32">
        <f ca="1">OFFSET(Table1[[#This Row],[Pay Period]],-1,0)+0.5</f>
        <v>35</v>
      </c>
      <c r="C78" s="29">
        <f t="shared" si="21"/>
        <v>35</v>
      </c>
      <c r="D78" s="36">
        <f t="shared" si="17"/>
        <v>0</v>
      </c>
      <c r="E78" s="36">
        <f t="shared" si="18"/>
        <v>0</v>
      </c>
      <c r="F78" s="36">
        <f>IF(Table1[[#This Row],[Assumed Contract Value ]]&gt;0.1,Table1[[#This Row],[timeFromValuation]]&gt;=Activation_Time,0)</f>
        <v>0</v>
      </c>
      <c r="G78" s="36">
        <v>0</v>
      </c>
      <c r="H78" s="36" t="b">
        <f>Table1[[#This Row],[timeFromValuation]]=INT(Table1[[#This Row],[timeFromValuation]])</f>
        <v>1</v>
      </c>
      <c r="I78" s="7">
        <f>IF((Table1[[#This Row],[Is Anniversery]]), Table1[[#This Row],[Assumed Contract Value ]],0)</f>
        <v>0</v>
      </c>
      <c r="J78" s="7">
        <f ca="1">IF(NOT(Table1[[#This Row],[Is Activation]]),OFFSET(Table1[[#This Row],[Income Credit Base]],-1,0)+Table1[[#This Row],[Purchase Payments]]+Table1[[#This Row],[Income Credit]],0)</f>
        <v>0</v>
      </c>
      <c r="K78" s="7">
        <f>IF(AND(Table1[[#This Row],[Is Activation]]=FALSE,Table1[[#This Row],[Is Anniversery]]=TRUE),Table1[[#This Row],[Income Credit Base]]*ICP,0)</f>
        <v>0</v>
      </c>
      <c r="L7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78" s="42" t="e">
        <f>IF(NOT(Table1[[#This Row],[Is Activation]]),(Table1[[#This Row],[Withdrawal Taken  ]]/Table1[[#This Row],[Assumed Contract Value ]]),0)</f>
        <v>#DIV/0!</v>
      </c>
      <c r="N7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78" s="5">
        <f>IF(NOT(Table1[[#This Row],[Has Lifetime Income Started]]),Table1[[#This Row],[Income Base]]*MAW,0)</f>
        <v>0</v>
      </c>
      <c r="P78" s="9" t="e">
        <f ca="1">IF(AND(Table1[[#This Row],[Has Lifetime Income Started]],Table1[[#This Row],[Is Anniversery]]),Table1[[#This Row],[Income Base]]*PIP,0)</f>
        <v>#DIV/0!</v>
      </c>
      <c r="Q78" s="37" t="b">
        <f t="shared" si="19"/>
        <v>1</v>
      </c>
      <c r="R78" s="10">
        <f>1/(1+InterestRate)^Table1[[#This Row],[timeFromValuation]]</f>
        <v>0.18129028535257716</v>
      </c>
      <c r="S78" s="10">
        <f>Table1[[#This Row],[timeFromValuation]]</f>
        <v>35</v>
      </c>
      <c r="T78" s="10">
        <f>VLOOKUP(Qx!J78,Table2[],Qx!L$6,FALSE)</f>
        <v>0</v>
      </c>
      <c r="U78" s="10">
        <f>VLOOKUP(Qx!K78,Table2[],Qx!M$6,FALSE)</f>
        <v>0</v>
      </c>
      <c r="V78" s="10">
        <f>PRODUCT($T$8:$T78)</f>
        <v>0</v>
      </c>
      <c r="W78" s="10">
        <f>PRODUCT($U$8:$U78)</f>
        <v>0</v>
      </c>
      <c r="X78" s="117">
        <f>Table1[[#This Row],[Primary Annuitant Px]]+Table1[[#This Row],[Secondary Annuitant Py]]-Table1[[#This Row],[Primary Annuitant Px]]*Table1[[#This Row],[Secondary Annuitant Py]]</f>
        <v>0</v>
      </c>
      <c r="Y78" s="117">
        <f>PRODUCT($X$8:$X78)</f>
        <v>0</v>
      </c>
    </row>
    <row r="79" spans="1:25" x14ac:dyDescent="0.3">
      <c r="A79" s="34">
        <f t="shared" si="20"/>
        <v>71</v>
      </c>
      <c r="B79" s="32">
        <f ca="1">OFFSET(Table1[[#This Row],[Pay Period]],-1,0)+0.5</f>
        <v>35.5</v>
      </c>
      <c r="C79" s="29">
        <f t="shared" si="21"/>
        <v>35.5</v>
      </c>
      <c r="D79" s="36">
        <f t="shared" si="17"/>
        <v>0</v>
      </c>
      <c r="E79" s="36">
        <f t="shared" si="18"/>
        <v>0</v>
      </c>
      <c r="F79" s="36">
        <f>IF(Table1[[#This Row],[Assumed Contract Value ]]&gt;0.1,Table1[[#This Row],[timeFromValuation]]&gt;=Activation_Time,0)</f>
        <v>0</v>
      </c>
      <c r="G79" s="36">
        <v>0</v>
      </c>
      <c r="H79" s="36" t="b">
        <f>Table1[[#This Row],[timeFromValuation]]=INT(Table1[[#This Row],[timeFromValuation]])</f>
        <v>0</v>
      </c>
      <c r="I79" s="7">
        <f>IF((Table1[[#This Row],[Is Anniversery]]), Table1[[#This Row],[Assumed Contract Value ]],0)</f>
        <v>0</v>
      </c>
      <c r="J79" s="7">
        <f ca="1">IF(NOT(Table1[[#This Row],[Is Activation]]),OFFSET(Table1[[#This Row],[Income Credit Base]],-1,0)+Table1[[#This Row],[Purchase Payments]]+Table1[[#This Row],[Income Credit]],0)</f>
        <v>0</v>
      </c>
      <c r="K79" s="7">
        <f>IF(AND(Table1[[#This Row],[Is Activation]]=FALSE,Table1[[#This Row],[Is Anniversery]]=TRUE),Table1[[#This Row],[Income Credit Base]]*ICP,0)</f>
        <v>0</v>
      </c>
      <c r="L7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79" s="42" t="e">
        <f>IF(NOT(Table1[[#This Row],[Is Activation]]),(Table1[[#This Row],[Withdrawal Taken  ]]/Table1[[#This Row],[Assumed Contract Value ]]),0)</f>
        <v>#DIV/0!</v>
      </c>
      <c r="N7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79" s="5">
        <f>IF(NOT(Table1[[#This Row],[Has Lifetime Income Started]]),Table1[[#This Row],[Income Base]]*MAW,0)</f>
        <v>0</v>
      </c>
      <c r="P79" s="9">
        <f>IF(AND(Table1[[#This Row],[Has Lifetime Income Started]],Table1[[#This Row],[Is Anniversery]]),Table1[[#This Row],[Income Base]]*PIP,0)</f>
        <v>0</v>
      </c>
      <c r="Q79" s="37" t="b">
        <f t="shared" si="19"/>
        <v>1</v>
      </c>
      <c r="R79" s="10">
        <f>1/(1+InterestRate)^Table1[[#This Row],[timeFromValuation]]</f>
        <v>0.17692120270044026</v>
      </c>
      <c r="S79" s="10">
        <f>Table1[[#This Row],[timeFromValuation]]</f>
        <v>35.5</v>
      </c>
      <c r="T79" s="10">
        <v>0</v>
      </c>
      <c r="U79" s="10">
        <v>0</v>
      </c>
      <c r="V79" s="10">
        <f>PRODUCT($T$8:$T79)</f>
        <v>0</v>
      </c>
      <c r="W79" s="10">
        <f>PRODUCT($U$8:$U79)</f>
        <v>0</v>
      </c>
      <c r="X79" s="117">
        <f>Table1[[#This Row],[Primary Annuitant Px]]+Table1[[#This Row],[Secondary Annuitant Py]]-Table1[[#This Row],[Primary Annuitant Px]]*Table1[[#This Row],[Secondary Annuitant Py]]</f>
        <v>0</v>
      </c>
      <c r="Y79" s="117">
        <f>PRODUCT($X$8:$X79)</f>
        <v>0</v>
      </c>
    </row>
    <row r="80" spans="1:25" x14ac:dyDescent="0.3">
      <c r="A80" s="34">
        <f t="shared" si="20"/>
        <v>72</v>
      </c>
      <c r="B80" s="32">
        <f ca="1">OFFSET(Table1[[#This Row],[Pay Period]],-1,0)+0.5</f>
        <v>36</v>
      </c>
      <c r="C80" s="29">
        <f t="shared" si="21"/>
        <v>36</v>
      </c>
      <c r="D80" s="36">
        <f t="shared" si="17"/>
        <v>0</v>
      </c>
      <c r="E80" s="36">
        <f t="shared" si="18"/>
        <v>0</v>
      </c>
      <c r="F80" s="36">
        <f>IF(Table1[[#This Row],[Assumed Contract Value ]]&gt;0.1,Table1[[#This Row],[timeFromValuation]]&gt;=Activation_Time,0)</f>
        <v>0</v>
      </c>
      <c r="G80" s="36">
        <v>0</v>
      </c>
      <c r="H80" s="36" t="b">
        <f>Table1[[#This Row],[timeFromValuation]]=INT(Table1[[#This Row],[timeFromValuation]])</f>
        <v>1</v>
      </c>
      <c r="I80" s="7">
        <f>IF((Table1[[#This Row],[Is Anniversery]]), Table1[[#This Row],[Assumed Contract Value ]],0)</f>
        <v>0</v>
      </c>
      <c r="J80" s="7">
        <f ca="1">IF(NOT(Table1[[#This Row],[Is Activation]]),OFFSET(Table1[[#This Row],[Income Credit Base]],-1,0)+Table1[[#This Row],[Purchase Payments]]+Table1[[#This Row],[Income Credit]],0)</f>
        <v>0</v>
      </c>
      <c r="K80" s="7">
        <f>IF(AND(Table1[[#This Row],[Is Activation]]=FALSE,Table1[[#This Row],[Is Anniversery]]=TRUE),Table1[[#This Row],[Income Credit Base]]*ICP,0)</f>
        <v>0</v>
      </c>
      <c r="L8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80" s="42" t="e">
        <f>IF(NOT(Table1[[#This Row],[Is Activation]]),(Table1[[#This Row],[Withdrawal Taken  ]]/Table1[[#This Row],[Assumed Contract Value ]]),0)</f>
        <v>#DIV/0!</v>
      </c>
      <c r="N8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80" s="5">
        <f>IF(NOT(Table1[[#This Row],[Has Lifetime Income Started]]),Table1[[#This Row],[Income Base]]*MAW,0)</f>
        <v>0</v>
      </c>
      <c r="P80" s="9" t="e">
        <f ca="1">IF(AND(Table1[[#This Row],[Has Lifetime Income Started]],Table1[[#This Row],[Is Anniversery]]),Table1[[#This Row],[Income Base]]*PIP,0)</f>
        <v>#DIV/0!</v>
      </c>
      <c r="Q80" s="37" t="b">
        <f t="shared" si="19"/>
        <v>1</v>
      </c>
      <c r="R80" s="10">
        <f>1/(1+InterestRate)^Table1[[#This Row],[timeFromValuation]]</f>
        <v>0.17265741462150208</v>
      </c>
      <c r="S80" s="10">
        <f>Table1[[#This Row],[timeFromValuation]]</f>
        <v>36</v>
      </c>
      <c r="T80" s="10">
        <v>0</v>
      </c>
      <c r="U80" s="10">
        <v>0</v>
      </c>
      <c r="V80" s="10">
        <f>PRODUCT($T$8:$T80)</f>
        <v>0</v>
      </c>
      <c r="W80" s="10">
        <f>PRODUCT($U$8:$U80)</f>
        <v>0</v>
      </c>
      <c r="X80" s="117">
        <f>Table1[[#This Row],[Primary Annuitant Px]]+Table1[[#This Row],[Secondary Annuitant Py]]-Table1[[#This Row],[Primary Annuitant Px]]*Table1[[#This Row],[Secondary Annuitant Py]]</f>
        <v>0</v>
      </c>
      <c r="Y80" s="117">
        <f>PRODUCT($X$8:$X80)</f>
        <v>0</v>
      </c>
    </row>
    <row r="81" spans="1:25" x14ac:dyDescent="0.3">
      <c r="A81" s="34">
        <f t="shared" si="20"/>
        <v>73</v>
      </c>
      <c r="B81" s="32">
        <f ca="1">OFFSET(Table1[[#This Row],[Pay Period]],-1,0)+0.5</f>
        <v>36.5</v>
      </c>
      <c r="C81" s="29">
        <f t="shared" si="21"/>
        <v>36.5</v>
      </c>
      <c r="D81" s="36">
        <f t="shared" si="17"/>
        <v>0</v>
      </c>
      <c r="E81" s="36">
        <f t="shared" si="18"/>
        <v>0</v>
      </c>
      <c r="F81" s="36">
        <f>IF(Table1[[#This Row],[Assumed Contract Value ]]&gt;0.1,Table1[[#This Row],[timeFromValuation]]&gt;=Activation_Time,0)</f>
        <v>0</v>
      </c>
      <c r="G81" s="36">
        <v>0</v>
      </c>
      <c r="H81" s="36" t="b">
        <f>Table1[[#This Row],[timeFromValuation]]=INT(Table1[[#This Row],[timeFromValuation]])</f>
        <v>0</v>
      </c>
      <c r="I81" s="7">
        <f>IF((Table1[[#This Row],[Is Anniversery]]), Table1[[#This Row],[Assumed Contract Value ]],0)</f>
        <v>0</v>
      </c>
      <c r="J81" s="7">
        <f ca="1">IF(NOT(Table1[[#This Row],[Is Activation]]),OFFSET(Table1[[#This Row],[Income Credit Base]],-1,0)+Table1[[#This Row],[Purchase Payments]]+Table1[[#This Row],[Income Credit]],0)</f>
        <v>0</v>
      </c>
      <c r="K81" s="7">
        <f>IF(AND(Table1[[#This Row],[Is Activation]]=FALSE,Table1[[#This Row],[Is Anniversery]]=TRUE),Table1[[#This Row],[Income Credit Base]]*ICP,0)</f>
        <v>0</v>
      </c>
      <c r="L8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81" s="42" t="e">
        <f>IF(NOT(Table1[[#This Row],[Is Activation]]),(Table1[[#This Row],[Withdrawal Taken  ]]/Table1[[#This Row],[Assumed Contract Value ]]),0)</f>
        <v>#DIV/0!</v>
      </c>
      <c r="N8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81" s="5">
        <f>IF(NOT(Table1[[#This Row],[Has Lifetime Income Started]]),Table1[[#This Row],[Income Base]]*MAW,0)</f>
        <v>0</v>
      </c>
      <c r="P81" s="9">
        <f>IF(AND(Table1[[#This Row],[Has Lifetime Income Started]],Table1[[#This Row],[Is Anniversery]]),Table1[[#This Row],[Income Base]]*PIP,0)</f>
        <v>0</v>
      </c>
      <c r="Q81" s="37" t="b">
        <f t="shared" si="19"/>
        <v>1</v>
      </c>
      <c r="R81" s="10">
        <f>1/(1+InterestRate)^Table1[[#This Row],[timeFromValuation]]</f>
        <v>0.1684963835242288</v>
      </c>
      <c r="S81" s="10">
        <f>Table1[[#This Row],[timeFromValuation]]</f>
        <v>36.5</v>
      </c>
      <c r="T81" s="10">
        <v>0</v>
      </c>
      <c r="U81" s="10">
        <v>0</v>
      </c>
      <c r="V81" s="10">
        <f>PRODUCT($T$8:$T81)</f>
        <v>0</v>
      </c>
      <c r="W81" s="10">
        <f>PRODUCT($U$8:$U81)</f>
        <v>0</v>
      </c>
      <c r="X81" s="117">
        <f>Table1[[#This Row],[Primary Annuitant Px]]+Table1[[#This Row],[Secondary Annuitant Py]]-Table1[[#This Row],[Primary Annuitant Px]]*Table1[[#This Row],[Secondary Annuitant Py]]</f>
        <v>0</v>
      </c>
      <c r="Y81" s="117">
        <f>PRODUCT($X$8:$X81)</f>
        <v>0</v>
      </c>
    </row>
    <row r="82" spans="1:25" x14ac:dyDescent="0.3">
      <c r="A82" s="34">
        <f t="shared" si="20"/>
        <v>74</v>
      </c>
      <c r="B82" s="32">
        <f ca="1">OFFSET(Table1[[#This Row],[Pay Period]],-1,0)+0.5</f>
        <v>37</v>
      </c>
      <c r="C82" s="29">
        <f t="shared" si="21"/>
        <v>37</v>
      </c>
      <c r="D82" s="36">
        <f t="shared" si="17"/>
        <v>0</v>
      </c>
      <c r="E82" s="36">
        <f t="shared" si="18"/>
        <v>0</v>
      </c>
      <c r="F82" s="36">
        <f>IF(Table1[[#This Row],[Assumed Contract Value ]]&gt;0.1,Table1[[#This Row],[timeFromValuation]]&gt;=Activation_Time,0)</f>
        <v>0</v>
      </c>
      <c r="G82" s="36">
        <v>0</v>
      </c>
      <c r="H82" s="36" t="b">
        <f>Table1[[#This Row],[timeFromValuation]]=INT(Table1[[#This Row],[timeFromValuation]])</f>
        <v>1</v>
      </c>
      <c r="I82" s="7">
        <f>IF((Table1[[#This Row],[Is Anniversery]]), Table1[[#This Row],[Assumed Contract Value ]],0)</f>
        <v>0</v>
      </c>
      <c r="J82" s="7">
        <f ca="1">IF(NOT(Table1[[#This Row],[Is Activation]]),OFFSET(Table1[[#This Row],[Income Credit Base]],-1,0)+Table1[[#This Row],[Purchase Payments]]+Table1[[#This Row],[Income Credit]],0)</f>
        <v>0</v>
      </c>
      <c r="K82" s="7">
        <f>IF(AND(Table1[[#This Row],[Is Activation]]=FALSE,Table1[[#This Row],[Is Anniversery]]=TRUE),Table1[[#This Row],[Income Credit Base]]*ICP,0)</f>
        <v>0</v>
      </c>
      <c r="L8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82" s="42" t="e">
        <f>IF(NOT(Table1[[#This Row],[Is Activation]]),(Table1[[#This Row],[Withdrawal Taken  ]]/Table1[[#This Row],[Assumed Contract Value ]]),0)</f>
        <v>#DIV/0!</v>
      </c>
      <c r="N8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82" s="5">
        <f>IF(NOT(Table1[[#This Row],[Has Lifetime Income Started]]),Table1[[#This Row],[Income Base]]*MAW,0)</f>
        <v>0</v>
      </c>
      <c r="P82" s="9" t="e">
        <f ca="1">IF(AND(Table1[[#This Row],[Has Lifetime Income Started]],Table1[[#This Row],[Is Anniversery]]),Table1[[#This Row],[Income Base]]*PIP,0)</f>
        <v>#DIV/0!</v>
      </c>
      <c r="Q82" s="37" t="b">
        <f t="shared" si="19"/>
        <v>1</v>
      </c>
      <c r="R82" s="10">
        <f>1/(1+InterestRate)^Table1[[#This Row],[timeFromValuation]]</f>
        <v>0.1644356329728591</v>
      </c>
      <c r="S82" s="10">
        <f>Table1[[#This Row],[timeFromValuation]]</f>
        <v>37</v>
      </c>
      <c r="T82" s="10">
        <v>0</v>
      </c>
      <c r="U82" s="10">
        <v>0</v>
      </c>
      <c r="V82" s="10">
        <f>PRODUCT($T$8:$T82)</f>
        <v>0</v>
      </c>
      <c r="W82" s="10">
        <f>PRODUCT($U$8:$U82)</f>
        <v>0</v>
      </c>
      <c r="X82" s="117">
        <f>Table1[[#This Row],[Primary Annuitant Px]]+Table1[[#This Row],[Secondary Annuitant Py]]-Table1[[#This Row],[Primary Annuitant Px]]*Table1[[#This Row],[Secondary Annuitant Py]]</f>
        <v>0</v>
      </c>
      <c r="Y82" s="117">
        <f>PRODUCT($X$8:$X82)</f>
        <v>0</v>
      </c>
    </row>
    <row r="83" spans="1:25" x14ac:dyDescent="0.3">
      <c r="A83" s="34">
        <f t="shared" si="20"/>
        <v>75</v>
      </c>
      <c r="B83" s="32">
        <f ca="1">OFFSET(Table1[[#This Row],[Pay Period]],-1,0)+0.5</f>
        <v>37.5</v>
      </c>
      <c r="C83" s="29">
        <f t="shared" si="21"/>
        <v>37.5</v>
      </c>
      <c r="D83" s="36">
        <f t="shared" si="17"/>
        <v>0</v>
      </c>
      <c r="E83" s="36">
        <f t="shared" si="18"/>
        <v>0</v>
      </c>
      <c r="F83" s="36">
        <f>IF(Table1[[#This Row],[Assumed Contract Value ]]&gt;0.1,Table1[[#This Row],[timeFromValuation]]&gt;=Activation_Time,0)</f>
        <v>0</v>
      </c>
      <c r="G83" s="36">
        <v>0</v>
      </c>
      <c r="H83" s="36" t="b">
        <f>Table1[[#This Row],[timeFromValuation]]=INT(Table1[[#This Row],[timeFromValuation]])</f>
        <v>0</v>
      </c>
      <c r="I83" s="7">
        <f>IF((Table1[[#This Row],[Is Anniversery]]), Table1[[#This Row],[Assumed Contract Value ]],0)</f>
        <v>0</v>
      </c>
      <c r="J83" s="7">
        <f ca="1">IF(NOT(Table1[[#This Row],[Is Activation]]),OFFSET(Table1[[#This Row],[Income Credit Base]],-1,0)+Table1[[#This Row],[Purchase Payments]]+Table1[[#This Row],[Income Credit]],0)</f>
        <v>0</v>
      </c>
      <c r="K83" s="7">
        <f>IF(AND(Table1[[#This Row],[Is Activation]]=FALSE,Table1[[#This Row],[Is Anniversery]]=TRUE),Table1[[#This Row],[Income Credit Base]]*ICP,0)</f>
        <v>0</v>
      </c>
      <c r="L8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83" s="42" t="e">
        <f>IF(NOT(Table1[[#This Row],[Is Activation]]),(Table1[[#This Row],[Withdrawal Taken  ]]/Table1[[#This Row],[Assumed Contract Value ]]),0)</f>
        <v>#DIV/0!</v>
      </c>
      <c r="N8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83" s="5">
        <f>IF(NOT(Table1[[#This Row],[Has Lifetime Income Started]]),Table1[[#This Row],[Income Base]]*MAW,0)</f>
        <v>0</v>
      </c>
      <c r="P83" s="9">
        <f>IF(AND(Table1[[#This Row],[Has Lifetime Income Started]],Table1[[#This Row],[Is Anniversery]]),Table1[[#This Row],[Income Base]]*PIP,0)</f>
        <v>0</v>
      </c>
      <c r="Q83" s="37" t="b">
        <f t="shared" si="19"/>
        <v>1</v>
      </c>
      <c r="R83" s="10">
        <f>1/(1+InterestRate)^Table1[[#This Row],[timeFromValuation]]</f>
        <v>0.16047274621355123</v>
      </c>
      <c r="S83" s="10">
        <f>Table1[[#This Row],[timeFromValuation]]</f>
        <v>37.5</v>
      </c>
      <c r="T83" s="10">
        <v>0</v>
      </c>
      <c r="U83" s="10">
        <v>0</v>
      </c>
      <c r="V83" s="10">
        <f>PRODUCT($T$8:$T83)</f>
        <v>0</v>
      </c>
      <c r="W83" s="10">
        <f>PRODUCT($U$8:$U83)</f>
        <v>0</v>
      </c>
      <c r="X83" s="117">
        <f>Table1[[#This Row],[Primary Annuitant Px]]+Table1[[#This Row],[Secondary Annuitant Py]]-Table1[[#This Row],[Primary Annuitant Px]]*Table1[[#This Row],[Secondary Annuitant Py]]</f>
        <v>0</v>
      </c>
      <c r="Y83" s="117">
        <f>PRODUCT($X$8:$X83)</f>
        <v>0</v>
      </c>
    </row>
    <row r="84" spans="1:25" x14ac:dyDescent="0.3">
      <c r="A84" s="34">
        <f t="shared" si="20"/>
        <v>76</v>
      </c>
      <c r="B84" s="32">
        <f ca="1">OFFSET(Table1[[#This Row],[Pay Period]],-1,0)+0.5</f>
        <v>38</v>
      </c>
      <c r="C84" s="29">
        <f t="shared" si="21"/>
        <v>38</v>
      </c>
      <c r="D84" s="36">
        <f t="shared" si="17"/>
        <v>0</v>
      </c>
      <c r="E84" s="36">
        <f t="shared" si="18"/>
        <v>0</v>
      </c>
      <c r="F84" s="36">
        <f>IF(Table1[[#This Row],[Assumed Contract Value ]]&gt;0.1,Table1[[#This Row],[timeFromValuation]]&gt;=Activation_Time,0)</f>
        <v>0</v>
      </c>
      <c r="G84" s="36">
        <v>0</v>
      </c>
      <c r="H84" s="36" t="b">
        <f>Table1[[#This Row],[timeFromValuation]]=INT(Table1[[#This Row],[timeFromValuation]])</f>
        <v>1</v>
      </c>
      <c r="I84" s="7">
        <f>IF((Table1[[#This Row],[Is Anniversery]]), Table1[[#This Row],[Assumed Contract Value ]],0)</f>
        <v>0</v>
      </c>
      <c r="J84" s="7">
        <f ca="1">IF(NOT(Table1[[#This Row],[Is Activation]]),OFFSET(Table1[[#This Row],[Income Credit Base]],-1,0)+Table1[[#This Row],[Purchase Payments]]+Table1[[#This Row],[Income Credit]],0)</f>
        <v>0</v>
      </c>
      <c r="K84" s="7">
        <f>IF(AND(Table1[[#This Row],[Is Activation]]=FALSE,Table1[[#This Row],[Is Anniversery]]=TRUE),Table1[[#This Row],[Income Credit Base]]*ICP,0)</f>
        <v>0</v>
      </c>
      <c r="L8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84" s="42" t="e">
        <f>IF(NOT(Table1[[#This Row],[Is Activation]]),(Table1[[#This Row],[Withdrawal Taken  ]]/Table1[[#This Row],[Assumed Contract Value ]]),0)</f>
        <v>#DIV/0!</v>
      </c>
      <c r="N8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84" s="5">
        <f>IF(NOT(Table1[[#This Row],[Has Lifetime Income Started]]),Table1[[#This Row],[Income Base]]*MAW,0)</f>
        <v>0</v>
      </c>
      <c r="P84" s="9" t="e">
        <f ca="1">IF(AND(Table1[[#This Row],[Has Lifetime Income Started]],Table1[[#This Row],[Is Anniversery]]),Table1[[#This Row],[Income Base]]*PIP,0)</f>
        <v>#DIV/0!</v>
      </c>
      <c r="Q84" s="37" t="b">
        <f t="shared" si="19"/>
        <v>1</v>
      </c>
      <c r="R84" s="10">
        <f>1/(1+InterestRate)^Table1[[#This Row],[timeFromValuation]]</f>
        <v>0.15660536473605632</v>
      </c>
      <c r="S84" s="10">
        <f>Table1[[#This Row],[timeFromValuation]]</f>
        <v>38</v>
      </c>
      <c r="T84" s="10">
        <v>0</v>
      </c>
      <c r="U84" s="10">
        <v>0</v>
      </c>
      <c r="V84" s="10">
        <f>PRODUCT($T$8:$T84)</f>
        <v>0</v>
      </c>
      <c r="W84" s="10">
        <f>PRODUCT($U$8:$U84)</f>
        <v>0</v>
      </c>
      <c r="X84" s="117">
        <f>Table1[[#This Row],[Primary Annuitant Px]]+Table1[[#This Row],[Secondary Annuitant Py]]-Table1[[#This Row],[Primary Annuitant Px]]*Table1[[#This Row],[Secondary Annuitant Py]]</f>
        <v>0</v>
      </c>
      <c r="Y84" s="117">
        <f>PRODUCT($X$8:$X84)</f>
        <v>0</v>
      </c>
    </row>
    <row r="85" spans="1:25" x14ac:dyDescent="0.3">
      <c r="A85" s="34">
        <f t="shared" si="20"/>
        <v>77</v>
      </c>
      <c r="B85" s="32">
        <f ca="1">OFFSET(Table1[[#This Row],[Pay Period]],-1,0)+0.5</f>
        <v>38.5</v>
      </c>
      <c r="C85" s="29">
        <f t="shared" si="21"/>
        <v>38.5</v>
      </c>
      <c r="D85" s="36">
        <f t="shared" si="17"/>
        <v>0</v>
      </c>
      <c r="E85" s="36">
        <f t="shared" si="18"/>
        <v>0</v>
      </c>
      <c r="F85" s="36">
        <f>IF(Table1[[#This Row],[Assumed Contract Value ]]&gt;0.1,Table1[[#This Row],[timeFromValuation]]&gt;=Activation_Time,0)</f>
        <v>0</v>
      </c>
      <c r="G85" s="36">
        <v>0</v>
      </c>
      <c r="H85" s="36" t="b">
        <f>Table1[[#This Row],[timeFromValuation]]=INT(Table1[[#This Row],[timeFromValuation]])</f>
        <v>0</v>
      </c>
      <c r="I85" s="7">
        <f>IF((Table1[[#This Row],[Is Anniversery]]), Table1[[#This Row],[Assumed Contract Value ]],0)</f>
        <v>0</v>
      </c>
      <c r="J85" s="7">
        <f ca="1">IF(NOT(Table1[[#This Row],[Is Activation]]),OFFSET(Table1[[#This Row],[Income Credit Base]],-1,0)+Table1[[#This Row],[Purchase Payments]]+Table1[[#This Row],[Income Credit]],0)</f>
        <v>0</v>
      </c>
      <c r="K85" s="7">
        <f>IF(AND(Table1[[#This Row],[Is Activation]]=FALSE,Table1[[#This Row],[Is Anniversery]]=TRUE),Table1[[#This Row],[Income Credit Base]]*ICP,0)</f>
        <v>0</v>
      </c>
      <c r="L8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85" s="42" t="e">
        <f>IF(NOT(Table1[[#This Row],[Is Activation]]),(Table1[[#This Row],[Withdrawal Taken  ]]/Table1[[#This Row],[Assumed Contract Value ]]),0)</f>
        <v>#DIV/0!</v>
      </c>
      <c r="N8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85" s="5">
        <f>IF(NOT(Table1[[#This Row],[Has Lifetime Income Started]]),Table1[[#This Row],[Income Base]]*MAW,0)</f>
        <v>0</v>
      </c>
      <c r="P85" s="9">
        <f>IF(AND(Table1[[#This Row],[Has Lifetime Income Started]],Table1[[#This Row],[Is Anniversery]]),Table1[[#This Row],[Income Base]]*PIP,0)</f>
        <v>0</v>
      </c>
      <c r="Q85" s="37" t="b">
        <f t="shared" si="19"/>
        <v>1</v>
      </c>
      <c r="R85" s="10">
        <f>1/(1+InterestRate)^Table1[[#This Row],[timeFromValuation]]</f>
        <v>0.15283118687004879</v>
      </c>
      <c r="S85" s="10">
        <f>Table1[[#This Row],[timeFromValuation]]</f>
        <v>38.5</v>
      </c>
      <c r="T85" s="10">
        <v>0</v>
      </c>
      <c r="U85" s="10">
        <v>0</v>
      </c>
      <c r="V85" s="10">
        <f>PRODUCT($T$8:$T85)</f>
        <v>0</v>
      </c>
      <c r="W85" s="10">
        <f>PRODUCT($U$8:$U85)</f>
        <v>0</v>
      </c>
      <c r="X85" s="117">
        <f>Table1[[#This Row],[Primary Annuitant Px]]+Table1[[#This Row],[Secondary Annuitant Py]]-Table1[[#This Row],[Primary Annuitant Px]]*Table1[[#This Row],[Secondary Annuitant Py]]</f>
        <v>0</v>
      </c>
      <c r="Y85" s="117">
        <f>PRODUCT($X$8:$X85)</f>
        <v>0</v>
      </c>
    </row>
    <row r="86" spans="1:25" x14ac:dyDescent="0.3">
      <c r="A86" s="34">
        <f t="shared" si="20"/>
        <v>78</v>
      </c>
      <c r="B86" s="32">
        <f ca="1">OFFSET(Table1[[#This Row],[Pay Period]],-1,0)+0.5</f>
        <v>39</v>
      </c>
      <c r="C86" s="29">
        <f t="shared" si="21"/>
        <v>39</v>
      </c>
      <c r="D86" s="36">
        <f t="shared" si="17"/>
        <v>0</v>
      </c>
      <c r="E86" s="36">
        <f t="shared" si="18"/>
        <v>0</v>
      </c>
      <c r="F86" s="36">
        <f>IF(Table1[[#This Row],[Assumed Contract Value ]]&gt;0.1,Table1[[#This Row],[timeFromValuation]]&gt;=Activation_Time,0)</f>
        <v>0</v>
      </c>
      <c r="G86" s="36">
        <v>0</v>
      </c>
      <c r="H86" s="36" t="b">
        <f>Table1[[#This Row],[timeFromValuation]]=INT(Table1[[#This Row],[timeFromValuation]])</f>
        <v>1</v>
      </c>
      <c r="I86" s="7">
        <f>IF((Table1[[#This Row],[Is Anniversery]]), Table1[[#This Row],[Assumed Contract Value ]],0)</f>
        <v>0</v>
      </c>
      <c r="J86" s="7">
        <f ca="1">IF(NOT(Table1[[#This Row],[Is Activation]]),OFFSET(Table1[[#This Row],[Income Credit Base]],-1,0)+Table1[[#This Row],[Purchase Payments]]+Table1[[#This Row],[Income Credit]],0)</f>
        <v>0</v>
      </c>
      <c r="K86" s="7">
        <f>IF(AND(Table1[[#This Row],[Is Activation]]=FALSE,Table1[[#This Row],[Is Anniversery]]=TRUE),Table1[[#This Row],[Income Credit Base]]*ICP,0)</f>
        <v>0</v>
      </c>
      <c r="L8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86" s="42" t="e">
        <f>IF(NOT(Table1[[#This Row],[Is Activation]]),(Table1[[#This Row],[Withdrawal Taken  ]]/Table1[[#This Row],[Assumed Contract Value ]]),0)</f>
        <v>#DIV/0!</v>
      </c>
      <c r="N8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86" s="5">
        <f>IF(NOT(Table1[[#This Row],[Has Lifetime Income Started]]),Table1[[#This Row],[Income Base]]*MAW,0)</f>
        <v>0</v>
      </c>
      <c r="P86" s="9" t="e">
        <f ca="1">IF(AND(Table1[[#This Row],[Has Lifetime Income Started]],Table1[[#This Row],[Is Anniversery]]),Table1[[#This Row],[Income Base]]*PIP,0)</f>
        <v>#DIV/0!</v>
      </c>
      <c r="Q86" s="37" t="b">
        <f t="shared" si="19"/>
        <v>1</v>
      </c>
      <c r="R86" s="10">
        <f>1/(1+InterestRate)^Table1[[#This Row],[timeFromValuation]]</f>
        <v>0.14914796641529171</v>
      </c>
      <c r="S86" s="10">
        <f>Table1[[#This Row],[timeFromValuation]]</f>
        <v>39</v>
      </c>
      <c r="T86" s="10">
        <v>0</v>
      </c>
      <c r="U86" s="10">
        <v>0</v>
      </c>
      <c r="V86" s="10">
        <f>PRODUCT($T$8:$T86)</f>
        <v>0</v>
      </c>
      <c r="W86" s="10">
        <f>PRODUCT($U$8:$U86)</f>
        <v>0</v>
      </c>
      <c r="X86" s="117">
        <f>Table1[[#This Row],[Primary Annuitant Px]]+Table1[[#This Row],[Secondary Annuitant Py]]-Table1[[#This Row],[Primary Annuitant Px]]*Table1[[#This Row],[Secondary Annuitant Py]]</f>
        <v>0</v>
      </c>
      <c r="Y86" s="117">
        <f>PRODUCT($X$8:$X86)</f>
        <v>0</v>
      </c>
    </row>
    <row r="87" spans="1:25" x14ac:dyDescent="0.3">
      <c r="A87" s="34">
        <f t="shared" si="20"/>
        <v>79</v>
      </c>
      <c r="B87" s="32">
        <f ca="1">OFFSET(Table1[[#This Row],[Pay Period]],-1,0)+0.5</f>
        <v>39.5</v>
      </c>
      <c r="C87" s="29">
        <f t="shared" si="21"/>
        <v>39.5</v>
      </c>
      <c r="D87" s="36">
        <f t="shared" si="17"/>
        <v>0</v>
      </c>
      <c r="E87" s="36">
        <f t="shared" si="18"/>
        <v>0</v>
      </c>
      <c r="F87" s="36">
        <f>IF(Table1[[#This Row],[Assumed Contract Value ]]&gt;0.1,Table1[[#This Row],[timeFromValuation]]&gt;=Activation_Time,0)</f>
        <v>0</v>
      </c>
      <c r="G87" s="36">
        <v>0</v>
      </c>
      <c r="H87" s="36" t="b">
        <f>Table1[[#This Row],[timeFromValuation]]=INT(Table1[[#This Row],[timeFromValuation]])</f>
        <v>0</v>
      </c>
      <c r="I87" s="7">
        <f>IF((Table1[[#This Row],[Is Anniversery]]), Table1[[#This Row],[Assumed Contract Value ]],0)</f>
        <v>0</v>
      </c>
      <c r="J87" s="7">
        <f ca="1">IF(NOT(Table1[[#This Row],[Is Activation]]),OFFSET(Table1[[#This Row],[Income Credit Base]],-1,0)+Table1[[#This Row],[Purchase Payments]]+Table1[[#This Row],[Income Credit]],0)</f>
        <v>0</v>
      </c>
      <c r="K87" s="7">
        <f>IF(AND(Table1[[#This Row],[Is Activation]]=FALSE,Table1[[#This Row],[Is Anniversery]]=TRUE),Table1[[#This Row],[Income Credit Base]]*ICP,0)</f>
        <v>0</v>
      </c>
      <c r="L8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87" s="42" t="e">
        <f>IF(NOT(Table1[[#This Row],[Is Activation]]),(Table1[[#This Row],[Withdrawal Taken  ]]/Table1[[#This Row],[Assumed Contract Value ]]),0)</f>
        <v>#DIV/0!</v>
      </c>
      <c r="N8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87" s="5">
        <f>IF(NOT(Table1[[#This Row],[Has Lifetime Income Started]]),Table1[[#This Row],[Income Base]]*MAW,0)</f>
        <v>0</v>
      </c>
      <c r="P87" s="9">
        <f>IF(AND(Table1[[#This Row],[Has Lifetime Income Started]],Table1[[#This Row],[Is Anniversery]]),Table1[[#This Row],[Income Base]]*PIP,0)</f>
        <v>0</v>
      </c>
      <c r="Q87" s="37" t="b">
        <f t="shared" si="19"/>
        <v>1</v>
      </c>
      <c r="R87" s="10">
        <f>1/(1+InterestRate)^Table1[[#This Row],[timeFromValuation]]</f>
        <v>0.14555351130480837</v>
      </c>
      <c r="S87" s="10">
        <f>Table1[[#This Row],[timeFromValuation]]</f>
        <v>39.5</v>
      </c>
      <c r="T87" s="10">
        <v>0</v>
      </c>
      <c r="U87" s="10">
        <v>0</v>
      </c>
      <c r="V87" s="10">
        <f>PRODUCT($T$8:$T87)</f>
        <v>0</v>
      </c>
      <c r="W87" s="10">
        <f>PRODUCT($U$8:$U87)</f>
        <v>0</v>
      </c>
      <c r="X87" s="117">
        <f>Table1[[#This Row],[Primary Annuitant Px]]+Table1[[#This Row],[Secondary Annuitant Py]]-Table1[[#This Row],[Primary Annuitant Px]]*Table1[[#This Row],[Secondary Annuitant Py]]</f>
        <v>0</v>
      </c>
      <c r="Y87" s="117">
        <f>PRODUCT($X$8:$X87)</f>
        <v>0</v>
      </c>
    </row>
    <row r="88" spans="1:25" x14ac:dyDescent="0.3">
      <c r="A88" s="34">
        <f t="shared" si="20"/>
        <v>80</v>
      </c>
      <c r="B88" s="32">
        <f ca="1">OFFSET(Table1[[#This Row],[Pay Period]],-1,0)+0.5</f>
        <v>40</v>
      </c>
      <c r="C88" s="29">
        <f t="shared" si="21"/>
        <v>40</v>
      </c>
      <c r="D88" s="36">
        <f t="shared" si="17"/>
        <v>0</v>
      </c>
      <c r="E88" s="36">
        <f t="shared" si="18"/>
        <v>0</v>
      </c>
      <c r="F88" s="36">
        <f>IF(Table1[[#This Row],[Assumed Contract Value ]]&gt;0.1,Table1[[#This Row],[timeFromValuation]]&gt;=Activation_Time,0)</f>
        <v>0</v>
      </c>
      <c r="G88" s="36">
        <v>0</v>
      </c>
      <c r="H88" s="36" t="b">
        <f>Table1[[#This Row],[timeFromValuation]]=INT(Table1[[#This Row],[timeFromValuation]])</f>
        <v>1</v>
      </c>
      <c r="I88" s="7">
        <f>IF((Table1[[#This Row],[Is Anniversery]]), Table1[[#This Row],[Assumed Contract Value ]],0)</f>
        <v>0</v>
      </c>
      <c r="J88" s="7">
        <f ca="1">IF(NOT(Table1[[#This Row],[Is Activation]]),OFFSET(Table1[[#This Row],[Income Credit Base]],-1,0)+Table1[[#This Row],[Purchase Payments]]+Table1[[#This Row],[Income Credit]],0)</f>
        <v>0</v>
      </c>
      <c r="K88" s="7">
        <f>IF(AND(Table1[[#This Row],[Is Activation]]=FALSE,Table1[[#This Row],[Is Anniversery]]=TRUE),Table1[[#This Row],[Income Credit Base]]*ICP,0)</f>
        <v>0</v>
      </c>
      <c r="L8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88" s="42" t="e">
        <f>IF(NOT(Table1[[#This Row],[Is Activation]]),(Table1[[#This Row],[Withdrawal Taken  ]]/Table1[[#This Row],[Assumed Contract Value ]]),0)</f>
        <v>#DIV/0!</v>
      </c>
      <c r="N8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88" s="5">
        <f>IF(NOT(Table1[[#This Row],[Has Lifetime Income Started]]),Table1[[#This Row],[Income Base]]*MAW,0)</f>
        <v>0</v>
      </c>
      <c r="P88" s="9" t="e">
        <f ca="1">IF(AND(Table1[[#This Row],[Has Lifetime Income Started]],Table1[[#This Row],[Is Anniversery]]),Table1[[#This Row],[Income Base]]*PIP,0)</f>
        <v>#DIV/0!</v>
      </c>
      <c r="Q88" s="37" t="b">
        <f t="shared" si="19"/>
        <v>1</v>
      </c>
      <c r="R88" s="10">
        <f>1/(1+InterestRate)^Table1[[#This Row],[timeFromValuation]]</f>
        <v>0.14204568230027784</v>
      </c>
      <c r="S88" s="10">
        <f>Table1[[#This Row],[timeFromValuation]]</f>
        <v>40</v>
      </c>
      <c r="T88" s="10">
        <v>0</v>
      </c>
      <c r="U88" s="10">
        <v>0</v>
      </c>
      <c r="V88" s="10">
        <f>PRODUCT($T$8:$T88)</f>
        <v>0</v>
      </c>
      <c r="W88" s="10">
        <f>PRODUCT($U$8:$U88)</f>
        <v>0</v>
      </c>
      <c r="X88" s="117">
        <f>Table1[[#This Row],[Primary Annuitant Px]]+Table1[[#This Row],[Secondary Annuitant Py]]-Table1[[#This Row],[Primary Annuitant Px]]*Table1[[#This Row],[Secondary Annuitant Py]]</f>
        <v>0</v>
      </c>
      <c r="Y88" s="117">
        <f>PRODUCT($X$8:$X88)</f>
        <v>0</v>
      </c>
    </row>
    <row r="89" spans="1:25" x14ac:dyDescent="0.3">
      <c r="A89" s="34">
        <f t="shared" si="20"/>
        <v>81</v>
      </c>
      <c r="B89" s="32">
        <f ca="1">OFFSET(Table1[[#This Row],[Pay Period]],-1,0)+0.5</f>
        <v>40.5</v>
      </c>
      <c r="C89" s="29">
        <f t="shared" si="21"/>
        <v>40.5</v>
      </c>
      <c r="D89" s="36">
        <f t="shared" si="17"/>
        <v>0</v>
      </c>
      <c r="E89" s="36">
        <f t="shared" si="18"/>
        <v>0</v>
      </c>
      <c r="F89" s="36">
        <f>IF(Table1[[#This Row],[Assumed Contract Value ]]&gt;0.1,Table1[[#This Row],[timeFromValuation]]&gt;=Activation_Time,0)</f>
        <v>0</v>
      </c>
      <c r="G89" s="36">
        <v>0</v>
      </c>
      <c r="H89" s="36" t="b">
        <f>Table1[[#This Row],[timeFromValuation]]=INT(Table1[[#This Row],[timeFromValuation]])</f>
        <v>0</v>
      </c>
      <c r="I89" s="7">
        <f>IF((Table1[[#This Row],[Is Anniversery]]), Table1[[#This Row],[Assumed Contract Value ]],0)</f>
        <v>0</v>
      </c>
      <c r="J89" s="7">
        <f ca="1">IF(NOT(Table1[[#This Row],[Is Activation]]),OFFSET(Table1[[#This Row],[Income Credit Base]],-1,0)+Table1[[#This Row],[Purchase Payments]]+Table1[[#This Row],[Income Credit]],0)</f>
        <v>0</v>
      </c>
      <c r="K89" s="7">
        <f>IF(AND(Table1[[#This Row],[Is Activation]]=FALSE,Table1[[#This Row],[Is Anniversery]]=TRUE),Table1[[#This Row],[Income Credit Base]]*ICP,0)</f>
        <v>0</v>
      </c>
      <c r="L8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89" s="42" t="e">
        <f>IF(NOT(Table1[[#This Row],[Is Activation]]),(Table1[[#This Row],[Withdrawal Taken  ]]/Table1[[#This Row],[Assumed Contract Value ]]),0)</f>
        <v>#DIV/0!</v>
      </c>
      <c r="N8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89" s="5">
        <f>IF(NOT(Table1[[#This Row],[Has Lifetime Income Started]]),Table1[[#This Row],[Income Base]]*MAW,0)</f>
        <v>0</v>
      </c>
      <c r="P89" s="9">
        <f>IF(AND(Table1[[#This Row],[Has Lifetime Income Started]],Table1[[#This Row],[Is Anniversery]]),Table1[[#This Row],[Income Base]]*PIP,0)</f>
        <v>0</v>
      </c>
      <c r="Q89" s="37" t="b">
        <f t="shared" si="19"/>
        <v>1</v>
      </c>
      <c r="R89" s="10">
        <f>1/(1+InterestRate)^Table1[[#This Row],[timeFromValuation]]</f>
        <v>0.13862239171886509</v>
      </c>
      <c r="S89" s="10">
        <f>Table1[[#This Row],[timeFromValuation]]</f>
        <v>40.5</v>
      </c>
      <c r="T89" s="10">
        <v>0</v>
      </c>
      <c r="U89" s="10">
        <v>0</v>
      </c>
      <c r="V89" s="10">
        <f>PRODUCT($T$8:$T89)</f>
        <v>0</v>
      </c>
      <c r="W89" s="10">
        <f>PRODUCT($U$8:$U89)</f>
        <v>0</v>
      </c>
      <c r="X89" s="117">
        <f>Table1[[#This Row],[Primary Annuitant Px]]+Table1[[#This Row],[Secondary Annuitant Py]]-Table1[[#This Row],[Primary Annuitant Px]]*Table1[[#This Row],[Secondary Annuitant Py]]</f>
        <v>0</v>
      </c>
      <c r="Y89" s="117">
        <f>PRODUCT($X$8:$X89)</f>
        <v>0</v>
      </c>
    </row>
    <row r="90" spans="1:25" x14ac:dyDescent="0.3">
      <c r="A90" s="34">
        <f t="shared" si="20"/>
        <v>82</v>
      </c>
      <c r="B90" s="32">
        <f ca="1">OFFSET(Table1[[#This Row],[Pay Period]],-1,0)+0.5</f>
        <v>41</v>
      </c>
      <c r="C90" s="29">
        <f t="shared" si="21"/>
        <v>41</v>
      </c>
      <c r="D90" s="36">
        <f t="shared" si="17"/>
        <v>0</v>
      </c>
      <c r="E90" s="36">
        <f t="shared" si="18"/>
        <v>0</v>
      </c>
      <c r="F90" s="36">
        <f>IF(Table1[[#This Row],[Assumed Contract Value ]]&gt;0.1,Table1[[#This Row],[timeFromValuation]]&gt;=Activation_Time,0)</f>
        <v>0</v>
      </c>
      <c r="G90" s="36">
        <v>0</v>
      </c>
      <c r="H90" s="36" t="b">
        <f>Table1[[#This Row],[timeFromValuation]]=INT(Table1[[#This Row],[timeFromValuation]])</f>
        <v>1</v>
      </c>
      <c r="I90" s="7">
        <f>IF((Table1[[#This Row],[Is Anniversery]]), Table1[[#This Row],[Assumed Contract Value ]],0)</f>
        <v>0</v>
      </c>
      <c r="J90" s="7">
        <f ca="1">IF(NOT(Table1[[#This Row],[Is Activation]]),OFFSET(Table1[[#This Row],[Income Credit Base]],-1,0)+Table1[[#This Row],[Purchase Payments]]+Table1[[#This Row],[Income Credit]],0)</f>
        <v>0</v>
      </c>
      <c r="K90" s="7">
        <f>IF(AND(Table1[[#This Row],[Is Activation]]=FALSE,Table1[[#This Row],[Is Anniversery]]=TRUE),Table1[[#This Row],[Income Credit Base]]*ICP,0)</f>
        <v>0</v>
      </c>
      <c r="L9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90" s="42" t="e">
        <f>IF(NOT(Table1[[#This Row],[Is Activation]]),(Table1[[#This Row],[Withdrawal Taken  ]]/Table1[[#This Row],[Assumed Contract Value ]]),0)</f>
        <v>#DIV/0!</v>
      </c>
      <c r="N9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90" s="5">
        <f>IF(NOT(Table1[[#This Row],[Has Lifetime Income Started]]),Table1[[#This Row],[Income Base]]*MAW,0)</f>
        <v>0</v>
      </c>
      <c r="P90" s="9" t="e">
        <f ca="1">IF(AND(Table1[[#This Row],[Has Lifetime Income Started]],Table1[[#This Row],[Is Anniversery]]),Table1[[#This Row],[Income Base]]*PIP,0)</f>
        <v>#DIV/0!</v>
      </c>
      <c r="Q90" s="37" t="b">
        <f t="shared" si="19"/>
        <v>1</v>
      </c>
      <c r="R90" s="10">
        <f>1/(1+InterestRate)^Table1[[#This Row],[timeFromValuation]]</f>
        <v>0.13528160219074079</v>
      </c>
      <c r="S90" s="10">
        <f>Table1[[#This Row],[timeFromValuation]]</f>
        <v>41</v>
      </c>
      <c r="T90" s="10">
        <v>0</v>
      </c>
      <c r="U90" s="10">
        <v>0</v>
      </c>
      <c r="V90" s="10">
        <f>PRODUCT($T$8:$T90)</f>
        <v>0</v>
      </c>
      <c r="W90" s="10">
        <f>PRODUCT($U$8:$U90)</f>
        <v>0</v>
      </c>
      <c r="X90" s="117">
        <f>Table1[[#This Row],[Primary Annuitant Px]]+Table1[[#This Row],[Secondary Annuitant Py]]-Table1[[#This Row],[Primary Annuitant Px]]*Table1[[#This Row],[Secondary Annuitant Py]]</f>
        <v>0</v>
      </c>
      <c r="Y90" s="117">
        <f>PRODUCT($X$8:$X90)</f>
        <v>0</v>
      </c>
    </row>
    <row r="91" spans="1:25" x14ac:dyDescent="0.3">
      <c r="A91" s="34">
        <f t="shared" si="20"/>
        <v>83</v>
      </c>
      <c r="B91" s="32">
        <f ca="1">OFFSET(Table1[[#This Row],[Pay Period]],-1,0)+0.5</f>
        <v>41.5</v>
      </c>
      <c r="C91" s="29">
        <f t="shared" si="21"/>
        <v>41.5</v>
      </c>
      <c r="D91" s="36">
        <f t="shared" si="17"/>
        <v>0</v>
      </c>
      <c r="E91" s="36">
        <f t="shared" si="18"/>
        <v>0</v>
      </c>
      <c r="F91" s="36">
        <f>IF(Table1[[#This Row],[Assumed Contract Value ]]&gt;0.1,Table1[[#This Row],[timeFromValuation]]&gt;=Activation_Time,0)</f>
        <v>0</v>
      </c>
      <c r="G91" s="36">
        <v>0</v>
      </c>
      <c r="H91" s="36" t="b">
        <f>Table1[[#This Row],[timeFromValuation]]=INT(Table1[[#This Row],[timeFromValuation]])</f>
        <v>0</v>
      </c>
      <c r="I91" s="7">
        <f>IF((Table1[[#This Row],[Is Anniversery]]), Table1[[#This Row],[Assumed Contract Value ]],0)</f>
        <v>0</v>
      </c>
      <c r="J91" s="7">
        <f ca="1">IF(NOT(Table1[[#This Row],[Is Activation]]),OFFSET(Table1[[#This Row],[Income Credit Base]],-1,0)+Table1[[#This Row],[Purchase Payments]]+Table1[[#This Row],[Income Credit]],0)</f>
        <v>0</v>
      </c>
      <c r="K91" s="7">
        <f>IF(AND(Table1[[#This Row],[Is Activation]]=FALSE,Table1[[#This Row],[Is Anniversery]]=TRUE),Table1[[#This Row],[Income Credit Base]]*ICP,0)</f>
        <v>0</v>
      </c>
      <c r="L9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91" s="42" t="e">
        <f>IF(NOT(Table1[[#This Row],[Is Activation]]),(Table1[[#This Row],[Withdrawal Taken  ]]/Table1[[#This Row],[Assumed Contract Value ]]),0)</f>
        <v>#DIV/0!</v>
      </c>
      <c r="N9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91" s="5">
        <f>IF(NOT(Table1[[#This Row],[Has Lifetime Income Started]]),Table1[[#This Row],[Income Base]]*MAW,0)</f>
        <v>0</v>
      </c>
      <c r="P91" s="9">
        <f>IF(AND(Table1[[#This Row],[Has Lifetime Income Started]],Table1[[#This Row],[Is Anniversery]]),Table1[[#This Row],[Income Base]]*PIP,0)</f>
        <v>0</v>
      </c>
      <c r="Q91" s="37" t="b">
        <f t="shared" si="19"/>
        <v>1</v>
      </c>
      <c r="R91" s="10">
        <f>1/(1+InterestRate)^Table1[[#This Row],[timeFromValuation]]</f>
        <v>0.13202132544653816</v>
      </c>
      <c r="S91" s="10">
        <f>Table1[[#This Row],[timeFromValuation]]</f>
        <v>41.5</v>
      </c>
      <c r="T91" s="10">
        <v>0</v>
      </c>
      <c r="U91" s="10">
        <v>0</v>
      </c>
      <c r="V91" s="10">
        <f>PRODUCT($T$8:$T91)</f>
        <v>0</v>
      </c>
      <c r="W91" s="10">
        <f>PRODUCT($U$8:$U91)</f>
        <v>0</v>
      </c>
      <c r="X91" s="117">
        <f>Table1[[#This Row],[Primary Annuitant Px]]+Table1[[#This Row],[Secondary Annuitant Py]]-Table1[[#This Row],[Primary Annuitant Px]]*Table1[[#This Row],[Secondary Annuitant Py]]</f>
        <v>0</v>
      </c>
      <c r="Y91" s="117">
        <f>PRODUCT($X$8:$X91)</f>
        <v>0</v>
      </c>
    </row>
    <row r="92" spans="1:25" x14ac:dyDescent="0.3">
      <c r="A92" s="34">
        <f t="shared" si="20"/>
        <v>84</v>
      </c>
      <c r="B92" s="32">
        <f ca="1">OFFSET(Table1[[#This Row],[Pay Period]],-1,0)+0.5</f>
        <v>42</v>
      </c>
      <c r="C92" s="29">
        <f t="shared" si="21"/>
        <v>42</v>
      </c>
      <c r="D92" s="36">
        <f t="shared" si="17"/>
        <v>0</v>
      </c>
      <c r="E92" s="36">
        <f t="shared" si="18"/>
        <v>0</v>
      </c>
      <c r="F92" s="36">
        <f>IF(Table1[[#This Row],[Assumed Contract Value ]]&gt;0.1,Table1[[#This Row],[timeFromValuation]]&gt;=Activation_Time,0)</f>
        <v>0</v>
      </c>
      <c r="G92" s="36">
        <v>0</v>
      </c>
      <c r="H92" s="36" t="b">
        <f>Table1[[#This Row],[timeFromValuation]]=INT(Table1[[#This Row],[timeFromValuation]])</f>
        <v>1</v>
      </c>
      <c r="I92" s="7">
        <f>IF((Table1[[#This Row],[Is Anniversery]]), Table1[[#This Row],[Assumed Contract Value ]],0)</f>
        <v>0</v>
      </c>
      <c r="J92" s="7">
        <f ca="1">IF(NOT(Table1[[#This Row],[Is Activation]]),OFFSET(Table1[[#This Row],[Income Credit Base]],-1,0)+Table1[[#This Row],[Purchase Payments]]+Table1[[#This Row],[Income Credit]],0)</f>
        <v>0</v>
      </c>
      <c r="K92" s="7">
        <f>IF(AND(Table1[[#This Row],[Is Activation]]=FALSE,Table1[[#This Row],[Is Anniversery]]=TRUE),Table1[[#This Row],[Income Credit Base]]*ICP,0)</f>
        <v>0</v>
      </c>
      <c r="L9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92" s="42" t="e">
        <f>IF(NOT(Table1[[#This Row],[Is Activation]]),(Table1[[#This Row],[Withdrawal Taken  ]]/Table1[[#This Row],[Assumed Contract Value ]]),0)</f>
        <v>#DIV/0!</v>
      </c>
      <c r="N9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92" s="5">
        <f>IF(NOT(Table1[[#This Row],[Has Lifetime Income Started]]),Table1[[#This Row],[Income Base]]*MAW,0)</f>
        <v>0</v>
      </c>
      <c r="P92" s="9" t="e">
        <f ca="1">IF(AND(Table1[[#This Row],[Has Lifetime Income Started]],Table1[[#This Row],[Is Anniversery]]),Table1[[#This Row],[Income Base]]*PIP,0)</f>
        <v>#DIV/0!</v>
      </c>
      <c r="Q92" s="37" t="b">
        <f t="shared" si="19"/>
        <v>1</v>
      </c>
      <c r="R92" s="10">
        <f>1/(1+InterestRate)^Table1[[#This Row],[timeFromValuation]]</f>
        <v>0.12883962113403885</v>
      </c>
      <c r="S92" s="10">
        <f>Table1[[#This Row],[timeFromValuation]]</f>
        <v>42</v>
      </c>
      <c r="T92" s="10">
        <v>0</v>
      </c>
      <c r="U92" s="10">
        <v>0</v>
      </c>
      <c r="V92" s="10">
        <f>PRODUCT($T$8:$T92)</f>
        <v>0</v>
      </c>
      <c r="W92" s="10">
        <f>PRODUCT($U$8:$U92)</f>
        <v>0</v>
      </c>
      <c r="X92" s="117">
        <f>Table1[[#This Row],[Primary Annuitant Px]]+Table1[[#This Row],[Secondary Annuitant Py]]-Table1[[#This Row],[Primary Annuitant Px]]*Table1[[#This Row],[Secondary Annuitant Py]]</f>
        <v>0</v>
      </c>
      <c r="Y92" s="117">
        <f>PRODUCT($X$8:$X92)</f>
        <v>0</v>
      </c>
    </row>
    <row r="93" spans="1:25" x14ac:dyDescent="0.3">
      <c r="A93" s="34">
        <f t="shared" si="20"/>
        <v>85</v>
      </c>
      <c r="B93" s="32">
        <f ca="1">OFFSET(Table1[[#This Row],[Pay Period]],-1,0)+0.5</f>
        <v>42.5</v>
      </c>
      <c r="C93" s="29">
        <f t="shared" si="21"/>
        <v>42.5</v>
      </c>
      <c r="D93" s="36">
        <f t="shared" si="17"/>
        <v>0</v>
      </c>
      <c r="E93" s="36">
        <f t="shared" si="18"/>
        <v>0</v>
      </c>
      <c r="F93" s="36">
        <f>IF(Table1[[#This Row],[Assumed Contract Value ]]&gt;0.1,Table1[[#This Row],[timeFromValuation]]&gt;=Activation_Time,0)</f>
        <v>0</v>
      </c>
      <c r="G93" s="36">
        <v>0</v>
      </c>
      <c r="H93" s="36" t="b">
        <f>Table1[[#This Row],[timeFromValuation]]=INT(Table1[[#This Row],[timeFromValuation]])</f>
        <v>0</v>
      </c>
      <c r="I93" s="7">
        <f>IF((Table1[[#This Row],[Is Anniversery]]), Table1[[#This Row],[Assumed Contract Value ]],0)</f>
        <v>0</v>
      </c>
      <c r="J93" s="7">
        <f ca="1">IF(NOT(Table1[[#This Row],[Is Activation]]),OFFSET(Table1[[#This Row],[Income Credit Base]],-1,0)+Table1[[#This Row],[Purchase Payments]]+Table1[[#This Row],[Income Credit]],0)</f>
        <v>0</v>
      </c>
      <c r="K93" s="7">
        <f>IF(AND(Table1[[#This Row],[Is Activation]]=FALSE,Table1[[#This Row],[Is Anniversery]]=TRUE),Table1[[#This Row],[Income Credit Base]]*ICP,0)</f>
        <v>0</v>
      </c>
      <c r="L9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93" s="42" t="e">
        <f>IF(NOT(Table1[[#This Row],[Is Activation]]),(Table1[[#This Row],[Withdrawal Taken  ]]/Table1[[#This Row],[Assumed Contract Value ]]),0)</f>
        <v>#DIV/0!</v>
      </c>
      <c r="N9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93" s="5">
        <f>IF(NOT(Table1[[#This Row],[Has Lifetime Income Started]]),Table1[[#This Row],[Income Base]]*MAW,0)</f>
        <v>0</v>
      </c>
      <c r="P93" s="9">
        <f>IF(AND(Table1[[#This Row],[Has Lifetime Income Started]],Table1[[#This Row],[Is Anniversery]]),Table1[[#This Row],[Income Base]]*PIP,0)</f>
        <v>0</v>
      </c>
      <c r="Q93" s="37" t="b">
        <f t="shared" si="19"/>
        <v>1</v>
      </c>
      <c r="R93" s="10">
        <f>1/(1+InterestRate)^Table1[[#This Row],[timeFromValuation]]</f>
        <v>0.12573459566336972</v>
      </c>
      <c r="S93" s="10">
        <f>Table1[[#This Row],[timeFromValuation]]</f>
        <v>42.5</v>
      </c>
      <c r="T93" s="10">
        <v>0</v>
      </c>
      <c r="U93" s="10">
        <v>0</v>
      </c>
      <c r="V93" s="10">
        <f>PRODUCT($T$8:$T93)</f>
        <v>0</v>
      </c>
      <c r="W93" s="10">
        <f>PRODUCT($U$8:$U93)</f>
        <v>0</v>
      </c>
      <c r="X93" s="117">
        <f>Table1[[#This Row],[Primary Annuitant Px]]+Table1[[#This Row],[Secondary Annuitant Py]]-Table1[[#This Row],[Primary Annuitant Px]]*Table1[[#This Row],[Secondary Annuitant Py]]</f>
        <v>0</v>
      </c>
      <c r="Y93" s="117">
        <f>PRODUCT($X$8:$X93)</f>
        <v>0</v>
      </c>
    </row>
    <row r="94" spans="1:25" x14ac:dyDescent="0.3">
      <c r="A94" s="34">
        <f t="shared" si="20"/>
        <v>86</v>
      </c>
      <c r="B94" s="32">
        <f ca="1">OFFSET(Table1[[#This Row],[Pay Period]],-1,0)+0.5</f>
        <v>43</v>
      </c>
      <c r="C94" s="29">
        <f t="shared" si="21"/>
        <v>43</v>
      </c>
      <c r="D94" s="36">
        <f t="shared" si="17"/>
        <v>0</v>
      </c>
      <c r="E94" s="36">
        <f t="shared" si="18"/>
        <v>0</v>
      </c>
      <c r="F94" s="36">
        <f>IF(Table1[[#This Row],[Assumed Contract Value ]]&gt;0.1,Table1[[#This Row],[timeFromValuation]]&gt;=Activation_Time,0)</f>
        <v>0</v>
      </c>
      <c r="G94" s="36">
        <v>0</v>
      </c>
      <c r="H94" s="36" t="b">
        <f>Table1[[#This Row],[timeFromValuation]]=INT(Table1[[#This Row],[timeFromValuation]])</f>
        <v>1</v>
      </c>
      <c r="I94" s="7">
        <f>IF((Table1[[#This Row],[Is Anniversery]]), Table1[[#This Row],[Assumed Contract Value ]],0)</f>
        <v>0</v>
      </c>
      <c r="J94" s="7">
        <f ca="1">IF(NOT(Table1[[#This Row],[Is Activation]]),OFFSET(Table1[[#This Row],[Income Credit Base]],-1,0)+Table1[[#This Row],[Purchase Payments]]+Table1[[#This Row],[Income Credit]],0)</f>
        <v>0</v>
      </c>
      <c r="K94" s="7">
        <f>IF(AND(Table1[[#This Row],[Is Activation]]=FALSE,Table1[[#This Row],[Is Anniversery]]=TRUE),Table1[[#This Row],[Income Credit Base]]*ICP,0)</f>
        <v>0</v>
      </c>
      <c r="L9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94" s="42" t="e">
        <f>IF(NOT(Table1[[#This Row],[Is Activation]]),(Table1[[#This Row],[Withdrawal Taken  ]]/Table1[[#This Row],[Assumed Contract Value ]]),0)</f>
        <v>#DIV/0!</v>
      </c>
      <c r="N9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94" s="5">
        <f>IF(NOT(Table1[[#This Row],[Has Lifetime Income Started]]),Table1[[#This Row],[Income Base]]*MAW,0)</f>
        <v>0</v>
      </c>
      <c r="P94" s="9" t="e">
        <f ca="1">IF(AND(Table1[[#This Row],[Has Lifetime Income Started]],Table1[[#This Row],[Is Anniversery]]),Table1[[#This Row],[Income Base]]*PIP,0)</f>
        <v>#DIV/0!</v>
      </c>
      <c r="Q94" s="37" t="b">
        <f t="shared" si="19"/>
        <v>1</v>
      </c>
      <c r="R94" s="10">
        <f>1/(1+InterestRate)^Table1[[#This Row],[timeFromValuation]]</f>
        <v>0.12270440108003698</v>
      </c>
      <c r="S94" s="10">
        <f>Table1[[#This Row],[timeFromValuation]]</f>
        <v>43</v>
      </c>
      <c r="T94" s="10">
        <v>0</v>
      </c>
      <c r="U94" s="10">
        <v>0</v>
      </c>
      <c r="V94" s="10">
        <f>PRODUCT($T$8:$T94)</f>
        <v>0</v>
      </c>
      <c r="W94" s="10">
        <f>PRODUCT($U$8:$U94)</f>
        <v>0</v>
      </c>
      <c r="X94" s="117">
        <f>Table1[[#This Row],[Primary Annuitant Px]]+Table1[[#This Row],[Secondary Annuitant Py]]-Table1[[#This Row],[Primary Annuitant Px]]*Table1[[#This Row],[Secondary Annuitant Py]]</f>
        <v>0</v>
      </c>
      <c r="Y94" s="117">
        <f>PRODUCT($X$8:$X94)</f>
        <v>0</v>
      </c>
    </row>
    <row r="95" spans="1:25" x14ac:dyDescent="0.3">
      <c r="A95" s="34">
        <f t="shared" si="20"/>
        <v>87</v>
      </c>
      <c r="B95" s="32">
        <f ca="1">OFFSET(Table1[[#This Row],[Pay Period]],-1,0)+0.5</f>
        <v>43.5</v>
      </c>
      <c r="C95" s="29">
        <f t="shared" si="21"/>
        <v>43.5</v>
      </c>
      <c r="D95" s="36">
        <f t="shared" ref="D95:D158" si="22">AB95</f>
        <v>0</v>
      </c>
      <c r="E95" s="36">
        <f t="shared" ref="E95:E158" si="23">AC95</f>
        <v>0</v>
      </c>
      <c r="F95" s="36">
        <f>IF(Table1[[#This Row],[Assumed Contract Value ]]&gt;0.1,Table1[[#This Row],[timeFromValuation]]&gt;=Activation_Time,0)</f>
        <v>0</v>
      </c>
      <c r="G95" s="36">
        <v>0</v>
      </c>
      <c r="H95" s="36" t="b">
        <f>Table1[[#This Row],[timeFromValuation]]=INT(Table1[[#This Row],[timeFromValuation]])</f>
        <v>0</v>
      </c>
      <c r="I95" s="7">
        <f>IF((Table1[[#This Row],[Is Anniversery]]), Table1[[#This Row],[Assumed Contract Value ]],0)</f>
        <v>0</v>
      </c>
      <c r="J95" s="7">
        <f ca="1">IF(NOT(Table1[[#This Row],[Is Activation]]),OFFSET(Table1[[#This Row],[Income Credit Base]],-1,0)+Table1[[#This Row],[Purchase Payments]]+Table1[[#This Row],[Income Credit]],0)</f>
        <v>0</v>
      </c>
      <c r="K95" s="7">
        <f>IF(AND(Table1[[#This Row],[Is Activation]]=FALSE,Table1[[#This Row],[Is Anniversery]]=TRUE),Table1[[#This Row],[Income Credit Base]]*ICP,0)</f>
        <v>0</v>
      </c>
      <c r="L9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95" s="42" t="e">
        <f>IF(NOT(Table1[[#This Row],[Is Activation]]),(Table1[[#This Row],[Withdrawal Taken  ]]/Table1[[#This Row],[Assumed Contract Value ]]),0)</f>
        <v>#DIV/0!</v>
      </c>
      <c r="N9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95" s="5">
        <f>IF(NOT(Table1[[#This Row],[Has Lifetime Income Started]]),Table1[[#This Row],[Income Base]]*MAW,0)</f>
        <v>0</v>
      </c>
      <c r="P95" s="9">
        <f>IF(AND(Table1[[#This Row],[Has Lifetime Income Started]],Table1[[#This Row],[Is Anniversery]]),Table1[[#This Row],[Income Base]]*PIP,0)</f>
        <v>0</v>
      </c>
      <c r="Q95" s="37" t="b">
        <f t="shared" si="19"/>
        <v>1</v>
      </c>
      <c r="R95" s="10">
        <f>1/(1+InterestRate)^Table1[[#This Row],[timeFromValuation]]</f>
        <v>0.119747233965114</v>
      </c>
      <c r="S95" s="10">
        <f>Table1[[#This Row],[timeFromValuation]]</f>
        <v>43.5</v>
      </c>
      <c r="T95" s="10">
        <v>0</v>
      </c>
      <c r="U95" s="10">
        <v>0</v>
      </c>
      <c r="V95" s="10">
        <f>PRODUCT($T$8:$T95)</f>
        <v>0</v>
      </c>
      <c r="W95" s="10">
        <f>PRODUCT($U$8:$U95)</f>
        <v>0</v>
      </c>
      <c r="X95" s="117">
        <f>Table1[[#This Row],[Primary Annuitant Px]]+Table1[[#This Row],[Secondary Annuitant Py]]-Table1[[#This Row],[Primary Annuitant Px]]*Table1[[#This Row],[Secondary Annuitant Py]]</f>
        <v>0</v>
      </c>
      <c r="Y95" s="117">
        <f>PRODUCT($X$8:$X95)</f>
        <v>0</v>
      </c>
    </row>
    <row r="96" spans="1:25" x14ac:dyDescent="0.3">
      <c r="A96" s="34">
        <f t="shared" si="20"/>
        <v>88</v>
      </c>
      <c r="B96" s="32">
        <f ca="1">OFFSET(Table1[[#This Row],[Pay Period]],-1,0)+0.5</f>
        <v>44</v>
      </c>
      <c r="C96" s="29">
        <f t="shared" si="21"/>
        <v>44</v>
      </c>
      <c r="D96" s="36">
        <f t="shared" si="22"/>
        <v>0</v>
      </c>
      <c r="E96" s="36">
        <f t="shared" si="23"/>
        <v>0</v>
      </c>
      <c r="F96" s="36">
        <f>IF(Table1[[#This Row],[Assumed Contract Value ]]&gt;0.1,Table1[[#This Row],[timeFromValuation]]&gt;=Activation_Time,0)</f>
        <v>0</v>
      </c>
      <c r="G96" s="36">
        <v>0</v>
      </c>
      <c r="H96" s="36" t="b">
        <f>Table1[[#This Row],[timeFromValuation]]=INT(Table1[[#This Row],[timeFromValuation]])</f>
        <v>1</v>
      </c>
      <c r="I96" s="7">
        <f>IF((Table1[[#This Row],[Is Anniversery]]), Table1[[#This Row],[Assumed Contract Value ]],0)</f>
        <v>0</v>
      </c>
      <c r="J96" s="7">
        <f ca="1">IF(NOT(Table1[[#This Row],[Is Activation]]),OFFSET(Table1[[#This Row],[Income Credit Base]],-1,0)+Table1[[#This Row],[Purchase Payments]]+Table1[[#This Row],[Income Credit]],0)</f>
        <v>0</v>
      </c>
      <c r="K96" s="7">
        <f>IF(AND(Table1[[#This Row],[Is Activation]]=FALSE,Table1[[#This Row],[Is Anniversery]]=TRUE),Table1[[#This Row],[Income Credit Base]]*ICP,0)</f>
        <v>0</v>
      </c>
      <c r="L9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96" s="42" t="e">
        <f>IF(NOT(Table1[[#This Row],[Is Activation]]),(Table1[[#This Row],[Withdrawal Taken  ]]/Table1[[#This Row],[Assumed Contract Value ]]),0)</f>
        <v>#DIV/0!</v>
      </c>
      <c r="N9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96" s="5">
        <f>IF(NOT(Table1[[#This Row],[Has Lifetime Income Started]]),Table1[[#This Row],[Income Base]]*MAW,0)</f>
        <v>0</v>
      </c>
      <c r="P96" s="9" t="e">
        <f ca="1">IF(AND(Table1[[#This Row],[Has Lifetime Income Started]],Table1[[#This Row],[Is Anniversery]]),Table1[[#This Row],[Income Base]]*PIP,0)</f>
        <v>#DIV/0!</v>
      </c>
      <c r="Q96" s="37" t="b">
        <f t="shared" si="19"/>
        <v>1</v>
      </c>
      <c r="R96" s="10">
        <f>1/(1+InterestRate)^Table1[[#This Row],[timeFromValuation]]</f>
        <v>0.11686133436193999</v>
      </c>
      <c r="S96" s="10">
        <f>Table1[[#This Row],[timeFromValuation]]</f>
        <v>44</v>
      </c>
      <c r="T96" s="10">
        <v>0</v>
      </c>
      <c r="U96" s="10">
        <v>0</v>
      </c>
      <c r="V96" s="10">
        <f>PRODUCT($T$8:$T96)</f>
        <v>0</v>
      </c>
      <c r="W96" s="10">
        <f>PRODUCT($U$8:$U96)</f>
        <v>0</v>
      </c>
      <c r="X96" s="117">
        <f>Table1[[#This Row],[Primary Annuitant Px]]+Table1[[#This Row],[Secondary Annuitant Py]]-Table1[[#This Row],[Primary Annuitant Px]]*Table1[[#This Row],[Secondary Annuitant Py]]</f>
        <v>0</v>
      </c>
      <c r="Y96" s="117">
        <f>PRODUCT($X$8:$X96)</f>
        <v>0</v>
      </c>
    </row>
    <row r="97" spans="1:25" x14ac:dyDescent="0.3">
      <c r="A97" s="34">
        <f t="shared" si="20"/>
        <v>89</v>
      </c>
      <c r="B97" s="32">
        <f ca="1">OFFSET(Table1[[#This Row],[Pay Period]],-1,0)+0.5</f>
        <v>44.5</v>
      </c>
      <c r="C97" s="29">
        <f t="shared" si="21"/>
        <v>44.5</v>
      </c>
      <c r="D97" s="36">
        <f t="shared" si="22"/>
        <v>0</v>
      </c>
      <c r="E97" s="36">
        <f t="shared" si="23"/>
        <v>0</v>
      </c>
      <c r="F97" s="36">
        <f>IF(Table1[[#This Row],[Assumed Contract Value ]]&gt;0.1,Table1[[#This Row],[timeFromValuation]]&gt;=Activation_Time,0)</f>
        <v>0</v>
      </c>
      <c r="G97" s="36">
        <v>0</v>
      </c>
      <c r="H97" s="36" t="b">
        <f>Table1[[#This Row],[timeFromValuation]]=INT(Table1[[#This Row],[timeFromValuation]])</f>
        <v>0</v>
      </c>
      <c r="I97" s="7">
        <f>IF((Table1[[#This Row],[Is Anniversery]]), Table1[[#This Row],[Assumed Contract Value ]],0)</f>
        <v>0</v>
      </c>
      <c r="J97" s="7">
        <f ca="1">IF(NOT(Table1[[#This Row],[Is Activation]]),OFFSET(Table1[[#This Row],[Income Credit Base]],-1,0)+Table1[[#This Row],[Purchase Payments]]+Table1[[#This Row],[Income Credit]],0)</f>
        <v>0</v>
      </c>
      <c r="K97" s="7">
        <f>IF(AND(Table1[[#This Row],[Is Activation]]=FALSE,Table1[[#This Row],[Is Anniversery]]=TRUE),Table1[[#This Row],[Income Credit Base]]*ICP,0)</f>
        <v>0</v>
      </c>
      <c r="L9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97" s="42" t="e">
        <f>IF(NOT(Table1[[#This Row],[Is Activation]]),(Table1[[#This Row],[Withdrawal Taken  ]]/Table1[[#This Row],[Assumed Contract Value ]]),0)</f>
        <v>#DIV/0!</v>
      </c>
      <c r="N9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97" s="5">
        <f>IF(NOT(Table1[[#This Row],[Has Lifetime Income Started]]),Table1[[#This Row],[Income Base]]*MAW,0)</f>
        <v>0</v>
      </c>
      <c r="P97" s="9">
        <f>IF(AND(Table1[[#This Row],[Has Lifetime Income Started]],Table1[[#This Row],[Is Anniversery]]),Table1[[#This Row],[Income Base]]*PIP,0)</f>
        <v>0</v>
      </c>
      <c r="Q97" s="37" t="b">
        <f t="shared" si="19"/>
        <v>1</v>
      </c>
      <c r="R97" s="10">
        <f>1/(1+InterestRate)^Table1[[#This Row],[timeFromValuation]]</f>
        <v>0.11404498472867998</v>
      </c>
      <c r="S97" s="10">
        <f>Table1[[#This Row],[timeFromValuation]]</f>
        <v>44.5</v>
      </c>
      <c r="T97" s="10">
        <v>0</v>
      </c>
      <c r="U97" s="10">
        <v>0</v>
      </c>
      <c r="V97" s="10">
        <f>PRODUCT($T$8:$T97)</f>
        <v>0</v>
      </c>
      <c r="W97" s="10">
        <f>PRODUCT($U$8:$U97)</f>
        <v>0</v>
      </c>
      <c r="X97" s="117">
        <f>Table1[[#This Row],[Primary Annuitant Px]]+Table1[[#This Row],[Secondary Annuitant Py]]-Table1[[#This Row],[Primary Annuitant Px]]*Table1[[#This Row],[Secondary Annuitant Py]]</f>
        <v>0</v>
      </c>
      <c r="Y97" s="117">
        <f>PRODUCT($X$8:$X97)</f>
        <v>0</v>
      </c>
    </row>
    <row r="98" spans="1:25" x14ac:dyDescent="0.3">
      <c r="A98" s="34">
        <f t="shared" si="20"/>
        <v>90</v>
      </c>
      <c r="B98" s="32">
        <f ca="1">OFFSET(Table1[[#This Row],[Pay Period]],-1,0)+0.5</f>
        <v>45</v>
      </c>
      <c r="C98" s="29">
        <f t="shared" si="21"/>
        <v>45</v>
      </c>
      <c r="D98" s="36">
        <f t="shared" si="22"/>
        <v>0</v>
      </c>
      <c r="E98" s="36">
        <f t="shared" si="23"/>
        <v>0</v>
      </c>
      <c r="F98" s="36">
        <f>IF(Table1[[#This Row],[Assumed Contract Value ]]&gt;0.1,Table1[[#This Row],[timeFromValuation]]&gt;=Activation_Time,0)</f>
        <v>0</v>
      </c>
      <c r="G98" s="36">
        <v>0</v>
      </c>
      <c r="H98" s="36" t="b">
        <f>Table1[[#This Row],[timeFromValuation]]=INT(Table1[[#This Row],[timeFromValuation]])</f>
        <v>1</v>
      </c>
      <c r="I98" s="7">
        <f>IF((Table1[[#This Row],[Is Anniversery]]), Table1[[#This Row],[Assumed Contract Value ]],0)</f>
        <v>0</v>
      </c>
      <c r="J98" s="7">
        <f ca="1">IF(NOT(Table1[[#This Row],[Is Activation]]),OFFSET(Table1[[#This Row],[Income Credit Base]],-1,0)+Table1[[#This Row],[Purchase Payments]]+Table1[[#This Row],[Income Credit]],0)</f>
        <v>0</v>
      </c>
      <c r="K98" s="7">
        <f>IF(AND(Table1[[#This Row],[Is Activation]]=FALSE,Table1[[#This Row],[Is Anniversery]]=TRUE),Table1[[#This Row],[Income Credit Base]]*ICP,0)</f>
        <v>0</v>
      </c>
      <c r="L9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98" s="42" t="e">
        <f>IF(NOT(Table1[[#This Row],[Is Activation]]),(Table1[[#This Row],[Withdrawal Taken  ]]/Table1[[#This Row],[Assumed Contract Value ]]),0)</f>
        <v>#DIV/0!</v>
      </c>
      <c r="N9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98" s="5">
        <f>IF(NOT(Table1[[#This Row],[Has Lifetime Income Started]]),Table1[[#This Row],[Income Base]]*MAW,0)</f>
        <v>0</v>
      </c>
      <c r="P98" s="9" t="e">
        <f ca="1">IF(AND(Table1[[#This Row],[Has Lifetime Income Started]],Table1[[#This Row],[Is Anniversery]]),Table1[[#This Row],[Income Base]]*PIP,0)</f>
        <v>#DIV/0!</v>
      </c>
      <c r="Q98" s="37" t="b">
        <f t="shared" si="19"/>
        <v>1</v>
      </c>
      <c r="R98" s="10">
        <f>1/(1+InterestRate)^Table1[[#This Row],[timeFromValuation]]</f>
        <v>0.1112965089161333</v>
      </c>
      <c r="S98" s="10">
        <f>Table1[[#This Row],[timeFromValuation]]</f>
        <v>45</v>
      </c>
      <c r="T98" s="10">
        <v>0</v>
      </c>
      <c r="U98" s="10">
        <v>0</v>
      </c>
      <c r="V98" s="10">
        <f>PRODUCT($T$8:$T98)</f>
        <v>0</v>
      </c>
      <c r="W98" s="10">
        <f>PRODUCT($U$8:$U98)</f>
        <v>0</v>
      </c>
      <c r="X98" s="117">
        <f>Table1[[#This Row],[Primary Annuitant Px]]+Table1[[#This Row],[Secondary Annuitant Py]]-Table1[[#This Row],[Primary Annuitant Px]]*Table1[[#This Row],[Secondary Annuitant Py]]</f>
        <v>0</v>
      </c>
      <c r="Y98" s="117">
        <f>PRODUCT($X$8:$X98)</f>
        <v>0</v>
      </c>
    </row>
    <row r="99" spans="1:25" x14ac:dyDescent="0.3">
      <c r="A99" s="34">
        <f t="shared" si="20"/>
        <v>91</v>
      </c>
      <c r="B99" s="32">
        <f ca="1">OFFSET(Table1[[#This Row],[Pay Period]],-1,0)+0.5</f>
        <v>45.5</v>
      </c>
      <c r="C99" s="29">
        <f t="shared" si="21"/>
        <v>45.5</v>
      </c>
      <c r="D99" s="36">
        <f t="shared" si="22"/>
        <v>0</v>
      </c>
      <c r="E99" s="36">
        <f t="shared" si="23"/>
        <v>0</v>
      </c>
      <c r="F99" s="36">
        <f>IF(Table1[[#This Row],[Assumed Contract Value ]]&gt;0.1,Table1[[#This Row],[timeFromValuation]]&gt;=Activation_Time,0)</f>
        <v>0</v>
      </c>
      <c r="G99" s="36">
        <v>0</v>
      </c>
      <c r="H99" s="36" t="b">
        <f>Table1[[#This Row],[timeFromValuation]]=INT(Table1[[#This Row],[timeFromValuation]])</f>
        <v>0</v>
      </c>
      <c r="I99" s="7">
        <f>IF((Table1[[#This Row],[Is Anniversery]]), Table1[[#This Row],[Assumed Contract Value ]],0)</f>
        <v>0</v>
      </c>
      <c r="J99" s="7">
        <f ca="1">IF(NOT(Table1[[#This Row],[Is Activation]]),OFFSET(Table1[[#This Row],[Income Credit Base]],-1,0)+Table1[[#This Row],[Purchase Payments]]+Table1[[#This Row],[Income Credit]],0)</f>
        <v>0</v>
      </c>
      <c r="K99" s="7">
        <f>IF(AND(Table1[[#This Row],[Is Activation]]=FALSE,Table1[[#This Row],[Is Anniversery]]=TRUE),Table1[[#This Row],[Income Credit Base]]*ICP,0)</f>
        <v>0</v>
      </c>
      <c r="L9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99" s="42" t="e">
        <f>IF(NOT(Table1[[#This Row],[Is Activation]]),(Table1[[#This Row],[Withdrawal Taken  ]]/Table1[[#This Row],[Assumed Contract Value ]]),0)</f>
        <v>#DIV/0!</v>
      </c>
      <c r="N9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99" s="5">
        <f>IF(NOT(Table1[[#This Row],[Has Lifetime Income Started]]),Table1[[#This Row],[Income Base]]*MAW,0)</f>
        <v>0</v>
      </c>
      <c r="P99" s="9">
        <f>IF(AND(Table1[[#This Row],[Has Lifetime Income Started]],Table1[[#This Row],[Is Anniversery]]),Table1[[#This Row],[Income Base]]*PIP,0)</f>
        <v>0</v>
      </c>
      <c r="Q99" s="37" t="b">
        <f t="shared" si="19"/>
        <v>1</v>
      </c>
      <c r="R99" s="10">
        <f>1/(1+InterestRate)^Table1[[#This Row],[timeFromValuation]]</f>
        <v>0.1086142711701714</v>
      </c>
      <c r="S99" s="10">
        <f>Table1[[#This Row],[timeFromValuation]]</f>
        <v>45.5</v>
      </c>
      <c r="T99" s="10">
        <v>0</v>
      </c>
      <c r="U99" s="10">
        <v>0</v>
      </c>
      <c r="V99" s="10">
        <f>PRODUCT($T$8:$T99)</f>
        <v>0</v>
      </c>
      <c r="W99" s="10">
        <f>PRODUCT($U$8:$U99)</f>
        <v>0</v>
      </c>
      <c r="X99" s="117">
        <f>Table1[[#This Row],[Primary Annuitant Px]]+Table1[[#This Row],[Secondary Annuitant Py]]-Table1[[#This Row],[Primary Annuitant Px]]*Table1[[#This Row],[Secondary Annuitant Py]]</f>
        <v>0</v>
      </c>
      <c r="Y99" s="117">
        <f>PRODUCT($X$8:$X99)</f>
        <v>0</v>
      </c>
    </row>
    <row r="100" spans="1:25" x14ac:dyDescent="0.3">
      <c r="A100" s="34">
        <f t="shared" si="20"/>
        <v>92</v>
      </c>
      <c r="B100" s="32">
        <f ca="1">OFFSET(Table1[[#This Row],[Pay Period]],-1,0)+0.5</f>
        <v>46</v>
      </c>
      <c r="C100" s="29">
        <f t="shared" si="21"/>
        <v>46</v>
      </c>
      <c r="D100" s="36">
        <f t="shared" si="22"/>
        <v>0</v>
      </c>
      <c r="E100" s="36">
        <f t="shared" si="23"/>
        <v>0</v>
      </c>
      <c r="F100" s="36">
        <f>IF(Table1[[#This Row],[Assumed Contract Value ]]&gt;0.1,Table1[[#This Row],[timeFromValuation]]&gt;=Activation_Time,0)</f>
        <v>0</v>
      </c>
      <c r="G100" s="36">
        <v>0</v>
      </c>
      <c r="H100" s="36" t="b">
        <f>Table1[[#This Row],[timeFromValuation]]=INT(Table1[[#This Row],[timeFromValuation]])</f>
        <v>1</v>
      </c>
      <c r="I100" s="7">
        <f>IF((Table1[[#This Row],[Is Anniversery]]), Table1[[#This Row],[Assumed Contract Value ]],0)</f>
        <v>0</v>
      </c>
      <c r="J100" s="7">
        <f ca="1">IF(NOT(Table1[[#This Row],[Is Activation]]),OFFSET(Table1[[#This Row],[Income Credit Base]],-1,0)+Table1[[#This Row],[Purchase Payments]]+Table1[[#This Row],[Income Credit]],0)</f>
        <v>0</v>
      </c>
      <c r="K100" s="7">
        <f>IF(AND(Table1[[#This Row],[Is Activation]]=FALSE,Table1[[#This Row],[Is Anniversery]]=TRUE),Table1[[#This Row],[Income Credit Base]]*ICP,0)</f>
        <v>0</v>
      </c>
      <c r="L10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00" s="42" t="e">
        <f>IF(NOT(Table1[[#This Row],[Is Activation]]),(Table1[[#This Row],[Withdrawal Taken  ]]/Table1[[#This Row],[Assumed Contract Value ]]),0)</f>
        <v>#DIV/0!</v>
      </c>
      <c r="N10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00" s="5">
        <f>IF(NOT(Table1[[#This Row],[Has Lifetime Income Started]]),Table1[[#This Row],[Income Base]]*MAW,0)</f>
        <v>0</v>
      </c>
      <c r="P100" s="9" t="e">
        <f ca="1">IF(AND(Table1[[#This Row],[Has Lifetime Income Started]],Table1[[#This Row],[Is Anniversery]]),Table1[[#This Row],[Income Base]]*PIP,0)</f>
        <v>#DIV/0!</v>
      </c>
      <c r="Q100" s="37" t="b">
        <f t="shared" si="19"/>
        <v>1</v>
      </c>
      <c r="R100" s="10">
        <f>1/(1+InterestRate)^Table1[[#This Row],[timeFromValuation]]</f>
        <v>0.10599667515822221</v>
      </c>
      <c r="S100" s="10">
        <f>Table1[[#This Row],[timeFromValuation]]</f>
        <v>46</v>
      </c>
      <c r="T100" s="10">
        <v>0</v>
      </c>
      <c r="U100" s="10">
        <v>0</v>
      </c>
      <c r="V100" s="10">
        <f>PRODUCT($T$8:$T100)</f>
        <v>0</v>
      </c>
      <c r="W100" s="10">
        <f>PRODUCT($U$8:$U100)</f>
        <v>0</v>
      </c>
      <c r="X100" s="117">
        <f>Table1[[#This Row],[Primary Annuitant Px]]+Table1[[#This Row],[Secondary Annuitant Py]]-Table1[[#This Row],[Primary Annuitant Px]]*Table1[[#This Row],[Secondary Annuitant Py]]</f>
        <v>0</v>
      </c>
      <c r="Y100" s="117">
        <f>PRODUCT($X$8:$X100)</f>
        <v>0</v>
      </c>
    </row>
    <row r="101" spans="1:25" x14ac:dyDescent="0.3">
      <c r="A101" s="34">
        <f t="shared" si="20"/>
        <v>93</v>
      </c>
      <c r="B101" s="32">
        <f ca="1">OFFSET(Table1[[#This Row],[Pay Period]],-1,0)+0.5</f>
        <v>46.5</v>
      </c>
      <c r="C101" s="29">
        <f t="shared" si="21"/>
        <v>46.5</v>
      </c>
      <c r="D101" s="36">
        <f t="shared" si="22"/>
        <v>0</v>
      </c>
      <c r="E101" s="36">
        <f t="shared" si="23"/>
        <v>0</v>
      </c>
      <c r="F101" s="36">
        <f>IF(Table1[[#This Row],[Assumed Contract Value ]]&gt;0.1,Table1[[#This Row],[timeFromValuation]]&gt;=Activation_Time,0)</f>
        <v>0</v>
      </c>
      <c r="G101" s="36">
        <v>0</v>
      </c>
      <c r="H101" s="36" t="b">
        <f>Table1[[#This Row],[timeFromValuation]]=INT(Table1[[#This Row],[timeFromValuation]])</f>
        <v>0</v>
      </c>
      <c r="I101" s="7">
        <f>IF((Table1[[#This Row],[Is Anniversery]]), Table1[[#This Row],[Assumed Contract Value ]],0)</f>
        <v>0</v>
      </c>
      <c r="J101" s="7">
        <f ca="1">IF(NOT(Table1[[#This Row],[Is Activation]]),OFFSET(Table1[[#This Row],[Income Credit Base]],-1,0)+Table1[[#This Row],[Purchase Payments]]+Table1[[#This Row],[Income Credit]],0)</f>
        <v>0</v>
      </c>
      <c r="K101" s="7">
        <f>IF(AND(Table1[[#This Row],[Is Activation]]=FALSE,Table1[[#This Row],[Is Anniversery]]=TRUE),Table1[[#This Row],[Income Credit Base]]*ICP,0)</f>
        <v>0</v>
      </c>
      <c r="L10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01" s="42" t="e">
        <f>IF(NOT(Table1[[#This Row],[Is Activation]]),(Table1[[#This Row],[Withdrawal Taken  ]]/Table1[[#This Row],[Assumed Contract Value ]]),0)</f>
        <v>#DIV/0!</v>
      </c>
      <c r="N10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01" s="5">
        <f>IF(NOT(Table1[[#This Row],[Has Lifetime Income Started]]),Table1[[#This Row],[Income Base]]*MAW,0)</f>
        <v>0</v>
      </c>
      <c r="P101" s="9">
        <f>IF(AND(Table1[[#This Row],[Has Lifetime Income Started]],Table1[[#This Row],[Is Anniversery]]),Table1[[#This Row],[Income Base]]*PIP,0)</f>
        <v>0</v>
      </c>
      <c r="Q101" s="37" t="b">
        <f t="shared" si="19"/>
        <v>1</v>
      </c>
      <c r="R101" s="10">
        <f>1/(1+InterestRate)^Table1[[#This Row],[timeFromValuation]]</f>
        <v>0.10344216301921087</v>
      </c>
      <c r="S101" s="10">
        <f>Table1[[#This Row],[timeFromValuation]]</f>
        <v>46.5</v>
      </c>
      <c r="T101" s="10">
        <v>0</v>
      </c>
      <c r="U101" s="10">
        <v>0</v>
      </c>
      <c r="V101" s="10">
        <f>PRODUCT($T$8:$T101)</f>
        <v>0</v>
      </c>
      <c r="W101" s="10">
        <f>PRODUCT($U$8:$U101)</f>
        <v>0</v>
      </c>
      <c r="X101" s="117">
        <f>Table1[[#This Row],[Primary Annuitant Px]]+Table1[[#This Row],[Secondary Annuitant Py]]-Table1[[#This Row],[Primary Annuitant Px]]*Table1[[#This Row],[Secondary Annuitant Py]]</f>
        <v>0</v>
      </c>
      <c r="Y101" s="117">
        <f>PRODUCT($X$8:$X101)</f>
        <v>0</v>
      </c>
    </row>
    <row r="102" spans="1:25" x14ac:dyDescent="0.3">
      <c r="A102" s="34">
        <f t="shared" si="20"/>
        <v>94</v>
      </c>
      <c r="B102" s="32">
        <f ca="1">OFFSET(Table1[[#This Row],[Pay Period]],-1,0)+0.5</f>
        <v>47</v>
      </c>
      <c r="C102" s="29">
        <f t="shared" si="21"/>
        <v>47</v>
      </c>
      <c r="D102" s="36">
        <f t="shared" si="22"/>
        <v>0</v>
      </c>
      <c r="E102" s="36">
        <f t="shared" si="23"/>
        <v>0</v>
      </c>
      <c r="F102" s="36">
        <f>IF(Table1[[#This Row],[Assumed Contract Value ]]&gt;0.1,Table1[[#This Row],[timeFromValuation]]&gt;=Activation_Time,0)</f>
        <v>0</v>
      </c>
      <c r="G102" s="36">
        <v>0</v>
      </c>
      <c r="H102" s="36" t="b">
        <f>Table1[[#This Row],[timeFromValuation]]=INT(Table1[[#This Row],[timeFromValuation]])</f>
        <v>1</v>
      </c>
      <c r="I102" s="7">
        <f>IF((Table1[[#This Row],[Is Anniversery]]), Table1[[#This Row],[Assumed Contract Value ]],0)</f>
        <v>0</v>
      </c>
      <c r="J102" s="7">
        <f ca="1">IF(NOT(Table1[[#This Row],[Is Activation]]),OFFSET(Table1[[#This Row],[Income Credit Base]],-1,0)+Table1[[#This Row],[Purchase Payments]]+Table1[[#This Row],[Income Credit]],0)</f>
        <v>0</v>
      </c>
      <c r="K102" s="7">
        <f>IF(AND(Table1[[#This Row],[Is Activation]]=FALSE,Table1[[#This Row],[Is Anniversery]]=TRUE),Table1[[#This Row],[Income Credit Base]]*ICP,0)</f>
        <v>0</v>
      </c>
      <c r="L10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02" s="42" t="e">
        <f>IF(NOT(Table1[[#This Row],[Is Activation]]),(Table1[[#This Row],[Withdrawal Taken  ]]/Table1[[#This Row],[Assumed Contract Value ]]),0)</f>
        <v>#DIV/0!</v>
      </c>
      <c r="N10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02" s="5">
        <f>IF(NOT(Table1[[#This Row],[Has Lifetime Income Started]]),Table1[[#This Row],[Income Base]]*MAW,0)</f>
        <v>0</v>
      </c>
      <c r="P102" s="9" t="e">
        <f ca="1">IF(AND(Table1[[#This Row],[Has Lifetime Income Started]],Table1[[#This Row],[Is Anniversery]]),Table1[[#This Row],[Income Base]]*PIP,0)</f>
        <v>#DIV/0!</v>
      </c>
      <c r="Q102" s="37" t="b">
        <f t="shared" si="19"/>
        <v>1</v>
      </c>
      <c r="R102" s="10">
        <f>1/(1+InterestRate)^Table1[[#This Row],[timeFromValuation]]</f>
        <v>0.10094921443640208</v>
      </c>
      <c r="S102" s="10">
        <f>Table1[[#This Row],[timeFromValuation]]</f>
        <v>47</v>
      </c>
      <c r="T102" s="10">
        <v>0</v>
      </c>
      <c r="U102" s="10">
        <v>0</v>
      </c>
      <c r="V102" s="10">
        <f>PRODUCT($T$8:$T102)</f>
        <v>0</v>
      </c>
      <c r="W102" s="10">
        <f>PRODUCT($U$8:$U102)</f>
        <v>0</v>
      </c>
      <c r="X102" s="117">
        <f>Table1[[#This Row],[Primary Annuitant Px]]+Table1[[#This Row],[Secondary Annuitant Py]]-Table1[[#This Row],[Primary Annuitant Px]]*Table1[[#This Row],[Secondary Annuitant Py]]</f>
        <v>0</v>
      </c>
      <c r="Y102" s="117">
        <f>PRODUCT($X$8:$X102)</f>
        <v>0</v>
      </c>
    </row>
    <row r="103" spans="1:25" x14ac:dyDescent="0.3">
      <c r="A103" s="34">
        <f t="shared" si="20"/>
        <v>95</v>
      </c>
      <c r="B103" s="32">
        <f ca="1">OFFSET(Table1[[#This Row],[Pay Period]],-1,0)+0.5</f>
        <v>47.5</v>
      </c>
      <c r="C103" s="29">
        <f t="shared" si="21"/>
        <v>47.5</v>
      </c>
      <c r="D103" s="36">
        <f t="shared" si="22"/>
        <v>0</v>
      </c>
      <c r="E103" s="36">
        <f t="shared" si="23"/>
        <v>0</v>
      </c>
      <c r="F103" s="36">
        <f>IF(Table1[[#This Row],[Assumed Contract Value ]]&gt;0.1,Table1[[#This Row],[timeFromValuation]]&gt;=Activation_Time,0)</f>
        <v>0</v>
      </c>
      <c r="G103" s="36">
        <v>0</v>
      </c>
      <c r="H103" s="36" t="b">
        <f>Table1[[#This Row],[timeFromValuation]]=INT(Table1[[#This Row],[timeFromValuation]])</f>
        <v>0</v>
      </c>
      <c r="I103" s="7">
        <f>IF((Table1[[#This Row],[Is Anniversery]]), Table1[[#This Row],[Assumed Contract Value ]],0)</f>
        <v>0</v>
      </c>
      <c r="J103" s="7">
        <f ca="1">IF(NOT(Table1[[#This Row],[Is Activation]]),OFFSET(Table1[[#This Row],[Income Credit Base]],-1,0)+Table1[[#This Row],[Purchase Payments]]+Table1[[#This Row],[Income Credit]],0)</f>
        <v>0</v>
      </c>
      <c r="K103" s="7">
        <f>IF(AND(Table1[[#This Row],[Is Activation]]=FALSE,Table1[[#This Row],[Is Anniversery]]=TRUE),Table1[[#This Row],[Income Credit Base]]*ICP,0)</f>
        <v>0</v>
      </c>
      <c r="L10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03" s="42" t="e">
        <f>IF(NOT(Table1[[#This Row],[Is Activation]]),(Table1[[#This Row],[Withdrawal Taken  ]]/Table1[[#This Row],[Assumed Contract Value ]]),0)</f>
        <v>#DIV/0!</v>
      </c>
      <c r="N10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03" s="5">
        <f>IF(NOT(Table1[[#This Row],[Has Lifetime Income Started]]),Table1[[#This Row],[Income Base]]*MAW,0)</f>
        <v>0</v>
      </c>
      <c r="P103" s="9">
        <f>IF(AND(Table1[[#This Row],[Has Lifetime Income Started]],Table1[[#This Row],[Is Anniversery]]),Table1[[#This Row],[Income Base]]*PIP,0)</f>
        <v>0</v>
      </c>
      <c r="Q103" s="37" t="b">
        <f t="shared" si="19"/>
        <v>1</v>
      </c>
      <c r="R103" s="10">
        <f>1/(1+InterestRate)^Table1[[#This Row],[timeFromValuation]]</f>
        <v>9.8516345732581778E-2</v>
      </c>
      <c r="S103" s="10">
        <f>Table1[[#This Row],[timeFromValuation]]</f>
        <v>47.5</v>
      </c>
      <c r="T103" s="10">
        <v>0</v>
      </c>
      <c r="U103" s="10">
        <v>0</v>
      </c>
      <c r="V103" s="10">
        <f>PRODUCT($T$8:$T103)</f>
        <v>0</v>
      </c>
      <c r="W103" s="10">
        <f>PRODUCT($U$8:$U103)</f>
        <v>0</v>
      </c>
      <c r="X103" s="117">
        <f>Table1[[#This Row],[Primary Annuitant Px]]+Table1[[#This Row],[Secondary Annuitant Py]]-Table1[[#This Row],[Primary Annuitant Px]]*Table1[[#This Row],[Secondary Annuitant Py]]</f>
        <v>0</v>
      </c>
      <c r="Y103" s="117">
        <f>PRODUCT($X$8:$X103)</f>
        <v>0</v>
      </c>
    </row>
    <row r="104" spans="1:25" x14ac:dyDescent="0.3">
      <c r="A104" s="34">
        <f t="shared" si="20"/>
        <v>96</v>
      </c>
      <c r="B104" s="32">
        <f ca="1">OFFSET(Table1[[#This Row],[Pay Period]],-1,0)+0.5</f>
        <v>48</v>
      </c>
      <c r="C104" s="29">
        <f t="shared" si="21"/>
        <v>48</v>
      </c>
      <c r="D104" s="36">
        <f t="shared" si="22"/>
        <v>0</v>
      </c>
      <c r="E104" s="36">
        <f t="shared" si="23"/>
        <v>0</v>
      </c>
      <c r="F104" s="36">
        <f>IF(Table1[[#This Row],[Assumed Contract Value ]]&gt;0.1,Table1[[#This Row],[timeFromValuation]]&gt;=Activation_Time,0)</f>
        <v>0</v>
      </c>
      <c r="G104" s="36">
        <v>0</v>
      </c>
      <c r="H104" s="36" t="b">
        <f>Table1[[#This Row],[timeFromValuation]]=INT(Table1[[#This Row],[timeFromValuation]])</f>
        <v>1</v>
      </c>
      <c r="I104" s="7">
        <f>IF((Table1[[#This Row],[Is Anniversery]]), Table1[[#This Row],[Assumed Contract Value ]],0)</f>
        <v>0</v>
      </c>
      <c r="J104" s="7">
        <f ca="1">IF(NOT(Table1[[#This Row],[Is Activation]]),OFFSET(Table1[[#This Row],[Income Credit Base]],-1,0)+Table1[[#This Row],[Purchase Payments]]+Table1[[#This Row],[Income Credit]],0)</f>
        <v>0</v>
      </c>
      <c r="K104" s="7">
        <f>IF(AND(Table1[[#This Row],[Is Activation]]=FALSE,Table1[[#This Row],[Is Anniversery]]=TRUE),Table1[[#This Row],[Income Credit Base]]*ICP,0)</f>
        <v>0</v>
      </c>
      <c r="L10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04" s="42" t="e">
        <f>IF(NOT(Table1[[#This Row],[Is Activation]]),(Table1[[#This Row],[Withdrawal Taken  ]]/Table1[[#This Row],[Assumed Contract Value ]]),0)</f>
        <v>#DIV/0!</v>
      </c>
      <c r="N10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04" s="5">
        <f>IF(NOT(Table1[[#This Row],[Has Lifetime Income Started]]),Table1[[#This Row],[Income Base]]*MAW,0)</f>
        <v>0</v>
      </c>
      <c r="P104" s="9" t="e">
        <f ca="1">IF(AND(Table1[[#This Row],[Has Lifetime Income Started]],Table1[[#This Row],[Is Anniversery]]),Table1[[#This Row],[Income Base]]*PIP,0)</f>
        <v>#DIV/0!</v>
      </c>
      <c r="Q104" s="37" t="b">
        <f t="shared" si="19"/>
        <v>1</v>
      </c>
      <c r="R104" s="10">
        <f>1/(1+InterestRate)^Table1[[#This Row],[timeFromValuation]]</f>
        <v>9.6142108987049613E-2</v>
      </c>
      <c r="S104" s="10">
        <f>Table1[[#This Row],[timeFromValuation]]</f>
        <v>48</v>
      </c>
      <c r="T104" s="10">
        <v>0</v>
      </c>
      <c r="U104" s="10">
        <v>0</v>
      </c>
      <c r="V104" s="10">
        <f>PRODUCT($T$8:$T104)</f>
        <v>0</v>
      </c>
      <c r="W104" s="10">
        <f>PRODUCT($U$8:$U104)</f>
        <v>0</v>
      </c>
      <c r="X104" s="117">
        <f>Table1[[#This Row],[Primary Annuitant Px]]+Table1[[#This Row],[Secondary Annuitant Py]]-Table1[[#This Row],[Primary Annuitant Px]]*Table1[[#This Row],[Secondary Annuitant Py]]</f>
        <v>0</v>
      </c>
      <c r="Y104" s="117">
        <f>PRODUCT($X$8:$X104)</f>
        <v>0</v>
      </c>
    </row>
    <row r="105" spans="1:25" x14ac:dyDescent="0.3">
      <c r="A105" s="34">
        <f t="shared" si="20"/>
        <v>97</v>
      </c>
      <c r="B105" s="32">
        <f ca="1">OFFSET(Table1[[#This Row],[Pay Period]],-1,0)+0.5</f>
        <v>48.5</v>
      </c>
      <c r="C105" s="29">
        <f t="shared" si="21"/>
        <v>48.5</v>
      </c>
      <c r="D105" s="36">
        <f t="shared" si="22"/>
        <v>0</v>
      </c>
      <c r="E105" s="36">
        <f t="shared" si="23"/>
        <v>0</v>
      </c>
      <c r="F105" s="36">
        <f>IF(Table1[[#This Row],[Assumed Contract Value ]]&gt;0.1,Table1[[#This Row],[timeFromValuation]]&gt;=Activation_Time,0)</f>
        <v>0</v>
      </c>
      <c r="G105" s="36">
        <v>0</v>
      </c>
      <c r="H105" s="36" t="b">
        <f>Table1[[#This Row],[timeFromValuation]]=INT(Table1[[#This Row],[timeFromValuation]])</f>
        <v>0</v>
      </c>
      <c r="I105" s="7">
        <f>IF((Table1[[#This Row],[Is Anniversery]]), Table1[[#This Row],[Assumed Contract Value ]],0)</f>
        <v>0</v>
      </c>
      <c r="J105" s="7">
        <f ca="1">IF(NOT(Table1[[#This Row],[Is Activation]]),OFFSET(Table1[[#This Row],[Income Credit Base]],-1,0)+Table1[[#This Row],[Purchase Payments]]+Table1[[#This Row],[Income Credit]],0)</f>
        <v>0</v>
      </c>
      <c r="K105" s="7">
        <f>IF(AND(Table1[[#This Row],[Is Activation]]=FALSE,Table1[[#This Row],[Is Anniversery]]=TRUE),Table1[[#This Row],[Income Credit Base]]*ICP,0)</f>
        <v>0</v>
      </c>
      <c r="L10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05" s="42" t="e">
        <f>IF(NOT(Table1[[#This Row],[Is Activation]]),(Table1[[#This Row],[Withdrawal Taken  ]]/Table1[[#This Row],[Assumed Contract Value ]]),0)</f>
        <v>#DIV/0!</v>
      </c>
      <c r="N10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05" s="5">
        <f>IF(NOT(Table1[[#This Row],[Has Lifetime Income Started]]),Table1[[#This Row],[Income Base]]*MAW,0)</f>
        <v>0</v>
      </c>
      <c r="P105" s="9">
        <f>IF(AND(Table1[[#This Row],[Has Lifetime Income Started]],Table1[[#This Row],[Is Anniversery]]),Table1[[#This Row],[Income Base]]*PIP,0)</f>
        <v>0</v>
      </c>
      <c r="Q105" s="37" t="b">
        <f t="shared" si="19"/>
        <v>1</v>
      </c>
      <c r="R105" s="10">
        <f>1/(1+InterestRate)^Table1[[#This Row],[timeFromValuation]]</f>
        <v>9.382509117388739E-2</v>
      </c>
      <c r="S105" s="10">
        <f>Table1[[#This Row],[timeFromValuation]]</f>
        <v>48.5</v>
      </c>
      <c r="T105" s="10">
        <v>0</v>
      </c>
      <c r="U105" s="10">
        <v>0</v>
      </c>
      <c r="V105" s="10">
        <f>PRODUCT($T$8:$T105)</f>
        <v>0</v>
      </c>
      <c r="W105" s="10">
        <f>PRODUCT($U$8:$U105)</f>
        <v>0</v>
      </c>
      <c r="X105" s="117">
        <f>Table1[[#This Row],[Primary Annuitant Px]]+Table1[[#This Row],[Secondary Annuitant Py]]-Table1[[#This Row],[Primary Annuitant Px]]*Table1[[#This Row],[Secondary Annuitant Py]]</f>
        <v>0</v>
      </c>
      <c r="Y105" s="117">
        <f>PRODUCT($X$8:$X105)</f>
        <v>0</v>
      </c>
    </row>
    <row r="106" spans="1:25" x14ac:dyDescent="0.3">
      <c r="A106" s="34">
        <f t="shared" si="20"/>
        <v>98</v>
      </c>
      <c r="B106" s="32">
        <f ca="1">OFFSET(Table1[[#This Row],[Pay Period]],-1,0)+0.5</f>
        <v>49</v>
      </c>
      <c r="C106" s="29">
        <f t="shared" si="21"/>
        <v>49</v>
      </c>
      <c r="D106" s="36">
        <f t="shared" si="22"/>
        <v>0</v>
      </c>
      <c r="E106" s="36">
        <f t="shared" si="23"/>
        <v>0</v>
      </c>
      <c r="F106" s="36">
        <f>IF(Table1[[#This Row],[Assumed Contract Value ]]&gt;0.1,Table1[[#This Row],[timeFromValuation]]&gt;=Activation_Time,0)</f>
        <v>0</v>
      </c>
      <c r="G106" s="36">
        <v>0</v>
      </c>
      <c r="H106" s="36" t="b">
        <f>Table1[[#This Row],[timeFromValuation]]=INT(Table1[[#This Row],[timeFromValuation]])</f>
        <v>1</v>
      </c>
      <c r="I106" s="7">
        <f>IF((Table1[[#This Row],[Is Anniversery]]), Table1[[#This Row],[Assumed Contract Value ]],0)</f>
        <v>0</v>
      </c>
      <c r="J106" s="7">
        <f ca="1">IF(NOT(Table1[[#This Row],[Is Activation]]),OFFSET(Table1[[#This Row],[Income Credit Base]],-1,0)+Table1[[#This Row],[Purchase Payments]]+Table1[[#This Row],[Income Credit]],0)</f>
        <v>0</v>
      </c>
      <c r="K106" s="7">
        <f>IF(AND(Table1[[#This Row],[Is Activation]]=FALSE,Table1[[#This Row],[Is Anniversery]]=TRUE),Table1[[#This Row],[Income Credit Base]]*ICP,0)</f>
        <v>0</v>
      </c>
      <c r="L10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06" s="42" t="e">
        <f>IF(NOT(Table1[[#This Row],[Is Activation]]),(Table1[[#This Row],[Withdrawal Taken  ]]/Table1[[#This Row],[Assumed Contract Value ]]),0)</f>
        <v>#DIV/0!</v>
      </c>
      <c r="N10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06" s="5">
        <f>IF(NOT(Table1[[#This Row],[Has Lifetime Income Started]]),Table1[[#This Row],[Income Base]]*MAW,0)</f>
        <v>0</v>
      </c>
      <c r="P106" s="9" t="e">
        <f ca="1">IF(AND(Table1[[#This Row],[Has Lifetime Income Started]],Table1[[#This Row],[Is Anniversery]]),Table1[[#This Row],[Income Base]]*PIP,0)</f>
        <v>#DIV/0!</v>
      </c>
      <c r="Q106" s="37" t="b">
        <f t="shared" si="19"/>
        <v>1</v>
      </c>
      <c r="R106" s="10">
        <f>1/(1+InterestRate)^Table1[[#This Row],[timeFromValuation]]</f>
        <v>9.1563913320999626E-2</v>
      </c>
      <c r="S106" s="10">
        <f>Table1[[#This Row],[timeFromValuation]]</f>
        <v>49</v>
      </c>
      <c r="T106" s="10">
        <v>0</v>
      </c>
      <c r="U106" s="10">
        <v>0</v>
      </c>
      <c r="V106" s="10">
        <f>PRODUCT($T$8:$T106)</f>
        <v>0</v>
      </c>
      <c r="W106" s="10">
        <f>PRODUCT($U$8:$U106)</f>
        <v>0</v>
      </c>
      <c r="X106" s="117">
        <f>Table1[[#This Row],[Primary Annuitant Px]]+Table1[[#This Row],[Secondary Annuitant Py]]-Table1[[#This Row],[Primary Annuitant Px]]*Table1[[#This Row],[Secondary Annuitant Py]]</f>
        <v>0</v>
      </c>
      <c r="Y106" s="117">
        <f>PRODUCT($X$8:$X106)</f>
        <v>0</v>
      </c>
    </row>
    <row r="107" spans="1:25" x14ac:dyDescent="0.3">
      <c r="A107" s="34">
        <f t="shared" si="20"/>
        <v>99</v>
      </c>
      <c r="B107" s="32">
        <f ca="1">OFFSET(Table1[[#This Row],[Pay Period]],-1,0)+0.5</f>
        <v>49.5</v>
      </c>
      <c r="C107" s="29">
        <f t="shared" si="21"/>
        <v>49.5</v>
      </c>
      <c r="D107" s="36">
        <f t="shared" si="22"/>
        <v>0</v>
      </c>
      <c r="E107" s="36">
        <f t="shared" si="23"/>
        <v>0</v>
      </c>
      <c r="F107" s="36">
        <f>IF(Table1[[#This Row],[Assumed Contract Value ]]&gt;0.1,Table1[[#This Row],[timeFromValuation]]&gt;=Activation_Time,0)</f>
        <v>0</v>
      </c>
      <c r="G107" s="36">
        <v>0</v>
      </c>
      <c r="H107" s="36" t="b">
        <f>Table1[[#This Row],[timeFromValuation]]=INT(Table1[[#This Row],[timeFromValuation]])</f>
        <v>0</v>
      </c>
      <c r="I107" s="7">
        <f>IF((Table1[[#This Row],[Is Anniversery]]), Table1[[#This Row],[Assumed Contract Value ]],0)</f>
        <v>0</v>
      </c>
      <c r="J107" s="7">
        <f ca="1">IF(NOT(Table1[[#This Row],[Is Activation]]),OFFSET(Table1[[#This Row],[Income Credit Base]],-1,0)+Table1[[#This Row],[Purchase Payments]]+Table1[[#This Row],[Income Credit]],0)</f>
        <v>0</v>
      </c>
      <c r="K107" s="7">
        <f>IF(AND(Table1[[#This Row],[Is Activation]]=FALSE,Table1[[#This Row],[Is Anniversery]]=TRUE),Table1[[#This Row],[Income Credit Base]]*ICP,0)</f>
        <v>0</v>
      </c>
      <c r="L10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07" s="42" t="e">
        <f>IF(NOT(Table1[[#This Row],[Is Activation]]),(Table1[[#This Row],[Withdrawal Taken  ]]/Table1[[#This Row],[Assumed Contract Value ]]),0)</f>
        <v>#DIV/0!</v>
      </c>
      <c r="N10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07" s="5">
        <f>IF(NOT(Table1[[#This Row],[Has Lifetime Income Started]]),Table1[[#This Row],[Income Base]]*MAW,0)</f>
        <v>0</v>
      </c>
      <c r="P107" s="9">
        <f>IF(AND(Table1[[#This Row],[Has Lifetime Income Started]],Table1[[#This Row],[Is Anniversery]]),Table1[[#This Row],[Income Base]]*PIP,0)</f>
        <v>0</v>
      </c>
      <c r="Q107" s="37" t="b">
        <f t="shared" si="19"/>
        <v>1</v>
      </c>
      <c r="R107" s="10">
        <f>1/(1+InterestRate)^Table1[[#This Row],[timeFromValuation]]</f>
        <v>8.9357229689416548E-2</v>
      </c>
      <c r="S107" s="10">
        <f>Table1[[#This Row],[timeFromValuation]]</f>
        <v>49.5</v>
      </c>
      <c r="T107" s="10">
        <v>0</v>
      </c>
      <c r="U107" s="10">
        <v>0</v>
      </c>
      <c r="V107" s="10">
        <f>PRODUCT($T$8:$T107)</f>
        <v>0</v>
      </c>
      <c r="W107" s="10">
        <f>PRODUCT($U$8:$U107)</f>
        <v>0</v>
      </c>
      <c r="X107" s="117">
        <f>Table1[[#This Row],[Primary Annuitant Px]]+Table1[[#This Row],[Secondary Annuitant Py]]-Table1[[#This Row],[Primary Annuitant Px]]*Table1[[#This Row],[Secondary Annuitant Py]]</f>
        <v>0</v>
      </c>
      <c r="Y107" s="117">
        <f>PRODUCT($X$8:$X107)</f>
        <v>0</v>
      </c>
    </row>
    <row r="108" spans="1:25" x14ac:dyDescent="0.3">
      <c r="A108" s="34">
        <f t="shared" si="20"/>
        <v>100</v>
      </c>
      <c r="B108" s="32">
        <f ca="1">OFFSET(Table1[[#This Row],[Pay Period]],-1,0)+0.5</f>
        <v>50</v>
      </c>
      <c r="C108" s="29">
        <f t="shared" si="21"/>
        <v>50</v>
      </c>
      <c r="D108" s="36">
        <f t="shared" si="22"/>
        <v>0</v>
      </c>
      <c r="E108" s="36">
        <f t="shared" si="23"/>
        <v>0</v>
      </c>
      <c r="F108" s="36">
        <f>IF(Table1[[#This Row],[Assumed Contract Value ]]&gt;0.1,Table1[[#This Row],[timeFromValuation]]&gt;=Activation_Time,0)</f>
        <v>0</v>
      </c>
      <c r="G108" s="36">
        <v>0</v>
      </c>
      <c r="H108" s="36" t="b">
        <f>Table1[[#This Row],[timeFromValuation]]=INT(Table1[[#This Row],[timeFromValuation]])</f>
        <v>1</v>
      </c>
      <c r="I108" s="7">
        <f>IF((Table1[[#This Row],[Is Anniversery]]), Table1[[#This Row],[Assumed Contract Value ]],0)</f>
        <v>0</v>
      </c>
      <c r="J108" s="7">
        <f ca="1">IF(NOT(Table1[[#This Row],[Is Activation]]),OFFSET(Table1[[#This Row],[Income Credit Base]],-1,0)+Table1[[#This Row],[Purchase Payments]]+Table1[[#This Row],[Income Credit]],0)</f>
        <v>0</v>
      </c>
      <c r="K108" s="7">
        <f>IF(AND(Table1[[#This Row],[Is Activation]]=FALSE,Table1[[#This Row],[Is Anniversery]]=TRUE),Table1[[#This Row],[Income Credit Base]]*ICP,0)</f>
        <v>0</v>
      </c>
      <c r="L10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08" s="42" t="e">
        <f>IF(NOT(Table1[[#This Row],[Is Activation]]),(Table1[[#This Row],[Withdrawal Taken  ]]/Table1[[#This Row],[Assumed Contract Value ]]),0)</f>
        <v>#DIV/0!</v>
      </c>
      <c r="N10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08" s="5">
        <f>IF(NOT(Table1[[#This Row],[Has Lifetime Income Started]]),Table1[[#This Row],[Income Base]]*MAW,0)</f>
        <v>0</v>
      </c>
      <c r="P108" s="9" t="e">
        <f ca="1">IF(AND(Table1[[#This Row],[Has Lifetime Income Started]],Table1[[#This Row],[Is Anniversery]]),Table1[[#This Row],[Income Base]]*PIP,0)</f>
        <v>#DIV/0!</v>
      </c>
      <c r="Q108" s="37" t="b">
        <f t="shared" si="19"/>
        <v>1</v>
      </c>
      <c r="R108" s="10">
        <f>1/(1+InterestRate)^Table1[[#This Row],[timeFromValuation]]</f>
        <v>8.7203726972380588E-2</v>
      </c>
      <c r="S108" s="10">
        <f>Table1[[#This Row],[timeFromValuation]]</f>
        <v>50</v>
      </c>
      <c r="T108" s="10">
        <v>0</v>
      </c>
      <c r="U108" s="10">
        <v>0</v>
      </c>
      <c r="V108" s="10">
        <f>PRODUCT($T$8:$T108)</f>
        <v>0</v>
      </c>
      <c r="W108" s="10">
        <f>PRODUCT($U$8:$U108)</f>
        <v>0</v>
      </c>
      <c r="X108" s="117">
        <f>Table1[[#This Row],[Primary Annuitant Px]]+Table1[[#This Row],[Secondary Annuitant Py]]-Table1[[#This Row],[Primary Annuitant Px]]*Table1[[#This Row],[Secondary Annuitant Py]]</f>
        <v>0</v>
      </c>
      <c r="Y108" s="117">
        <f>PRODUCT($X$8:$X108)</f>
        <v>0</v>
      </c>
    </row>
    <row r="109" spans="1:25" x14ac:dyDescent="0.3">
      <c r="A109" s="34">
        <f t="shared" si="20"/>
        <v>101</v>
      </c>
      <c r="B109" s="32">
        <f ca="1">OFFSET(Table1[[#This Row],[Pay Period]],-1,0)+0.5</f>
        <v>50.5</v>
      </c>
      <c r="C109" s="29">
        <f t="shared" si="21"/>
        <v>50.5</v>
      </c>
      <c r="D109" s="36">
        <f t="shared" si="22"/>
        <v>0</v>
      </c>
      <c r="E109" s="36">
        <f t="shared" si="23"/>
        <v>0</v>
      </c>
      <c r="F109" s="36">
        <f>IF(Table1[[#This Row],[Assumed Contract Value ]]&gt;0.1,Table1[[#This Row],[timeFromValuation]]&gt;=Activation_Time,0)</f>
        <v>0</v>
      </c>
      <c r="G109" s="36">
        <v>0</v>
      </c>
      <c r="H109" s="36" t="b">
        <f>Table1[[#This Row],[timeFromValuation]]=INT(Table1[[#This Row],[timeFromValuation]])</f>
        <v>0</v>
      </c>
      <c r="I109" s="7">
        <f>IF((Table1[[#This Row],[Is Anniversery]]), Table1[[#This Row],[Assumed Contract Value ]],0)</f>
        <v>0</v>
      </c>
      <c r="J109" s="7">
        <f ca="1">IF(NOT(Table1[[#This Row],[Is Activation]]),OFFSET(Table1[[#This Row],[Income Credit Base]],-1,0)+Table1[[#This Row],[Purchase Payments]]+Table1[[#This Row],[Income Credit]],0)</f>
        <v>0</v>
      </c>
      <c r="K109" s="7">
        <f>IF(AND(Table1[[#This Row],[Is Activation]]=FALSE,Table1[[#This Row],[Is Anniversery]]=TRUE),Table1[[#This Row],[Income Credit Base]]*ICP,0)</f>
        <v>0</v>
      </c>
      <c r="L10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09" s="42" t="e">
        <f>IF(NOT(Table1[[#This Row],[Is Activation]]),(Table1[[#This Row],[Withdrawal Taken  ]]/Table1[[#This Row],[Assumed Contract Value ]]),0)</f>
        <v>#DIV/0!</v>
      </c>
      <c r="N10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09" s="5">
        <f>IF(NOT(Table1[[#This Row],[Has Lifetime Income Started]]),Table1[[#This Row],[Income Base]]*MAW,0)</f>
        <v>0</v>
      </c>
      <c r="P109" s="9">
        <f>IF(AND(Table1[[#This Row],[Has Lifetime Income Started]],Table1[[#This Row],[Is Anniversery]]),Table1[[#This Row],[Income Base]]*PIP,0)</f>
        <v>0</v>
      </c>
      <c r="Q109" s="37" t="b">
        <f t="shared" si="19"/>
        <v>1</v>
      </c>
      <c r="R109" s="10">
        <f>1/(1+InterestRate)^Table1[[#This Row],[timeFromValuation]]</f>
        <v>8.5102123513730074E-2</v>
      </c>
      <c r="S109" s="10">
        <f>Table1[[#This Row],[timeFromValuation]]</f>
        <v>50.5</v>
      </c>
      <c r="T109" s="10">
        <v>0</v>
      </c>
      <c r="U109" s="10">
        <v>0</v>
      </c>
      <c r="V109" s="10">
        <f>PRODUCT($T$8:$T109)</f>
        <v>0</v>
      </c>
      <c r="W109" s="10">
        <f>PRODUCT($U$8:$U109)</f>
        <v>0</v>
      </c>
      <c r="X109" s="117">
        <f>Table1[[#This Row],[Primary Annuitant Px]]+Table1[[#This Row],[Secondary Annuitant Py]]-Table1[[#This Row],[Primary Annuitant Px]]*Table1[[#This Row],[Secondary Annuitant Py]]</f>
        <v>0</v>
      </c>
      <c r="Y109" s="117">
        <f>PRODUCT($X$8:$X109)</f>
        <v>0</v>
      </c>
    </row>
    <row r="110" spans="1:25" x14ac:dyDescent="0.3">
      <c r="A110" s="34">
        <f t="shared" si="20"/>
        <v>102</v>
      </c>
      <c r="B110" s="32">
        <f ca="1">OFFSET(Table1[[#This Row],[Pay Period]],-1,0)+0.5</f>
        <v>51</v>
      </c>
      <c r="C110" s="29">
        <f t="shared" si="21"/>
        <v>51</v>
      </c>
      <c r="D110" s="36">
        <f t="shared" si="22"/>
        <v>0</v>
      </c>
      <c r="E110" s="36">
        <f t="shared" si="23"/>
        <v>0</v>
      </c>
      <c r="F110" s="36">
        <f>IF(Table1[[#This Row],[Assumed Contract Value ]]&gt;0.1,Table1[[#This Row],[timeFromValuation]]&gt;=Activation_Time,0)</f>
        <v>0</v>
      </c>
      <c r="G110" s="36">
        <v>0</v>
      </c>
      <c r="H110" s="36" t="b">
        <f>Table1[[#This Row],[timeFromValuation]]=INT(Table1[[#This Row],[timeFromValuation]])</f>
        <v>1</v>
      </c>
      <c r="I110" s="7">
        <f>IF((Table1[[#This Row],[Is Anniversery]]), Table1[[#This Row],[Assumed Contract Value ]],0)</f>
        <v>0</v>
      </c>
      <c r="J110" s="7">
        <f ca="1">IF(NOT(Table1[[#This Row],[Is Activation]]),OFFSET(Table1[[#This Row],[Income Credit Base]],-1,0)+Table1[[#This Row],[Purchase Payments]]+Table1[[#This Row],[Income Credit]],0)</f>
        <v>0</v>
      </c>
      <c r="K110" s="7">
        <f>IF(AND(Table1[[#This Row],[Is Activation]]=FALSE,Table1[[#This Row],[Is Anniversery]]=TRUE),Table1[[#This Row],[Income Credit Base]]*ICP,0)</f>
        <v>0</v>
      </c>
      <c r="L11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10" s="42" t="e">
        <f>IF(NOT(Table1[[#This Row],[Is Activation]]),(Table1[[#This Row],[Withdrawal Taken  ]]/Table1[[#This Row],[Assumed Contract Value ]]),0)</f>
        <v>#DIV/0!</v>
      </c>
      <c r="N11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10" s="5">
        <f>IF(NOT(Table1[[#This Row],[Has Lifetime Income Started]]),Table1[[#This Row],[Income Base]]*MAW,0)</f>
        <v>0</v>
      </c>
      <c r="P110" s="9" t="e">
        <f ca="1">IF(AND(Table1[[#This Row],[Has Lifetime Income Started]],Table1[[#This Row],[Is Anniversery]]),Table1[[#This Row],[Income Base]]*PIP,0)</f>
        <v>#DIV/0!</v>
      </c>
      <c r="Q110" s="37" t="b">
        <f t="shared" si="19"/>
        <v>1</v>
      </c>
      <c r="R110" s="10">
        <f>1/(1+InterestRate)^Table1[[#This Row],[timeFromValuation]]</f>
        <v>8.3051168545124371E-2</v>
      </c>
      <c r="S110" s="10">
        <f>Table1[[#This Row],[timeFromValuation]]</f>
        <v>51</v>
      </c>
      <c r="T110" s="10">
        <v>0</v>
      </c>
      <c r="U110" s="10">
        <v>0</v>
      </c>
      <c r="V110" s="10">
        <f>PRODUCT($T$8:$T110)</f>
        <v>0</v>
      </c>
      <c r="W110" s="10">
        <f>PRODUCT($U$8:$U110)</f>
        <v>0</v>
      </c>
      <c r="X110" s="117">
        <f>Table1[[#This Row],[Primary Annuitant Px]]+Table1[[#This Row],[Secondary Annuitant Py]]-Table1[[#This Row],[Primary Annuitant Px]]*Table1[[#This Row],[Secondary Annuitant Py]]</f>
        <v>0</v>
      </c>
      <c r="Y110" s="117">
        <f>PRODUCT($X$8:$X110)</f>
        <v>0</v>
      </c>
    </row>
    <row r="111" spans="1:25" x14ac:dyDescent="0.3">
      <c r="A111" s="34">
        <f t="shared" si="20"/>
        <v>103</v>
      </c>
      <c r="B111" s="32">
        <f ca="1">OFFSET(Table1[[#This Row],[Pay Period]],-1,0)+0.5</f>
        <v>51.5</v>
      </c>
      <c r="C111" s="29">
        <f t="shared" si="21"/>
        <v>51.5</v>
      </c>
      <c r="D111" s="36">
        <f t="shared" si="22"/>
        <v>0</v>
      </c>
      <c r="E111" s="36">
        <f t="shared" si="23"/>
        <v>0</v>
      </c>
      <c r="F111" s="36">
        <f>IF(Table1[[#This Row],[Assumed Contract Value ]]&gt;0.1,Table1[[#This Row],[timeFromValuation]]&gt;=Activation_Time,0)</f>
        <v>0</v>
      </c>
      <c r="G111" s="36">
        <v>0</v>
      </c>
      <c r="H111" s="36" t="b">
        <f>Table1[[#This Row],[timeFromValuation]]=INT(Table1[[#This Row],[timeFromValuation]])</f>
        <v>0</v>
      </c>
      <c r="I111" s="7">
        <f>IF((Table1[[#This Row],[Is Anniversery]]), Table1[[#This Row],[Assumed Contract Value ]],0)</f>
        <v>0</v>
      </c>
      <c r="J111" s="7">
        <f ca="1">IF(NOT(Table1[[#This Row],[Is Activation]]),OFFSET(Table1[[#This Row],[Income Credit Base]],-1,0)+Table1[[#This Row],[Purchase Payments]]+Table1[[#This Row],[Income Credit]],0)</f>
        <v>0</v>
      </c>
      <c r="K111" s="7">
        <f>IF(AND(Table1[[#This Row],[Is Activation]]=FALSE,Table1[[#This Row],[Is Anniversery]]=TRUE),Table1[[#This Row],[Income Credit Base]]*ICP,0)</f>
        <v>0</v>
      </c>
      <c r="L11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11" s="42" t="e">
        <f>IF(NOT(Table1[[#This Row],[Is Activation]]),(Table1[[#This Row],[Withdrawal Taken  ]]/Table1[[#This Row],[Assumed Contract Value ]]),0)</f>
        <v>#DIV/0!</v>
      </c>
      <c r="N11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11" s="5">
        <f>IF(NOT(Table1[[#This Row],[Has Lifetime Income Started]]),Table1[[#This Row],[Income Base]]*MAW,0)</f>
        <v>0</v>
      </c>
      <c r="P111" s="9">
        <f>IF(AND(Table1[[#This Row],[Has Lifetime Income Started]],Table1[[#This Row],[Is Anniversery]]),Table1[[#This Row],[Income Base]]*PIP,0)</f>
        <v>0</v>
      </c>
      <c r="Q111" s="37" t="b">
        <f t="shared" si="19"/>
        <v>1</v>
      </c>
      <c r="R111" s="10">
        <f>1/(1+InterestRate)^Table1[[#This Row],[timeFromValuation]]</f>
        <v>8.1049641441647682E-2</v>
      </c>
      <c r="S111" s="10">
        <f>Table1[[#This Row],[timeFromValuation]]</f>
        <v>51.5</v>
      </c>
      <c r="T111" s="10">
        <v>0</v>
      </c>
      <c r="U111" s="10">
        <v>0</v>
      </c>
      <c r="V111" s="10">
        <f>PRODUCT($T$8:$T111)</f>
        <v>0</v>
      </c>
      <c r="W111" s="10">
        <f>PRODUCT($U$8:$U111)</f>
        <v>0</v>
      </c>
      <c r="X111" s="117">
        <f>Table1[[#This Row],[Primary Annuitant Px]]+Table1[[#This Row],[Secondary Annuitant Py]]-Table1[[#This Row],[Primary Annuitant Px]]*Table1[[#This Row],[Secondary Annuitant Py]]</f>
        <v>0</v>
      </c>
      <c r="Y111" s="117">
        <f>PRODUCT($X$8:$X111)</f>
        <v>0</v>
      </c>
    </row>
    <row r="112" spans="1:25" x14ac:dyDescent="0.3">
      <c r="A112" s="34">
        <f t="shared" si="20"/>
        <v>104</v>
      </c>
      <c r="B112" s="32">
        <f ca="1">OFFSET(Table1[[#This Row],[Pay Period]],-1,0)+0.5</f>
        <v>52</v>
      </c>
      <c r="C112" s="29">
        <f t="shared" si="21"/>
        <v>52</v>
      </c>
      <c r="D112" s="36">
        <f t="shared" si="22"/>
        <v>0</v>
      </c>
      <c r="E112" s="36">
        <f t="shared" si="23"/>
        <v>0</v>
      </c>
      <c r="F112" s="36">
        <f>IF(Table1[[#This Row],[Assumed Contract Value ]]&gt;0.1,Table1[[#This Row],[timeFromValuation]]&gt;=Activation_Time,0)</f>
        <v>0</v>
      </c>
      <c r="G112" s="36">
        <v>0</v>
      </c>
      <c r="H112" s="36" t="b">
        <f>Table1[[#This Row],[timeFromValuation]]=INT(Table1[[#This Row],[timeFromValuation]])</f>
        <v>1</v>
      </c>
      <c r="I112" s="7">
        <f>IF((Table1[[#This Row],[Is Anniversery]]), Table1[[#This Row],[Assumed Contract Value ]],0)</f>
        <v>0</v>
      </c>
      <c r="J112" s="7">
        <f ca="1">IF(NOT(Table1[[#This Row],[Is Activation]]),OFFSET(Table1[[#This Row],[Income Credit Base]],-1,0)+Table1[[#This Row],[Purchase Payments]]+Table1[[#This Row],[Income Credit]],0)</f>
        <v>0</v>
      </c>
      <c r="K112" s="7">
        <f>IF(AND(Table1[[#This Row],[Is Activation]]=FALSE,Table1[[#This Row],[Is Anniversery]]=TRUE),Table1[[#This Row],[Income Credit Base]]*ICP,0)</f>
        <v>0</v>
      </c>
      <c r="L11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12" s="42" t="e">
        <f>IF(NOT(Table1[[#This Row],[Is Activation]]),(Table1[[#This Row],[Withdrawal Taken  ]]/Table1[[#This Row],[Assumed Contract Value ]]),0)</f>
        <v>#DIV/0!</v>
      </c>
      <c r="N11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12" s="5">
        <f>IF(NOT(Table1[[#This Row],[Has Lifetime Income Started]]),Table1[[#This Row],[Income Base]]*MAW,0)</f>
        <v>0</v>
      </c>
      <c r="P112" s="9" t="e">
        <f ca="1">IF(AND(Table1[[#This Row],[Has Lifetime Income Started]],Table1[[#This Row],[Is Anniversery]]),Table1[[#This Row],[Income Base]]*PIP,0)</f>
        <v>#DIV/0!</v>
      </c>
      <c r="Q112" s="37" t="b">
        <f t="shared" si="19"/>
        <v>1</v>
      </c>
      <c r="R112" s="10">
        <f>1/(1+InterestRate)^Table1[[#This Row],[timeFromValuation]]</f>
        <v>7.9096350995356543E-2</v>
      </c>
      <c r="S112" s="10">
        <f>Table1[[#This Row],[timeFromValuation]]</f>
        <v>52</v>
      </c>
      <c r="T112" s="10">
        <v>0</v>
      </c>
      <c r="U112" s="10">
        <v>0</v>
      </c>
      <c r="V112" s="10">
        <f>PRODUCT($T$8:$T112)</f>
        <v>0</v>
      </c>
      <c r="W112" s="10">
        <f>PRODUCT($U$8:$U112)</f>
        <v>0</v>
      </c>
      <c r="X112" s="117">
        <f>Table1[[#This Row],[Primary Annuitant Px]]+Table1[[#This Row],[Secondary Annuitant Py]]-Table1[[#This Row],[Primary Annuitant Px]]*Table1[[#This Row],[Secondary Annuitant Py]]</f>
        <v>0</v>
      </c>
      <c r="Y112" s="117">
        <f>PRODUCT($X$8:$X112)</f>
        <v>0</v>
      </c>
    </row>
    <row r="113" spans="1:25" x14ac:dyDescent="0.3">
      <c r="A113" s="34">
        <f t="shared" si="20"/>
        <v>105</v>
      </c>
      <c r="B113" s="32">
        <f ca="1">OFFSET(Table1[[#This Row],[Pay Period]],-1,0)+0.5</f>
        <v>52.5</v>
      </c>
      <c r="C113" s="29">
        <f t="shared" si="21"/>
        <v>52.5</v>
      </c>
      <c r="D113" s="36">
        <f t="shared" si="22"/>
        <v>0</v>
      </c>
      <c r="E113" s="36">
        <f t="shared" si="23"/>
        <v>0</v>
      </c>
      <c r="F113" s="36">
        <f>IF(Table1[[#This Row],[Assumed Contract Value ]]&gt;0.1,Table1[[#This Row],[timeFromValuation]]&gt;=Activation_Time,0)</f>
        <v>0</v>
      </c>
      <c r="G113" s="36">
        <v>0</v>
      </c>
      <c r="H113" s="36" t="b">
        <f>Table1[[#This Row],[timeFromValuation]]=INT(Table1[[#This Row],[timeFromValuation]])</f>
        <v>0</v>
      </c>
      <c r="I113" s="7">
        <f>IF((Table1[[#This Row],[Is Anniversery]]), Table1[[#This Row],[Assumed Contract Value ]],0)</f>
        <v>0</v>
      </c>
      <c r="J113" s="7">
        <f ca="1">IF(NOT(Table1[[#This Row],[Is Activation]]),OFFSET(Table1[[#This Row],[Income Credit Base]],-1,0)+Table1[[#This Row],[Purchase Payments]]+Table1[[#This Row],[Income Credit]],0)</f>
        <v>0</v>
      </c>
      <c r="K113" s="7">
        <f>IF(AND(Table1[[#This Row],[Is Activation]]=FALSE,Table1[[#This Row],[Is Anniversery]]=TRUE),Table1[[#This Row],[Income Credit Base]]*ICP,0)</f>
        <v>0</v>
      </c>
      <c r="L11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13" s="42" t="e">
        <f>IF(NOT(Table1[[#This Row],[Is Activation]]),(Table1[[#This Row],[Withdrawal Taken  ]]/Table1[[#This Row],[Assumed Contract Value ]]),0)</f>
        <v>#DIV/0!</v>
      </c>
      <c r="N11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13" s="5">
        <f>IF(NOT(Table1[[#This Row],[Has Lifetime Income Started]]),Table1[[#This Row],[Income Base]]*MAW,0)</f>
        <v>0</v>
      </c>
      <c r="P113" s="9">
        <f>IF(AND(Table1[[#This Row],[Has Lifetime Income Started]],Table1[[#This Row],[Is Anniversery]]),Table1[[#This Row],[Income Base]]*PIP,0)</f>
        <v>0</v>
      </c>
      <c r="Q113" s="37" t="b">
        <f t="shared" si="19"/>
        <v>1</v>
      </c>
      <c r="R113" s="10">
        <f>1/(1+InterestRate)^Table1[[#This Row],[timeFromValuation]]</f>
        <v>7.7190134706331112E-2</v>
      </c>
      <c r="S113" s="10">
        <f>Table1[[#This Row],[timeFromValuation]]</f>
        <v>52.5</v>
      </c>
      <c r="T113" s="10">
        <v>0</v>
      </c>
      <c r="U113" s="10">
        <v>0</v>
      </c>
      <c r="V113" s="10">
        <f>PRODUCT($T$8:$T113)</f>
        <v>0</v>
      </c>
      <c r="W113" s="10">
        <f>PRODUCT($U$8:$U113)</f>
        <v>0</v>
      </c>
      <c r="X113" s="117">
        <f>Table1[[#This Row],[Primary Annuitant Px]]+Table1[[#This Row],[Secondary Annuitant Py]]-Table1[[#This Row],[Primary Annuitant Px]]*Table1[[#This Row],[Secondary Annuitant Py]]</f>
        <v>0</v>
      </c>
      <c r="Y113" s="117">
        <f>PRODUCT($X$8:$X113)</f>
        <v>0</v>
      </c>
    </row>
    <row r="114" spans="1:25" x14ac:dyDescent="0.3">
      <c r="A114" s="34">
        <f t="shared" si="20"/>
        <v>106</v>
      </c>
      <c r="B114" s="32">
        <f ca="1">OFFSET(Table1[[#This Row],[Pay Period]],-1,0)+0.5</f>
        <v>53</v>
      </c>
      <c r="C114" s="29">
        <f t="shared" si="21"/>
        <v>53</v>
      </c>
      <c r="D114" s="36">
        <f t="shared" si="22"/>
        <v>0</v>
      </c>
      <c r="E114" s="36">
        <f t="shared" si="23"/>
        <v>0</v>
      </c>
      <c r="F114" s="36">
        <f>IF(Table1[[#This Row],[Assumed Contract Value ]]&gt;0.1,Table1[[#This Row],[timeFromValuation]]&gt;=Activation_Time,0)</f>
        <v>0</v>
      </c>
      <c r="G114" s="36">
        <v>0</v>
      </c>
      <c r="H114" s="36" t="b">
        <f>Table1[[#This Row],[timeFromValuation]]=INT(Table1[[#This Row],[timeFromValuation]])</f>
        <v>1</v>
      </c>
      <c r="I114" s="7">
        <f>IF((Table1[[#This Row],[Is Anniversery]]), Table1[[#This Row],[Assumed Contract Value ]],0)</f>
        <v>0</v>
      </c>
      <c r="J114" s="7">
        <f ca="1">IF(NOT(Table1[[#This Row],[Is Activation]]),OFFSET(Table1[[#This Row],[Income Credit Base]],-1,0)+Table1[[#This Row],[Purchase Payments]]+Table1[[#This Row],[Income Credit]],0)</f>
        <v>0</v>
      </c>
      <c r="K114" s="7">
        <f>IF(AND(Table1[[#This Row],[Is Activation]]=FALSE,Table1[[#This Row],[Is Anniversery]]=TRUE),Table1[[#This Row],[Income Credit Base]]*ICP,0)</f>
        <v>0</v>
      </c>
      <c r="L11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14" s="42" t="e">
        <f>IF(NOT(Table1[[#This Row],[Is Activation]]),(Table1[[#This Row],[Withdrawal Taken  ]]/Table1[[#This Row],[Assumed Contract Value ]]),0)</f>
        <v>#DIV/0!</v>
      </c>
      <c r="N11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14" s="5">
        <f>IF(NOT(Table1[[#This Row],[Has Lifetime Income Started]]),Table1[[#This Row],[Income Base]]*MAW,0)</f>
        <v>0</v>
      </c>
      <c r="P114" s="9" t="e">
        <f ca="1">IF(AND(Table1[[#This Row],[Has Lifetime Income Started]],Table1[[#This Row],[Is Anniversery]]),Table1[[#This Row],[Income Base]]*PIP,0)</f>
        <v>#DIV/0!</v>
      </c>
      <c r="Q114" s="37" t="b">
        <f t="shared" si="19"/>
        <v>1</v>
      </c>
      <c r="R114" s="10">
        <f>1/(1+InterestRate)^Table1[[#This Row],[timeFromValuation]]</f>
        <v>7.5329858090815757E-2</v>
      </c>
      <c r="S114" s="10">
        <f>Table1[[#This Row],[timeFromValuation]]</f>
        <v>53</v>
      </c>
      <c r="T114" s="10">
        <v>0</v>
      </c>
      <c r="U114" s="10">
        <v>0</v>
      </c>
      <c r="V114" s="10">
        <f>PRODUCT($T$8:$T114)</f>
        <v>0</v>
      </c>
      <c r="W114" s="10">
        <f>PRODUCT($U$8:$U114)</f>
        <v>0</v>
      </c>
      <c r="X114" s="117">
        <f>Table1[[#This Row],[Primary Annuitant Px]]+Table1[[#This Row],[Secondary Annuitant Py]]-Table1[[#This Row],[Primary Annuitant Px]]*Table1[[#This Row],[Secondary Annuitant Py]]</f>
        <v>0</v>
      </c>
      <c r="Y114" s="117">
        <f>PRODUCT($X$8:$X114)</f>
        <v>0</v>
      </c>
    </row>
    <row r="115" spans="1:25" x14ac:dyDescent="0.3">
      <c r="A115" s="34">
        <f t="shared" si="20"/>
        <v>107</v>
      </c>
      <c r="B115" s="32">
        <f ca="1">OFFSET(Table1[[#This Row],[Pay Period]],-1,0)+0.5</f>
        <v>53.5</v>
      </c>
      <c r="C115" s="29">
        <f t="shared" si="21"/>
        <v>53.5</v>
      </c>
      <c r="D115" s="36">
        <f t="shared" si="22"/>
        <v>0</v>
      </c>
      <c r="E115" s="36">
        <f t="shared" si="23"/>
        <v>0</v>
      </c>
      <c r="F115" s="36">
        <f>IF(Table1[[#This Row],[Assumed Contract Value ]]&gt;0.1,Table1[[#This Row],[timeFromValuation]]&gt;=Activation_Time,0)</f>
        <v>0</v>
      </c>
      <c r="G115" s="36">
        <v>0</v>
      </c>
      <c r="H115" s="36" t="b">
        <f>Table1[[#This Row],[timeFromValuation]]=INT(Table1[[#This Row],[timeFromValuation]])</f>
        <v>0</v>
      </c>
      <c r="I115" s="7">
        <f>IF((Table1[[#This Row],[Is Anniversery]]), Table1[[#This Row],[Assumed Contract Value ]],0)</f>
        <v>0</v>
      </c>
      <c r="J115" s="7">
        <f ca="1">IF(NOT(Table1[[#This Row],[Is Activation]]),OFFSET(Table1[[#This Row],[Income Credit Base]],-1,0)+Table1[[#This Row],[Purchase Payments]]+Table1[[#This Row],[Income Credit]],0)</f>
        <v>0</v>
      </c>
      <c r="K115" s="7">
        <f>IF(AND(Table1[[#This Row],[Is Activation]]=FALSE,Table1[[#This Row],[Is Anniversery]]=TRUE),Table1[[#This Row],[Income Credit Base]]*ICP,0)</f>
        <v>0</v>
      </c>
      <c r="L11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15" s="42" t="e">
        <f>IF(NOT(Table1[[#This Row],[Is Activation]]),(Table1[[#This Row],[Withdrawal Taken  ]]/Table1[[#This Row],[Assumed Contract Value ]]),0)</f>
        <v>#DIV/0!</v>
      </c>
      <c r="N11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15" s="5">
        <f>IF(NOT(Table1[[#This Row],[Has Lifetime Income Started]]),Table1[[#This Row],[Income Base]]*MAW,0)</f>
        <v>0</v>
      </c>
      <c r="P115" s="9">
        <f>IF(AND(Table1[[#This Row],[Has Lifetime Income Started]],Table1[[#This Row],[Is Anniversery]]),Table1[[#This Row],[Income Base]]*PIP,0)</f>
        <v>0</v>
      </c>
      <c r="Q115" s="37" t="b">
        <f t="shared" si="19"/>
        <v>1</v>
      </c>
      <c r="R115" s="10">
        <f>1/(1+InterestRate)^Table1[[#This Row],[timeFromValuation]]</f>
        <v>7.3514414006029608E-2</v>
      </c>
      <c r="S115" s="10">
        <f>Table1[[#This Row],[timeFromValuation]]</f>
        <v>53.5</v>
      </c>
      <c r="T115" s="10">
        <v>0</v>
      </c>
      <c r="U115" s="10">
        <v>0</v>
      </c>
      <c r="V115" s="10">
        <f>PRODUCT($T$8:$T115)</f>
        <v>0</v>
      </c>
      <c r="W115" s="10">
        <f>PRODUCT($U$8:$U115)</f>
        <v>0</v>
      </c>
      <c r="X115" s="117">
        <f>Table1[[#This Row],[Primary Annuitant Px]]+Table1[[#This Row],[Secondary Annuitant Py]]-Table1[[#This Row],[Primary Annuitant Px]]*Table1[[#This Row],[Secondary Annuitant Py]]</f>
        <v>0</v>
      </c>
      <c r="Y115" s="117">
        <f>PRODUCT($X$8:$X115)</f>
        <v>0</v>
      </c>
    </row>
    <row r="116" spans="1:25" x14ac:dyDescent="0.3">
      <c r="A116" s="34">
        <f t="shared" si="20"/>
        <v>108</v>
      </c>
      <c r="B116" s="32">
        <f ca="1">OFFSET(Table1[[#This Row],[Pay Period]],-1,0)+0.5</f>
        <v>54</v>
      </c>
      <c r="C116" s="29">
        <f t="shared" si="21"/>
        <v>54</v>
      </c>
      <c r="D116" s="36">
        <f t="shared" si="22"/>
        <v>0</v>
      </c>
      <c r="E116" s="36">
        <f t="shared" si="23"/>
        <v>0</v>
      </c>
      <c r="F116" s="36">
        <f>IF(Table1[[#This Row],[Assumed Contract Value ]]&gt;0.1,Table1[[#This Row],[timeFromValuation]]&gt;=Activation_Time,0)</f>
        <v>0</v>
      </c>
      <c r="G116" s="36">
        <v>0</v>
      </c>
      <c r="H116" s="36" t="b">
        <f>Table1[[#This Row],[timeFromValuation]]=INT(Table1[[#This Row],[timeFromValuation]])</f>
        <v>1</v>
      </c>
      <c r="I116" s="7">
        <f>IF((Table1[[#This Row],[Is Anniversery]]), Table1[[#This Row],[Assumed Contract Value ]],0)</f>
        <v>0</v>
      </c>
      <c r="J116" s="7">
        <f ca="1">IF(NOT(Table1[[#This Row],[Is Activation]]),OFFSET(Table1[[#This Row],[Income Credit Base]],-1,0)+Table1[[#This Row],[Purchase Payments]]+Table1[[#This Row],[Income Credit]],0)</f>
        <v>0</v>
      </c>
      <c r="K116" s="7">
        <f>IF(AND(Table1[[#This Row],[Is Activation]]=FALSE,Table1[[#This Row],[Is Anniversery]]=TRUE),Table1[[#This Row],[Income Credit Base]]*ICP,0)</f>
        <v>0</v>
      </c>
      <c r="L11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16" s="42" t="e">
        <f>IF(NOT(Table1[[#This Row],[Is Activation]]),(Table1[[#This Row],[Withdrawal Taken  ]]/Table1[[#This Row],[Assumed Contract Value ]]),0)</f>
        <v>#DIV/0!</v>
      </c>
      <c r="N11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16" s="5">
        <f>IF(NOT(Table1[[#This Row],[Has Lifetime Income Started]]),Table1[[#This Row],[Income Base]]*MAW,0)</f>
        <v>0</v>
      </c>
      <c r="P116" s="9" t="e">
        <f ca="1">IF(AND(Table1[[#This Row],[Has Lifetime Income Started]],Table1[[#This Row],[Is Anniversery]]),Table1[[#This Row],[Income Base]]*PIP,0)</f>
        <v>#DIV/0!</v>
      </c>
      <c r="Q116" s="37" t="b">
        <f t="shared" si="19"/>
        <v>1</v>
      </c>
      <c r="R116" s="10">
        <f>1/(1+InterestRate)^Table1[[#This Row],[timeFromValuation]]</f>
        <v>7.1742721991253117E-2</v>
      </c>
      <c r="S116" s="10">
        <f>Table1[[#This Row],[timeFromValuation]]</f>
        <v>54</v>
      </c>
      <c r="T116" s="10">
        <v>0</v>
      </c>
      <c r="U116" s="10">
        <v>0</v>
      </c>
      <c r="V116" s="10">
        <f>PRODUCT($T$8:$T116)</f>
        <v>0</v>
      </c>
      <c r="W116" s="10">
        <f>PRODUCT($U$8:$U116)</f>
        <v>0</v>
      </c>
      <c r="X116" s="117">
        <f>Table1[[#This Row],[Primary Annuitant Px]]+Table1[[#This Row],[Secondary Annuitant Py]]-Table1[[#This Row],[Primary Annuitant Px]]*Table1[[#This Row],[Secondary Annuitant Py]]</f>
        <v>0</v>
      </c>
      <c r="Y116" s="117">
        <f>PRODUCT($X$8:$X116)</f>
        <v>0</v>
      </c>
    </row>
    <row r="117" spans="1:25" x14ac:dyDescent="0.3">
      <c r="A117" s="34">
        <f t="shared" si="20"/>
        <v>109</v>
      </c>
      <c r="B117" s="32">
        <f ca="1">OFFSET(Table1[[#This Row],[Pay Period]],-1,0)+0.5</f>
        <v>54.5</v>
      </c>
      <c r="C117" s="29">
        <f t="shared" si="21"/>
        <v>54.5</v>
      </c>
      <c r="D117" s="36">
        <f t="shared" si="22"/>
        <v>0</v>
      </c>
      <c r="E117" s="36">
        <f t="shared" si="23"/>
        <v>0</v>
      </c>
      <c r="F117" s="36">
        <f>IF(Table1[[#This Row],[Assumed Contract Value ]]&gt;0.1,Table1[[#This Row],[timeFromValuation]]&gt;=Activation_Time,0)</f>
        <v>0</v>
      </c>
      <c r="G117" s="36">
        <v>0</v>
      </c>
      <c r="H117" s="36" t="b">
        <f>Table1[[#This Row],[timeFromValuation]]=INT(Table1[[#This Row],[timeFromValuation]])</f>
        <v>0</v>
      </c>
      <c r="I117" s="7">
        <f>IF((Table1[[#This Row],[Is Anniversery]]), Table1[[#This Row],[Assumed Contract Value ]],0)</f>
        <v>0</v>
      </c>
      <c r="J117" s="7">
        <f ca="1">IF(NOT(Table1[[#This Row],[Is Activation]]),OFFSET(Table1[[#This Row],[Income Credit Base]],-1,0)+Table1[[#This Row],[Purchase Payments]]+Table1[[#This Row],[Income Credit]],0)</f>
        <v>0</v>
      </c>
      <c r="K117" s="7">
        <f>IF(AND(Table1[[#This Row],[Is Activation]]=FALSE,Table1[[#This Row],[Is Anniversery]]=TRUE),Table1[[#This Row],[Income Credit Base]]*ICP,0)</f>
        <v>0</v>
      </c>
      <c r="L11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17" s="42" t="e">
        <f>IF(NOT(Table1[[#This Row],[Is Activation]]),(Table1[[#This Row],[Withdrawal Taken  ]]/Table1[[#This Row],[Assumed Contract Value ]]),0)</f>
        <v>#DIV/0!</v>
      </c>
      <c r="N11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17" s="5">
        <f>IF(NOT(Table1[[#This Row],[Has Lifetime Income Started]]),Table1[[#This Row],[Income Base]]*MAW,0)</f>
        <v>0</v>
      </c>
      <c r="P117" s="9">
        <f>IF(AND(Table1[[#This Row],[Has Lifetime Income Started]],Table1[[#This Row],[Is Anniversery]]),Table1[[#This Row],[Income Base]]*PIP,0)</f>
        <v>0</v>
      </c>
      <c r="Q117" s="37" t="b">
        <f t="shared" si="19"/>
        <v>1</v>
      </c>
      <c r="R117" s="10">
        <f>1/(1+InterestRate)^Table1[[#This Row],[timeFromValuation]]</f>
        <v>7.001372762479012E-2</v>
      </c>
      <c r="S117" s="10">
        <f>Table1[[#This Row],[timeFromValuation]]</f>
        <v>54.5</v>
      </c>
      <c r="T117" s="10">
        <v>0</v>
      </c>
      <c r="U117" s="10">
        <v>0</v>
      </c>
      <c r="V117" s="10">
        <f>PRODUCT($T$8:$T117)</f>
        <v>0</v>
      </c>
      <c r="W117" s="10">
        <f>PRODUCT($U$8:$U117)</f>
        <v>0</v>
      </c>
      <c r="X117" s="117">
        <f>Table1[[#This Row],[Primary Annuitant Px]]+Table1[[#This Row],[Secondary Annuitant Py]]-Table1[[#This Row],[Primary Annuitant Px]]*Table1[[#This Row],[Secondary Annuitant Py]]</f>
        <v>0</v>
      </c>
      <c r="Y117" s="117">
        <f>PRODUCT($X$8:$X117)</f>
        <v>0</v>
      </c>
    </row>
    <row r="118" spans="1:25" x14ac:dyDescent="0.3">
      <c r="A118" s="34">
        <f t="shared" si="20"/>
        <v>110</v>
      </c>
      <c r="B118" s="32">
        <f ca="1">OFFSET(Table1[[#This Row],[Pay Period]],-1,0)+0.5</f>
        <v>55</v>
      </c>
      <c r="C118" s="29">
        <f t="shared" si="21"/>
        <v>55</v>
      </c>
      <c r="D118" s="36">
        <f t="shared" si="22"/>
        <v>0</v>
      </c>
      <c r="E118" s="36">
        <f t="shared" si="23"/>
        <v>0</v>
      </c>
      <c r="F118" s="36">
        <f>IF(Table1[[#This Row],[Assumed Contract Value ]]&gt;0.1,Table1[[#This Row],[timeFromValuation]]&gt;=Activation_Time,0)</f>
        <v>0</v>
      </c>
      <c r="G118" s="36">
        <v>0</v>
      </c>
      <c r="H118" s="36" t="b">
        <f>Table1[[#This Row],[timeFromValuation]]=INT(Table1[[#This Row],[timeFromValuation]])</f>
        <v>1</v>
      </c>
      <c r="I118" s="7">
        <f>IF((Table1[[#This Row],[Is Anniversery]]), Table1[[#This Row],[Assumed Contract Value ]],0)</f>
        <v>0</v>
      </c>
      <c r="J118" s="7">
        <f ca="1">IF(NOT(Table1[[#This Row],[Is Activation]]),OFFSET(Table1[[#This Row],[Income Credit Base]],-1,0)+Table1[[#This Row],[Purchase Payments]]+Table1[[#This Row],[Income Credit]],0)</f>
        <v>0</v>
      </c>
      <c r="K118" s="7">
        <f>IF(AND(Table1[[#This Row],[Is Activation]]=FALSE,Table1[[#This Row],[Is Anniversery]]=TRUE),Table1[[#This Row],[Income Credit Base]]*ICP,0)</f>
        <v>0</v>
      </c>
      <c r="L11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18" s="42" t="e">
        <f>IF(NOT(Table1[[#This Row],[Is Activation]]),(Table1[[#This Row],[Withdrawal Taken  ]]/Table1[[#This Row],[Assumed Contract Value ]]),0)</f>
        <v>#DIV/0!</v>
      </c>
      <c r="N11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18" s="5">
        <f>IF(NOT(Table1[[#This Row],[Has Lifetime Income Started]]),Table1[[#This Row],[Income Base]]*MAW,0)</f>
        <v>0</v>
      </c>
      <c r="P118" s="9" t="e">
        <f ca="1">IF(AND(Table1[[#This Row],[Has Lifetime Income Started]],Table1[[#This Row],[Is Anniversery]]),Table1[[#This Row],[Income Base]]*PIP,0)</f>
        <v>#DIV/0!</v>
      </c>
      <c r="Q118" s="37" t="b">
        <f t="shared" si="19"/>
        <v>1</v>
      </c>
      <c r="R118" s="10">
        <f>1/(1+InterestRate)^Table1[[#This Row],[timeFromValuation]]</f>
        <v>6.8326401896431521E-2</v>
      </c>
      <c r="S118" s="10">
        <f>Table1[[#This Row],[timeFromValuation]]</f>
        <v>55</v>
      </c>
      <c r="T118" s="10">
        <v>0</v>
      </c>
      <c r="U118" s="10">
        <v>0</v>
      </c>
      <c r="V118" s="10">
        <f>PRODUCT($T$8:$T118)</f>
        <v>0</v>
      </c>
      <c r="W118" s="10">
        <f>PRODUCT($U$8:$U118)</f>
        <v>0</v>
      </c>
      <c r="X118" s="117">
        <f>Table1[[#This Row],[Primary Annuitant Px]]+Table1[[#This Row],[Secondary Annuitant Py]]-Table1[[#This Row],[Primary Annuitant Px]]*Table1[[#This Row],[Secondary Annuitant Py]]</f>
        <v>0</v>
      </c>
      <c r="Y118" s="117">
        <f>PRODUCT($X$8:$X118)</f>
        <v>0</v>
      </c>
    </row>
    <row r="119" spans="1:25" x14ac:dyDescent="0.3">
      <c r="A119" s="34">
        <f t="shared" si="20"/>
        <v>111</v>
      </c>
      <c r="B119" s="32">
        <f ca="1">OFFSET(Table1[[#This Row],[Pay Period]],-1,0)+0.5</f>
        <v>55.5</v>
      </c>
      <c r="C119" s="29">
        <f t="shared" si="21"/>
        <v>55.5</v>
      </c>
      <c r="D119" s="36">
        <f t="shared" si="22"/>
        <v>0</v>
      </c>
      <c r="E119" s="36">
        <f t="shared" si="23"/>
        <v>0</v>
      </c>
      <c r="F119" s="36">
        <f>IF(Table1[[#This Row],[Assumed Contract Value ]]&gt;0.1,Table1[[#This Row],[timeFromValuation]]&gt;=Activation_Time,0)</f>
        <v>0</v>
      </c>
      <c r="G119" s="36">
        <v>0</v>
      </c>
      <c r="H119" s="36" t="b">
        <f>Table1[[#This Row],[timeFromValuation]]=INT(Table1[[#This Row],[timeFromValuation]])</f>
        <v>0</v>
      </c>
      <c r="I119" s="7">
        <f>IF((Table1[[#This Row],[Is Anniversery]]), Table1[[#This Row],[Assumed Contract Value ]],0)</f>
        <v>0</v>
      </c>
      <c r="J119" s="7">
        <f ca="1">IF(NOT(Table1[[#This Row],[Is Activation]]),OFFSET(Table1[[#This Row],[Income Credit Base]],-1,0)+Table1[[#This Row],[Purchase Payments]]+Table1[[#This Row],[Income Credit]],0)</f>
        <v>0</v>
      </c>
      <c r="K119" s="7">
        <f>IF(AND(Table1[[#This Row],[Is Activation]]=FALSE,Table1[[#This Row],[Is Anniversery]]=TRUE),Table1[[#This Row],[Income Credit Base]]*ICP,0)</f>
        <v>0</v>
      </c>
      <c r="L11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19" s="42" t="e">
        <f>IF(NOT(Table1[[#This Row],[Is Activation]]),(Table1[[#This Row],[Withdrawal Taken  ]]/Table1[[#This Row],[Assumed Contract Value ]]),0)</f>
        <v>#DIV/0!</v>
      </c>
      <c r="N11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19" s="5">
        <f>IF(NOT(Table1[[#This Row],[Has Lifetime Income Started]]),Table1[[#This Row],[Income Base]]*MAW,0)</f>
        <v>0</v>
      </c>
      <c r="P119" s="9">
        <f>IF(AND(Table1[[#This Row],[Has Lifetime Income Started]],Table1[[#This Row],[Is Anniversery]]),Table1[[#This Row],[Income Base]]*PIP,0)</f>
        <v>0</v>
      </c>
      <c r="Q119" s="37" t="b">
        <f t="shared" si="19"/>
        <v>1</v>
      </c>
      <c r="R119" s="10">
        <f>1/(1+InterestRate)^Table1[[#This Row],[timeFromValuation]]</f>
        <v>6.6679740595038201E-2</v>
      </c>
      <c r="S119" s="10">
        <f>Table1[[#This Row],[timeFromValuation]]</f>
        <v>55.5</v>
      </c>
      <c r="T119" s="10">
        <v>0</v>
      </c>
      <c r="U119" s="10">
        <v>0</v>
      </c>
      <c r="V119" s="10">
        <f>PRODUCT($T$8:$T119)</f>
        <v>0</v>
      </c>
      <c r="W119" s="10">
        <f>PRODUCT($U$8:$U119)</f>
        <v>0</v>
      </c>
      <c r="X119" s="117">
        <f>Table1[[#This Row],[Primary Annuitant Px]]+Table1[[#This Row],[Secondary Annuitant Py]]-Table1[[#This Row],[Primary Annuitant Px]]*Table1[[#This Row],[Secondary Annuitant Py]]</f>
        <v>0</v>
      </c>
      <c r="Y119" s="117">
        <f>PRODUCT($X$8:$X119)</f>
        <v>0</v>
      </c>
    </row>
    <row r="120" spans="1:25" x14ac:dyDescent="0.3">
      <c r="A120" s="34">
        <f t="shared" si="20"/>
        <v>112</v>
      </c>
      <c r="B120" s="32">
        <f ca="1">OFFSET(Table1[[#This Row],[Pay Period]],-1,0)+0.5</f>
        <v>56</v>
      </c>
      <c r="C120" s="29">
        <f t="shared" si="21"/>
        <v>56</v>
      </c>
      <c r="D120" s="36">
        <f t="shared" si="22"/>
        <v>0</v>
      </c>
      <c r="E120" s="36">
        <f t="shared" si="23"/>
        <v>0</v>
      </c>
      <c r="F120" s="36">
        <f>IF(Table1[[#This Row],[Assumed Contract Value ]]&gt;0.1,Table1[[#This Row],[timeFromValuation]]&gt;=Activation_Time,0)</f>
        <v>0</v>
      </c>
      <c r="G120" s="36">
        <v>0</v>
      </c>
      <c r="H120" s="36" t="b">
        <f>Table1[[#This Row],[timeFromValuation]]=INT(Table1[[#This Row],[timeFromValuation]])</f>
        <v>1</v>
      </c>
      <c r="I120" s="7">
        <f>IF((Table1[[#This Row],[Is Anniversery]]), Table1[[#This Row],[Assumed Contract Value ]],0)</f>
        <v>0</v>
      </c>
      <c r="J120" s="7">
        <f ca="1">IF(NOT(Table1[[#This Row],[Is Activation]]),OFFSET(Table1[[#This Row],[Income Credit Base]],-1,0)+Table1[[#This Row],[Purchase Payments]]+Table1[[#This Row],[Income Credit]],0)</f>
        <v>0</v>
      </c>
      <c r="K120" s="7">
        <f>IF(AND(Table1[[#This Row],[Is Activation]]=FALSE,Table1[[#This Row],[Is Anniversery]]=TRUE),Table1[[#This Row],[Income Credit Base]]*ICP,0)</f>
        <v>0</v>
      </c>
      <c r="L12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20" s="42" t="e">
        <f>IF(NOT(Table1[[#This Row],[Is Activation]]),(Table1[[#This Row],[Withdrawal Taken  ]]/Table1[[#This Row],[Assumed Contract Value ]]),0)</f>
        <v>#DIV/0!</v>
      </c>
      <c r="N12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20" s="5">
        <f>IF(NOT(Table1[[#This Row],[Has Lifetime Income Started]]),Table1[[#This Row],[Income Base]]*MAW,0)</f>
        <v>0</v>
      </c>
      <c r="P120" s="9" t="e">
        <f ca="1">IF(AND(Table1[[#This Row],[Has Lifetime Income Started]],Table1[[#This Row],[Is Anniversery]]),Table1[[#This Row],[Income Base]]*PIP,0)</f>
        <v>#DIV/0!</v>
      </c>
      <c r="Q120" s="37" t="b">
        <f t="shared" si="19"/>
        <v>1</v>
      </c>
      <c r="R120" s="10">
        <f>1/(1+InterestRate)^Table1[[#This Row],[timeFromValuation]]</f>
        <v>6.5072763710887174E-2</v>
      </c>
      <c r="S120" s="10">
        <f>Table1[[#This Row],[timeFromValuation]]</f>
        <v>56</v>
      </c>
      <c r="T120" s="10">
        <v>0</v>
      </c>
      <c r="U120" s="10">
        <v>0</v>
      </c>
      <c r="V120" s="10">
        <f>PRODUCT($T$8:$T120)</f>
        <v>0</v>
      </c>
      <c r="W120" s="10">
        <f>PRODUCT($U$8:$U120)</f>
        <v>0</v>
      </c>
      <c r="X120" s="117">
        <f>Table1[[#This Row],[Primary Annuitant Px]]+Table1[[#This Row],[Secondary Annuitant Py]]-Table1[[#This Row],[Primary Annuitant Px]]*Table1[[#This Row],[Secondary Annuitant Py]]</f>
        <v>0</v>
      </c>
      <c r="Y120" s="117">
        <f>PRODUCT($X$8:$X120)</f>
        <v>0</v>
      </c>
    </row>
    <row r="121" spans="1:25" x14ac:dyDescent="0.3">
      <c r="A121" s="34">
        <f t="shared" si="20"/>
        <v>113</v>
      </c>
      <c r="B121" s="32">
        <f ca="1">OFFSET(Table1[[#This Row],[Pay Period]],-1,0)+0.5</f>
        <v>56.5</v>
      </c>
      <c r="C121" s="29">
        <f t="shared" si="21"/>
        <v>56.5</v>
      </c>
      <c r="D121" s="36">
        <f t="shared" si="22"/>
        <v>0</v>
      </c>
      <c r="E121" s="36">
        <f t="shared" si="23"/>
        <v>0</v>
      </c>
      <c r="F121" s="36">
        <f>IF(Table1[[#This Row],[Assumed Contract Value ]]&gt;0.1,Table1[[#This Row],[timeFromValuation]]&gt;=Activation_Time,0)</f>
        <v>0</v>
      </c>
      <c r="G121" s="36">
        <v>0</v>
      </c>
      <c r="H121" s="36" t="b">
        <f>Table1[[#This Row],[timeFromValuation]]=INT(Table1[[#This Row],[timeFromValuation]])</f>
        <v>0</v>
      </c>
      <c r="I121" s="7">
        <f>IF((Table1[[#This Row],[Is Anniversery]]), Table1[[#This Row],[Assumed Contract Value ]],0)</f>
        <v>0</v>
      </c>
      <c r="J121" s="7">
        <f ca="1">IF(NOT(Table1[[#This Row],[Is Activation]]),OFFSET(Table1[[#This Row],[Income Credit Base]],-1,0)+Table1[[#This Row],[Purchase Payments]]+Table1[[#This Row],[Income Credit]],0)</f>
        <v>0</v>
      </c>
      <c r="K121" s="7">
        <f>IF(AND(Table1[[#This Row],[Is Activation]]=FALSE,Table1[[#This Row],[Is Anniversery]]=TRUE),Table1[[#This Row],[Income Credit Base]]*ICP,0)</f>
        <v>0</v>
      </c>
      <c r="L12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21" s="42" t="e">
        <f>IF(NOT(Table1[[#This Row],[Is Activation]]),(Table1[[#This Row],[Withdrawal Taken  ]]/Table1[[#This Row],[Assumed Contract Value ]]),0)</f>
        <v>#DIV/0!</v>
      </c>
      <c r="N12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21" s="5">
        <f>IF(NOT(Table1[[#This Row],[Has Lifetime Income Started]]),Table1[[#This Row],[Income Base]]*MAW,0)</f>
        <v>0</v>
      </c>
      <c r="P121" s="9">
        <f>IF(AND(Table1[[#This Row],[Has Lifetime Income Started]],Table1[[#This Row],[Is Anniversery]]),Table1[[#This Row],[Income Base]]*PIP,0)</f>
        <v>0</v>
      </c>
      <c r="Q121" s="37" t="b">
        <f t="shared" si="19"/>
        <v>1</v>
      </c>
      <c r="R121" s="10">
        <f>1/(1+InterestRate)^Table1[[#This Row],[timeFromValuation]]</f>
        <v>6.3504514852417329E-2</v>
      </c>
      <c r="S121" s="10">
        <f>Table1[[#This Row],[timeFromValuation]]</f>
        <v>56.5</v>
      </c>
      <c r="T121" s="10">
        <v>0</v>
      </c>
      <c r="U121" s="10">
        <v>0</v>
      </c>
      <c r="V121" s="10">
        <f>PRODUCT($T$8:$T121)</f>
        <v>0</v>
      </c>
      <c r="W121" s="10">
        <f>PRODUCT($U$8:$U121)</f>
        <v>0</v>
      </c>
      <c r="X121" s="117">
        <f>Table1[[#This Row],[Primary Annuitant Px]]+Table1[[#This Row],[Secondary Annuitant Py]]-Table1[[#This Row],[Primary Annuitant Px]]*Table1[[#This Row],[Secondary Annuitant Py]]</f>
        <v>0</v>
      </c>
      <c r="Y121" s="117">
        <f>PRODUCT($X$8:$X121)</f>
        <v>0</v>
      </c>
    </row>
    <row r="122" spans="1:25" x14ac:dyDescent="0.3">
      <c r="A122" s="34">
        <f t="shared" si="20"/>
        <v>114</v>
      </c>
      <c r="B122" s="32">
        <f ca="1">OFFSET(Table1[[#This Row],[Pay Period]],-1,0)+0.5</f>
        <v>57</v>
      </c>
      <c r="C122" s="29">
        <f t="shared" si="21"/>
        <v>57</v>
      </c>
      <c r="D122" s="36">
        <f t="shared" si="22"/>
        <v>0</v>
      </c>
      <c r="E122" s="36">
        <f t="shared" si="23"/>
        <v>0</v>
      </c>
      <c r="F122" s="36">
        <f>IF(Table1[[#This Row],[Assumed Contract Value ]]&gt;0.1,Table1[[#This Row],[timeFromValuation]]&gt;=Activation_Time,0)</f>
        <v>0</v>
      </c>
      <c r="G122" s="36">
        <v>0</v>
      </c>
      <c r="H122" s="36" t="b">
        <f>Table1[[#This Row],[timeFromValuation]]=INT(Table1[[#This Row],[timeFromValuation]])</f>
        <v>1</v>
      </c>
      <c r="I122" s="7">
        <f>IF((Table1[[#This Row],[Is Anniversery]]), Table1[[#This Row],[Assumed Contract Value ]],0)</f>
        <v>0</v>
      </c>
      <c r="J122" s="7">
        <f ca="1">IF(NOT(Table1[[#This Row],[Is Activation]]),OFFSET(Table1[[#This Row],[Income Credit Base]],-1,0)+Table1[[#This Row],[Purchase Payments]]+Table1[[#This Row],[Income Credit]],0)</f>
        <v>0</v>
      </c>
      <c r="K122" s="7">
        <f>IF(AND(Table1[[#This Row],[Is Activation]]=FALSE,Table1[[#This Row],[Is Anniversery]]=TRUE),Table1[[#This Row],[Income Credit Base]]*ICP,0)</f>
        <v>0</v>
      </c>
      <c r="L12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22" s="42" t="e">
        <f>IF(NOT(Table1[[#This Row],[Is Activation]]),(Table1[[#This Row],[Withdrawal Taken  ]]/Table1[[#This Row],[Assumed Contract Value ]]),0)</f>
        <v>#DIV/0!</v>
      </c>
      <c r="N12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22" s="5">
        <f>IF(NOT(Table1[[#This Row],[Has Lifetime Income Started]]),Table1[[#This Row],[Income Base]]*MAW,0)</f>
        <v>0</v>
      </c>
      <c r="P122" s="9" t="e">
        <f ca="1">IF(AND(Table1[[#This Row],[Has Lifetime Income Started]],Table1[[#This Row],[Is Anniversery]]),Table1[[#This Row],[Income Base]]*PIP,0)</f>
        <v>#DIV/0!</v>
      </c>
      <c r="Q122" s="37" t="b">
        <f t="shared" si="19"/>
        <v>1</v>
      </c>
      <c r="R122" s="10">
        <f>1/(1+InterestRate)^Table1[[#This Row],[timeFromValuation]]</f>
        <v>6.1974060677035397E-2</v>
      </c>
      <c r="S122" s="10">
        <f>Table1[[#This Row],[timeFromValuation]]</f>
        <v>57</v>
      </c>
      <c r="T122" s="10">
        <v>0</v>
      </c>
      <c r="U122" s="10">
        <v>0</v>
      </c>
      <c r="V122" s="10">
        <f>PRODUCT($T$8:$T122)</f>
        <v>0</v>
      </c>
      <c r="W122" s="10">
        <f>PRODUCT($U$8:$U122)</f>
        <v>0</v>
      </c>
      <c r="X122" s="117">
        <f>Table1[[#This Row],[Primary Annuitant Px]]+Table1[[#This Row],[Secondary Annuitant Py]]-Table1[[#This Row],[Primary Annuitant Px]]*Table1[[#This Row],[Secondary Annuitant Py]]</f>
        <v>0</v>
      </c>
      <c r="Y122" s="117">
        <f>PRODUCT($X$8:$X122)</f>
        <v>0</v>
      </c>
    </row>
    <row r="123" spans="1:25" x14ac:dyDescent="0.3">
      <c r="A123" s="34">
        <f t="shared" si="20"/>
        <v>115</v>
      </c>
      <c r="B123" s="32">
        <f ca="1">OFFSET(Table1[[#This Row],[Pay Period]],-1,0)+0.5</f>
        <v>57.5</v>
      </c>
      <c r="C123" s="29">
        <f t="shared" si="21"/>
        <v>57.5</v>
      </c>
      <c r="D123" s="36">
        <f t="shared" si="22"/>
        <v>0</v>
      </c>
      <c r="E123" s="36">
        <f t="shared" si="23"/>
        <v>0</v>
      </c>
      <c r="F123" s="36">
        <f>IF(Table1[[#This Row],[Assumed Contract Value ]]&gt;0.1,Table1[[#This Row],[timeFromValuation]]&gt;=Activation_Time,0)</f>
        <v>0</v>
      </c>
      <c r="G123" s="36">
        <v>0</v>
      </c>
      <c r="H123" s="36" t="b">
        <f>Table1[[#This Row],[timeFromValuation]]=INT(Table1[[#This Row],[timeFromValuation]])</f>
        <v>0</v>
      </c>
      <c r="I123" s="7">
        <f>IF((Table1[[#This Row],[Is Anniversery]]), Table1[[#This Row],[Assumed Contract Value ]],0)</f>
        <v>0</v>
      </c>
      <c r="J123" s="7">
        <f ca="1">IF(NOT(Table1[[#This Row],[Is Activation]]),OFFSET(Table1[[#This Row],[Income Credit Base]],-1,0)+Table1[[#This Row],[Purchase Payments]]+Table1[[#This Row],[Income Credit]],0)</f>
        <v>0</v>
      </c>
      <c r="K123" s="7">
        <f>IF(AND(Table1[[#This Row],[Is Activation]]=FALSE,Table1[[#This Row],[Is Anniversery]]=TRUE),Table1[[#This Row],[Income Credit Base]]*ICP,0)</f>
        <v>0</v>
      </c>
      <c r="L12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23" s="42" t="e">
        <f>IF(NOT(Table1[[#This Row],[Is Activation]]),(Table1[[#This Row],[Withdrawal Taken  ]]/Table1[[#This Row],[Assumed Contract Value ]]),0)</f>
        <v>#DIV/0!</v>
      </c>
      <c r="N12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23" s="5">
        <f>IF(NOT(Table1[[#This Row],[Has Lifetime Income Started]]),Table1[[#This Row],[Income Base]]*MAW,0)</f>
        <v>0</v>
      </c>
      <c r="P123" s="9">
        <f>IF(AND(Table1[[#This Row],[Has Lifetime Income Started]],Table1[[#This Row],[Is Anniversery]]),Table1[[#This Row],[Income Base]]*PIP,0)</f>
        <v>0</v>
      </c>
      <c r="Q123" s="37" t="b">
        <f t="shared" si="19"/>
        <v>1</v>
      </c>
      <c r="R123" s="10">
        <f>1/(1+InterestRate)^Table1[[#This Row],[timeFromValuation]]</f>
        <v>6.0480490335635545E-2</v>
      </c>
      <c r="S123" s="10">
        <f>Table1[[#This Row],[timeFromValuation]]</f>
        <v>57.5</v>
      </c>
      <c r="T123" s="10">
        <v>0</v>
      </c>
      <c r="U123" s="10">
        <v>0</v>
      </c>
      <c r="V123" s="10">
        <f>PRODUCT($T$8:$T123)</f>
        <v>0</v>
      </c>
      <c r="W123" s="10">
        <f>PRODUCT($U$8:$U123)</f>
        <v>0</v>
      </c>
      <c r="X123" s="117">
        <f>Table1[[#This Row],[Primary Annuitant Px]]+Table1[[#This Row],[Secondary Annuitant Py]]-Table1[[#This Row],[Primary Annuitant Px]]*Table1[[#This Row],[Secondary Annuitant Py]]</f>
        <v>0</v>
      </c>
      <c r="Y123" s="117">
        <f>PRODUCT($X$8:$X123)</f>
        <v>0</v>
      </c>
    </row>
    <row r="124" spans="1:25" x14ac:dyDescent="0.3">
      <c r="A124" s="34">
        <f t="shared" si="20"/>
        <v>116</v>
      </c>
      <c r="B124" s="32">
        <f ca="1">OFFSET(Table1[[#This Row],[Pay Period]],-1,0)+0.5</f>
        <v>58</v>
      </c>
      <c r="C124" s="29">
        <f t="shared" si="21"/>
        <v>58</v>
      </c>
      <c r="D124" s="36">
        <f t="shared" si="22"/>
        <v>0</v>
      </c>
      <c r="E124" s="36">
        <f t="shared" si="23"/>
        <v>0</v>
      </c>
      <c r="F124" s="36">
        <f>IF(Table1[[#This Row],[Assumed Contract Value ]]&gt;0.1,Table1[[#This Row],[timeFromValuation]]&gt;=Activation_Time,0)</f>
        <v>0</v>
      </c>
      <c r="G124" s="36">
        <v>0</v>
      </c>
      <c r="H124" s="36" t="b">
        <f>Table1[[#This Row],[timeFromValuation]]=INT(Table1[[#This Row],[timeFromValuation]])</f>
        <v>1</v>
      </c>
      <c r="I124" s="7">
        <f>IF((Table1[[#This Row],[Is Anniversery]]), Table1[[#This Row],[Assumed Contract Value ]],0)</f>
        <v>0</v>
      </c>
      <c r="J124" s="7">
        <f ca="1">IF(NOT(Table1[[#This Row],[Is Activation]]),OFFSET(Table1[[#This Row],[Income Credit Base]],-1,0)+Table1[[#This Row],[Purchase Payments]]+Table1[[#This Row],[Income Credit]],0)</f>
        <v>0</v>
      </c>
      <c r="K124" s="7">
        <f>IF(AND(Table1[[#This Row],[Is Activation]]=FALSE,Table1[[#This Row],[Is Anniversery]]=TRUE),Table1[[#This Row],[Income Credit Base]]*ICP,0)</f>
        <v>0</v>
      </c>
      <c r="L12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24" s="42" t="e">
        <f>IF(NOT(Table1[[#This Row],[Is Activation]]),(Table1[[#This Row],[Withdrawal Taken  ]]/Table1[[#This Row],[Assumed Contract Value ]]),0)</f>
        <v>#DIV/0!</v>
      </c>
      <c r="N12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24" s="5">
        <f>IF(NOT(Table1[[#This Row],[Has Lifetime Income Started]]),Table1[[#This Row],[Income Base]]*MAW,0)</f>
        <v>0</v>
      </c>
      <c r="P124" s="9" t="e">
        <f ca="1">IF(AND(Table1[[#This Row],[Has Lifetime Income Started]],Table1[[#This Row],[Is Anniversery]]),Table1[[#This Row],[Income Base]]*PIP,0)</f>
        <v>#DIV/0!</v>
      </c>
      <c r="Q124" s="37" t="b">
        <f t="shared" si="19"/>
        <v>1</v>
      </c>
      <c r="R124" s="10">
        <f>1/(1+InterestRate)^Table1[[#This Row],[timeFromValuation]]</f>
        <v>5.9022914930509894E-2</v>
      </c>
      <c r="S124" s="10">
        <f>Table1[[#This Row],[timeFromValuation]]</f>
        <v>58</v>
      </c>
      <c r="T124" s="10">
        <v>0</v>
      </c>
      <c r="U124" s="10">
        <v>0</v>
      </c>
      <c r="V124" s="10">
        <f>PRODUCT($T$8:$T124)</f>
        <v>0</v>
      </c>
      <c r="W124" s="10">
        <f>PRODUCT($U$8:$U124)</f>
        <v>0</v>
      </c>
      <c r="X124" s="117">
        <f>Table1[[#This Row],[Primary Annuitant Px]]+Table1[[#This Row],[Secondary Annuitant Py]]-Table1[[#This Row],[Primary Annuitant Px]]*Table1[[#This Row],[Secondary Annuitant Py]]</f>
        <v>0</v>
      </c>
      <c r="Y124" s="117">
        <f>PRODUCT($X$8:$X124)</f>
        <v>0</v>
      </c>
    </row>
    <row r="125" spans="1:25" x14ac:dyDescent="0.3">
      <c r="A125" s="34">
        <f t="shared" si="20"/>
        <v>117</v>
      </c>
      <c r="B125" s="32">
        <f ca="1">OFFSET(Table1[[#This Row],[Pay Period]],-1,0)+0.5</f>
        <v>58.5</v>
      </c>
      <c r="C125" s="29">
        <f t="shared" si="21"/>
        <v>58.5</v>
      </c>
      <c r="D125" s="36">
        <f t="shared" si="22"/>
        <v>0</v>
      </c>
      <c r="E125" s="36">
        <f t="shared" si="23"/>
        <v>0</v>
      </c>
      <c r="F125" s="36">
        <f>IF(Table1[[#This Row],[Assumed Contract Value ]]&gt;0.1,Table1[[#This Row],[timeFromValuation]]&gt;=Activation_Time,0)</f>
        <v>0</v>
      </c>
      <c r="G125" s="36">
        <v>0</v>
      </c>
      <c r="H125" s="36" t="b">
        <f>Table1[[#This Row],[timeFromValuation]]=INT(Table1[[#This Row],[timeFromValuation]])</f>
        <v>0</v>
      </c>
      <c r="I125" s="7">
        <f>IF((Table1[[#This Row],[Is Anniversery]]), Table1[[#This Row],[Assumed Contract Value ]],0)</f>
        <v>0</v>
      </c>
      <c r="J125" s="7">
        <f ca="1">IF(NOT(Table1[[#This Row],[Is Activation]]),OFFSET(Table1[[#This Row],[Income Credit Base]],-1,0)+Table1[[#This Row],[Purchase Payments]]+Table1[[#This Row],[Income Credit]],0)</f>
        <v>0</v>
      </c>
      <c r="K125" s="7">
        <f>IF(AND(Table1[[#This Row],[Is Activation]]=FALSE,Table1[[#This Row],[Is Anniversery]]=TRUE),Table1[[#This Row],[Income Credit Base]]*ICP,0)</f>
        <v>0</v>
      </c>
      <c r="L12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25" s="42" t="e">
        <f>IF(NOT(Table1[[#This Row],[Is Activation]]),(Table1[[#This Row],[Withdrawal Taken  ]]/Table1[[#This Row],[Assumed Contract Value ]]),0)</f>
        <v>#DIV/0!</v>
      </c>
      <c r="N12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25" s="5">
        <f>IF(NOT(Table1[[#This Row],[Has Lifetime Income Started]]),Table1[[#This Row],[Income Base]]*MAW,0)</f>
        <v>0</v>
      </c>
      <c r="P125" s="9">
        <f>IF(AND(Table1[[#This Row],[Has Lifetime Income Started]],Table1[[#This Row],[Is Anniversery]]),Table1[[#This Row],[Income Base]]*PIP,0)</f>
        <v>0</v>
      </c>
      <c r="Q125" s="37" t="b">
        <f t="shared" si="19"/>
        <v>1</v>
      </c>
      <c r="R125" s="10">
        <f>1/(1+InterestRate)^Table1[[#This Row],[timeFromValuation]]</f>
        <v>5.7600466986319585E-2</v>
      </c>
      <c r="S125" s="10">
        <f>Table1[[#This Row],[timeFromValuation]]</f>
        <v>58.5</v>
      </c>
      <c r="T125" s="10">
        <v>0</v>
      </c>
      <c r="U125" s="10">
        <v>0</v>
      </c>
      <c r="V125" s="10">
        <f>PRODUCT($T$8:$T125)</f>
        <v>0</v>
      </c>
      <c r="W125" s="10">
        <f>PRODUCT($U$8:$U125)</f>
        <v>0</v>
      </c>
      <c r="X125" s="117">
        <f>Table1[[#This Row],[Primary Annuitant Px]]+Table1[[#This Row],[Secondary Annuitant Py]]-Table1[[#This Row],[Primary Annuitant Px]]*Table1[[#This Row],[Secondary Annuitant Py]]</f>
        <v>0</v>
      </c>
      <c r="Y125" s="117">
        <f>PRODUCT($X$8:$X125)</f>
        <v>0</v>
      </c>
    </row>
    <row r="126" spans="1:25" x14ac:dyDescent="0.3">
      <c r="A126" s="34">
        <f t="shared" si="20"/>
        <v>118</v>
      </c>
      <c r="B126" s="32">
        <f ca="1">OFFSET(Table1[[#This Row],[Pay Period]],-1,0)+0.5</f>
        <v>59</v>
      </c>
      <c r="C126" s="29">
        <f t="shared" si="21"/>
        <v>59</v>
      </c>
      <c r="D126" s="36">
        <f t="shared" si="22"/>
        <v>0</v>
      </c>
      <c r="E126" s="36">
        <f t="shared" si="23"/>
        <v>0</v>
      </c>
      <c r="F126" s="36">
        <f>IF(Table1[[#This Row],[Assumed Contract Value ]]&gt;0.1,Table1[[#This Row],[timeFromValuation]]&gt;=Activation_Time,0)</f>
        <v>0</v>
      </c>
      <c r="G126" s="36">
        <v>0</v>
      </c>
      <c r="H126" s="36" t="b">
        <f>Table1[[#This Row],[timeFromValuation]]=INT(Table1[[#This Row],[timeFromValuation]])</f>
        <v>1</v>
      </c>
      <c r="I126" s="7">
        <f>IF((Table1[[#This Row],[Is Anniversery]]), Table1[[#This Row],[Assumed Contract Value ]],0)</f>
        <v>0</v>
      </c>
      <c r="J126" s="7">
        <f ca="1">IF(NOT(Table1[[#This Row],[Is Activation]]),OFFSET(Table1[[#This Row],[Income Credit Base]],-1,0)+Table1[[#This Row],[Purchase Payments]]+Table1[[#This Row],[Income Credit]],0)</f>
        <v>0</v>
      </c>
      <c r="K126" s="7">
        <f>IF(AND(Table1[[#This Row],[Is Activation]]=FALSE,Table1[[#This Row],[Is Anniversery]]=TRUE),Table1[[#This Row],[Income Credit Base]]*ICP,0)</f>
        <v>0</v>
      </c>
      <c r="L12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26" s="42" t="e">
        <f>IF(NOT(Table1[[#This Row],[Is Activation]]),(Table1[[#This Row],[Withdrawal Taken  ]]/Table1[[#This Row],[Assumed Contract Value ]]),0)</f>
        <v>#DIV/0!</v>
      </c>
      <c r="N12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26" s="5">
        <f>IF(NOT(Table1[[#This Row],[Has Lifetime Income Started]]),Table1[[#This Row],[Income Base]]*MAW,0)</f>
        <v>0</v>
      </c>
      <c r="P126" s="9" t="e">
        <f ca="1">IF(AND(Table1[[#This Row],[Has Lifetime Income Started]],Table1[[#This Row],[Is Anniversery]]),Table1[[#This Row],[Income Base]]*PIP,0)</f>
        <v>#DIV/0!</v>
      </c>
      <c r="Q126" s="37" t="b">
        <f t="shared" si="19"/>
        <v>1</v>
      </c>
      <c r="R126" s="10">
        <f>1/(1+InterestRate)^Table1[[#This Row],[timeFromValuation]]</f>
        <v>5.6212299933818946E-2</v>
      </c>
      <c r="S126" s="10">
        <f>Table1[[#This Row],[timeFromValuation]]</f>
        <v>59</v>
      </c>
      <c r="T126" s="10">
        <v>0</v>
      </c>
      <c r="U126" s="10">
        <v>0</v>
      </c>
      <c r="V126" s="10">
        <f>PRODUCT($T$8:$T126)</f>
        <v>0</v>
      </c>
      <c r="W126" s="10">
        <f>PRODUCT($U$8:$U126)</f>
        <v>0</v>
      </c>
      <c r="X126" s="117">
        <f>Table1[[#This Row],[Primary Annuitant Px]]+Table1[[#This Row],[Secondary Annuitant Py]]-Table1[[#This Row],[Primary Annuitant Px]]*Table1[[#This Row],[Secondary Annuitant Py]]</f>
        <v>0</v>
      </c>
      <c r="Y126" s="117">
        <f>PRODUCT($X$8:$X126)</f>
        <v>0</v>
      </c>
    </row>
    <row r="127" spans="1:25" x14ac:dyDescent="0.3">
      <c r="A127" s="34">
        <f t="shared" si="20"/>
        <v>119</v>
      </c>
      <c r="B127" s="32">
        <f ca="1">OFFSET(Table1[[#This Row],[Pay Period]],-1,0)+0.5</f>
        <v>59.5</v>
      </c>
      <c r="C127" s="29">
        <f t="shared" si="21"/>
        <v>59.5</v>
      </c>
      <c r="D127" s="36">
        <f t="shared" si="22"/>
        <v>0</v>
      </c>
      <c r="E127" s="36">
        <f t="shared" si="23"/>
        <v>0</v>
      </c>
      <c r="F127" s="36">
        <f>IF(Table1[[#This Row],[Assumed Contract Value ]]&gt;0.1,Table1[[#This Row],[timeFromValuation]]&gt;=Activation_Time,0)</f>
        <v>0</v>
      </c>
      <c r="G127" s="36">
        <v>0</v>
      </c>
      <c r="H127" s="36" t="b">
        <f>Table1[[#This Row],[timeFromValuation]]=INT(Table1[[#This Row],[timeFromValuation]])</f>
        <v>0</v>
      </c>
      <c r="I127" s="7">
        <f>IF((Table1[[#This Row],[Is Anniversery]]), Table1[[#This Row],[Assumed Contract Value ]],0)</f>
        <v>0</v>
      </c>
      <c r="J127" s="7">
        <f ca="1">IF(NOT(Table1[[#This Row],[Is Activation]]),OFFSET(Table1[[#This Row],[Income Credit Base]],-1,0)+Table1[[#This Row],[Purchase Payments]]+Table1[[#This Row],[Income Credit]],0)</f>
        <v>0</v>
      </c>
      <c r="K127" s="7">
        <f>IF(AND(Table1[[#This Row],[Is Activation]]=FALSE,Table1[[#This Row],[Is Anniversery]]=TRUE),Table1[[#This Row],[Income Credit Base]]*ICP,0)</f>
        <v>0</v>
      </c>
      <c r="L12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27" s="42" t="e">
        <f>IF(NOT(Table1[[#This Row],[Is Activation]]),(Table1[[#This Row],[Withdrawal Taken  ]]/Table1[[#This Row],[Assumed Contract Value ]]),0)</f>
        <v>#DIV/0!</v>
      </c>
      <c r="N12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27" s="5">
        <f>IF(NOT(Table1[[#This Row],[Has Lifetime Income Started]]),Table1[[#This Row],[Income Base]]*MAW,0)</f>
        <v>0</v>
      </c>
      <c r="P127" s="9">
        <f>IF(AND(Table1[[#This Row],[Has Lifetime Income Started]],Table1[[#This Row],[Is Anniversery]]),Table1[[#This Row],[Income Base]]*PIP,0)</f>
        <v>0</v>
      </c>
      <c r="Q127" s="37" t="b">
        <f t="shared" si="19"/>
        <v>1</v>
      </c>
      <c r="R127" s="10">
        <f>1/(1+InterestRate)^Table1[[#This Row],[timeFromValuation]]</f>
        <v>5.4857587606018644E-2</v>
      </c>
      <c r="S127" s="10">
        <f>Table1[[#This Row],[timeFromValuation]]</f>
        <v>59.5</v>
      </c>
      <c r="T127" s="10">
        <v>0</v>
      </c>
      <c r="U127" s="10">
        <v>0</v>
      </c>
      <c r="V127" s="10">
        <f>PRODUCT($T$8:$T127)</f>
        <v>0</v>
      </c>
      <c r="W127" s="10">
        <f>PRODUCT($U$8:$U127)</f>
        <v>0</v>
      </c>
      <c r="X127" s="117">
        <f>Table1[[#This Row],[Primary Annuitant Px]]+Table1[[#This Row],[Secondary Annuitant Py]]-Table1[[#This Row],[Primary Annuitant Px]]*Table1[[#This Row],[Secondary Annuitant Py]]</f>
        <v>0</v>
      </c>
      <c r="Y127" s="117">
        <f>PRODUCT($X$8:$X127)</f>
        <v>0</v>
      </c>
    </row>
    <row r="128" spans="1:25" x14ac:dyDescent="0.3">
      <c r="A128" s="34">
        <f t="shared" si="20"/>
        <v>120</v>
      </c>
      <c r="B128" s="32">
        <f ca="1">OFFSET(Table1[[#This Row],[Pay Period]],-1,0)+0.5</f>
        <v>60</v>
      </c>
      <c r="C128" s="29">
        <f t="shared" si="21"/>
        <v>60</v>
      </c>
      <c r="D128" s="36">
        <f t="shared" si="22"/>
        <v>0</v>
      </c>
      <c r="E128" s="36">
        <f t="shared" si="23"/>
        <v>0</v>
      </c>
      <c r="F128" s="36">
        <f>IF(Table1[[#This Row],[Assumed Contract Value ]]&gt;0.1,Table1[[#This Row],[timeFromValuation]]&gt;=Activation_Time,0)</f>
        <v>0</v>
      </c>
      <c r="G128" s="36">
        <v>0</v>
      </c>
      <c r="H128" s="36" t="b">
        <f>Table1[[#This Row],[timeFromValuation]]=INT(Table1[[#This Row],[timeFromValuation]])</f>
        <v>1</v>
      </c>
      <c r="I128" s="7">
        <f>IF((Table1[[#This Row],[Is Anniversery]]), Table1[[#This Row],[Assumed Contract Value ]],0)</f>
        <v>0</v>
      </c>
      <c r="J128" s="7">
        <f ca="1">IF(NOT(Table1[[#This Row],[Is Activation]]),OFFSET(Table1[[#This Row],[Income Credit Base]],-1,0)+Table1[[#This Row],[Purchase Payments]]+Table1[[#This Row],[Income Credit]],0)</f>
        <v>0</v>
      </c>
      <c r="K128" s="7">
        <f>IF(AND(Table1[[#This Row],[Is Activation]]=FALSE,Table1[[#This Row],[Is Anniversery]]=TRUE),Table1[[#This Row],[Income Credit Base]]*ICP,0)</f>
        <v>0</v>
      </c>
      <c r="L12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28" s="42" t="e">
        <f>IF(NOT(Table1[[#This Row],[Is Activation]]),(Table1[[#This Row],[Withdrawal Taken  ]]/Table1[[#This Row],[Assumed Contract Value ]]),0)</f>
        <v>#DIV/0!</v>
      </c>
      <c r="N12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28" s="5">
        <f>IF(NOT(Table1[[#This Row],[Has Lifetime Income Started]]),Table1[[#This Row],[Income Base]]*MAW,0)</f>
        <v>0</v>
      </c>
      <c r="P128" s="9" t="e">
        <f ca="1">IF(AND(Table1[[#This Row],[Has Lifetime Income Started]],Table1[[#This Row],[Is Anniversery]]),Table1[[#This Row],[Income Base]]*PIP,0)</f>
        <v>#DIV/0!</v>
      </c>
      <c r="Q128" s="37" t="b">
        <f t="shared" si="19"/>
        <v>1</v>
      </c>
      <c r="R128" s="10">
        <f>1/(1+InterestRate)^Table1[[#This Row],[timeFromValuation]]</f>
        <v>5.3535523746494243E-2</v>
      </c>
      <c r="S128" s="10">
        <f>Table1[[#This Row],[timeFromValuation]]</f>
        <v>60</v>
      </c>
      <c r="T128" s="10">
        <v>0</v>
      </c>
      <c r="U128" s="10">
        <v>0</v>
      </c>
      <c r="V128" s="10">
        <f>PRODUCT($T$8:$T128)</f>
        <v>0</v>
      </c>
      <c r="W128" s="10">
        <f>PRODUCT($U$8:$U128)</f>
        <v>0</v>
      </c>
      <c r="X128" s="10">
        <f>Table1[[#This Row],[Primary Annuitant Px]]+Table1[[#This Row],[Secondary Annuitant Py]]-Table1[[#This Row],[Primary Annuitant Px]]*Table1[[#This Row],[Secondary Annuitant Py]]</f>
        <v>0</v>
      </c>
      <c r="Y128" s="10">
        <f>PRODUCT($X$8:$X128)</f>
        <v>0</v>
      </c>
    </row>
    <row r="129" spans="1:25" x14ac:dyDescent="0.3">
      <c r="A129" s="34">
        <f t="shared" si="20"/>
        <v>121</v>
      </c>
      <c r="B129" s="32">
        <f ca="1">OFFSET(Table1[[#This Row],[Pay Period]],-1,0)+0.5</f>
        <v>60.5</v>
      </c>
      <c r="C129" s="29">
        <f t="shared" si="21"/>
        <v>60.5</v>
      </c>
      <c r="D129" s="36">
        <f t="shared" si="22"/>
        <v>0</v>
      </c>
      <c r="E129" s="36">
        <f t="shared" si="23"/>
        <v>0</v>
      </c>
      <c r="F129" s="36">
        <f>IF(Table1[[#This Row],[Assumed Contract Value ]]&gt;0.1,Table1[[#This Row],[timeFromValuation]]&gt;=Activation_Time,0)</f>
        <v>0</v>
      </c>
      <c r="G129" s="36">
        <v>0</v>
      </c>
      <c r="H129" s="36" t="b">
        <f>Table1[[#This Row],[timeFromValuation]]=INT(Table1[[#This Row],[timeFromValuation]])</f>
        <v>0</v>
      </c>
      <c r="I129" s="7">
        <f>IF((Table1[[#This Row],[Is Anniversery]]), Table1[[#This Row],[Assumed Contract Value ]],0)</f>
        <v>0</v>
      </c>
      <c r="J129" s="7">
        <f ca="1">IF(NOT(Table1[[#This Row],[Is Activation]]),OFFSET(Table1[[#This Row],[Income Credit Base]],-1,0)+Table1[[#This Row],[Purchase Payments]]+Table1[[#This Row],[Income Credit]],0)</f>
        <v>0</v>
      </c>
      <c r="K129" s="7">
        <f>IF(AND(Table1[[#This Row],[Is Activation]]=FALSE,Table1[[#This Row],[Is Anniversery]]=TRUE),Table1[[#This Row],[Income Credit Base]]*ICP,0)</f>
        <v>0</v>
      </c>
      <c r="L12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29" s="42" t="e">
        <f>IF(NOT(Table1[[#This Row],[Is Activation]]),(Table1[[#This Row],[Withdrawal Taken  ]]/Table1[[#This Row],[Assumed Contract Value ]]),0)</f>
        <v>#DIV/0!</v>
      </c>
      <c r="N12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29" s="5">
        <f>IF(NOT(Table1[[#This Row],[Has Lifetime Income Started]]),Table1[[#This Row],[Income Base]]*MAW,0)</f>
        <v>0</v>
      </c>
      <c r="P129" s="9">
        <f>IF(AND(Table1[[#This Row],[Has Lifetime Income Started]],Table1[[#This Row],[Is Anniversery]]),Table1[[#This Row],[Income Base]]*PIP,0)</f>
        <v>0</v>
      </c>
      <c r="Q129" s="37" t="b">
        <f t="shared" si="19"/>
        <v>1</v>
      </c>
      <c r="R129" s="10">
        <f>1/(1+InterestRate)^Table1[[#This Row],[timeFromValuation]]</f>
        <v>5.2245321529541554E-2</v>
      </c>
      <c r="S129" s="10">
        <f>Table1[[#This Row],[timeFromValuation]]</f>
        <v>60.5</v>
      </c>
      <c r="T129" s="10">
        <v>0</v>
      </c>
      <c r="U129" s="10">
        <v>0</v>
      </c>
      <c r="V129" s="10">
        <f>PRODUCT($T$8:$T129)</f>
        <v>0</v>
      </c>
      <c r="W129" s="10">
        <f>PRODUCT($U$8:$U129)</f>
        <v>0</v>
      </c>
      <c r="X129" s="10">
        <f>Table1[[#This Row],[Primary Annuitant Px]]+Table1[[#This Row],[Secondary Annuitant Py]]-Table1[[#This Row],[Primary Annuitant Px]]*Table1[[#This Row],[Secondary Annuitant Py]]</f>
        <v>0</v>
      </c>
      <c r="Y129" s="10">
        <f>PRODUCT($X$8:$X129)</f>
        <v>0</v>
      </c>
    </row>
    <row r="130" spans="1:25" x14ac:dyDescent="0.3">
      <c r="A130" s="34">
        <f t="shared" si="20"/>
        <v>122</v>
      </c>
      <c r="B130" s="32">
        <f ca="1">OFFSET(Table1[[#This Row],[Pay Period]],-1,0)+0.5</f>
        <v>61</v>
      </c>
      <c r="C130" s="29">
        <f t="shared" si="21"/>
        <v>61</v>
      </c>
      <c r="D130" s="36">
        <f t="shared" si="22"/>
        <v>0</v>
      </c>
      <c r="E130" s="36">
        <f t="shared" si="23"/>
        <v>0</v>
      </c>
      <c r="F130" s="36">
        <f>IF(Table1[[#This Row],[Assumed Contract Value ]]&gt;0.1,Table1[[#This Row],[timeFromValuation]]&gt;=Activation_Time,0)</f>
        <v>0</v>
      </c>
      <c r="G130" s="36">
        <v>0</v>
      </c>
      <c r="H130" s="36" t="b">
        <f>Table1[[#This Row],[timeFromValuation]]=INT(Table1[[#This Row],[timeFromValuation]])</f>
        <v>1</v>
      </c>
      <c r="I130" s="7">
        <f>IF((Table1[[#This Row],[Is Anniversery]]), Table1[[#This Row],[Assumed Contract Value ]],0)</f>
        <v>0</v>
      </c>
      <c r="J130" s="7">
        <f ca="1">IF(NOT(Table1[[#This Row],[Is Activation]]),OFFSET(Table1[[#This Row],[Income Credit Base]],-1,0)+Table1[[#This Row],[Purchase Payments]]+Table1[[#This Row],[Income Credit]],0)</f>
        <v>0</v>
      </c>
      <c r="K130" s="7">
        <f>IF(AND(Table1[[#This Row],[Is Activation]]=FALSE,Table1[[#This Row],[Is Anniversery]]=TRUE),Table1[[#This Row],[Income Credit Base]]*ICP,0)</f>
        <v>0</v>
      </c>
      <c r="L13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30" s="42" t="e">
        <f>IF(NOT(Table1[[#This Row],[Is Activation]]),(Table1[[#This Row],[Withdrawal Taken  ]]/Table1[[#This Row],[Assumed Contract Value ]]),0)</f>
        <v>#DIV/0!</v>
      </c>
      <c r="N13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30" s="5">
        <f>IF(NOT(Table1[[#This Row],[Has Lifetime Income Started]]),Table1[[#This Row],[Income Base]]*MAW,0)</f>
        <v>0</v>
      </c>
      <c r="P130" s="9" t="e">
        <f ca="1">IF(AND(Table1[[#This Row],[Has Lifetime Income Started]],Table1[[#This Row],[Is Anniversery]]),Table1[[#This Row],[Income Base]]*PIP,0)</f>
        <v>#DIV/0!</v>
      </c>
      <c r="Q130" s="37" t="b">
        <f t="shared" si="19"/>
        <v>1</v>
      </c>
      <c r="R130" s="10">
        <f>1/(1+InterestRate)^Table1[[#This Row],[timeFromValuation]]</f>
        <v>5.0986213091899268E-2</v>
      </c>
      <c r="S130" s="10">
        <f>Table1[[#This Row],[timeFromValuation]]</f>
        <v>61</v>
      </c>
      <c r="T130" s="10">
        <v>0</v>
      </c>
      <c r="U130" s="10">
        <v>0</v>
      </c>
      <c r="V130" s="10">
        <f>PRODUCT($T$8:$T130)</f>
        <v>0</v>
      </c>
      <c r="W130" s="10">
        <f>PRODUCT($U$8:$U130)</f>
        <v>0</v>
      </c>
      <c r="X130" s="10">
        <f>Table1[[#This Row],[Primary Annuitant Px]]+Table1[[#This Row],[Secondary Annuitant Py]]-Table1[[#This Row],[Primary Annuitant Px]]*Table1[[#This Row],[Secondary Annuitant Py]]</f>
        <v>0</v>
      </c>
      <c r="Y130" s="10">
        <f>PRODUCT($X$8:$X130)</f>
        <v>0</v>
      </c>
    </row>
    <row r="131" spans="1:25" x14ac:dyDescent="0.3">
      <c r="A131" s="34">
        <f t="shared" si="20"/>
        <v>123</v>
      </c>
      <c r="B131" s="32">
        <f ca="1">OFFSET(Table1[[#This Row],[Pay Period]],-1,0)+0.5</f>
        <v>61.5</v>
      </c>
      <c r="C131" s="29">
        <f t="shared" si="21"/>
        <v>61.5</v>
      </c>
      <c r="D131" s="36">
        <f t="shared" si="22"/>
        <v>0</v>
      </c>
      <c r="E131" s="36">
        <f t="shared" si="23"/>
        <v>0</v>
      </c>
      <c r="F131" s="36">
        <f>IF(Table1[[#This Row],[Assumed Contract Value ]]&gt;0.1,Table1[[#This Row],[timeFromValuation]]&gt;=Activation_Time,0)</f>
        <v>0</v>
      </c>
      <c r="G131" s="36">
        <v>0</v>
      </c>
      <c r="H131" s="36" t="b">
        <f>Table1[[#This Row],[timeFromValuation]]=INT(Table1[[#This Row],[timeFromValuation]])</f>
        <v>0</v>
      </c>
      <c r="I131" s="7">
        <f>IF((Table1[[#This Row],[Is Anniversery]]), Table1[[#This Row],[Assumed Contract Value ]],0)</f>
        <v>0</v>
      </c>
      <c r="J131" s="7">
        <f ca="1">IF(NOT(Table1[[#This Row],[Is Activation]]),OFFSET(Table1[[#This Row],[Income Credit Base]],-1,0)+Table1[[#This Row],[Purchase Payments]]+Table1[[#This Row],[Income Credit]],0)</f>
        <v>0</v>
      </c>
      <c r="K131" s="7">
        <f>IF(AND(Table1[[#This Row],[Is Activation]]=FALSE,Table1[[#This Row],[Is Anniversery]]=TRUE),Table1[[#This Row],[Income Credit Base]]*ICP,0)</f>
        <v>0</v>
      </c>
      <c r="L13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31" s="42" t="e">
        <f>IF(NOT(Table1[[#This Row],[Is Activation]]),(Table1[[#This Row],[Withdrawal Taken  ]]/Table1[[#This Row],[Assumed Contract Value ]]),0)</f>
        <v>#DIV/0!</v>
      </c>
      <c r="N13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31" s="5">
        <f>IF(NOT(Table1[[#This Row],[Has Lifetime Income Started]]),Table1[[#This Row],[Income Base]]*MAW,0)</f>
        <v>0</v>
      </c>
      <c r="P131" s="9">
        <f>IF(AND(Table1[[#This Row],[Has Lifetime Income Started]],Table1[[#This Row],[Is Anniversery]]),Table1[[#This Row],[Income Base]]*PIP,0)</f>
        <v>0</v>
      </c>
      <c r="Q131" s="37" t="b">
        <f t="shared" si="19"/>
        <v>1</v>
      </c>
      <c r="R131" s="10">
        <f>1/(1+InterestRate)^Table1[[#This Row],[timeFromValuation]]</f>
        <v>4.9757449075753857E-2</v>
      </c>
      <c r="S131" s="10">
        <f>Table1[[#This Row],[timeFromValuation]]</f>
        <v>61.5</v>
      </c>
      <c r="T131" s="10">
        <v>0</v>
      </c>
      <c r="U131" s="10">
        <v>0</v>
      </c>
      <c r="V131" s="10">
        <f>PRODUCT($T$8:$T131)</f>
        <v>0</v>
      </c>
      <c r="W131" s="10">
        <f>PRODUCT($U$8:$U131)</f>
        <v>0</v>
      </c>
      <c r="X131" s="10">
        <f>Table1[[#This Row],[Primary Annuitant Px]]+Table1[[#This Row],[Secondary Annuitant Py]]-Table1[[#This Row],[Primary Annuitant Px]]*Table1[[#This Row],[Secondary Annuitant Py]]</f>
        <v>0</v>
      </c>
      <c r="Y131" s="10">
        <f>PRODUCT($X$8:$X131)</f>
        <v>0</v>
      </c>
    </row>
    <row r="132" spans="1:25" x14ac:dyDescent="0.3">
      <c r="A132" s="34">
        <f t="shared" si="20"/>
        <v>124</v>
      </c>
      <c r="B132" s="32">
        <f ca="1">OFFSET(Table1[[#This Row],[Pay Period]],-1,0)+0.5</f>
        <v>62</v>
      </c>
      <c r="C132" s="29">
        <f t="shared" si="21"/>
        <v>62</v>
      </c>
      <c r="D132" s="36">
        <f t="shared" si="22"/>
        <v>0</v>
      </c>
      <c r="E132" s="36">
        <f t="shared" si="23"/>
        <v>0</v>
      </c>
      <c r="F132" s="36">
        <f>IF(Table1[[#This Row],[Assumed Contract Value ]]&gt;0.1,Table1[[#This Row],[timeFromValuation]]&gt;=Activation_Time,0)</f>
        <v>0</v>
      </c>
      <c r="G132" s="36">
        <v>0</v>
      </c>
      <c r="H132" s="36" t="b">
        <f>Table1[[#This Row],[timeFromValuation]]=INT(Table1[[#This Row],[timeFromValuation]])</f>
        <v>1</v>
      </c>
      <c r="I132" s="7">
        <f>IF((Table1[[#This Row],[Is Anniversery]]), Table1[[#This Row],[Assumed Contract Value ]],0)</f>
        <v>0</v>
      </c>
      <c r="J132" s="7">
        <f ca="1">IF(NOT(Table1[[#This Row],[Is Activation]]),OFFSET(Table1[[#This Row],[Income Credit Base]],-1,0)+Table1[[#This Row],[Purchase Payments]]+Table1[[#This Row],[Income Credit]],0)</f>
        <v>0</v>
      </c>
      <c r="K132" s="7">
        <f>IF(AND(Table1[[#This Row],[Is Activation]]=FALSE,Table1[[#This Row],[Is Anniversery]]=TRUE),Table1[[#This Row],[Income Credit Base]]*ICP,0)</f>
        <v>0</v>
      </c>
      <c r="L13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32" s="42" t="e">
        <f>IF(NOT(Table1[[#This Row],[Is Activation]]),(Table1[[#This Row],[Withdrawal Taken  ]]/Table1[[#This Row],[Assumed Contract Value ]]),0)</f>
        <v>#DIV/0!</v>
      </c>
      <c r="N13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32" s="5">
        <f>IF(NOT(Table1[[#This Row],[Has Lifetime Income Started]]),Table1[[#This Row],[Income Base]]*MAW,0)</f>
        <v>0</v>
      </c>
      <c r="P132" s="9" t="e">
        <f ca="1">IF(AND(Table1[[#This Row],[Has Lifetime Income Started]],Table1[[#This Row],[Is Anniversery]]),Table1[[#This Row],[Income Base]]*PIP,0)</f>
        <v>#DIV/0!</v>
      </c>
      <c r="Q132" s="37" t="b">
        <f t="shared" si="19"/>
        <v>1</v>
      </c>
      <c r="R132" s="10">
        <f>1/(1+InterestRate)^Table1[[#This Row],[timeFromValuation]]</f>
        <v>4.855829818276123E-2</v>
      </c>
      <c r="S132" s="10">
        <f>Table1[[#This Row],[timeFromValuation]]</f>
        <v>62</v>
      </c>
      <c r="T132" s="10">
        <v>0</v>
      </c>
      <c r="U132" s="10">
        <v>0</v>
      </c>
      <c r="V132" s="10">
        <f>PRODUCT($T$8:$T132)</f>
        <v>0</v>
      </c>
      <c r="W132" s="10">
        <f>PRODUCT($U$8:$U132)</f>
        <v>0</v>
      </c>
      <c r="X132" s="10">
        <f>Table1[[#This Row],[Primary Annuitant Px]]+Table1[[#This Row],[Secondary Annuitant Py]]-Table1[[#This Row],[Primary Annuitant Px]]*Table1[[#This Row],[Secondary Annuitant Py]]</f>
        <v>0</v>
      </c>
      <c r="Y132" s="10">
        <f>PRODUCT($X$8:$X132)</f>
        <v>0</v>
      </c>
    </row>
    <row r="133" spans="1:25" x14ac:dyDescent="0.3">
      <c r="A133" s="34">
        <f t="shared" si="20"/>
        <v>125</v>
      </c>
      <c r="B133" s="32">
        <f ca="1">OFFSET(Table1[[#This Row],[Pay Period]],-1,0)+0.5</f>
        <v>62.5</v>
      </c>
      <c r="C133" s="29">
        <f t="shared" si="21"/>
        <v>62.5</v>
      </c>
      <c r="D133" s="36">
        <f t="shared" si="22"/>
        <v>0</v>
      </c>
      <c r="E133" s="36">
        <f t="shared" si="23"/>
        <v>0</v>
      </c>
      <c r="F133" s="36">
        <f>IF(Table1[[#This Row],[Assumed Contract Value ]]&gt;0.1,Table1[[#This Row],[timeFromValuation]]&gt;=Activation_Time,0)</f>
        <v>0</v>
      </c>
      <c r="G133" s="36">
        <v>0</v>
      </c>
      <c r="H133" s="36" t="b">
        <f>Table1[[#This Row],[timeFromValuation]]=INT(Table1[[#This Row],[timeFromValuation]])</f>
        <v>0</v>
      </c>
      <c r="I133" s="7">
        <f>IF((Table1[[#This Row],[Is Anniversery]]), Table1[[#This Row],[Assumed Contract Value ]],0)</f>
        <v>0</v>
      </c>
      <c r="J133" s="7">
        <f ca="1">IF(NOT(Table1[[#This Row],[Is Activation]]),OFFSET(Table1[[#This Row],[Income Credit Base]],-1,0)+Table1[[#This Row],[Purchase Payments]]+Table1[[#This Row],[Income Credit]],0)</f>
        <v>0</v>
      </c>
      <c r="K133" s="7">
        <f>IF(AND(Table1[[#This Row],[Is Activation]]=FALSE,Table1[[#This Row],[Is Anniversery]]=TRUE),Table1[[#This Row],[Income Credit Base]]*ICP,0)</f>
        <v>0</v>
      </c>
      <c r="L13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33" s="42" t="e">
        <f>IF(NOT(Table1[[#This Row],[Is Activation]]),(Table1[[#This Row],[Withdrawal Taken  ]]/Table1[[#This Row],[Assumed Contract Value ]]),0)</f>
        <v>#DIV/0!</v>
      </c>
      <c r="N13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33" s="5">
        <f>IF(NOT(Table1[[#This Row],[Has Lifetime Income Started]]),Table1[[#This Row],[Income Base]]*MAW,0)</f>
        <v>0</v>
      </c>
      <c r="P133" s="9">
        <f>IF(AND(Table1[[#This Row],[Has Lifetime Income Started]],Table1[[#This Row],[Is Anniversery]]),Table1[[#This Row],[Income Base]]*PIP,0)</f>
        <v>0</v>
      </c>
      <c r="Q133" s="37" t="b">
        <f t="shared" si="19"/>
        <v>1</v>
      </c>
      <c r="R133" s="10">
        <f>1/(1+InterestRate)^Table1[[#This Row],[timeFromValuation]]</f>
        <v>4.7388046738813201E-2</v>
      </c>
      <c r="S133" s="10">
        <f>Table1[[#This Row],[timeFromValuation]]</f>
        <v>62.5</v>
      </c>
      <c r="T133" s="10">
        <v>0</v>
      </c>
      <c r="U133" s="10">
        <v>0</v>
      </c>
      <c r="V133" s="10">
        <f>PRODUCT($T$8:$T133)</f>
        <v>0</v>
      </c>
      <c r="W133" s="10">
        <f>PRODUCT($U$8:$U133)</f>
        <v>0</v>
      </c>
      <c r="X133" s="10">
        <f>Table1[[#This Row],[Primary Annuitant Px]]+Table1[[#This Row],[Secondary Annuitant Py]]-Table1[[#This Row],[Primary Annuitant Px]]*Table1[[#This Row],[Secondary Annuitant Py]]</f>
        <v>0</v>
      </c>
      <c r="Y133" s="10">
        <f>PRODUCT($X$8:$X133)</f>
        <v>0</v>
      </c>
    </row>
    <row r="134" spans="1:25" x14ac:dyDescent="0.3">
      <c r="A134" s="34">
        <f t="shared" si="20"/>
        <v>126</v>
      </c>
      <c r="B134" s="32">
        <f ca="1">OFFSET(Table1[[#This Row],[Pay Period]],-1,0)+0.5</f>
        <v>63</v>
      </c>
      <c r="C134" s="29">
        <f t="shared" si="21"/>
        <v>63</v>
      </c>
      <c r="D134" s="36">
        <f t="shared" si="22"/>
        <v>0</v>
      </c>
      <c r="E134" s="36">
        <f t="shared" si="23"/>
        <v>0</v>
      </c>
      <c r="F134" s="36">
        <f>IF(Table1[[#This Row],[Assumed Contract Value ]]&gt;0.1,Table1[[#This Row],[timeFromValuation]]&gt;=Activation_Time,0)</f>
        <v>0</v>
      </c>
      <c r="G134" s="36">
        <v>0</v>
      </c>
      <c r="H134" s="36" t="b">
        <f>Table1[[#This Row],[timeFromValuation]]=INT(Table1[[#This Row],[timeFromValuation]])</f>
        <v>1</v>
      </c>
      <c r="I134" s="7">
        <f>IF((Table1[[#This Row],[Is Anniversery]]), Table1[[#This Row],[Assumed Contract Value ]],0)</f>
        <v>0</v>
      </c>
      <c r="J134" s="7">
        <f ca="1">IF(NOT(Table1[[#This Row],[Is Activation]]),OFFSET(Table1[[#This Row],[Income Credit Base]],-1,0)+Table1[[#This Row],[Purchase Payments]]+Table1[[#This Row],[Income Credit]],0)</f>
        <v>0</v>
      </c>
      <c r="K134" s="7">
        <f>IF(AND(Table1[[#This Row],[Is Activation]]=FALSE,Table1[[#This Row],[Is Anniversery]]=TRUE),Table1[[#This Row],[Income Credit Base]]*ICP,0)</f>
        <v>0</v>
      </c>
      <c r="L13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34" s="42" t="e">
        <f>IF(NOT(Table1[[#This Row],[Is Activation]]),(Table1[[#This Row],[Withdrawal Taken  ]]/Table1[[#This Row],[Assumed Contract Value ]]),0)</f>
        <v>#DIV/0!</v>
      </c>
      <c r="N13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34" s="5">
        <f>IF(NOT(Table1[[#This Row],[Has Lifetime Income Started]]),Table1[[#This Row],[Income Base]]*MAW,0)</f>
        <v>0</v>
      </c>
      <c r="P134" s="9" t="e">
        <f ca="1">IF(AND(Table1[[#This Row],[Has Lifetime Income Started]],Table1[[#This Row],[Is Anniversery]]),Table1[[#This Row],[Income Base]]*PIP,0)</f>
        <v>#DIV/0!</v>
      </c>
      <c r="Q134" s="37" t="b">
        <f t="shared" si="19"/>
        <v>1</v>
      </c>
      <c r="R134" s="10">
        <f>1/(1+InterestRate)^Table1[[#This Row],[timeFromValuation]]</f>
        <v>4.6245998269296387E-2</v>
      </c>
      <c r="S134" s="10">
        <f>Table1[[#This Row],[timeFromValuation]]</f>
        <v>63</v>
      </c>
      <c r="T134" s="10">
        <v>0</v>
      </c>
      <c r="U134" s="10">
        <v>0</v>
      </c>
      <c r="V134" s="10">
        <f>PRODUCT($T$8:$T134)</f>
        <v>0</v>
      </c>
      <c r="W134" s="10">
        <f>PRODUCT($U$8:$U134)</f>
        <v>0</v>
      </c>
      <c r="X134" s="10">
        <f>Table1[[#This Row],[Primary Annuitant Px]]+Table1[[#This Row],[Secondary Annuitant Py]]-Table1[[#This Row],[Primary Annuitant Px]]*Table1[[#This Row],[Secondary Annuitant Py]]</f>
        <v>0</v>
      </c>
      <c r="Y134" s="10">
        <f>PRODUCT($X$8:$X134)</f>
        <v>0</v>
      </c>
    </row>
    <row r="135" spans="1:25" x14ac:dyDescent="0.3">
      <c r="A135" s="34">
        <f t="shared" si="20"/>
        <v>127</v>
      </c>
      <c r="B135" s="32">
        <f ca="1">OFFSET(Table1[[#This Row],[Pay Period]],-1,0)+0.5</f>
        <v>63.5</v>
      </c>
      <c r="C135" s="29">
        <f t="shared" si="21"/>
        <v>63.5</v>
      </c>
      <c r="D135" s="36">
        <f t="shared" si="22"/>
        <v>0</v>
      </c>
      <c r="E135" s="36">
        <f t="shared" si="23"/>
        <v>0</v>
      </c>
      <c r="F135" s="36">
        <f>IF(Table1[[#This Row],[Assumed Contract Value ]]&gt;0.1,Table1[[#This Row],[timeFromValuation]]&gt;=Activation_Time,0)</f>
        <v>0</v>
      </c>
      <c r="G135" s="36">
        <v>0</v>
      </c>
      <c r="H135" s="36" t="b">
        <f>Table1[[#This Row],[timeFromValuation]]=INT(Table1[[#This Row],[timeFromValuation]])</f>
        <v>0</v>
      </c>
      <c r="I135" s="7">
        <f>IF((Table1[[#This Row],[Is Anniversery]]), Table1[[#This Row],[Assumed Contract Value ]],0)</f>
        <v>0</v>
      </c>
      <c r="J135" s="7">
        <f ca="1">IF(NOT(Table1[[#This Row],[Is Activation]]),OFFSET(Table1[[#This Row],[Income Credit Base]],-1,0)+Table1[[#This Row],[Purchase Payments]]+Table1[[#This Row],[Income Credit]],0)</f>
        <v>0</v>
      </c>
      <c r="K135" s="7">
        <f>IF(AND(Table1[[#This Row],[Is Activation]]=FALSE,Table1[[#This Row],[Is Anniversery]]=TRUE),Table1[[#This Row],[Income Credit Base]]*ICP,0)</f>
        <v>0</v>
      </c>
      <c r="L13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35" s="42" t="e">
        <f>IF(NOT(Table1[[#This Row],[Is Activation]]),(Table1[[#This Row],[Withdrawal Taken  ]]/Table1[[#This Row],[Assumed Contract Value ]]),0)</f>
        <v>#DIV/0!</v>
      </c>
      <c r="N13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35" s="5">
        <f>IF(NOT(Table1[[#This Row],[Has Lifetime Income Started]]),Table1[[#This Row],[Income Base]]*MAW,0)</f>
        <v>0</v>
      </c>
      <c r="P135" s="9">
        <f>IF(AND(Table1[[#This Row],[Has Lifetime Income Started]],Table1[[#This Row],[Is Anniversery]]),Table1[[#This Row],[Income Base]]*PIP,0)</f>
        <v>0</v>
      </c>
      <c r="Q135" s="37" t="b">
        <f t="shared" si="19"/>
        <v>1</v>
      </c>
      <c r="R135" s="10">
        <f>1/(1+InterestRate)^Table1[[#This Row],[timeFromValuation]]</f>
        <v>4.5131473084583998E-2</v>
      </c>
      <c r="S135" s="10">
        <f>Table1[[#This Row],[timeFromValuation]]</f>
        <v>63.5</v>
      </c>
      <c r="T135" s="10">
        <v>0</v>
      </c>
      <c r="U135" s="10">
        <v>0</v>
      </c>
      <c r="V135" s="10">
        <f>PRODUCT($T$8:$T135)</f>
        <v>0</v>
      </c>
      <c r="W135" s="10">
        <f>PRODUCT($U$8:$U135)</f>
        <v>0</v>
      </c>
      <c r="X135" s="10">
        <f>Table1[[#This Row],[Primary Annuitant Px]]+Table1[[#This Row],[Secondary Annuitant Py]]-Table1[[#This Row],[Primary Annuitant Px]]*Table1[[#This Row],[Secondary Annuitant Py]]</f>
        <v>0</v>
      </c>
      <c r="Y135" s="10">
        <f>PRODUCT($X$8:$X135)</f>
        <v>0</v>
      </c>
    </row>
    <row r="136" spans="1:25" x14ac:dyDescent="0.3">
      <c r="A136" s="34">
        <f t="shared" si="20"/>
        <v>128</v>
      </c>
      <c r="B136" s="32">
        <f ca="1">OFFSET(Table1[[#This Row],[Pay Period]],-1,0)+0.5</f>
        <v>64</v>
      </c>
      <c r="C136" s="29">
        <f t="shared" si="21"/>
        <v>64</v>
      </c>
      <c r="D136" s="36">
        <f t="shared" si="22"/>
        <v>0</v>
      </c>
      <c r="E136" s="36">
        <f t="shared" si="23"/>
        <v>0</v>
      </c>
      <c r="F136" s="36">
        <f>IF(Table1[[#This Row],[Assumed Contract Value ]]&gt;0.1,Table1[[#This Row],[timeFromValuation]]&gt;=Activation_Time,0)</f>
        <v>0</v>
      </c>
      <c r="G136" s="36">
        <v>0</v>
      </c>
      <c r="H136" s="36" t="b">
        <f>Table1[[#This Row],[timeFromValuation]]=INT(Table1[[#This Row],[timeFromValuation]])</f>
        <v>1</v>
      </c>
      <c r="I136" s="7">
        <f>IF((Table1[[#This Row],[Is Anniversery]]), Table1[[#This Row],[Assumed Contract Value ]],0)</f>
        <v>0</v>
      </c>
      <c r="J136" s="7">
        <f ca="1">IF(NOT(Table1[[#This Row],[Is Activation]]),OFFSET(Table1[[#This Row],[Income Credit Base]],-1,0)+Table1[[#This Row],[Purchase Payments]]+Table1[[#This Row],[Income Credit]],0)</f>
        <v>0</v>
      </c>
      <c r="K136" s="7">
        <f>IF(AND(Table1[[#This Row],[Is Activation]]=FALSE,Table1[[#This Row],[Is Anniversery]]=TRUE),Table1[[#This Row],[Income Credit Base]]*ICP,0)</f>
        <v>0</v>
      </c>
      <c r="L13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36" s="42" t="e">
        <f>IF(NOT(Table1[[#This Row],[Is Activation]]),(Table1[[#This Row],[Withdrawal Taken  ]]/Table1[[#This Row],[Assumed Contract Value ]]),0)</f>
        <v>#DIV/0!</v>
      </c>
      <c r="N13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36" s="5">
        <f>IF(NOT(Table1[[#This Row],[Has Lifetime Income Started]]),Table1[[#This Row],[Income Base]]*MAW,0)</f>
        <v>0</v>
      </c>
      <c r="P136" s="9" t="e">
        <f ca="1">IF(AND(Table1[[#This Row],[Has Lifetime Income Started]],Table1[[#This Row],[Is Anniversery]]),Table1[[#This Row],[Income Base]]*PIP,0)</f>
        <v>#DIV/0!</v>
      </c>
      <c r="Q136" s="37" t="b">
        <f t="shared" ref="Q136:Q180" si="24">Assumed_Contract_Value2&lt;0.1</f>
        <v>1</v>
      </c>
      <c r="R136" s="10">
        <f>1/(1+InterestRate)^Table1[[#This Row],[timeFromValuation]]</f>
        <v>4.4043807875520369E-2</v>
      </c>
      <c r="S136" s="10">
        <f>Table1[[#This Row],[timeFromValuation]]</f>
        <v>64</v>
      </c>
      <c r="T136" s="10">
        <v>0</v>
      </c>
      <c r="U136" s="10">
        <v>0</v>
      </c>
      <c r="V136" s="10">
        <f>PRODUCT($T$8:$T136)</f>
        <v>0</v>
      </c>
      <c r="W136" s="10">
        <f>PRODUCT($U$8:$U136)</f>
        <v>0</v>
      </c>
      <c r="X136" s="10">
        <f>Table1[[#This Row],[Primary Annuitant Px]]+Table1[[#This Row],[Secondary Annuitant Py]]-Table1[[#This Row],[Primary Annuitant Px]]*Table1[[#This Row],[Secondary Annuitant Py]]</f>
        <v>0</v>
      </c>
      <c r="Y136" s="10">
        <f>PRODUCT($X$8:$X136)</f>
        <v>0</v>
      </c>
    </row>
    <row r="137" spans="1:25" x14ac:dyDescent="0.3">
      <c r="A137" s="34">
        <f t="shared" si="20"/>
        <v>129</v>
      </c>
      <c r="B137" s="32">
        <f ca="1">OFFSET(Table1[[#This Row],[Pay Period]],-1,0)+0.5</f>
        <v>64.5</v>
      </c>
      <c r="C137" s="29">
        <f t="shared" si="21"/>
        <v>64.5</v>
      </c>
      <c r="D137" s="36">
        <f t="shared" si="22"/>
        <v>0</v>
      </c>
      <c r="E137" s="36">
        <f t="shared" si="23"/>
        <v>0</v>
      </c>
      <c r="F137" s="36">
        <f>IF(Table1[[#This Row],[Assumed Contract Value ]]&gt;0.1,Table1[[#This Row],[timeFromValuation]]&gt;=Activation_Time,0)</f>
        <v>0</v>
      </c>
      <c r="G137" s="36">
        <v>0</v>
      </c>
      <c r="H137" s="36" t="b">
        <f>Table1[[#This Row],[timeFromValuation]]=INT(Table1[[#This Row],[timeFromValuation]])</f>
        <v>0</v>
      </c>
      <c r="I137" s="7">
        <f>IF((Table1[[#This Row],[Is Anniversery]]), Table1[[#This Row],[Assumed Contract Value ]],0)</f>
        <v>0</v>
      </c>
      <c r="J137" s="7">
        <f ca="1">IF(NOT(Table1[[#This Row],[Is Activation]]),OFFSET(Table1[[#This Row],[Income Credit Base]],-1,0)+Table1[[#This Row],[Purchase Payments]]+Table1[[#This Row],[Income Credit]],0)</f>
        <v>0</v>
      </c>
      <c r="K137" s="7">
        <f>IF(AND(Table1[[#This Row],[Is Activation]]=FALSE,Table1[[#This Row],[Is Anniversery]]=TRUE),Table1[[#This Row],[Income Credit Base]]*ICP,0)</f>
        <v>0</v>
      </c>
      <c r="L13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37" s="42" t="e">
        <f>IF(NOT(Table1[[#This Row],[Is Activation]]),(Table1[[#This Row],[Withdrawal Taken  ]]/Table1[[#This Row],[Assumed Contract Value ]]),0)</f>
        <v>#DIV/0!</v>
      </c>
      <c r="N13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37" s="5">
        <f>IF(NOT(Table1[[#This Row],[Has Lifetime Income Started]]),Table1[[#This Row],[Income Base]]*MAW,0)</f>
        <v>0</v>
      </c>
      <c r="P137" s="9">
        <f>IF(AND(Table1[[#This Row],[Has Lifetime Income Started]],Table1[[#This Row],[Is Anniversery]]),Table1[[#This Row],[Income Base]]*PIP,0)</f>
        <v>0</v>
      </c>
      <c r="Q137" s="37" t="b">
        <f t="shared" si="24"/>
        <v>1</v>
      </c>
      <c r="R137" s="10">
        <f>1/(1+InterestRate)^Table1[[#This Row],[timeFromValuation]]</f>
        <v>4.2982355318651418E-2</v>
      </c>
      <c r="S137" s="10">
        <f>Table1[[#This Row],[timeFromValuation]]</f>
        <v>64.5</v>
      </c>
      <c r="T137" s="10">
        <v>0</v>
      </c>
      <c r="U137" s="10">
        <v>0</v>
      </c>
      <c r="V137" s="10">
        <f>PRODUCT($T$8:$T137)</f>
        <v>0</v>
      </c>
      <c r="W137" s="10">
        <f>PRODUCT($U$8:$U137)</f>
        <v>0</v>
      </c>
      <c r="X137" s="10">
        <f>Table1[[#This Row],[Primary Annuitant Px]]+Table1[[#This Row],[Secondary Annuitant Py]]-Table1[[#This Row],[Primary Annuitant Px]]*Table1[[#This Row],[Secondary Annuitant Py]]</f>
        <v>0</v>
      </c>
      <c r="Y137" s="10">
        <f>PRODUCT($X$8:$X137)</f>
        <v>0</v>
      </c>
    </row>
    <row r="138" spans="1:25" x14ac:dyDescent="0.3">
      <c r="A138" s="34">
        <f t="shared" ref="A138:A180" si="25">A137+1</f>
        <v>130</v>
      </c>
      <c r="B138" s="32">
        <f ca="1">OFFSET(Table1[[#This Row],[Pay Period]],-1,0)+0.5</f>
        <v>65</v>
      </c>
      <c r="C138" s="29">
        <f t="shared" ref="C138:C180" si="26">C137+0.5</f>
        <v>65</v>
      </c>
      <c r="D138" s="36">
        <f t="shared" si="22"/>
        <v>0</v>
      </c>
      <c r="E138" s="36">
        <f t="shared" si="23"/>
        <v>0</v>
      </c>
      <c r="F138" s="36">
        <f>IF(Table1[[#This Row],[Assumed Contract Value ]]&gt;0.1,Table1[[#This Row],[timeFromValuation]]&gt;=Activation_Time,0)</f>
        <v>0</v>
      </c>
      <c r="G138" s="36">
        <v>0</v>
      </c>
      <c r="H138" s="36" t="b">
        <f>Table1[[#This Row],[timeFromValuation]]=INT(Table1[[#This Row],[timeFromValuation]])</f>
        <v>1</v>
      </c>
      <c r="I138" s="7">
        <f>IF((Table1[[#This Row],[Is Anniversery]]), Table1[[#This Row],[Assumed Contract Value ]],0)</f>
        <v>0</v>
      </c>
      <c r="J138" s="7">
        <f ca="1">IF(NOT(Table1[[#This Row],[Is Activation]]),OFFSET(Table1[[#This Row],[Income Credit Base]],-1,0)+Table1[[#This Row],[Purchase Payments]]+Table1[[#This Row],[Income Credit]],0)</f>
        <v>0</v>
      </c>
      <c r="K138" s="7">
        <f>IF(AND(Table1[[#This Row],[Is Activation]]=FALSE,Table1[[#This Row],[Is Anniversery]]=TRUE),Table1[[#This Row],[Income Credit Base]]*ICP,0)</f>
        <v>0</v>
      </c>
      <c r="L13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38" s="42" t="e">
        <f>IF(NOT(Table1[[#This Row],[Is Activation]]),(Table1[[#This Row],[Withdrawal Taken  ]]/Table1[[#This Row],[Assumed Contract Value ]]),0)</f>
        <v>#DIV/0!</v>
      </c>
      <c r="N13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38" s="5">
        <f>IF(NOT(Table1[[#This Row],[Has Lifetime Income Started]]),Table1[[#This Row],[Income Base]]*MAW,0)</f>
        <v>0</v>
      </c>
      <c r="P138" s="9" t="e">
        <f ca="1">IF(AND(Table1[[#This Row],[Has Lifetime Income Started]],Table1[[#This Row],[Is Anniversery]]),Table1[[#This Row],[Income Base]]*PIP,0)</f>
        <v>#DIV/0!</v>
      </c>
      <c r="Q138" s="37" t="b">
        <f t="shared" si="24"/>
        <v>1</v>
      </c>
      <c r="R138" s="10">
        <f>1/(1+InterestRate)^Table1[[#This Row],[timeFromValuation]]</f>
        <v>4.1946483690971779E-2</v>
      </c>
      <c r="S138" s="10">
        <f>Table1[[#This Row],[timeFromValuation]]</f>
        <v>65</v>
      </c>
      <c r="T138" s="10">
        <v>0</v>
      </c>
      <c r="U138" s="10">
        <v>0</v>
      </c>
      <c r="V138" s="10">
        <f>PRODUCT($T$8:$T138)</f>
        <v>0</v>
      </c>
      <c r="W138" s="10">
        <f>PRODUCT($U$8:$U138)</f>
        <v>0</v>
      </c>
      <c r="X138" s="10">
        <f>Table1[[#This Row],[Primary Annuitant Px]]+Table1[[#This Row],[Secondary Annuitant Py]]-Table1[[#This Row],[Primary Annuitant Px]]*Table1[[#This Row],[Secondary Annuitant Py]]</f>
        <v>0</v>
      </c>
      <c r="Y138" s="10">
        <f>PRODUCT($X$8:$X138)</f>
        <v>0</v>
      </c>
    </row>
    <row r="139" spans="1:25" x14ac:dyDescent="0.3">
      <c r="A139" s="34">
        <f t="shared" si="25"/>
        <v>131</v>
      </c>
      <c r="B139" s="32">
        <f ca="1">OFFSET(Table1[[#This Row],[Pay Period]],-1,0)+0.5</f>
        <v>65.5</v>
      </c>
      <c r="C139" s="29">
        <f t="shared" si="26"/>
        <v>65.5</v>
      </c>
      <c r="D139" s="36">
        <f t="shared" si="22"/>
        <v>0</v>
      </c>
      <c r="E139" s="36">
        <f t="shared" si="23"/>
        <v>0</v>
      </c>
      <c r="F139" s="36">
        <f>IF(Table1[[#This Row],[Assumed Contract Value ]]&gt;0.1,Table1[[#This Row],[timeFromValuation]]&gt;=Activation_Time,0)</f>
        <v>0</v>
      </c>
      <c r="G139" s="36">
        <v>0</v>
      </c>
      <c r="H139" s="36" t="b">
        <f>Table1[[#This Row],[timeFromValuation]]=INT(Table1[[#This Row],[timeFromValuation]])</f>
        <v>0</v>
      </c>
      <c r="I139" s="7">
        <f>IF((Table1[[#This Row],[Is Anniversery]]), Table1[[#This Row],[Assumed Contract Value ]],0)</f>
        <v>0</v>
      </c>
      <c r="J139" s="7">
        <f ca="1">IF(NOT(Table1[[#This Row],[Is Activation]]),OFFSET(Table1[[#This Row],[Income Credit Base]],-1,0)+Table1[[#This Row],[Purchase Payments]]+Table1[[#This Row],[Income Credit]],0)</f>
        <v>0</v>
      </c>
      <c r="K139" s="7">
        <f>IF(AND(Table1[[#This Row],[Is Activation]]=FALSE,Table1[[#This Row],[Is Anniversery]]=TRUE),Table1[[#This Row],[Income Credit Base]]*ICP,0)</f>
        <v>0</v>
      </c>
      <c r="L13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39" s="42" t="e">
        <f>IF(NOT(Table1[[#This Row],[Is Activation]]),(Table1[[#This Row],[Withdrawal Taken  ]]/Table1[[#This Row],[Assumed Contract Value ]]),0)</f>
        <v>#DIV/0!</v>
      </c>
      <c r="N13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39" s="5">
        <f>IF(NOT(Table1[[#This Row],[Has Lifetime Income Started]]),Table1[[#This Row],[Income Base]]*MAW,0)</f>
        <v>0</v>
      </c>
      <c r="P139" s="9">
        <f>IF(AND(Table1[[#This Row],[Has Lifetime Income Started]],Table1[[#This Row],[Is Anniversery]]),Table1[[#This Row],[Income Base]]*PIP,0)</f>
        <v>0</v>
      </c>
      <c r="Q139" s="37" t="b">
        <f t="shared" si="24"/>
        <v>1</v>
      </c>
      <c r="R139" s="10">
        <f>1/(1+InterestRate)^Table1[[#This Row],[timeFromValuation]]</f>
        <v>4.0935576493953726E-2</v>
      </c>
      <c r="S139" s="10">
        <f>Table1[[#This Row],[timeFromValuation]]</f>
        <v>65.5</v>
      </c>
      <c r="T139" s="10">
        <v>0</v>
      </c>
      <c r="U139" s="10">
        <v>0</v>
      </c>
      <c r="V139" s="10">
        <f>PRODUCT($T$8:$T139)</f>
        <v>0</v>
      </c>
      <c r="W139" s="10">
        <f>PRODUCT($U$8:$U139)</f>
        <v>0</v>
      </c>
      <c r="X139" s="10">
        <f>Table1[[#This Row],[Primary Annuitant Px]]+Table1[[#This Row],[Secondary Annuitant Py]]-Table1[[#This Row],[Primary Annuitant Px]]*Table1[[#This Row],[Secondary Annuitant Py]]</f>
        <v>0</v>
      </c>
      <c r="Y139" s="10">
        <f>PRODUCT($X$8:$X139)</f>
        <v>0</v>
      </c>
    </row>
    <row r="140" spans="1:25" x14ac:dyDescent="0.3">
      <c r="A140" s="34">
        <f t="shared" si="25"/>
        <v>132</v>
      </c>
      <c r="B140" s="32">
        <f ca="1">OFFSET(Table1[[#This Row],[Pay Period]],-1,0)+0.5</f>
        <v>66</v>
      </c>
      <c r="C140" s="29">
        <f t="shared" si="26"/>
        <v>66</v>
      </c>
      <c r="D140" s="36">
        <f t="shared" si="22"/>
        <v>0</v>
      </c>
      <c r="E140" s="36">
        <f t="shared" si="23"/>
        <v>0</v>
      </c>
      <c r="F140" s="36">
        <f>IF(Table1[[#This Row],[Assumed Contract Value ]]&gt;0.1,Table1[[#This Row],[timeFromValuation]]&gt;=Activation_Time,0)</f>
        <v>0</v>
      </c>
      <c r="G140" s="36">
        <v>0</v>
      </c>
      <c r="H140" s="36" t="b">
        <f>Table1[[#This Row],[timeFromValuation]]=INT(Table1[[#This Row],[timeFromValuation]])</f>
        <v>1</v>
      </c>
      <c r="I140" s="7">
        <f>IF((Table1[[#This Row],[Is Anniversery]]), Table1[[#This Row],[Assumed Contract Value ]],0)</f>
        <v>0</v>
      </c>
      <c r="J140" s="7">
        <f ca="1">IF(NOT(Table1[[#This Row],[Is Activation]]),OFFSET(Table1[[#This Row],[Income Credit Base]],-1,0)+Table1[[#This Row],[Purchase Payments]]+Table1[[#This Row],[Income Credit]],0)</f>
        <v>0</v>
      </c>
      <c r="K140" s="7">
        <f>IF(AND(Table1[[#This Row],[Is Activation]]=FALSE,Table1[[#This Row],[Is Anniversery]]=TRUE),Table1[[#This Row],[Income Credit Base]]*ICP,0)</f>
        <v>0</v>
      </c>
      <c r="L14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40" s="42" t="e">
        <f>IF(NOT(Table1[[#This Row],[Is Activation]]),(Table1[[#This Row],[Withdrawal Taken  ]]/Table1[[#This Row],[Assumed Contract Value ]]),0)</f>
        <v>#DIV/0!</v>
      </c>
      <c r="N14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40" s="5">
        <f>IF(NOT(Table1[[#This Row],[Has Lifetime Income Started]]),Table1[[#This Row],[Income Base]]*MAW,0)</f>
        <v>0</v>
      </c>
      <c r="P140" s="9" t="e">
        <f ca="1">IF(AND(Table1[[#This Row],[Has Lifetime Income Started]],Table1[[#This Row],[Is Anniversery]]),Table1[[#This Row],[Income Base]]*PIP,0)</f>
        <v>#DIV/0!</v>
      </c>
      <c r="Q140" s="37" t="b">
        <f t="shared" si="24"/>
        <v>1</v>
      </c>
      <c r="R140" s="10">
        <f>1/(1+InterestRate)^Table1[[#This Row],[timeFromValuation]]</f>
        <v>3.9949032086639788E-2</v>
      </c>
      <c r="S140" s="10">
        <f>Table1[[#This Row],[timeFromValuation]]</f>
        <v>66</v>
      </c>
      <c r="T140" s="10">
        <v>0</v>
      </c>
      <c r="U140" s="10">
        <v>0</v>
      </c>
      <c r="V140" s="10">
        <f>PRODUCT($T$8:$T140)</f>
        <v>0</v>
      </c>
      <c r="W140" s="10">
        <f>PRODUCT($U$8:$U140)</f>
        <v>0</v>
      </c>
      <c r="X140" s="10">
        <f>Table1[[#This Row],[Primary Annuitant Px]]+Table1[[#This Row],[Secondary Annuitant Py]]-Table1[[#This Row],[Primary Annuitant Px]]*Table1[[#This Row],[Secondary Annuitant Py]]</f>
        <v>0</v>
      </c>
      <c r="Y140" s="10">
        <f>PRODUCT($X$8:$X140)</f>
        <v>0</v>
      </c>
    </row>
    <row r="141" spans="1:25" x14ac:dyDescent="0.3">
      <c r="A141" s="34">
        <f t="shared" si="25"/>
        <v>133</v>
      </c>
      <c r="B141" s="32">
        <f ca="1">OFFSET(Table1[[#This Row],[Pay Period]],-1,0)+0.5</f>
        <v>66.5</v>
      </c>
      <c r="C141" s="29">
        <f t="shared" si="26"/>
        <v>66.5</v>
      </c>
      <c r="D141" s="36">
        <f t="shared" si="22"/>
        <v>0</v>
      </c>
      <c r="E141" s="36">
        <f t="shared" si="23"/>
        <v>0</v>
      </c>
      <c r="F141" s="36">
        <f>IF(Table1[[#This Row],[Assumed Contract Value ]]&gt;0.1,Table1[[#This Row],[timeFromValuation]]&gt;=Activation_Time,0)</f>
        <v>0</v>
      </c>
      <c r="G141" s="36">
        <v>0</v>
      </c>
      <c r="H141" s="36" t="b">
        <f>Table1[[#This Row],[timeFromValuation]]=INT(Table1[[#This Row],[timeFromValuation]])</f>
        <v>0</v>
      </c>
      <c r="I141" s="7">
        <f>IF((Table1[[#This Row],[Is Anniversery]]), Table1[[#This Row],[Assumed Contract Value ]],0)</f>
        <v>0</v>
      </c>
      <c r="J141" s="7">
        <f ca="1">IF(NOT(Table1[[#This Row],[Is Activation]]),OFFSET(Table1[[#This Row],[Income Credit Base]],-1,0)+Table1[[#This Row],[Purchase Payments]]+Table1[[#This Row],[Income Credit]],0)</f>
        <v>0</v>
      </c>
      <c r="K141" s="7">
        <f>IF(AND(Table1[[#This Row],[Is Activation]]=FALSE,Table1[[#This Row],[Is Anniversery]]=TRUE),Table1[[#This Row],[Income Credit Base]]*ICP,0)</f>
        <v>0</v>
      </c>
      <c r="L14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41" s="42" t="e">
        <f>IF(NOT(Table1[[#This Row],[Is Activation]]),(Table1[[#This Row],[Withdrawal Taken  ]]/Table1[[#This Row],[Assumed Contract Value ]]),0)</f>
        <v>#DIV/0!</v>
      </c>
      <c r="N14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41" s="5">
        <f>IF(NOT(Table1[[#This Row],[Has Lifetime Income Started]]),Table1[[#This Row],[Income Base]]*MAW,0)</f>
        <v>0</v>
      </c>
      <c r="P141" s="9">
        <f>IF(AND(Table1[[#This Row],[Has Lifetime Income Started]],Table1[[#This Row],[Is Anniversery]]),Table1[[#This Row],[Income Base]]*PIP,0)</f>
        <v>0</v>
      </c>
      <c r="Q141" s="37" t="b">
        <f t="shared" si="24"/>
        <v>1</v>
      </c>
      <c r="R141" s="10">
        <f>1/(1+InterestRate)^Table1[[#This Row],[timeFromValuation]]</f>
        <v>3.8986263327574988E-2</v>
      </c>
      <c r="S141" s="10">
        <f>Table1[[#This Row],[timeFromValuation]]</f>
        <v>66.5</v>
      </c>
      <c r="T141" s="10">
        <v>0</v>
      </c>
      <c r="U141" s="10">
        <v>0</v>
      </c>
      <c r="V141" s="10">
        <f>PRODUCT($T$8:$T141)</f>
        <v>0</v>
      </c>
      <c r="W141" s="10">
        <f>PRODUCT($U$8:$U141)</f>
        <v>0</v>
      </c>
      <c r="X141" s="10">
        <f>Table1[[#This Row],[Primary Annuitant Px]]+Table1[[#This Row],[Secondary Annuitant Py]]-Table1[[#This Row],[Primary Annuitant Px]]*Table1[[#This Row],[Secondary Annuitant Py]]</f>
        <v>0</v>
      </c>
      <c r="Y141" s="10">
        <f>PRODUCT($X$8:$X141)</f>
        <v>0</v>
      </c>
    </row>
    <row r="142" spans="1:25" x14ac:dyDescent="0.3">
      <c r="A142" s="34">
        <f t="shared" si="25"/>
        <v>134</v>
      </c>
      <c r="B142" s="32">
        <f ca="1">OFFSET(Table1[[#This Row],[Pay Period]],-1,0)+0.5</f>
        <v>67</v>
      </c>
      <c r="C142" s="29">
        <f t="shared" si="26"/>
        <v>67</v>
      </c>
      <c r="D142" s="36">
        <f t="shared" si="22"/>
        <v>0</v>
      </c>
      <c r="E142" s="36">
        <f t="shared" si="23"/>
        <v>0</v>
      </c>
      <c r="F142" s="36">
        <f>IF(Table1[[#This Row],[Assumed Contract Value ]]&gt;0.1,Table1[[#This Row],[timeFromValuation]]&gt;=Activation_Time,0)</f>
        <v>0</v>
      </c>
      <c r="G142" s="36">
        <v>0</v>
      </c>
      <c r="H142" s="36" t="b">
        <f>Table1[[#This Row],[timeFromValuation]]=INT(Table1[[#This Row],[timeFromValuation]])</f>
        <v>1</v>
      </c>
      <c r="I142" s="7">
        <f>IF((Table1[[#This Row],[Is Anniversery]]), Table1[[#This Row],[Assumed Contract Value ]],0)</f>
        <v>0</v>
      </c>
      <c r="J142" s="7">
        <f ca="1">IF(NOT(Table1[[#This Row],[Is Activation]]),OFFSET(Table1[[#This Row],[Income Credit Base]],-1,0)+Table1[[#This Row],[Purchase Payments]]+Table1[[#This Row],[Income Credit]],0)</f>
        <v>0</v>
      </c>
      <c r="K142" s="7">
        <f>IF(AND(Table1[[#This Row],[Is Activation]]=FALSE,Table1[[#This Row],[Is Anniversery]]=TRUE),Table1[[#This Row],[Income Credit Base]]*ICP,0)</f>
        <v>0</v>
      </c>
      <c r="L14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42" s="42" t="e">
        <f>IF(NOT(Table1[[#This Row],[Is Activation]]),(Table1[[#This Row],[Withdrawal Taken  ]]/Table1[[#This Row],[Assumed Contract Value ]]),0)</f>
        <v>#DIV/0!</v>
      </c>
      <c r="N14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42" s="5">
        <f>IF(NOT(Table1[[#This Row],[Has Lifetime Income Started]]),Table1[[#This Row],[Income Base]]*MAW,0)</f>
        <v>0</v>
      </c>
      <c r="P142" s="9" t="e">
        <f ca="1">IF(AND(Table1[[#This Row],[Has Lifetime Income Started]],Table1[[#This Row],[Is Anniversery]]),Table1[[#This Row],[Income Base]]*PIP,0)</f>
        <v>#DIV/0!</v>
      </c>
      <c r="Q142" s="37" t="b">
        <f t="shared" si="24"/>
        <v>1</v>
      </c>
      <c r="R142" s="10">
        <f>1/(1+InterestRate)^Table1[[#This Row],[timeFromValuation]]</f>
        <v>3.8046697225371226E-2</v>
      </c>
      <c r="S142" s="10">
        <f>Table1[[#This Row],[timeFromValuation]]</f>
        <v>67</v>
      </c>
      <c r="T142" s="10">
        <v>0</v>
      </c>
      <c r="U142" s="10">
        <v>0</v>
      </c>
      <c r="V142" s="10">
        <f>PRODUCT($T$8:$T142)</f>
        <v>0</v>
      </c>
      <c r="W142" s="10">
        <f>PRODUCT($U$8:$U142)</f>
        <v>0</v>
      </c>
      <c r="X142" s="10">
        <f>Table1[[#This Row],[Primary Annuitant Px]]+Table1[[#This Row],[Secondary Annuitant Py]]-Table1[[#This Row],[Primary Annuitant Px]]*Table1[[#This Row],[Secondary Annuitant Py]]</f>
        <v>0</v>
      </c>
      <c r="Y142" s="10">
        <f>PRODUCT($X$8:$X142)</f>
        <v>0</v>
      </c>
    </row>
    <row r="143" spans="1:25" x14ac:dyDescent="0.3">
      <c r="A143" s="34">
        <f t="shared" si="25"/>
        <v>135</v>
      </c>
      <c r="B143" s="32">
        <f ca="1">OFFSET(Table1[[#This Row],[Pay Period]],-1,0)+0.5</f>
        <v>67.5</v>
      </c>
      <c r="C143" s="29">
        <f t="shared" si="26"/>
        <v>67.5</v>
      </c>
      <c r="D143" s="36">
        <f t="shared" si="22"/>
        <v>0</v>
      </c>
      <c r="E143" s="36">
        <f t="shared" si="23"/>
        <v>0</v>
      </c>
      <c r="F143" s="36">
        <f>IF(Table1[[#This Row],[Assumed Contract Value ]]&gt;0.1,Table1[[#This Row],[timeFromValuation]]&gt;=Activation_Time,0)</f>
        <v>0</v>
      </c>
      <c r="G143" s="36">
        <v>0</v>
      </c>
      <c r="H143" s="36" t="b">
        <f>Table1[[#This Row],[timeFromValuation]]=INT(Table1[[#This Row],[timeFromValuation]])</f>
        <v>0</v>
      </c>
      <c r="I143" s="7">
        <f>IF((Table1[[#This Row],[Is Anniversery]]), Table1[[#This Row],[Assumed Contract Value ]],0)</f>
        <v>0</v>
      </c>
      <c r="J143" s="7">
        <f ca="1">IF(NOT(Table1[[#This Row],[Is Activation]]),OFFSET(Table1[[#This Row],[Income Credit Base]],-1,0)+Table1[[#This Row],[Purchase Payments]]+Table1[[#This Row],[Income Credit]],0)</f>
        <v>0</v>
      </c>
      <c r="K143" s="7">
        <f>IF(AND(Table1[[#This Row],[Is Activation]]=FALSE,Table1[[#This Row],[Is Anniversery]]=TRUE),Table1[[#This Row],[Income Credit Base]]*ICP,0)</f>
        <v>0</v>
      </c>
      <c r="L14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43" s="42" t="e">
        <f>IF(NOT(Table1[[#This Row],[Is Activation]]),(Table1[[#This Row],[Withdrawal Taken  ]]/Table1[[#This Row],[Assumed Contract Value ]]),0)</f>
        <v>#DIV/0!</v>
      </c>
      <c r="N14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43" s="5">
        <f>IF(NOT(Table1[[#This Row],[Has Lifetime Income Started]]),Table1[[#This Row],[Income Base]]*MAW,0)</f>
        <v>0</v>
      </c>
      <c r="P143" s="9">
        <f>IF(AND(Table1[[#This Row],[Has Lifetime Income Started]],Table1[[#This Row],[Is Anniversery]]),Table1[[#This Row],[Income Base]]*PIP,0)</f>
        <v>0</v>
      </c>
      <c r="Q143" s="37" t="b">
        <f t="shared" si="24"/>
        <v>1</v>
      </c>
      <c r="R143" s="10">
        <f>1/(1+InterestRate)^Table1[[#This Row],[timeFromValuation]]</f>
        <v>3.7129774597690457E-2</v>
      </c>
      <c r="S143" s="10">
        <f>Table1[[#This Row],[timeFromValuation]]</f>
        <v>67.5</v>
      </c>
      <c r="T143" s="10">
        <v>0</v>
      </c>
      <c r="U143" s="10">
        <v>0</v>
      </c>
      <c r="V143" s="10">
        <f>PRODUCT($T$8:$T143)</f>
        <v>0</v>
      </c>
      <c r="W143" s="10">
        <f>PRODUCT($U$8:$U143)</f>
        <v>0</v>
      </c>
      <c r="X143" s="10">
        <f>Table1[[#This Row],[Primary Annuitant Px]]+Table1[[#This Row],[Secondary Annuitant Py]]-Table1[[#This Row],[Primary Annuitant Px]]*Table1[[#This Row],[Secondary Annuitant Py]]</f>
        <v>0</v>
      </c>
      <c r="Y143" s="10">
        <f>PRODUCT($X$8:$X143)</f>
        <v>0</v>
      </c>
    </row>
    <row r="144" spans="1:25" x14ac:dyDescent="0.3">
      <c r="A144" s="34">
        <f t="shared" si="25"/>
        <v>136</v>
      </c>
      <c r="B144" s="32">
        <f ca="1">OFFSET(Table1[[#This Row],[Pay Period]],-1,0)+0.5</f>
        <v>68</v>
      </c>
      <c r="C144" s="29">
        <f t="shared" si="26"/>
        <v>68</v>
      </c>
      <c r="D144" s="36">
        <f t="shared" si="22"/>
        <v>0</v>
      </c>
      <c r="E144" s="36">
        <f t="shared" si="23"/>
        <v>0</v>
      </c>
      <c r="F144" s="36">
        <f>IF(Table1[[#This Row],[Assumed Contract Value ]]&gt;0.1,Table1[[#This Row],[timeFromValuation]]&gt;=Activation_Time,0)</f>
        <v>0</v>
      </c>
      <c r="G144" s="36">
        <v>0</v>
      </c>
      <c r="H144" s="36" t="b">
        <f>Table1[[#This Row],[timeFromValuation]]=INT(Table1[[#This Row],[timeFromValuation]])</f>
        <v>1</v>
      </c>
      <c r="I144" s="7">
        <f>IF((Table1[[#This Row],[Is Anniversery]]), Table1[[#This Row],[Assumed Contract Value ]],0)</f>
        <v>0</v>
      </c>
      <c r="J144" s="7">
        <f ca="1">IF(NOT(Table1[[#This Row],[Is Activation]]),OFFSET(Table1[[#This Row],[Income Credit Base]],-1,0)+Table1[[#This Row],[Purchase Payments]]+Table1[[#This Row],[Income Credit]],0)</f>
        <v>0</v>
      </c>
      <c r="K144" s="7">
        <f>IF(AND(Table1[[#This Row],[Is Activation]]=FALSE,Table1[[#This Row],[Is Anniversery]]=TRUE),Table1[[#This Row],[Income Credit Base]]*ICP,0)</f>
        <v>0</v>
      </c>
      <c r="L14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44" s="42" t="e">
        <f>IF(NOT(Table1[[#This Row],[Is Activation]]),(Table1[[#This Row],[Withdrawal Taken  ]]/Table1[[#This Row],[Assumed Contract Value ]]),0)</f>
        <v>#DIV/0!</v>
      </c>
      <c r="N14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44" s="5">
        <f>IF(NOT(Table1[[#This Row],[Has Lifetime Income Started]]),Table1[[#This Row],[Income Base]]*MAW,0)</f>
        <v>0</v>
      </c>
      <c r="P144" s="9" t="e">
        <f ca="1">IF(AND(Table1[[#This Row],[Has Lifetime Income Started]],Table1[[#This Row],[Is Anniversery]]),Table1[[#This Row],[Income Base]]*PIP,0)</f>
        <v>#DIV/0!</v>
      </c>
      <c r="Q144" s="37" t="b">
        <f t="shared" si="24"/>
        <v>1</v>
      </c>
      <c r="R144" s="10">
        <f>1/(1+InterestRate)^Table1[[#This Row],[timeFromValuation]]</f>
        <v>3.6234949738448791E-2</v>
      </c>
      <c r="S144" s="10">
        <f>Table1[[#This Row],[timeFromValuation]]</f>
        <v>68</v>
      </c>
      <c r="T144" s="10">
        <v>0</v>
      </c>
      <c r="U144" s="10">
        <v>0</v>
      </c>
      <c r="V144" s="10">
        <f>PRODUCT($T$8:$T144)</f>
        <v>0</v>
      </c>
      <c r="W144" s="10">
        <f>PRODUCT($U$8:$U144)</f>
        <v>0</v>
      </c>
      <c r="X144" s="10">
        <f>Table1[[#This Row],[Primary Annuitant Px]]+Table1[[#This Row],[Secondary Annuitant Py]]-Table1[[#This Row],[Primary Annuitant Px]]*Table1[[#This Row],[Secondary Annuitant Py]]</f>
        <v>0</v>
      </c>
      <c r="Y144" s="10">
        <f>PRODUCT($X$8:$X144)</f>
        <v>0</v>
      </c>
    </row>
    <row r="145" spans="1:25" x14ac:dyDescent="0.3">
      <c r="A145" s="34">
        <f t="shared" si="25"/>
        <v>137</v>
      </c>
      <c r="B145" s="32">
        <f ca="1">OFFSET(Table1[[#This Row],[Pay Period]],-1,0)+0.5</f>
        <v>68.5</v>
      </c>
      <c r="C145" s="29">
        <f t="shared" si="26"/>
        <v>68.5</v>
      </c>
      <c r="D145" s="36">
        <f t="shared" si="22"/>
        <v>0</v>
      </c>
      <c r="E145" s="36">
        <f t="shared" si="23"/>
        <v>0</v>
      </c>
      <c r="F145" s="36">
        <f>IF(Table1[[#This Row],[Assumed Contract Value ]]&gt;0.1,Table1[[#This Row],[timeFromValuation]]&gt;=Activation_Time,0)</f>
        <v>0</v>
      </c>
      <c r="G145" s="36">
        <v>0</v>
      </c>
      <c r="H145" s="36" t="b">
        <f>Table1[[#This Row],[timeFromValuation]]=INT(Table1[[#This Row],[timeFromValuation]])</f>
        <v>0</v>
      </c>
      <c r="I145" s="7">
        <f>IF((Table1[[#This Row],[Is Anniversery]]), Table1[[#This Row],[Assumed Contract Value ]],0)</f>
        <v>0</v>
      </c>
      <c r="J145" s="7">
        <f ca="1">IF(NOT(Table1[[#This Row],[Is Activation]]),OFFSET(Table1[[#This Row],[Income Credit Base]],-1,0)+Table1[[#This Row],[Purchase Payments]]+Table1[[#This Row],[Income Credit]],0)</f>
        <v>0</v>
      </c>
      <c r="K145" s="7">
        <f>IF(AND(Table1[[#This Row],[Is Activation]]=FALSE,Table1[[#This Row],[Is Anniversery]]=TRUE),Table1[[#This Row],[Income Credit Base]]*ICP,0)</f>
        <v>0</v>
      </c>
      <c r="L14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45" s="42" t="e">
        <f>IF(NOT(Table1[[#This Row],[Is Activation]]),(Table1[[#This Row],[Withdrawal Taken  ]]/Table1[[#This Row],[Assumed Contract Value ]]),0)</f>
        <v>#DIV/0!</v>
      </c>
      <c r="N14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45" s="5">
        <f>IF(NOT(Table1[[#This Row],[Has Lifetime Income Started]]),Table1[[#This Row],[Income Base]]*MAW,0)</f>
        <v>0</v>
      </c>
      <c r="P145" s="9">
        <f>IF(AND(Table1[[#This Row],[Has Lifetime Income Started]],Table1[[#This Row],[Is Anniversery]]),Table1[[#This Row],[Income Base]]*PIP,0)</f>
        <v>0</v>
      </c>
      <c r="Q145" s="37" t="b">
        <f t="shared" si="24"/>
        <v>1</v>
      </c>
      <c r="R145" s="10">
        <f>1/(1+InterestRate)^Table1[[#This Row],[timeFromValuation]]</f>
        <v>3.5361690093038529E-2</v>
      </c>
      <c r="S145" s="10">
        <f>Table1[[#This Row],[timeFromValuation]]</f>
        <v>68.5</v>
      </c>
      <c r="T145" s="10">
        <v>0</v>
      </c>
      <c r="U145" s="10">
        <v>0</v>
      </c>
      <c r="V145" s="10">
        <f>PRODUCT($T$8:$T145)</f>
        <v>0</v>
      </c>
      <c r="W145" s="10">
        <f>PRODUCT($U$8:$U145)</f>
        <v>0</v>
      </c>
      <c r="X145" s="10">
        <f>Table1[[#This Row],[Primary Annuitant Px]]+Table1[[#This Row],[Secondary Annuitant Py]]-Table1[[#This Row],[Primary Annuitant Px]]*Table1[[#This Row],[Secondary Annuitant Py]]</f>
        <v>0</v>
      </c>
      <c r="Y145" s="10">
        <f>PRODUCT($X$8:$X145)</f>
        <v>0</v>
      </c>
    </row>
    <row r="146" spans="1:25" x14ac:dyDescent="0.3">
      <c r="A146" s="34">
        <f t="shared" si="25"/>
        <v>138</v>
      </c>
      <c r="B146" s="32">
        <f ca="1">OFFSET(Table1[[#This Row],[Pay Period]],-1,0)+0.5</f>
        <v>69</v>
      </c>
      <c r="C146" s="29">
        <f t="shared" si="26"/>
        <v>69</v>
      </c>
      <c r="D146" s="36">
        <f t="shared" si="22"/>
        <v>0</v>
      </c>
      <c r="E146" s="36">
        <f t="shared" si="23"/>
        <v>0</v>
      </c>
      <c r="F146" s="36">
        <f>IF(Table1[[#This Row],[Assumed Contract Value ]]&gt;0.1,Table1[[#This Row],[timeFromValuation]]&gt;=Activation_Time,0)</f>
        <v>0</v>
      </c>
      <c r="G146" s="36">
        <v>0</v>
      </c>
      <c r="H146" s="36" t="b">
        <f>Table1[[#This Row],[timeFromValuation]]=INT(Table1[[#This Row],[timeFromValuation]])</f>
        <v>1</v>
      </c>
      <c r="I146" s="7">
        <f>IF((Table1[[#This Row],[Is Anniversery]]), Table1[[#This Row],[Assumed Contract Value ]],0)</f>
        <v>0</v>
      </c>
      <c r="J146" s="7">
        <f ca="1">IF(NOT(Table1[[#This Row],[Is Activation]]),OFFSET(Table1[[#This Row],[Income Credit Base]],-1,0)+Table1[[#This Row],[Purchase Payments]]+Table1[[#This Row],[Income Credit]],0)</f>
        <v>0</v>
      </c>
      <c r="K146" s="7">
        <f>IF(AND(Table1[[#This Row],[Is Activation]]=FALSE,Table1[[#This Row],[Is Anniversery]]=TRUE),Table1[[#This Row],[Income Credit Base]]*ICP,0)</f>
        <v>0</v>
      </c>
      <c r="L14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46" s="42" t="e">
        <f>IF(NOT(Table1[[#This Row],[Is Activation]]),(Table1[[#This Row],[Withdrawal Taken  ]]/Table1[[#This Row],[Assumed Contract Value ]]),0)</f>
        <v>#DIV/0!</v>
      </c>
      <c r="N14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46" s="5">
        <f>IF(NOT(Table1[[#This Row],[Has Lifetime Income Started]]),Table1[[#This Row],[Income Base]]*MAW,0)</f>
        <v>0</v>
      </c>
      <c r="P146" s="9" t="e">
        <f ca="1">IF(AND(Table1[[#This Row],[Has Lifetime Income Started]],Table1[[#This Row],[Is Anniversery]]),Table1[[#This Row],[Income Base]]*PIP,0)</f>
        <v>#DIV/0!</v>
      </c>
      <c r="Q146" s="37" t="b">
        <f t="shared" si="24"/>
        <v>1</v>
      </c>
      <c r="R146" s="10">
        <f>1/(1+InterestRate)^Table1[[#This Row],[timeFromValuation]]</f>
        <v>3.4509475941379798E-2</v>
      </c>
      <c r="S146" s="10">
        <f>Table1[[#This Row],[timeFromValuation]]</f>
        <v>69</v>
      </c>
      <c r="T146" s="10">
        <v>0</v>
      </c>
      <c r="U146" s="10">
        <v>0</v>
      </c>
      <c r="V146" s="10">
        <f>PRODUCT($T$8:$T146)</f>
        <v>0</v>
      </c>
      <c r="W146" s="10">
        <f>PRODUCT($U$8:$U146)</f>
        <v>0</v>
      </c>
      <c r="X146" s="10">
        <f>Table1[[#This Row],[Primary Annuitant Px]]+Table1[[#This Row],[Secondary Annuitant Py]]-Table1[[#This Row],[Primary Annuitant Px]]*Table1[[#This Row],[Secondary Annuitant Py]]</f>
        <v>0</v>
      </c>
      <c r="Y146" s="10">
        <f>PRODUCT($X$8:$X146)</f>
        <v>0</v>
      </c>
    </row>
    <row r="147" spans="1:25" x14ac:dyDescent="0.3">
      <c r="A147" s="34">
        <f t="shared" si="25"/>
        <v>139</v>
      </c>
      <c r="B147" s="32">
        <f ca="1">OFFSET(Table1[[#This Row],[Pay Period]],-1,0)+0.5</f>
        <v>69.5</v>
      </c>
      <c r="C147" s="29">
        <f t="shared" si="26"/>
        <v>69.5</v>
      </c>
      <c r="D147" s="36">
        <f t="shared" si="22"/>
        <v>0</v>
      </c>
      <c r="E147" s="36">
        <f t="shared" si="23"/>
        <v>0</v>
      </c>
      <c r="F147" s="36">
        <f>IF(Table1[[#This Row],[Assumed Contract Value ]]&gt;0.1,Table1[[#This Row],[timeFromValuation]]&gt;=Activation_Time,0)</f>
        <v>0</v>
      </c>
      <c r="G147" s="36">
        <v>0</v>
      </c>
      <c r="H147" s="36" t="b">
        <f>Table1[[#This Row],[timeFromValuation]]=INT(Table1[[#This Row],[timeFromValuation]])</f>
        <v>0</v>
      </c>
      <c r="I147" s="7">
        <f>IF((Table1[[#This Row],[Is Anniversery]]), Table1[[#This Row],[Assumed Contract Value ]],0)</f>
        <v>0</v>
      </c>
      <c r="J147" s="7">
        <f ca="1">IF(NOT(Table1[[#This Row],[Is Activation]]),OFFSET(Table1[[#This Row],[Income Credit Base]],-1,0)+Table1[[#This Row],[Purchase Payments]]+Table1[[#This Row],[Income Credit]],0)</f>
        <v>0</v>
      </c>
      <c r="K147" s="7">
        <f>IF(AND(Table1[[#This Row],[Is Activation]]=FALSE,Table1[[#This Row],[Is Anniversery]]=TRUE),Table1[[#This Row],[Income Credit Base]]*ICP,0)</f>
        <v>0</v>
      </c>
      <c r="L14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47" s="42" t="e">
        <f>IF(NOT(Table1[[#This Row],[Is Activation]]),(Table1[[#This Row],[Withdrawal Taken  ]]/Table1[[#This Row],[Assumed Contract Value ]]),0)</f>
        <v>#DIV/0!</v>
      </c>
      <c r="N14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47" s="5">
        <f>IF(NOT(Table1[[#This Row],[Has Lifetime Income Started]]),Table1[[#This Row],[Income Base]]*MAW,0)</f>
        <v>0</v>
      </c>
      <c r="P147" s="9">
        <f>IF(AND(Table1[[#This Row],[Has Lifetime Income Started]],Table1[[#This Row],[Is Anniversery]]),Table1[[#This Row],[Income Base]]*PIP,0)</f>
        <v>0</v>
      </c>
      <c r="Q147" s="37" t="b">
        <f t="shared" si="24"/>
        <v>1</v>
      </c>
      <c r="R147" s="10">
        <f>1/(1+InterestRate)^Table1[[#This Row],[timeFromValuation]]</f>
        <v>3.3677800088608122E-2</v>
      </c>
      <c r="S147" s="10">
        <f>Table1[[#This Row],[timeFromValuation]]</f>
        <v>69.5</v>
      </c>
      <c r="T147" s="10">
        <v>0</v>
      </c>
      <c r="U147" s="10">
        <v>0</v>
      </c>
      <c r="V147" s="10">
        <f>PRODUCT($T$8:$T147)</f>
        <v>0</v>
      </c>
      <c r="W147" s="10">
        <f>PRODUCT($U$8:$U147)</f>
        <v>0</v>
      </c>
      <c r="X147" s="10">
        <f>Table1[[#This Row],[Primary Annuitant Px]]+Table1[[#This Row],[Secondary Annuitant Py]]-Table1[[#This Row],[Primary Annuitant Px]]*Table1[[#This Row],[Secondary Annuitant Py]]</f>
        <v>0</v>
      </c>
      <c r="Y147" s="10">
        <f>PRODUCT($X$8:$X147)</f>
        <v>0</v>
      </c>
    </row>
    <row r="148" spans="1:25" x14ac:dyDescent="0.3">
      <c r="A148" s="34">
        <f t="shared" si="25"/>
        <v>140</v>
      </c>
      <c r="B148" s="32">
        <f ca="1">OFFSET(Table1[[#This Row],[Pay Period]],-1,0)+0.5</f>
        <v>70</v>
      </c>
      <c r="C148" s="29">
        <f t="shared" si="26"/>
        <v>70</v>
      </c>
      <c r="D148" s="36">
        <f t="shared" si="22"/>
        <v>0</v>
      </c>
      <c r="E148" s="36">
        <f t="shared" si="23"/>
        <v>0</v>
      </c>
      <c r="F148" s="36">
        <f>IF(Table1[[#This Row],[Assumed Contract Value ]]&gt;0.1,Table1[[#This Row],[timeFromValuation]]&gt;=Activation_Time,0)</f>
        <v>0</v>
      </c>
      <c r="G148" s="36">
        <v>0</v>
      </c>
      <c r="H148" s="36" t="b">
        <f>Table1[[#This Row],[timeFromValuation]]=INT(Table1[[#This Row],[timeFromValuation]])</f>
        <v>1</v>
      </c>
      <c r="I148" s="7">
        <f>IF((Table1[[#This Row],[Is Anniversery]]), Table1[[#This Row],[Assumed Contract Value ]],0)</f>
        <v>0</v>
      </c>
      <c r="J148" s="7">
        <f ca="1">IF(NOT(Table1[[#This Row],[Is Activation]]),OFFSET(Table1[[#This Row],[Income Credit Base]],-1,0)+Table1[[#This Row],[Purchase Payments]]+Table1[[#This Row],[Income Credit]],0)</f>
        <v>0</v>
      </c>
      <c r="K148" s="7">
        <f>IF(AND(Table1[[#This Row],[Is Activation]]=FALSE,Table1[[#This Row],[Is Anniversery]]=TRUE),Table1[[#This Row],[Income Credit Base]]*ICP,0)</f>
        <v>0</v>
      </c>
      <c r="L14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48" s="42" t="e">
        <f>IF(NOT(Table1[[#This Row],[Is Activation]]),(Table1[[#This Row],[Withdrawal Taken  ]]/Table1[[#This Row],[Assumed Contract Value ]]),0)</f>
        <v>#DIV/0!</v>
      </c>
      <c r="N14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48" s="5">
        <f>IF(NOT(Table1[[#This Row],[Has Lifetime Income Started]]),Table1[[#This Row],[Income Base]]*MAW,0)</f>
        <v>0</v>
      </c>
      <c r="P148" s="9" t="e">
        <f ca="1">IF(AND(Table1[[#This Row],[Has Lifetime Income Started]],Table1[[#This Row],[Is Anniversery]]),Table1[[#This Row],[Income Base]]*PIP,0)</f>
        <v>#DIV/0!</v>
      </c>
      <c r="Q148" s="37" t="b">
        <f t="shared" si="24"/>
        <v>1</v>
      </c>
      <c r="R148" s="10">
        <f>1/(1+InterestRate)^Table1[[#This Row],[timeFromValuation]]</f>
        <v>3.2866167563218862E-2</v>
      </c>
      <c r="S148" s="10">
        <f>Table1[[#This Row],[timeFromValuation]]</f>
        <v>70</v>
      </c>
      <c r="T148" s="10">
        <v>0</v>
      </c>
      <c r="U148" s="10">
        <v>0</v>
      </c>
      <c r="V148" s="10">
        <f>PRODUCT($T$8:$T148)</f>
        <v>0</v>
      </c>
      <c r="W148" s="10">
        <f>PRODUCT($U$8:$U148)</f>
        <v>0</v>
      </c>
      <c r="X148" s="10">
        <f>Table1[[#This Row],[Primary Annuitant Px]]+Table1[[#This Row],[Secondary Annuitant Py]]-Table1[[#This Row],[Primary Annuitant Px]]*Table1[[#This Row],[Secondary Annuitant Py]]</f>
        <v>0</v>
      </c>
      <c r="Y148" s="10">
        <f>PRODUCT($X$8:$X148)</f>
        <v>0</v>
      </c>
    </row>
    <row r="149" spans="1:25" x14ac:dyDescent="0.3">
      <c r="A149" s="34">
        <f t="shared" si="25"/>
        <v>141</v>
      </c>
      <c r="B149" s="32">
        <f ca="1">OFFSET(Table1[[#This Row],[Pay Period]],-1,0)+0.5</f>
        <v>70.5</v>
      </c>
      <c r="C149" s="29">
        <f t="shared" si="26"/>
        <v>70.5</v>
      </c>
      <c r="D149" s="36">
        <f t="shared" si="22"/>
        <v>0</v>
      </c>
      <c r="E149" s="36">
        <f t="shared" si="23"/>
        <v>0</v>
      </c>
      <c r="F149" s="36">
        <f>IF(Table1[[#This Row],[Assumed Contract Value ]]&gt;0.1,Table1[[#This Row],[timeFromValuation]]&gt;=Activation_Time,0)</f>
        <v>0</v>
      </c>
      <c r="G149" s="36">
        <v>0</v>
      </c>
      <c r="H149" s="36" t="b">
        <f>Table1[[#This Row],[timeFromValuation]]=INT(Table1[[#This Row],[timeFromValuation]])</f>
        <v>0</v>
      </c>
      <c r="I149" s="7">
        <f>IF((Table1[[#This Row],[Is Anniversery]]), Table1[[#This Row],[Assumed Contract Value ]],0)</f>
        <v>0</v>
      </c>
      <c r="J149" s="7">
        <f ca="1">IF(NOT(Table1[[#This Row],[Is Activation]]),OFFSET(Table1[[#This Row],[Income Credit Base]],-1,0)+Table1[[#This Row],[Purchase Payments]]+Table1[[#This Row],[Income Credit]],0)</f>
        <v>0</v>
      </c>
      <c r="K149" s="7">
        <f>IF(AND(Table1[[#This Row],[Is Activation]]=FALSE,Table1[[#This Row],[Is Anniversery]]=TRUE),Table1[[#This Row],[Income Credit Base]]*ICP,0)</f>
        <v>0</v>
      </c>
      <c r="L14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49" s="42" t="e">
        <f>IF(NOT(Table1[[#This Row],[Is Activation]]),(Table1[[#This Row],[Withdrawal Taken  ]]/Table1[[#This Row],[Assumed Contract Value ]]),0)</f>
        <v>#DIV/0!</v>
      </c>
      <c r="N14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49" s="5">
        <f>IF(NOT(Table1[[#This Row],[Has Lifetime Income Started]]),Table1[[#This Row],[Income Base]]*MAW,0)</f>
        <v>0</v>
      </c>
      <c r="P149" s="9">
        <f>IF(AND(Table1[[#This Row],[Has Lifetime Income Started]],Table1[[#This Row],[Is Anniversery]]),Table1[[#This Row],[Income Base]]*PIP,0)</f>
        <v>0</v>
      </c>
      <c r="Q149" s="37" t="b">
        <f t="shared" si="24"/>
        <v>1</v>
      </c>
      <c r="R149" s="10">
        <f>1/(1+InterestRate)^Table1[[#This Row],[timeFromValuation]]</f>
        <v>3.2074095322483932E-2</v>
      </c>
      <c r="S149" s="10">
        <f>Table1[[#This Row],[timeFromValuation]]</f>
        <v>70.5</v>
      </c>
      <c r="T149" s="10">
        <v>0</v>
      </c>
      <c r="U149" s="10">
        <v>0</v>
      </c>
      <c r="V149" s="10">
        <f>PRODUCT($T$8:$T149)</f>
        <v>0</v>
      </c>
      <c r="W149" s="10">
        <f>PRODUCT($U$8:$U149)</f>
        <v>0</v>
      </c>
      <c r="X149" s="10">
        <f>Table1[[#This Row],[Primary Annuitant Px]]+Table1[[#This Row],[Secondary Annuitant Py]]-Table1[[#This Row],[Primary Annuitant Px]]*Table1[[#This Row],[Secondary Annuitant Py]]</f>
        <v>0</v>
      </c>
      <c r="Y149" s="10">
        <f>PRODUCT($X$8:$X149)</f>
        <v>0</v>
      </c>
    </row>
    <row r="150" spans="1:25" x14ac:dyDescent="0.3">
      <c r="A150" s="34">
        <f t="shared" si="25"/>
        <v>142</v>
      </c>
      <c r="B150" s="32">
        <f ca="1">OFFSET(Table1[[#This Row],[Pay Period]],-1,0)+0.5</f>
        <v>71</v>
      </c>
      <c r="C150" s="29">
        <f t="shared" si="26"/>
        <v>71</v>
      </c>
      <c r="D150" s="36">
        <f t="shared" si="22"/>
        <v>0</v>
      </c>
      <c r="E150" s="36">
        <f t="shared" si="23"/>
        <v>0</v>
      </c>
      <c r="F150" s="36">
        <f>IF(Table1[[#This Row],[Assumed Contract Value ]]&gt;0.1,Table1[[#This Row],[timeFromValuation]]&gt;=Activation_Time,0)</f>
        <v>0</v>
      </c>
      <c r="G150" s="36">
        <v>0</v>
      </c>
      <c r="H150" s="36" t="b">
        <f>Table1[[#This Row],[timeFromValuation]]=INT(Table1[[#This Row],[timeFromValuation]])</f>
        <v>1</v>
      </c>
      <c r="I150" s="7">
        <f>IF((Table1[[#This Row],[Is Anniversery]]), Table1[[#This Row],[Assumed Contract Value ]],0)</f>
        <v>0</v>
      </c>
      <c r="J150" s="7">
        <f ca="1">IF(NOT(Table1[[#This Row],[Is Activation]]),OFFSET(Table1[[#This Row],[Income Credit Base]],-1,0)+Table1[[#This Row],[Purchase Payments]]+Table1[[#This Row],[Income Credit]],0)</f>
        <v>0</v>
      </c>
      <c r="K150" s="7">
        <f>IF(AND(Table1[[#This Row],[Is Activation]]=FALSE,Table1[[#This Row],[Is Anniversery]]=TRUE),Table1[[#This Row],[Income Credit Base]]*ICP,0)</f>
        <v>0</v>
      </c>
      <c r="L15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50" s="42" t="e">
        <f>IF(NOT(Table1[[#This Row],[Is Activation]]),(Table1[[#This Row],[Withdrawal Taken  ]]/Table1[[#This Row],[Assumed Contract Value ]]),0)</f>
        <v>#DIV/0!</v>
      </c>
      <c r="N15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50" s="5">
        <f>IF(NOT(Table1[[#This Row],[Has Lifetime Income Started]]),Table1[[#This Row],[Income Base]]*MAW,0)</f>
        <v>0</v>
      </c>
      <c r="P150" s="9" t="e">
        <f ca="1">IF(AND(Table1[[#This Row],[Has Lifetime Income Started]],Table1[[#This Row],[Is Anniversery]]),Table1[[#This Row],[Income Base]]*PIP,0)</f>
        <v>#DIV/0!</v>
      </c>
      <c r="Q150" s="37" t="b">
        <f t="shared" si="24"/>
        <v>1</v>
      </c>
      <c r="R150" s="10">
        <f>1/(1+InterestRate)^Table1[[#This Row],[timeFromValuation]]</f>
        <v>3.1301111964970339E-2</v>
      </c>
      <c r="S150" s="10">
        <f>Table1[[#This Row],[timeFromValuation]]</f>
        <v>71</v>
      </c>
      <c r="T150" s="10">
        <v>0</v>
      </c>
      <c r="U150" s="10">
        <v>0</v>
      </c>
      <c r="V150" s="10">
        <f>PRODUCT($T$8:$T150)</f>
        <v>0</v>
      </c>
      <c r="W150" s="10">
        <f>PRODUCT($U$8:$U150)</f>
        <v>0</v>
      </c>
      <c r="X150" s="10">
        <f>Table1[[#This Row],[Primary Annuitant Px]]+Table1[[#This Row],[Secondary Annuitant Py]]-Table1[[#This Row],[Primary Annuitant Px]]*Table1[[#This Row],[Secondary Annuitant Py]]</f>
        <v>0</v>
      </c>
      <c r="Y150" s="10">
        <f>PRODUCT($X$8:$X150)</f>
        <v>0</v>
      </c>
    </row>
    <row r="151" spans="1:25" x14ac:dyDescent="0.3">
      <c r="A151" s="34">
        <f t="shared" si="25"/>
        <v>143</v>
      </c>
      <c r="B151" s="32">
        <f ca="1">OFFSET(Table1[[#This Row],[Pay Period]],-1,0)+0.5</f>
        <v>71.5</v>
      </c>
      <c r="C151" s="29">
        <f t="shared" si="26"/>
        <v>71.5</v>
      </c>
      <c r="D151" s="36">
        <f t="shared" si="22"/>
        <v>0</v>
      </c>
      <c r="E151" s="36">
        <f t="shared" si="23"/>
        <v>0</v>
      </c>
      <c r="F151" s="36">
        <f>IF(Table1[[#This Row],[Assumed Contract Value ]]&gt;0.1,Table1[[#This Row],[timeFromValuation]]&gt;=Activation_Time,0)</f>
        <v>0</v>
      </c>
      <c r="G151" s="36">
        <v>0</v>
      </c>
      <c r="H151" s="36" t="b">
        <f>Table1[[#This Row],[timeFromValuation]]=INT(Table1[[#This Row],[timeFromValuation]])</f>
        <v>0</v>
      </c>
      <c r="I151" s="7">
        <f>IF((Table1[[#This Row],[Is Anniversery]]), Table1[[#This Row],[Assumed Contract Value ]],0)</f>
        <v>0</v>
      </c>
      <c r="J151" s="7">
        <f ca="1">IF(NOT(Table1[[#This Row],[Is Activation]]),OFFSET(Table1[[#This Row],[Income Credit Base]],-1,0)+Table1[[#This Row],[Purchase Payments]]+Table1[[#This Row],[Income Credit]],0)</f>
        <v>0</v>
      </c>
      <c r="K151" s="7">
        <f>IF(AND(Table1[[#This Row],[Is Activation]]=FALSE,Table1[[#This Row],[Is Anniversery]]=TRUE),Table1[[#This Row],[Income Credit Base]]*ICP,0)</f>
        <v>0</v>
      </c>
      <c r="L15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51" s="42" t="e">
        <f>IF(NOT(Table1[[#This Row],[Is Activation]]),(Table1[[#This Row],[Withdrawal Taken  ]]/Table1[[#This Row],[Assumed Contract Value ]]),0)</f>
        <v>#DIV/0!</v>
      </c>
      <c r="N15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51" s="5">
        <f>IF(NOT(Table1[[#This Row],[Has Lifetime Income Started]]),Table1[[#This Row],[Income Base]]*MAW,0)</f>
        <v>0</v>
      </c>
      <c r="P151" s="9">
        <f>IF(AND(Table1[[#This Row],[Has Lifetime Income Started]],Table1[[#This Row],[Is Anniversery]]),Table1[[#This Row],[Income Base]]*PIP,0)</f>
        <v>0</v>
      </c>
      <c r="Q151" s="37" t="b">
        <f t="shared" si="24"/>
        <v>1</v>
      </c>
      <c r="R151" s="10">
        <f>1/(1+InterestRate)^Table1[[#This Row],[timeFromValuation]]</f>
        <v>3.0546757449984689E-2</v>
      </c>
      <c r="S151" s="10">
        <f>Table1[[#This Row],[timeFromValuation]]</f>
        <v>71.5</v>
      </c>
      <c r="T151" s="10">
        <v>0</v>
      </c>
      <c r="U151" s="10">
        <v>0</v>
      </c>
      <c r="V151" s="10">
        <f>PRODUCT($T$8:$T151)</f>
        <v>0</v>
      </c>
      <c r="W151" s="10">
        <f>PRODUCT($U$8:$U151)</f>
        <v>0</v>
      </c>
      <c r="X151" s="10">
        <f>Table1[[#This Row],[Primary Annuitant Px]]+Table1[[#This Row],[Secondary Annuitant Py]]-Table1[[#This Row],[Primary Annuitant Px]]*Table1[[#This Row],[Secondary Annuitant Py]]</f>
        <v>0</v>
      </c>
      <c r="Y151" s="10">
        <f>PRODUCT($X$8:$X151)</f>
        <v>0</v>
      </c>
    </row>
    <row r="152" spans="1:25" x14ac:dyDescent="0.3">
      <c r="A152" s="34">
        <f t="shared" si="25"/>
        <v>144</v>
      </c>
      <c r="B152" s="32">
        <f ca="1">OFFSET(Table1[[#This Row],[Pay Period]],-1,0)+0.5</f>
        <v>72</v>
      </c>
      <c r="C152" s="29">
        <f t="shared" si="26"/>
        <v>72</v>
      </c>
      <c r="D152" s="36">
        <f t="shared" si="22"/>
        <v>0</v>
      </c>
      <c r="E152" s="36">
        <f t="shared" si="23"/>
        <v>0</v>
      </c>
      <c r="F152" s="36">
        <f>IF(Table1[[#This Row],[Assumed Contract Value ]]&gt;0.1,Table1[[#This Row],[timeFromValuation]]&gt;=Activation_Time,0)</f>
        <v>0</v>
      </c>
      <c r="G152" s="36">
        <v>0</v>
      </c>
      <c r="H152" s="36" t="b">
        <f>Table1[[#This Row],[timeFromValuation]]=INT(Table1[[#This Row],[timeFromValuation]])</f>
        <v>1</v>
      </c>
      <c r="I152" s="7">
        <f>IF((Table1[[#This Row],[Is Anniversery]]), Table1[[#This Row],[Assumed Contract Value ]],0)</f>
        <v>0</v>
      </c>
      <c r="J152" s="7">
        <f ca="1">IF(NOT(Table1[[#This Row],[Is Activation]]),OFFSET(Table1[[#This Row],[Income Credit Base]],-1,0)+Table1[[#This Row],[Purchase Payments]]+Table1[[#This Row],[Income Credit]],0)</f>
        <v>0</v>
      </c>
      <c r="K152" s="7">
        <f>IF(AND(Table1[[#This Row],[Is Activation]]=FALSE,Table1[[#This Row],[Is Anniversery]]=TRUE),Table1[[#This Row],[Income Credit Base]]*ICP,0)</f>
        <v>0</v>
      </c>
      <c r="L15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52" s="42" t="e">
        <f>IF(NOT(Table1[[#This Row],[Is Activation]]),(Table1[[#This Row],[Withdrawal Taken  ]]/Table1[[#This Row],[Assumed Contract Value ]]),0)</f>
        <v>#DIV/0!</v>
      </c>
      <c r="N15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52" s="5">
        <f>IF(NOT(Table1[[#This Row],[Has Lifetime Income Started]]),Table1[[#This Row],[Income Base]]*MAW,0)</f>
        <v>0</v>
      </c>
      <c r="P152" s="9" t="e">
        <f ca="1">IF(AND(Table1[[#This Row],[Has Lifetime Income Started]],Table1[[#This Row],[Is Anniversery]]),Table1[[#This Row],[Income Base]]*PIP,0)</f>
        <v>#DIV/0!</v>
      </c>
      <c r="Q152" s="37" t="b">
        <f t="shared" si="24"/>
        <v>1</v>
      </c>
      <c r="R152" s="10">
        <f>1/(1+InterestRate)^Table1[[#This Row],[timeFromValuation]]</f>
        <v>2.9810582823781274E-2</v>
      </c>
      <c r="S152" s="10">
        <f>Table1[[#This Row],[timeFromValuation]]</f>
        <v>72</v>
      </c>
      <c r="T152" s="10">
        <v>0</v>
      </c>
      <c r="U152" s="10">
        <v>0</v>
      </c>
      <c r="V152" s="10">
        <f>PRODUCT($T$8:$T152)</f>
        <v>0</v>
      </c>
      <c r="W152" s="10">
        <f>PRODUCT($U$8:$U152)</f>
        <v>0</v>
      </c>
      <c r="X152" s="10">
        <f>Table1[[#This Row],[Primary Annuitant Px]]+Table1[[#This Row],[Secondary Annuitant Py]]-Table1[[#This Row],[Primary Annuitant Px]]*Table1[[#This Row],[Secondary Annuitant Py]]</f>
        <v>0</v>
      </c>
      <c r="Y152" s="10">
        <f>PRODUCT($X$8:$X152)</f>
        <v>0</v>
      </c>
    </row>
    <row r="153" spans="1:25" x14ac:dyDescent="0.3">
      <c r="A153" s="34">
        <f t="shared" si="25"/>
        <v>145</v>
      </c>
      <c r="B153" s="32">
        <f ca="1">OFFSET(Table1[[#This Row],[Pay Period]],-1,0)+0.5</f>
        <v>72.5</v>
      </c>
      <c r="C153" s="29">
        <f t="shared" si="26"/>
        <v>72.5</v>
      </c>
      <c r="D153" s="36">
        <f t="shared" si="22"/>
        <v>0</v>
      </c>
      <c r="E153" s="36">
        <f t="shared" si="23"/>
        <v>0</v>
      </c>
      <c r="F153" s="36">
        <f>IF(Table1[[#This Row],[Assumed Contract Value ]]&gt;0.1,Table1[[#This Row],[timeFromValuation]]&gt;=Activation_Time,0)</f>
        <v>0</v>
      </c>
      <c r="G153" s="36">
        <v>0</v>
      </c>
      <c r="H153" s="36" t="b">
        <f>Table1[[#This Row],[timeFromValuation]]=INT(Table1[[#This Row],[timeFromValuation]])</f>
        <v>0</v>
      </c>
      <c r="I153" s="7">
        <f>IF((Table1[[#This Row],[Is Anniversery]]), Table1[[#This Row],[Assumed Contract Value ]],0)</f>
        <v>0</v>
      </c>
      <c r="J153" s="7">
        <f ca="1">IF(NOT(Table1[[#This Row],[Is Activation]]),OFFSET(Table1[[#This Row],[Income Credit Base]],-1,0)+Table1[[#This Row],[Purchase Payments]]+Table1[[#This Row],[Income Credit]],0)</f>
        <v>0</v>
      </c>
      <c r="K153" s="7">
        <f>IF(AND(Table1[[#This Row],[Is Activation]]=FALSE,Table1[[#This Row],[Is Anniversery]]=TRUE),Table1[[#This Row],[Income Credit Base]]*ICP,0)</f>
        <v>0</v>
      </c>
      <c r="L15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53" s="42" t="e">
        <f>IF(NOT(Table1[[#This Row],[Is Activation]]),(Table1[[#This Row],[Withdrawal Taken  ]]/Table1[[#This Row],[Assumed Contract Value ]]),0)</f>
        <v>#DIV/0!</v>
      </c>
      <c r="N15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53" s="5">
        <f>IF(NOT(Table1[[#This Row],[Has Lifetime Income Started]]),Table1[[#This Row],[Income Base]]*MAW,0)</f>
        <v>0</v>
      </c>
      <c r="P153" s="9">
        <f>IF(AND(Table1[[#This Row],[Has Lifetime Income Started]],Table1[[#This Row],[Is Anniversery]]),Table1[[#This Row],[Income Base]]*PIP,0)</f>
        <v>0</v>
      </c>
      <c r="Q153" s="37" t="b">
        <f t="shared" si="24"/>
        <v>1</v>
      </c>
      <c r="R153" s="10">
        <f>1/(1+InterestRate)^Table1[[#This Row],[timeFromValuation]]</f>
        <v>2.9092149952366367E-2</v>
      </c>
      <c r="S153" s="10">
        <f>Table1[[#This Row],[timeFromValuation]]</f>
        <v>72.5</v>
      </c>
      <c r="T153" s="10">
        <v>0</v>
      </c>
      <c r="U153" s="10">
        <v>0</v>
      </c>
      <c r="V153" s="10">
        <f>PRODUCT($T$8:$T153)</f>
        <v>0</v>
      </c>
      <c r="W153" s="10">
        <f>PRODUCT($U$8:$U153)</f>
        <v>0</v>
      </c>
      <c r="X153" s="10">
        <f>Table1[[#This Row],[Primary Annuitant Px]]+Table1[[#This Row],[Secondary Annuitant Py]]-Table1[[#This Row],[Primary Annuitant Px]]*Table1[[#This Row],[Secondary Annuitant Py]]</f>
        <v>0</v>
      </c>
      <c r="Y153" s="10">
        <f>PRODUCT($X$8:$X153)</f>
        <v>0</v>
      </c>
    </row>
    <row r="154" spans="1:25" x14ac:dyDescent="0.3">
      <c r="A154" s="34">
        <f t="shared" si="25"/>
        <v>146</v>
      </c>
      <c r="B154" s="32">
        <f ca="1">OFFSET(Table1[[#This Row],[Pay Period]],-1,0)+0.5</f>
        <v>73</v>
      </c>
      <c r="C154" s="29">
        <f t="shared" si="26"/>
        <v>73</v>
      </c>
      <c r="D154" s="36">
        <f t="shared" si="22"/>
        <v>0</v>
      </c>
      <c r="E154" s="36">
        <f t="shared" si="23"/>
        <v>0</v>
      </c>
      <c r="F154" s="36">
        <f>IF(Table1[[#This Row],[Assumed Contract Value ]]&gt;0.1,Table1[[#This Row],[timeFromValuation]]&gt;=Activation_Time,0)</f>
        <v>0</v>
      </c>
      <c r="G154" s="36">
        <v>0</v>
      </c>
      <c r="H154" s="36" t="b">
        <f>Table1[[#This Row],[timeFromValuation]]=INT(Table1[[#This Row],[timeFromValuation]])</f>
        <v>1</v>
      </c>
      <c r="I154" s="7">
        <f>IF((Table1[[#This Row],[Is Anniversery]]), Table1[[#This Row],[Assumed Contract Value ]],0)</f>
        <v>0</v>
      </c>
      <c r="J154" s="7">
        <f ca="1">IF(NOT(Table1[[#This Row],[Is Activation]]),OFFSET(Table1[[#This Row],[Income Credit Base]],-1,0)+Table1[[#This Row],[Purchase Payments]]+Table1[[#This Row],[Income Credit]],0)</f>
        <v>0</v>
      </c>
      <c r="K154" s="7">
        <f>IF(AND(Table1[[#This Row],[Is Activation]]=FALSE,Table1[[#This Row],[Is Anniversery]]=TRUE),Table1[[#This Row],[Income Credit Base]]*ICP,0)</f>
        <v>0</v>
      </c>
      <c r="L15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54" s="42" t="e">
        <f>IF(NOT(Table1[[#This Row],[Is Activation]]),(Table1[[#This Row],[Withdrawal Taken  ]]/Table1[[#This Row],[Assumed Contract Value ]]),0)</f>
        <v>#DIV/0!</v>
      </c>
      <c r="N15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54" s="5">
        <f>IF(NOT(Table1[[#This Row],[Has Lifetime Income Started]]),Table1[[#This Row],[Income Base]]*MAW,0)</f>
        <v>0</v>
      </c>
      <c r="P154" s="9" t="e">
        <f ca="1">IF(AND(Table1[[#This Row],[Has Lifetime Income Started]],Table1[[#This Row],[Is Anniversery]]),Table1[[#This Row],[Income Base]]*PIP,0)</f>
        <v>#DIV/0!</v>
      </c>
      <c r="Q154" s="37" t="b">
        <f t="shared" si="24"/>
        <v>1</v>
      </c>
      <c r="R154" s="10">
        <f>1/(1+InterestRate)^Table1[[#This Row],[timeFromValuation]]</f>
        <v>2.8391031260744073E-2</v>
      </c>
      <c r="S154" s="10">
        <f>Table1[[#This Row],[timeFromValuation]]</f>
        <v>73</v>
      </c>
      <c r="T154" s="10">
        <v>0</v>
      </c>
      <c r="U154" s="10">
        <v>0</v>
      </c>
      <c r="V154" s="10">
        <f>PRODUCT($T$8:$T154)</f>
        <v>0</v>
      </c>
      <c r="W154" s="10">
        <f>PRODUCT($U$8:$U154)</f>
        <v>0</v>
      </c>
      <c r="X154" s="10">
        <f>Table1[[#This Row],[Primary Annuitant Px]]+Table1[[#This Row],[Secondary Annuitant Py]]-Table1[[#This Row],[Primary Annuitant Px]]*Table1[[#This Row],[Secondary Annuitant Py]]</f>
        <v>0</v>
      </c>
      <c r="Y154" s="10">
        <f>PRODUCT($X$8:$X154)</f>
        <v>0</v>
      </c>
    </row>
    <row r="155" spans="1:25" x14ac:dyDescent="0.3">
      <c r="A155" s="34">
        <f t="shared" si="25"/>
        <v>147</v>
      </c>
      <c r="B155" s="32">
        <f ca="1">OFFSET(Table1[[#This Row],[Pay Period]],-1,0)+0.5</f>
        <v>73.5</v>
      </c>
      <c r="C155" s="29">
        <f t="shared" si="26"/>
        <v>73.5</v>
      </c>
      <c r="D155" s="36">
        <f t="shared" si="22"/>
        <v>0</v>
      </c>
      <c r="E155" s="36">
        <f t="shared" si="23"/>
        <v>0</v>
      </c>
      <c r="F155" s="36">
        <f>IF(Table1[[#This Row],[Assumed Contract Value ]]&gt;0.1,Table1[[#This Row],[timeFromValuation]]&gt;=Activation_Time,0)</f>
        <v>0</v>
      </c>
      <c r="G155" s="36">
        <v>0</v>
      </c>
      <c r="H155" s="36" t="b">
        <f>Table1[[#This Row],[timeFromValuation]]=INT(Table1[[#This Row],[timeFromValuation]])</f>
        <v>0</v>
      </c>
      <c r="I155" s="7">
        <f>IF((Table1[[#This Row],[Is Anniversery]]), Table1[[#This Row],[Assumed Contract Value ]],0)</f>
        <v>0</v>
      </c>
      <c r="J155" s="7">
        <f ca="1">IF(NOT(Table1[[#This Row],[Is Activation]]),OFFSET(Table1[[#This Row],[Income Credit Base]],-1,0)+Table1[[#This Row],[Purchase Payments]]+Table1[[#This Row],[Income Credit]],0)</f>
        <v>0</v>
      </c>
      <c r="K155" s="7">
        <f>IF(AND(Table1[[#This Row],[Is Activation]]=FALSE,Table1[[#This Row],[Is Anniversery]]=TRUE),Table1[[#This Row],[Income Credit Base]]*ICP,0)</f>
        <v>0</v>
      </c>
      <c r="L15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55" s="42" t="e">
        <f>IF(NOT(Table1[[#This Row],[Is Activation]]),(Table1[[#This Row],[Withdrawal Taken  ]]/Table1[[#This Row],[Assumed Contract Value ]]),0)</f>
        <v>#DIV/0!</v>
      </c>
      <c r="N15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55" s="5">
        <f>IF(NOT(Table1[[#This Row],[Has Lifetime Income Started]]),Table1[[#This Row],[Income Base]]*MAW,0)</f>
        <v>0</v>
      </c>
      <c r="P155" s="9">
        <f>IF(AND(Table1[[#This Row],[Has Lifetime Income Started]],Table1[[#This Row],[Is Anniversery]]),Table1[[#This Row],[Income Base]]*PIP,0)</f>
        <v>0</v>
      </c>
      <c r="Q155" s="37" t="b">
        <f t="shared" si="24"/>
        <v>1</v>
      </c>
      <c r="R155" s="10">
        <f>1/(1+InterestRate)^Table1[[#This Row],[timeFromValuation]]</f>
        <v>2.7706809478444155E-2</v>
      </c>
      <c r="S155" s="10">
        <f>Table1[[#This Row],[timeFromValuation]]</f>
        <v>73.5</v>
      </c>
      <c r="T155" s="10">
        <v>0</v>
      </c>
      <c r="U155" s="10">
        <v>0</v>
      </c>
      <c r="V155" s="10">
        <f>PRODUCT($T$8:$T155)</f>
        <v>0</v>
      </c>
      <c r="W155" s="10">
        <f>PRODUCT($U$8:$U155)</f>
        <v>0</v>
      </c>
      <c r="X155" s="10">
        <f>Table1[[#This Row],[Primary Annuitant Px]]+Table1[[#This Row],[Secondary Annuitant Py]]-Table1[[#This Row],[Primary Annuitant Px]]*Table1[[#This Row],[Secondary Annuitant Py]]</f>
        <v>0</v>
      </c>
      <c r="Y155" s="10">
        <f>PRODUCT($X$8:$X155)</f>
        <v>0</v>
      </c>
    </row>
    <row r="156" spans="1:25" x14ac:dyDescent="0.3">
      <c r="A156" s="34">
        <f t="shared" si="25"/>
        <v>148</v>
      </c>
      <c r="B156" s="32">
        <f ca="1">OFFSET(Table1[[#This Row],[Pay Period]],-1,0)+0.5</f>
        <v>74</v>
      </c>
      <c r="C156" s="29">
        <f t="shared" si="26"/>
        <v>74</v>
      </c>
      <c r="D156" s="36">
        <f t="shared" si="22"/>
        <v>0</v>
      </c>
      <c r="E156" s="36">
        <f t="shared" si="23"/>
        <v>0</v>
      </c>
      <c r="F156" s="36">
        <f>IF(Table1[[#This Row],[Assumed Contract Value ]]&gt;0.1,Table1[[#This Row],[timeFromValuation]]&gt;=Activation_Time,0)</f>
        <v>0</v>
      </c>
      <c r="G156" s="36">
        <v>0</v>
      </c>
      <c r="H156" s="36" t="b">
        <f>Table1[[#This Row],[timeFromValuation]]=INT(Table1[[#This Row],[timeFromValuation]])</f>
        <v>1</v>
      </c>
      <c r="I156" s="7">
        <f>IF((Table1[[#This Row],[Is Anniversery]]), Table1[[#This Row],[Assumed Contract Value ]],0)</f>
        <v>0</v>
      </c>
      <c r="J156" s="7">
        <f ca="1">IF(NOT(Table1[[#This Row],[Is Activation]]),OFFSET(Table1[[#This Row],[Income Credit Base]],-1,0)+Table1[[#This Row],[Purchase Payments]]+Table1[[#This Row],[Income Credit]],0)</f>
        <v>0</v>
      </c>
      <c r="K156" s="7">
        <f>IF(AND(Table1[[#This Row],[Is Activation]]=FALSE,Table1[[#This Row],[Is Anniversery]]=TRUE),Table1[[#This Row],[Income Credit Base]]*ICP,0)</f>
        <v>0</v>
      </c>
      <c r="L15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56" s="42" t="e">
        <f>IF(NOT(Table1[[#This Row],[Is Activation]]),(Table1[[#This Row],[Withdrawal Taken  ]]/Table1[[#This Row],[Assumed Contract Value ]]),0)</f>
        <v>#DIV/0!</v>
      </c>
      <c r="N15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56" s="5">
        <f>IF(NOT(Table1[[#This Row],[Has Lifetime Income Started]]),Table1[[#This Row],[Income Base]]*MAW,0)</f>
        <v>0</v>
      </c>
      <c r="P156" s="9" t="e">
        <f ca="1">IF(AND(Table1[[#This Row],[Has Lifetime Income Started]],Table1[[#This Row],[Is Anniversery]]),Table1[[#This Row],[Income Base]]*PIP,0)</f>
        <v>#DIV/0!</v>
      </c>
      <c r="Q156" s="37" t="b">
        <f t="shared" si="24"/>
        <v>1</v>
      </c>
      <c r="R156" s="10">
        <f>1/(1+InterestRate)^Table1[[#This Row],[timeFromValuation]]</f>
        <v>2.7039077391184833E-2</v>
      </c>
      <c r="S156" s="10">
        <f>Table1[[#This Row],[timeFromValuation]]</f>
        <v>74</v>
      </c>
      <c r="T156" s="10">
        <v>0</v>
      </c>
      <c r="U156" s="10">
        <v>0</v>
      </c>
      <c r="V156" s="10">
        <f>PRODUCT($T$8:$T156)</f>
        <v>0</v>
      </c>
      <c r="W156" s="10">
        <f>PRODUCT($U$8:$U156)</f>
        <v>0</v>
      </c>
      <c r="X156" s="10">
        <f>Table1[[#This Row],[Primary Annuitant Px]]+Table1[[#This Row],[Secondary Annuitant Py]]-Table1[[#This Row],[Primary Annuitant Px]]*Table1[[#This Row],[Secondary Annuitant Py]]</f>
        <v>0</v>
      </c>
      <c r="Y156" s="10">
        <f>PRODUCT($X$8:$X156)</f>
        <v>0</v>
      </c>
    </row>
    <row r="157" spans="1:25" x14ac:dyDescent="0.3">
      <c r="A157" s="34">
        <f t="shared" si="25"/>
        <v>149</v>
      </c>
      <c r="B157" s="32">
        <f ca="1">OFFSET(Table1[[#This Row],[Pay Period]],-1,0)+0.5</f>
        <v>74.5</v>
      </c>
      <c r="C157" s="29">
        <f t="shared" si="26"/>
        <v>74.5</v>
      </c>
      <c r="D157" s="36">
        <f t="shared" si="22"/>
        <v>0</v>
      </c>
      <c r="E157" s="36">
        <f t="shared" si="23"/>
        <v>0</v>
      </c>
      <c r="F157" s="36">
        <f>IF(Table1[[#This Row],[Assumed Contract Value ]]&gt;0.1,Table1[[#This Row],[timeFromValuation]]&gt;=Activation_Time,0)</f>
        <v>0</v>
      </c>
      <c r="G157" s="36">
        <v>0</v>
      </c>
      <c r="H157" s="36" t="b">
        <f>Table1[[#This Row],[timeFromValuation]]=INT(Table1[[#This Row],[timeFromValuation]])</f>
        <v>0</v>
      </c>
      <c r="I157" s="7">
        <f>IF((Table1[[#This Row],[Is Anniversery]]), Table1[[#This Row],[Assumed Contract Value ]],0)</f>
        <v>0</v>
      </c>
      <c r="J157" s="7">
        <f ca="1">IF(NOT(Table1[[#This Row],[Is Activation]]),OFFSET(Table1[[#This Row],[Income Credit Base]],-1,0)+Table1[[#This Row],[Purchase Payments]]+Table1[[#This Row],[Income Credit]],0)</f>
        <v>0</v>
      </c>
      <c r="K157" s="7">
        <f>IF(AND(Table1[[#This Row],[Is Activation]]=FALSE,Table1[[#This Row],[Is Anniversery]]=TRUE),Table1[[#This Row],[Income Credit Base]]*ICP,0)</f>
        <v>0</v>
      </c>
      <c r="L15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57" s="42" t="e">
        <f>IF(NOT(Table1[[#This Row],[Is Activation]]),(Table1[[#This Row],[Withdrawal Taken  ]]/Table1[[#This Row],[Assumed Contract Value ]]),0)</f>
        <v>#DIV/0!</v>
      </c>
      <c r="N15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57" s="5">
        <f>IF(NOT(Table1[[#This Row],[Has Lifetime Income Started]]),Table1[[#This Row],[Income Base]]*MAW,0)</f>
        <v>0</v>
      </c>
      <c r="P157" s="9">
        <f>IF(AND(Table1[[#This Row],[Has Lifetime Income Started]],Table1[[#This Row],[Is Anniversery]]),Table1[[#This Row],[Income Base]]*PIP,0)</f>
        <v>0</v>
      </c>
      <c r="Q157" s="37" t="b">
        <f t="shared" si="24"/>
        <v>1</v>
      </c>
      <c r="R157" s="10">
        <f>1/(1+InterestRate)^Table1[[#This Row],[timeFromValuation]]</f>
        <v>2.6387437598518249E-2</v>
      </c>
      <c r="S157" s="10">
        <f>Table1[[#This Row],[timeFromValuation]]</f>
        <v>74.5</v>
      </c>
      <c r="T157" s="10">
        <v>0</v>
      </c>
      <c r="U157" s="10">
        <v>0</v>
      </c>
      <c r="V157" s="10">
        <f>PRODUCT($T$8:$T157)</f>
        <v>0</v>
      </c>
      <c r="W157" s="10">
        <f>PRODUCT($U$8:$U157)</f>
        <v>0</v>
      </c>
      <c r="X157" s="10">
        <f>Table1[[#This Row],[Primary Annuitant Px]]+Table1[[#This Row],[Secondary Annuitant Py]]-Table1[[#This Row],[Primary Annuitant Px]]*Table1[[#This Row],[Secondary Annuitant Py]]</f>
        <v>0</v>
      </c>
      <c r="Y157" s="10">
        <f>PRODUCT($X$8:$X157)</f>
        <v>0</v>
      </c>
    </row>
    <row r="158" spans="1:25" x14ac:dyDescent="0.3">
      <c r="A158" s="34">
        <f t="shared" si="25"/>
        <v>150</v>
      </c>
      <c r="B158" s="32">
        <f ca="1">OFFSET(Table1[[#This Row],[Pay Period]],-1,0)+0.5</f>
        <v>75</v>
      </c>
      <c r="C158" s="29">
        <f t="shared" si="26"/>
        <v>75</v>
      </c>
      <c r="D158" s="36">
        <f t="shared" si="22"/>
        <v>0</v>
      </c>
      <c r="E158" s="36">
        <f t="shared" si="23"/>
        <v>0</v>
      </c>
      <c r="F158" s="36">
        <f>IF(Table1[[#This Row],[Assumed Contract Value ]]&gt;0.1,Table1[[#This Row],[timeFromValuation]]&gt;=Activation_Time,0)</f>
        <v>0</v>
      </c>
      <c r="G158" s="36">
        <v>0</v>
      </c>
      <c r="H158" s="36" t="b">
        <f>Table1[[#This Row],[timeFromValuation]]=INT(Table1[[#This Row],[timeFromValuation]])</f>
        <v>1</v>
      </c>
      <c r="I158" s="7">
        <f>IF((Table1[[#This Row],[Is Anniversery]]), Table1[[#This Row],[Assumed Contract Value ]],0)</f>
        <v>0</v>
      </c>
      <c r="J158" s="7">
        <f ca="1">IF(NOT(Table1[[#This Row],[Is Activation]]),OFFSET(Table1[[#This Row],[Income Credit Base]],-1,0)+Table1[[#This Row],[Purchase Payments]]+Table1[[#This Row],[Income Credit]],0)</f>
        <v>0</v>
      </c>
      <c r="K158" s="7">
        <f>IF(AND(Table1[[#This Row],[Is Activation]]=FALSE,Table1[[#This Row],[Is Anniversery]]=TRUE),Table1[[#This Row],[Income Credit Base]]*ICP,0)</f>
        <v>0</v>
      </c>
      <c r="L15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58" s="42" t="e">
        <f>IF(NOT(Table1[[#This Row],[Is Activation]]),(Table1[[#This Row],[Withdrawal Taken  ]]/Table1[[#This Row],[Assumed Contract Value ]]),0)</f>
        <v>#DIV/0!</v>
      </c>
      <c r="N15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58" s="5">
        <f>IF(NOT(Table1[[#This Row],[Has Lifetime Income Started]]),Table1[[#This Row],[Income Base]]*MAW,0)</f>
        <v>0</v>
      </c>
      <c r="P158" s="9" t="e">
        <f ca="1">IF(AND(Table1[[#This Row],[Has Lifetime Income Started]],Table1[[#This Row],[Is Anniversery]]),Table1[[#This Row],[Income Base]]*PIP,0)</f>
        <v>#DIV/0!</v>
      </c>
      <c r="Q158" s="37" t="b">
        <f t="shared" si="24"/>
        <v>1</v>
      </c>
      <c r="R158" s="10">
        <f>1/(1+InterestRate)^Table1[[#This Row],[timeFromValuation]]</f>
        <v>2.5751502277318886E-2</v>
      </c>
      <c r="S158" s="10">
        <f>Table1[[#This Row],[timeFromValuation]]</f>
        <v>75</v>
      </c>
      <c r="T158" s="10">
        <v>0</v>
      </c>
      <c r="U158" s="10">
        <v>0</v>
      </c>
      <c r="V158" s="10">
        <f>PRODUCT($T$8:$T158)</f>
        <v>0</v>
      </c>
      <c r="W158" s="10">
        <f>PRODUCT($U$8:$U158)</f>
        <v>0</v>
      </c>
      <c r="X158" s="10">
        <f>Table1[[#This Row],[Primary Annuitant Px]]+Table1[[#This Row],[Secondary Annuitant Py]]-Table1[[#This Row],[Primary Annuitant Px]]*Table1[[#This Row],[Secondary Annuitant Py]]</f>
        <v>0</v>
      </c>
      <c r="Y158" s="10">
        <f>PRODUCT($X$8:$X158)</f>
        <v>0</v>
      </c>
    </row>
    <row r="159" spans="1:25" x14ac:dyDescent="0.3">
      <c r="A159" s="34">
        <f t="shared" si="25"/>
        <v>151</v>
      </c>
      <c r="B159" s="32">
        <f ca="1">OFFSET(Table1[[#This Row],[Pay Period]],-1,0)+0.5</f>
        <v>75.5</v>
      </c>
      <c r="C159" s="29">
        <f t="shared" si="26"/>
        <v>75.5</v>
      </c>
      <c r="D159" s="36">
        <f t="shared" ref="D159:D180" si="27">AB159</f>
        <v>0</v>
      </c>
      <c r="E159" s="36">
        <f t="shared" ref="E159:E180" si="28">AC159</f>
        <v>0</v>
      </c>
      <c r="F159" s="36">
        <f>IF(Table1[[#This Row],[Assumed Contract Value ]]&gt;0.1,Table1[[#This Row],[timeFromValuation]]&gt;=Activation_Time,0)</f>
        <v>0</v>
      </c>
      <c r="G159" s="36">
        <v>0</v>
      </c>
      <c r="H159" s="36" t="b">
        <f>Table1[[#This Row],[timeFromValuation]]=INT(Table1[[#This Row],[timeFromValuation]])</f>
        <v>0</v>
      </c>
      <c r="I159" s="7">
        <f>IF((Table1[[#This Row],[Is Anniversery]]), Table1[[#This Row],[Assumed Contract Value ]],0)</f>
        <v>0</v>
      </c>
      <c r="J159" s="7">
        <f ca="1">IF(NOT(Table1[[#This Row],[Is Activation]]),OFFSET(Table1[[#This Row],[Income Credit Base]],-1,0)+Table1[[#This Row],[Purchase Payments]]+Table1[[#This Row],[Income Credit]],0)</f>
        <v>0</v>
      </c>
      <c r="K159" s="7">
        <f>IF(AND(Table1[[#This Row],[Is Activation]]=FALSE,Table1[[#This Row],[Is Anniversery]]=TRUE),Table1[[#This Row],[Income Credit Base]]*ICP,0)</f>
        <v>0</v>
      </c>
      <c r="L15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59" s="42" t="e">
        <f>IF(NOT(Table1[[#This Row],[Is Activation]]),(Table1[[#This Row],[Withdrawal Taken  ]]/Table1[[#This Row],[Assumed Contract Value ]]),0)</f>
        <v>#DIV/0!</v>
      </c>
      <c r="N15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59" s="5">
        <f>IF(NOT(Table1[[#This Row],[Has Lifetime Income Started]]),Table1[[#This Row],[Income Base]]*MAW,0)</f>
        <v>0</v>
      </c>
      <c r="P159" s="9">
        <f>IF(AND(Table1[[#This Row],[Has Lifetime Income Started]],Table1[[#This Row],[Is Anniversery]]),Table1[[#This Row],[Income Base]]*PIP,0)</f>
        <v>0</v>
      </c>
      <c r="Q159" s="37" t="b">
        <f t="shared" si="24"/>
        <v>1</v>
      </c>
      <c r="R159" s="10">
        <f>1/(1+InterestRate)^Table1[[#This Row],[timeFromValuation]]</f>
        <v>2.5130892950969756E-2</v>
      </c>
      <c r="S159" s="10">
        <f>Table1[[#This Row],[timeFromValuation]]</f>
        <v>75.5</v>
      </c>
      <c r="T159" s="10">
        <v>0</v>
      </c>
      <c r="U159" s="10">
        <v>0</v>
      </c>
      <c r="V159" s="10">
        <f>PRODUCT($T$8:$T159)</f>
        <v>0</v>
      </c>
      <c r="W159" s="10">
        <f>PRODUCT($U$8:$U159)</f>
        <v>0</v>
      </c>
      <c r="X159" s="10">
        <f>Table1[[#This Row],[Primary Annuitant Px]]+Table1[[#This Row],[Secondary Annuitant Py]]-Table1[[#This Row],[Primary Annuitant Px]]*Table1[[#This Row],[Secondary Annuitant Py]]</f>
        <v>0</v>
      </c>
      <c r="Y159" s="10">
        <f>PRODUCT($X$8:$X159)</f>
        <v>0</v>
      </c>
    </row>
    <row r="160" spans="1:25" x14ac:dyDescent="0.3">
      <c r="A160" s="34">
        <f t="shared" si="25"/>
        <v>152</v>
      </c>
      <c r="B160" s="32">
        <f ca="1">OFFSET(Table1[[#This Row],[Pay Period]],-1,0)+0.5</f>
        <v>76</v>
      </c>
      <c r="C160" s="29">
        <f t="shared" si="26"/>
        <v>76</v>
      </c>
      <c r="D160" s="36">
        <f t="shared" si="27"/>
        <v>0</v>
      </c>
      <c r="E160" s="36">
        <f t="shared" si="28"/>
        <v>0</v>
      </c>
      <c r="F160" s="36">
        <f>IF(Table1[[#This Row],[Assumed Contract Value ]]&gt;0.1,Table1[[#This Row],[timeFromValuation]]&gt;=Activation_Time,0)</f>
        <v>0</v>
      </c>
      <c r="G160" s="36">
        <v>0</v>
      </c>
      <c r="H160" s="36" t="b">
        <f>Table1[[#This Row],[timeFromValuation]]=INT(Table1[[#This Row],[timeFromValuation]])</f>
        <v>1</v>
      </c>
      <c r="I160" s="7">
        <f>IF((Table1[[#This Row],[Is Anniversery]]), Table1[[#This Row],[Assumed Contract Value ]],0)</f>
        <v>0</v>
      </c>
      <c r="J160" s="7">
        <f ca="1">IF(NOT(Table1[[#This Row],[Is Activation]]),OFFSET(Table1[[#This Row],[Income Credit Base]],-1,0)+Table1[[#This Row],[Purchase Payments]]+Table1[[#This Row],[Income Credit]],0)</f>
        <v>0</v>
      </c>
      <c r="K160" s="7">
        <f>IF(AND(Table1[[#This Row],[Is Activation]]=FALSE,Table1[[#This Row],[Is Anniversery]]=TRUE),Table1[[#This Row],[Income Credit Base]]*ICP,0)</f>
        <v>0</v>
      </c>
      <c r="L16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60" s="42" t="e">
        <f>IF(NOT(Table1[[#This Row],[Is Activation]]),(Table1[[#This Row],[Withdrawal Taken  ]]/Table1[[#This Row],[Assumed Contract Value ]]),0)</f>
        <v>#DIV/0!</v>
      </c>
      <c r="N16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60" s="5">
        <f>IF(NOT(Table1[[#This Row],[Has Lifetime Income Started]]),Table1[[#This Row],[Income Base]]*MAW,0)</f>
        <v>0</v>
      </c>
      <c r="P160" s="9" t="e">
        <f ca="1">IF(AND(Table1[[#This Row],[Has Lifetime Income Started]],Table1[[#This Row],[Is Anniversery]]),Table1[[#This Row],[Income Base]]*PIP,0)</f>
        <v>#DIV/0!</v>
      </c>
      <c r="Q160" s="37" t="b">
        <f t="shared" si="24"/>
        <v>1</v>
      </c>
      <c r="R160" s="10">
        <f>1/(1+InterestRate)^Table1[[#This Row],[timeFromValuation]]</f>
        <v>2.4525240264113228E-2</v>
      </c>
      <c r="S160" s="10">
        <f>Table1[[#This Row],[timeFromValuation]]</f>
        <v>76</v>
      </c>
      <c r="T160" s="10">
        <v>0</v>
      </c>
      <c r="U160" s="10">
        <v>0</v>
      </c>
      <c r="V160" s="10">
        <f>PRODUCT($T$8:$T160)</f>
        <v>0</v>
      </c>
      <c r="W160" s="10">
        <f>PRODUCT($U$8:$U160)</f>
        <v>0</v>
      </c>
      <c r="X160" s="10">
        <f>Table1[[#This Row],[Primary Annuitant Px]]+Table1[[#This Row],[Secondary Annuitant Py]]-Table1[[#This Row],[Primary Annuitant Px]]*Table1[[#This Row],[Secondary Annuitant Py]]</f>
        <v>0</v>
      </c>
      <c r="Y160" s="10">
        <f>PRODUCT($X$8:$X160)</f>
        <v>0</v>
      </c>
    </row>
    <row r="161" spans="1:25" x14ac:dyDescent="0.3">
      <c r="A161" s="34">
        <f t="shared" si="25"/>
        <v>153</v>
      </c>
      <c r="B161" s="32">
        <f ca="1">OFFSET(Table1[[#This Row],[Pay Period]],-1,0)+0.5</f>
        <v>76.5</v>
      </c>
      <c r="C161" s="29">
        <f t="shared" si="26"/>
        <v>76.5</v>
      </c>
      <c r="D161" s="36">
        <f t="shared" si="27"/>
        <v>0</v>
      </c>
      <c r="E161" s="36">
        <f t="shared" si="28"/>
        <v>0</v>
      </c>
      <c r="F161" s="36">
        <f>IF(Table1[[#This Row],[Assumed Contract Value ]]&gt;0.1,Table1[[#This Row],[timeFromValuation]]&gt;=Activation_Time,0)</f>
        <v>0</v>
      </c>
      <c r="G161" s="36">
        <v>0</v>
      </c>
      <c r="H161" s="36" t="b">
        <f>Table1[[#This Row],[timeFromValuation]]=INT(Table1[[#This Row],[timeFromValuation]])</f>
        <v>0</v>
      </c>
      <c r="I161" s="7">
        <f>IF((Table1[[#This Row],[Is Anniversery]]), Table1[[#This Row],[Assumed Contract Value ]],0)</f>
        <v>0</v>
      </c>
      <c r="J161" s="7">
        <f ca="1">IF(NOT(Table1[[#This Row],[Is Activation]]),OFFSET(Table1[[#This Row],[Income Credit Base]],-1,0)+Table1[[#This Row],[Purchase Payments]]+Table1[[#This Row],[Income Credit]],0)</f>
        <v>0</v>
      </c>
      <c r="K161" s="7">
        <f>IF(AND(Table1[[#This Row],[Is Activation]]=FALSE,Table1[[#This Row],[Is Anniversery]]=TRUE),Table1[[#This Row],[Income Credit Base]]*ICP,0)</f>
        <v>0</v>
      </c>
      <c r="L16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61" s="42" t="e">
        <f>IF(NOT(Table1[[#This Row],[Is Activation]]),(Table1[[#This Row],[Withdrawal Taken  ]]/Table1[[#This Row],[Assumed Contract Value ]]),0)</f>
        <v>#DIV/0!</v>
      </c>
      <c r="N16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61" s="5">
        <f>IF(NOT(Table1[[#This Row],[Has Lifetime Income Started]]),Table1[[#This Row],[Income Base]]*MAW,0)</f>
        <v>0</v>
      </c>
      <c r="P161" s="9">
        <f>IF(AND(Table1[[#This Row],[Has Lifetime Income Started]],Table1[[#This Row],[Is Anniversery]]),Table1[[#This Row],[Income Base]]*PIP,0)</f>
        <v>0</v>
      </c>
      <c r="Q161" s="37" t="b">
        <f t="shared" si="24"/>
        <v>1</v>
      </c>
      <c r="R161" s="10">
        <f>1/(1+InterestRate)^Table1[[#This Row],[timeFromValuation]]</f>
        <v>2.393418376282834E-2</v>
      </c>
      <c r="S161" s="10">
        <f>Table1[[#This Row],[timeFromValuation]]</f>
        <v>76.5</v>
      </c>
      <c r="T161" s="10">
        <v>0</v>
      </c>
      <c r="U161" s="10">
        <v>0</v>
      </c>
      <c r="V161" s="10">
        <f>PRODUCT($T$8:$T161)</f>
        <v>0</v>
      </c>
      <c r="W161" s="10">
        <f>PRODUCT($U$8:$U161)</f>
        <v>0</v>
      </c>
      <c r="X161" s="10">
        <f>Table1[[#This Row],[Primary Annuitant Px]]+Table1[[#This Row],[Secondary Annuitant Py]]-Table1[[#This Row],[Primary Annuitant Px]]*Table1[[#This Row],[Secondary Annuitant Py]]</f>
        <v>0</v>
      </c>
      <c r="Y161" s="10">
        <f>PRODUCT($X$8:$X161)</f>
        <v>0</v>
      </c>
    </row>
    <row r="162" spans="1:25" x14ac:dyDescent="0.3">
      <c r="A162" s="34">
        <f t="shared" si="25"/>
        <v>154</v>
      </c>
      <c r="B162" s="32">
        <f ca="1">OFFSET(Table1[[#This Row],[Pay Period]],-1,0)+0.5</f>
        <v>77</v>
      </c>
      <c r="C162" s="29">
        <f t="shared" si="26"/>
        <v>77</v>
      </c>
      <c r="D162" s="36">
        <f t="shared" si="27"/>
        <v>0</v>
      </c>
      <c r="E162" s="36">
        <f t="shared" si="28"/>
        <v>0</v>
      </c>
      <c r="F162" s="36">
        <f>IF(Table1[[#This Row],[Assumed Contract Value ]]&gt;0.1,Table1[[#This Row],[timeFromValuation]]&gt;=Activation_Time,0)</f>
        <v>0</v>
      </c>
      <c r="G162" s="36">
        <v>0</v>
      </c>
      <c r="H162" s="36" t="b">
        <f>Table1[[#This Row],[timeFromValuation]]=INT(Table1[[#This Row],[timeFromValuation]])</f>
        <v>1</v>
      </c>
      <c r="I162" s="7">
        <f>IF((Table1[[#This Row],[Is Anniversery]]), Table1[[#This Row],[Assumed Contract Value ]],0)</f>
        <v>0</v>
      </c>
      <c r="J162" s="7">
        <f ca="1">IF(NOT(Table1[[#This Row],[Is Activation]]),OFFSET(Table1[[#This Row],[Income Credit Base]],-1,0)+Table1[[#This Row],[Purchase Payments]]+Table1[[#This Row],[Income Credit]],0)</f>
        <v>0</v>
      </c>
      <c r="K162" s="7">
        <f>IF(AND(Table1[[#This Row],[Is Activation]]=FALSE,Table1[[#This Row],[Is Anniversery]]=TRUE),Table1[[#This Row],[Income Credit Base]]*ICP,0)</f>
        <v>0</v>
      </c>
      <c r="L16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62" s="42" t="e">
        <f>IF(NOT(Table1[[#This Row],[Is Activation]]),(Table1[[#This Row],[Withdrawal Taken  ]]/Table1[[#This Row],[Assumed Contract Value ]]),0)</f>
        <v>#DIV/0!</v>
      </c>
      <c r="N16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62" s="5">
        <f>IF(NOT(Table1[[#This Row],[Has Lifetime Income Started]]),Table1[[#This Row],[Income Base]]*MAW,0)</f>
        <v>0</v>
      </c>
      <c r="P162" s="9" t="e">
        <f ca="1">IF(AND(Table1[[#This Row],[Has Lifetime Income Started]],Table1[[#This Row],[Is Anniversery]]),Table1[[#This Row],[Income Base]]*PIP,0)</f>
        <v>#DIV/0!</v>
      </c>
      <c r="Q162" s="37" t="b">
        <f t="shared" si="24"/>
        <v>1</v>
      </c>
      <c r="R162" s="10">
        <f>1/(1+InterestRate)^Table1[[#This Row],[timeFromValuation]]</f>
        <v>2.3357371680107829E-2</v>
      </c>
      <c r="S162" s="10">
        <f>Table1[[#This Row],[timeFromValuation]]</f>
        <v>77</v>
      </c>
      <c r="T162" s="10">
        <v>0</v>
      </c>
      <c r="U162" s="10">
        <v>0</v>
      </c>
      <c r="V162" s="10">
        <f>PRODUCT($T$8:$T162)</f>
        <v>0</v>
      </c>
      <c r="W162" s="10">
        <f>PRODUCT($U$8:$U162)</f>
        <v>0</v>
      </c>
      <c r="X162" s="10">
        <f>Table1[[#This Row],[Primary Annuitant Px]]+Table1[[#This Row],[Secondary Annuitant Py]]-Table1[[#This Row],[Primary Annuitant Px]]*Table1[[#This Row],[Secondary Annuitant Py]]</f>
        <v>0</v>
      </c>
      <c r="Y162" s="10">
        <f>PRODUCT($X$8:$X162)</f>
        <v>0</v>
      </c>
    </row>
    <row r="163" spans="1:25" x14ac:dyDescent="0.3">
      <c r="A163" s="34">
        <f t="shared" si="25"/>
        <v>155</v>
      </c>
      <c r="B163" s="32">
        <f ca="1">OFFSET(Table1[[#This Row],[Pay Period]],-1,0)+0.5</f>
        <v>77.5</v>
      </c>
      <c r="C163" s="29">
        <f t="shared" si="26"/>
        <v>77.5</v>
      </c>
      <c r="D163" s="36">
        <f t="shared" si="27"/>
        <v>0</v>
      </c>
      <c r="E163" s="36">
        <f t="shared" si="28"/>
        <v>0</v>
      </c>
      <c r="F163" s="36">
        <f>IF(Table1[[#This Row],[Assumed Contract Value ]]&gt;0.1,Table1[[#This Row],[timeFromValuation]]&gt;=Activation_Time,0)</f>
        <v>0</v>
      </c>
      <c r="G163" s="36">
        <v>0</v>
      </c>
      <c r="H163" s="36" t="b">
        <f>Table1[[#This Row],[timeFromValuation]]=INT(Table1[[#This Row],[timeFromValuation]])</f>
        <v>0</v>
      </c>
      <c r="I163" s="7">
        <f>IF((Table1[[#This Row],[Is Anniversery]]), Table1[[#This Row],[Assumed Contract Value ]],0)</f>
        <v>0</v>
      </c>
      <c r="J163" s="7">
        <f ca="1">IF(NOT(Table1[[#This Row],[Is Activation]]),OFFSET(Table1[[#This Row],[Income Credit Base]],-1,0)+Table1[[#This Row],[Purchase Payments]]+Table1[[#This Row],[Income Credit]],0)</f>
        <v>0</v>
      </c>
      <c r="K163" s="7">
        <f>IF(AND(Table1[[#This Row],[Is Activation]]=FALSE,Table1[[#This Row],[Is Anniversery]]=TRUE),Table1[[#This Row],[Income Credit Base]]*ICP,0)</f>
        <v>0</v>
      </c>
      <c r="L16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63" s="42" t="e">
        <f>IF(NOT(Table1[[#This Row],[Is Activation]]),(Table1[[#This Row],[Withdrawal Taken  ]]/Table1[[#This Row],[Assumed Contract Value ]]),0)</f>
        <v>#DIV/0!</v>
      </c>
      <c r="N16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63" s="5">
        <f>IF(NOT(Table1[[#This Row],[Has Lifetime Income Started]]),Table1[[#This Row],[Income Base]]*MAW,0)</f>
        <v>0</v>
      </c>
      <c r="P163" s="9">
        <f>IF(AND(Table1[[#This Row],[Has Lifetime Income Started]],Table1[[#This Row],[Is Anniversery]]),Table1[[#This Row],[Income Base]]*PIP,0)</f>
        <v>0</v>
      </c>
      <c r="Q163" s="37" t="b">
        <f t="shared" si="24"/>
        <v>1</v>
      </c>
      <c r="R163" s="10">
        <f>1/(1+InterestRate)^Table1[[#This Row],[timeFromValuation]]</f>
        <v>2.2794460726503176E-2</v>
      </c>
      <c r="S163" s="10">
        <f>Table1[[#This Row],[timeFromValuation]]</f>
        <v>77.5</v>
      </c>
      <c r="T163" s="10">
        <v>0</v>
      </c>
      <c r="U163" s="10">
        <v>0</v>
      </c>
      <c r="V163" s="10">
        <f>PRODUCT($T$8:$T163)</f>
        <v>0</v>
      </c>
      <c r="W163" s="10">
        <f>PRODUCT($U$8:$U163)</f>
        <v>0</v>
      </c>
      <c r="X163" s="10">
        <f>Table1[[#This Row],[Primary Annuitant Px]]+Table1[[#This Row],[Secondary Annuitant Py]]-Table1[[#This Row],[Primary Annuitant Px]]*Table1[[#This Row],[Secondary Annuitant Py]]</f>
        <v>0</v>
      </c>
      <c r="Y163" s="10">
        <f>PRODUCT($X$8:$X163)</f>
        <v>0</v>
      </c>
    </row>
    <row r="164" spans="1:25" x14ac:dyDescent="0.3">
      <c r="A164" s="34">
        <f t="shared" si="25"/>
        <v>156</v>
      </c>
      <c r="B164" s="32">
        <f ca="1">OFFSET(Table1[[#This Row],[Pay Period]],-1,0)+0.5</f>
        <v>78</v>
      </c>
      <c r="C164" s="29">
        <f t="shared" si="26"/>
        <v>78</v>
      </c>
      <c r="D164" s="36">
        <f t="shared" si="27"/>
        <v>0</v>
      </c>
      <c r="E164" s="36">
        <f t="shared" si="28"/>
        <v>0</v>
      </c>
      <c r="F164" s="36">
        <f>IF(Table1[[#This Row],[Assumed Contract Value ]]&gt;0.1,Table1[[#This Row],[timeFromValuation]]&gt;=Activation_Time,0)</f>
        <v>0</v>
      </c>
      <c r="G164" s="36">
        <v>0</v>
      </c>
      <c r="H164" s="36" t="b">
        <f>Table1[[#This Row],[timeFromValuation]]=INT(Table1[[#This Row],[timeFromValuation]])</f>
        <v>1</v>
      </c>
      <c r="I164" s="7">
        <f>IF((Table1[[#This Row],[Is Anniversery]]), Table1[[#This Row],[Assumed Contract Value ]],0)</f>
        <v>0</v>
      </c>
      <c r="J164" s="7">
        <f ca="1">IF(NOT(Table1[[#This Row],[Is Activation]]),OFFSET(Table1[[#This Row],[Income Credit Base]],-1,0)+Table1[[#This Row],[Purchase Payments]]+Table1[[#This Row],[Income Credit]],0)</f>
        <v>0</v>
      </c>
      <c r="K164" s="7">
        <f>IF(AND(Table1[[#This Row],[Is Activation]]=FALSE,Table1[[#This Row],[Is Anniversery]]=TRUE),Table1[[#This Row],[Income Credit Base]]*ICP,0)</f>
        <v>0</v>
      </c>
      <c r="L16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64" s="42" t="e">
        <f>IF(NOT(Table1[[#This Row],[Is Activation]]),(Table1[[#This Row],[Withdrawal Taken  ]]/Table1[[#This Row],[Assumed Contract Value ]]),0)</f>
        <v>#DIV/0!</v>
      </c>
      <c r="N16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64" s="5">
        <f>IF(NOT(Table1[[#This Row],[Has Lifetime Income Started]]),Table1[[#This Row],[Income Base]]*MAW,0)</f>
        <v>0</v>
      </c>
      <c r="P164" s="9" t="e">
        <f ca="1">IF(AND(Table1[[#This Row],[Has Lifetime Income Started]],Table1[[#This Row],[Is Anniversery]]),Table1[[#This Row],[Income Base]]*PIP,0)</f>
        <v>#DIV/0!</v>
      </c>
      <c r="Q164" s="37" t="b">
        <f t="shared" si="24"/>
        <v>1</v>
      </c>
      <c r="R164" s="10">
        <f>1/(1+InterestRate)^Table1[[#This Row],[timeFromValuation]]</f>
        <v>2.2245115885816989E-2</v>
      </c>
      <c r="S164" s="10">
        <f>Table1[[#This Row],[timeFromValuation]]</f>
        <v>78</v>
      </c>
      <c r="T164" s="10">
        <v>0</v>
      </c>
      <c r="U164" s="10">
        <v>0</v>
      </c>
      <c r="V164" s="10">
        <f>PRODUCT($T$8:$T164)</f>
        <v>0</v>
      </c>
      <c r="W164" s="10">
        <f>PRODUCT($U$8:$U164)</f>
        <v>0</v>
      </c>
      <c r="X164" s="10">
        <f>Table1[[#This Row],[Primary Annuitant Px]]+Table1[[#This Row],[Secondary Annuitant Py]]-Table1[[#This Row],[Primary Annuitant Px]]*Table1[[#This Row],[Secondary Annuitant Py]]</f>
        <v>0</v>
      </c>
      <c r="Y164" s="10">
        <f>PRODUCT($X$8:$X164)</f>
        <v>0</v>
      </c>
    </row>
    <row r="165" spans="1:25" x14ac:dyDescent="0.3">
      <c r="A165" s="34">
        <f t="shared" si="25"/>
        <v>157</v>
      </c>
      <c r="B165" s="32">
        <f ca="1">OFFSET(Table1[[#This Row],[Pay Period]],-1,0)+0.5</f>
        <v>78.5</v>
      </c>
      <c r="C165" s="29">
        <f t="shared" si="26"/>
        <v>78.5</v>
      </c>
      <c r="D165" s="36">
        <f t="shared" si="27"/>
        <v>0</v>
      </c>
      <c r="E165" s="36">
        <f t="shared" si="28"/>
        <v>0</v>
      </c>
      <c r="F165" s="36">
        <f>IF(Table1[[#This Row],[Assumed Contract Value ]]&gt;0.1,Table1[[#This Row],[timeFromValuation]]&gt;=Activation_Time,0)</f>
        <v>0</v>
      </c>
      <c r="G165" s="36">
        <v>0</v>
      </c>
      <c r="H165" s="36" t="b">
        <f>Table1[[#This Row],[timeFromValuation]]=INT(Table1[[#This Row],[timeFromValuation]])</f>
        <v>0</v>
      </c>
      <c r="I165" s="7">
        <f>IF((Table1[[#This Row],[Is Anniversery]]), Table1[[#This Row],[Assumed Contract Value ]],0)</f>
        <v>0</v>
      </c>
      <c r="J165" s="7">
        <f ca="1">IF(NOT(Table1[[#This Row],[Is Activation]]),OFFSET(Table1[[#This Row],[Income Credit Base]],-1,0)+Table1[[#This Row],[Purchase Payments]]+Table1[[#This Row],[Income Credit]],0)</f>
        <v>0</v>
      </c>
      <c r="K165" s="7">
        <f>IF(AND(Table1[[#This Row],[Is Activation]]=FALSE,Table1[[#This Row],[Is Anniversery]]=TRUE),Table1[[#This Row],[Income Credit Base]]*ICP,0)</f>
        <v>0</v>
      </c>
      <c r="L16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65" s="42" t="e">
        <f>IF(NOT(Table1[[#This Row],[Is Activation]]),(Table1[[#This Row],[Withdrawal Taken  ]]/Table1[[#This Row],[Assumed Contract Value ]]),0)</f>
        <v>#DIV/0!</v>
      </c>
      <c r="N16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65" s="5">
        <f>IF(NOT(Table1[[#This Row],[Has Lifetime Income Started]]),Table1[[#This Row],[Income Base]]*MAW,0)</f>
        <v>0</v>
      </c>
      <c r="P165" s="9">
        <f>IF(AND(Table1[[#This Row],[Has Lifetime Income Started]],Table1[[#This Row],[Is Anniversery]]),Table1[[#This Row],[Income Base]]*PIP,0)</f>
        <v>0</v>
      </c>
      <c r="Q165" s="37" t="b">
        <f t="shared" si="24"/>
        <v>1</v>
      </c>
      <c r="R165" s="10">
        <f>1/(1+InterestRate)^Table1[[#This Row],[timeFromValuation]]</f>
        <v>2.1709010215717316E-2</v>
      </c>
      <c r="S165" s="10">
        <f>Table1[[#This Row],[timeFromValuation]]</f>
        <v>78.5</v>
      </c>
      <c r="T165" s="10">
        <v>0</v>
      </c>
      <c r="U165" s="10">
        <v>0</v>
      </c>
      <c r="V165" s="10">
        <f>PRODUCT($T$8:$T165)</f>
        <v>0</v>
      </c>
      <c r="W165" s="10">
        <f>PRODUCT($U$8:$U165)</f>
        <v>0</v>
      </c>
      <c r="X165" s="10">
        <f>Table1[[#This Row],[Primary Annuitant Px]]+Table1[[#This Row],[Secondary Annuitant Py]]-Table1[[#This Row],[Primary Annuitant Px]]*Table1[[#This Row],[Secondary Annuitant Py]]</f>
        <v>0</v>
      </c>
      <c r="Y165" s="10">
        <f>PRODUCT($X$8:$X165)</f>
        <v>0</v>
      </c>
    </row>
    <row r="166" spans="1:25" x14ac:dyDescent="0.3">
      <c r="A166" s="34">
        <f t="shared" si="25"/>
        <v>158</v>
      </c>
      <c r="B166" s="32">
        <f ca="1">OFFSET(Table1[[#This Row],[Pay Period]],-1,0)+0.5</f>
        <v>79</v>
      </c>
      <c r="C166" s="29">
        <f t="shared" si="26"/>
        <v>79</v>
      </c>
      <c r="D166" s="36">
        <f t="shared" si="27"/>
        <v>0</v>
      </c>
      <c r="E166" s="36">
        <f t="shared" si="28"/>
        <v>0</v>
      </c>
      <c r="F166" s="36">
        <f>IF(Table1[[#This Row],[Assumed Contract Value ]]&gt;0.1,Table1[[#This Row],[timeFromValuation]]&gt;=Activation_Time,0)</f>
        <v>0</v>
      </c>
      <c r="G166" s="36">
        <v>0</v>
      </c>
      <c r="H166" s="36" t="b">
        <f>Table1[[#This Row],[timeFromValuation]]=INT(Table1[[#This Row],[timeFromValuation]])</f>
        <v>1</v>
      </c>
      <c r="I166" s="7">
        <f>IF((Table1[[#This Row],[Is Anniversery]]), Table1[[#This Row],[Assumed Contract Value ]],0)</f>
        <v>0</v>
      </c>
      <c r="J166" s="7">
        <f ca="1">IF(NOT(Table1[[#This Row],[Is Activation]]),OFFSET(Table1[[#This Row],[Income Credit Base]],-1,0)+Table1[[#This Row],[Purchase Payments]]+Table1[[#This Row],[Income Credit]],0)</f>
        <v>0</v>
      </c>
      <c r="K166" s="7">
        <f>IF(AND(Table1[[#This Row],[Is Activation]]=FALSE,Table1[[#This Row],[Is Anniversery]]=TRUE),Table1[[#This Row],[Income Credit Base]]*ICP,0)</f>
        <v>0</v>
      </c>
      <c r="L16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66" s="42" t="e">
        <f>IF(NOT(Table1[[#This Row],[Is Activation]]),(Table1[[#This Row],[Withdrawal Taken  ]]/Table1[[#This Row],[Assumed Contract Value ]]),0)</f>
        <v>#DIV/0!</v>
      </c>
      <c r="N16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66" s="5">
        <f>IF(NOT(Table1[[#This Row],[Has Lifetime Income Started]]),Table1[[#This Row],[Income Base]]*MAW,0)</f>
        <v>0</v>
      </c>
      <c r="P166" s="9" t="e">
        <f ca="1">IF(AND(Table1[[#This Row],[Has Lifetime Income Started]],Table1[[#This Row],[Is Anniversery]]),Table1[[#This Row],[Income Base]]*PIP,0)</f>
        <v>#DIV/0!</v>
      </c>
      <c r="Q166" s="37" t="b">
        <f t="shared" si="24"/>
        <v>1</v>
      </c>
      <c r="R166" s="10">
        <f>1/(1+InterestRate)^Table1[[#This Row],[timeFromValuation]]</f>
        <v>2.1185824653159029E-2</v>
      </c>
      <c r="S166" s="10">
        <f>Table1[[#This Row],[timeFromValuation]]</f>
        <v>79</v>
      </c>
      <c r="T166" s="10">
        <v>0</v>
      </c>
      <c r="U166" s="10">
        <v>0</v>
      </c>
      <c r="V166" s="10">
        <f>PRODUCT($T$8:$T166)</f>
        <v>0</v>
      </c>
      <c r="W166" s="10">
        <f>PRODUCT($U$8:$U166)</f>
        <v>0</v>
      </c>
      <c r="X166" s="10">
        <f>Table1[[#This Row],[Primary Annuitant Px]]+Table1[[#This Row],[Secondary Annuitant Py]]-Table1[[#This Row],[Primary Annuitant Px]]*Table1[[#This Row],[Secondary Annuitant Py]]</f>
        <v>0</v>
      </c>
      <c r="Y166" s="10">
        <f>PRODUCT($X$8:$X166)</f>
        <v>0</v>
      </c>
    </row>
    <row r="167" spans="1:25" x14ac:dyDescent="0.3">
      <c r="A167" s="34">
        <f t="shared" si="25"/>
        <v>159</v>
      </c>
      <c r="B167" s="32">
        <f ca="1">OFFSET(Table1[[#This Row],[Pay Period]],-1,0)+0.5</f>
        <v>79.5</v>
      </c>
      <c r="C167" s="29">
        <f t="shared" si="26"/>
        <v>79.5</v>
      </c>
      <c r="D167" s="36">
        <f t="shared" si="27"/>
        <v>0</v>
      </c>
      <c r="E167" s="36">
        <f t="shared" si="28"/>
        <v>0</v>
      </c>
      <c r="F167" s="36">
        <f>IF(Table1[[#This Row],[Assumed Contract Value ]]&gt;0.1,Table1[[#This Row],[timeFromValuation]]&gt;=Activation_Time,0)</f>
        <v>0</v>
      </c>
      <c r="G167" s="36">
        <v>0</v>
      </c>
      <c r="H167" s="36" t="b">
        <f>Table1[[#This Row],[timeFromValuation]]=INT(Table1[[#This Row],[timeFromValuation]])</f>
        <v>0</v>
      </c>
      <c r="I167" s="7">
        <f>IF((Table1[[#This Row],[Is Anniversery]]), Table1[[#This Row],[Assumed Contract Value ]],0)</f>
        <v>0</v>
      </c>
      <c r="J167" s="7">
        <f ca="1">IF(NOT(Table1[[#This Row],[Is Activation]]),OFFSET(Table1[[#This Row],[Income Credit Base]],-1,0)+Table1[[#This Row],[Purchase Payments]]+Table1[[#This Row],[Income Credit]],0)</f>
        <v>0</v>
      </c>
      <c r="K167" s="7">
        <f>IF(AND(Table1[[#This Row],[Is Activation]]=FALSE,Table1[[#This Row],[Is Anniversery]]=TRUE),Table1[[#This Row],[Income Credit Base]]*ICP,0)</f>
        <v>0</v>
      </c>
      <c r="L16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67" s="42" t="e">
        <f>IF(NOT(Table1[[#This Row],[Is Activation]]),(Table1[[#This Row],[Withdrawal Taken  ]]/Table1[[#This Row],[Assumed Contract Value ]]),0)</f>
        <v>#DIV/0!</v>
      </c>
      <c r="N16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67" s="5">
        <f>IF(NOT(Table1[[#This Row],[Has Lifetime Income Started]]),Table1[[#This Row],[Income Base]]*MAW,0)</f>
        <v>0</v>
      </c>
      <c r="P167" s="9">
        <f>IF(AND(Table1[[#This Row],[Has Lifetime Income Started]],Table1[[#This Row],[Is Anniversery]]),Table1[[#This Row],[Income Base]]*PIP,0)</f>
        <v>0</v>
      </c>
      <c r="Q167" s="37" t="b">
        <f t="shared" si="24"/>
        <v>1</v>
      </c>
      <c r="R167" s="10">
        <f>1/(1+InterestRate)^Table1[[#This Row],[timeFromValuation]]</f>
        <v>2.067524782449268E-2</v>
      </c>
      <c r="S167" s="10">
        <f>Table1[[#This Row],[timeFromValuation]]</f>
        <v>79.5</v>
      </c>
      <c r="T167" s="10">
        <v>0</v>
      </c>
      <c r="U167" s="10">
        <v>0</v>
      </c>
      <c r="V167" s="10">
        <f>PRODUCT($T$8:$T167)</f>
        <v>0</v>
      </c>
      <c r="W167" s="10">
        <f>PRODUCT($U$8:$U167)</f>
        <v>0</v>
      </c>
      <c r="X167" s="10">
        <f>Table1[[#This Row],[Primary Annuitant Px]]+Table1[[#This Row],[Secondary Annuitant Py]]-Table1[[#This Row],[Primary Annuitant Px]]*Table1[[#This Row],[Secondary Annuitant Py]]</f>
        <v>0</v>
      </c>
      <c r="Y167" s="10">
        <f>PRODUCT($X$8:$X167)</f>
        <v>0</v>
      </c>
    </row>
    <row r="168" spans="1:25" x14ac:dyDescent="0.3">
      <c r="A168" s="34">
        <f t="shared" si="25"/>
        <v>160</v>
      </c>
      <c r="B168" s="32">
        <f ca="1">OFFSET(Table1[[#This Row],[Pay Period]],-1,0)+0.5</f>
        <v>80</v>
      </c>
      <c r="C168" s="29">
        <f t="shared" si="26"/>
        <v>80</v>
      </c>
      <c r="D168" s="36">
        <f t="shared" si="27"/>
        <v>0</v>
      </c>
      <c r="E168" s="36">
        <f t="shared" si="28"/>
        <v>0</v>
      </c>
      <c r="F168" s="36">
        <f>IF(Table1[[#This Row],[Assumed Contract Value ]]&gt;0.1,Table1[[#This Row],[timeFromValuation]]&gt;=Activation_Time,0)</f>
        <v>0</v>
      </c>
      <c r="G168" s="36">
        <v>0</v>
      </c>
      <c r="H168" s="36" t="b">
        <f>Table1[[#This Row],[timeFromValuation]]=INT(Table1[[#This Row],[timeFromValuation]])</f>
        <v>1</v>
      </c>
      <c r="I168" s="7">
        <f>IF((Table1[[#This Row],[Is Anniversery]]), Table1[[#This Row],[Assumed Contract Value ]],0)</f>
        <v>0</v>
      </c>
      <c r="J168" s="7">
        <f ca="1">IF(NOT(Table1[[#This Row],[Is Activation]]),OFFSET(Table1[[#This Row],[Income Credit Base]],-1,0)+Table1[[#This Row],[Purchase Payments]]+Table1[[#This Row],[Income Credit]],0)</f>
        <v>0</v>
      </c>
      <c r="K168" s="7">
        <f>IF(AND(Table1[[#This Row],[Is Activation]]=FALSE,Table1[[#This Row],[Is Anniversery]]=TRUE),Table1[[#This Row],[Income Credit Base]]*ICP,0)</f>
        <v>0</v>
      </c>
      <c r="L16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68" s="42" t="e">
        <f>IF(NOT(Table1[[#This Row],[Is Activation]]),(Table1[[#This Row],[Withdrawal Taken  ]]/Table1[[#This Row],[Assumed Contract Value ]]),0)</f>
        <v>#DIV/0!</v>
      </c>
      <c r="N16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68" s="5">
        <f>IF(NOT(Table1[[#This Row],[Has Lifetime Income Started]]),Table1[[#This Row],[Income Base]]*MAW,0)</f>
        <v>0</v>
      </c>
      <c r="P168" s="9" t="e">
        <f ca="1">IF(AND(Table1[[#This Row],[Has Lifetime Income Started]],Table1[[#This Row],[Is Anniversery]]),Table1[[#This Row],[Income Base]]*PIP,0)</f>
        <v>#DIV/0!</v>
      </c>
      <c r="Q168" s="37" t="b">
        <f t="shared" si="24"/>
        <v>1</v>
      </c>
      <c r="R168" s="10">
        <f>1/(1+InterestRate)^Table1[[#This Row],[timeFromValuation]]</f>
        <v>2.0176975860151457E-2</v>
      </c>
      <c r="S168" s="10">
        <f>Table1[[#This Row],[timeFromValuation]]</f>
        <v>80</v>
      </c>
      <c r="T168" s="10">
        <v>0</v>
      </c>
      <c r="U168" s="10">
        <v>0</v>
      </c>
      <c r="V168" s="10">
        <f>PRODUCT($T$8:$T168)</f>
        <v>0</v>
      </c>
      <c r="W168" s="10">
        <f>PRODUCT($U$8:$U168)</f>
        <v>0</v>
      </c>
      <c r="X168" s="10">
        <f>Table1[[#This Row],[Primary Annuitant Px]]+Table1[[#This Row],[Secondary Annuitant Py]]-Table1[[#This Row],[Primary Annuitant Px]]*Table1[[#This Row],[Secondary Annuitant Py]]</f>
        <v>0</v>
      </c>
      <c r="Y168" s="10">
        <f>PRODUCT($X$8:$X168)</f>
        <v>0</v>
      </c>
    </row>
    <row r="169" spans="1:25" x14ac:dyDescent="0.3">
      <c r="A169" s="34">
        <f t="shared" si="25"/>
        <v>161</v>
      </c>
      <c r="B169" s="32">
        <f ca="1">OFFSET(Table1[[#This Row],[Pay Period]],-1,0)+0.5</f>
        <v>80.5</v>
      </c>
      <c r="C169" s="29">
        <f t="shared" si="26"/>
        <v>80.5</v>
      </c>
      <c r="D169" s="36">
        <f t="shared" si="27"/>
        <v>0</v>
      </c>
      <c r="E169" s="36">
        <f t="shared" si="28"/>
        <v>0</v>
      </c>
      <c r="F169" s="36">
        <f>IF(Table1[[#This Row],[Assumed Contract Value ]]&gt;0.1,Table1[[#This Row],[timeFromValuation]]&gt;=Activation_Time,0)</f>
        <v>0</v>
      </c>
      <c r="G169" s="36">
        <v>0</v>
      </c>
      <c r="H169" s="36" t="b">
        <f>Table1[[#This Row],[timeFromValuation]]=INT(Table1[[#This Row],[timeFromValuation]])</f>
        <v>0</v>
      </c>
      <c r="I169" s="7">
        <f>IF((Table1[[#This Row],[Is Anniversery]]), Table1[[#This Row],[Assumed Contract Value ]],0)</f>
        <v>0</v>
      </c>
      <c r="J169" s="7">
        <f ca="1">IF(NOT(Table1[[#This Row],[Is Activation]]),OFFSET(Table1[[#This Row],[Income Credit Base]],-1,0)+Table1[[#This Row],[Purchase Payments]]+Table1[[#This Row],[Income Credit]],0)</f>
        <v>0</v>
      </c>
      <c r="K169" s="7">
        <f>IF(AND(Table1[[#This Row],[Is Activation]]=FALSE,Table1[[#This Row],[Is Anniversery]]=TRUE),Table1[[#This Row],[Income Credit Base]]*ICP,0)</f>
        <v>0</v>
      </c>
      <c r="L16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69" s="42" t="e">
        <f>IF(NOT(Table1[[#This Row],[Is Activation]]),(Table1[[#This Row],[Withdrawal Taken  ]]/Table1[[#This Row],[Assumed Contract Value ]]),0)</f>
        <v>#DIV/0!</v>
      </c>
      <c r="N16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69" s="5">
        <f>IF(NOT(Table1[[#This Row],[Has Lifetime Income Started]]),Table1[[#This Row],[Income Base]]*MAW,0)</f>
        <v>0</v>
      </c>
      <c r="P169" s="9">
        <f>IF(AND(Table1[[#This Row],[Has Lifetime Income Started]],Table1[[#This Row],[Is Anniversery]]),Table1[[#This Row],[Income Base]]*PIP,0)</f>
        <v>0</v>
      </c>
      <c r="Q169" s="37" t="b">
        <f t="shared" si="24"/>
        <v>1</v>
      </c>
      <c r="R169" s="10">
        <f>1/(1+InterestRate)^Table1[[#This Row],[timeFromValuation]]</f>
        <v>1.9690712213802548E-2</v>
      </c>
      <c r="S169" s="10">
        <f>Table1[[#This Row],[timeFromValuation]]</f>
        <v>80.5</v>
      </c>
      <c r="T169" s="10">
        <v>0</v>
      </c>
      <c r="U169" s="10">
        <v>0</v>
      </c>
      <c r="V169" s="10">
        <f>PRODUCT($T$8:$T169)</f>
        <v>0</v>
      </c>
      <c r="W169" s="10">
        <f>PRODUCT($U$8:$U169)</f>
        <v>0</v>
      </c>
      <c r="X169" s="10">
        <f>Table1[[#This Row],[Primary Annuitant Px]]+Table1[[#This Row],[Secondary Annuitant Py]]-Table1[[#This Row],[Primary Annuitant Px]]*Table1[[#This Row],[Secondary Annuitant Py]]</f>
        <v>0</v>
      </c>
      <c r="Y169" s="10">
        <f>PRODUCT($X$8:$X169)</f>
        <v>0</v>
      </c>
    </row>
    <row r="170" spans="1:25" x14ac:dyDescent="0.3">
      <c r="A170" s="34">
        <f t="shared" si="25"/>
        <v>162</v>
      </c>
      <c r="B170" s="32">
        <f ca="1">OFFSET(Table1[[#This Row],[Pay Period]],-1,0)+0.5</f>
        <v>81</v>
      </c>
      <c r="C170" s="29">
        <f t="shared" si="26"/>
        <v>81</v>
      </c>
      <c r="D170" s="36">
        <f t="shared" si="27"/>
        <v>0</v>
      </c>
      <c r="E170" s="36">
        <f t="shared" si="28"/>
        <v>0</v>
      </c>
      <c r="F170" s="36">
        <f>IF(Table1[[#This Row],[Assumed Contract Value ]]&gt;0.1,Table1[[#This Row],[timeFromValuation]]&gt;=Activation_Time,0)</f>
        <v>0</v>
      </c>
      <c r="G170" s="36">
        <v>0</v>
      </c>
      <c r="H170" s="36" t="b">
        <f>Table1[[#This Row],[timeFromValuation]]=INT(Table1[[#This Row],[timeFromValuation]])</f>
        <v>1</v>
      </c>
      <c r="I170" s="7">
        <f>IF((Table1[[#This Row],[Is Anniversery]]), Table1[[#This Row],[Assumed Contract Value ]],0)</f>
        <v>0</v>
      </c>
      <c r="J170" s="7">
        <f ca="1">IF(NOT(Table1[[#This Row],[Is Activation]]),OFFSET(Table1[[#This Row],[Income Credit Base]],-1,0)+Table1[[#This Row],[Purchase Payments]]+Table1[[#This Row],[Income Credit]],0)</f>
        <v>0</v>
      </c>
      <c r="K170" s="7">
        <f>IF(AND(Table1[[#This Row],[Is Activation]]=FALSE,Table1[[#This Row],[Is Anniversery]]=TRUE),Table1[[#This Row],[Income Credit Base]]*ICP,0)</f>
        <v>0</v>
      </c>
      <c r="L17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70" s="42" t="e">
        <f>IF(NOT(Table1[[#This Row],[Is Activation]]),(Table1[[#This Row],[Withdrawal Taken  ]]/Table1[[#This Row],[Assumed Contract Value ]]),0)</f>
        <v>#DIV/0!</v>
      </c>
      <c r="N17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70" s="5">
        <f>IF(NOT(Table1[[#This Row],[Has Lifetime Income Started]]),Table1[[#This Row],[Income Base]]*MAW,0)</f>
        <v>0</v>
      </c>
      <c r="P170" s="9" t="e">
        <f ca="1">IF(AND(Table1[[#This Row],[Has Lifetime Income Started]],Table1[[#This Row],[Is Anniversery]]),Table1[[#This Row],[Income Base]]*PIP,0)</f>
        <v>#DIV/0!</v>
      </c>
      <c r="Q170" s="37" t="b">
        <f t="shared" si="24"/>
        <v>1</v>
      </c>
      <c r="R170" s="10">
        <f>1/(1+InterestRate)^Table1[[#This Row],[timeFromValuation]]</f>
        <v>1.9216167485858526E-2</v>
      </c>
      <c r="S170" s="10">
        <f>Table1[[#This Row],[timeFromValuation]]</f>
        <v>81</v>
      </c>
      <c r="T170" s="10">
        <v>0</v>
      </c>
      <c r="U170" s="10">
        <v>0</v>
      </c>
      <c r="V170" s="10">
        <f>PRODUCT($T$8:$T170)</f>
        <v>0</v>
      </c>
      <c r="W170" s="10">
        <f>PRODUCT($U$8:$U170)</f>
        <v>0</v>
      </c>
      <c r="X170" s="10">
        <f>Table1[[#This Row],[Primary Annuitant Px]]+Table1[[#This Row],[Secondary Annuitant Py]]-Table1[[#This Row],[Primary Annuitant Px]]*Table1[[#This Row],[Secondary Annuitant Py]]</f>
        <v>0</v>
      </c>
      <c r="Y170" s="10">
        <f>PRODUCT($X$8:$X170)</f>
        <v>0</v>
      </c>
    </row>
    <row r="171" spans="1:25" x14ac:dyDescent="0.3">
      <c r="A171" s="34">
        <f t="shared" si="25"/>
        <v>163</v>
      </c>
      <c r="B171" s="32">
        <f ca="1">OFFSET(Table1[[#This Row],[Pay Period]],-1,0)+0.5</f>
        <v>81.5</v>
      </c>
      <c r="C171" s="29">
        <f t="shared" si="26"/>
        <v>81.5</v>
      </c>
      <c r="D171" s="36">
        <f t="shared" si="27"/>
        <v>0</v>
      </c>
      <c r="E171" s="36">
        <f t="shared" si="28"/>
        <v>0</v>
      </c>
      <c r="F171" s="36">
        <f>IF(Table1[[#This Row],[Assumed Contract Value ]]&gt;0.1,Table1[[#This Row],[timeFromValuation]]&gt;=Activation_Time,0)</f>
        <v>0</v>
      </c>
      <c r="G171" s="36">
        <v>0</v>
      </c>
      <c r="H171" s="36" t="b">
        <f>Table1[[#This Row],[timeFromValuation]]=INT(Table1[[#This Row],[timeFromValuation]])</f>
        <v>0</v>
      </c>
      <c r="I171" s="7">
        <f>IF((Table1[[#This Row],[Is Anniversery]]), Table1[[#This Row],[Assumed Contract Value ]],0)</f>
        <v>0</v>
      </c>
      <c r="J171" s="7">
        <f ca="1">IF(NOT(Table1[[#This Row],[Is Activation]]),OFFSET(Table1[[#This Row],[Income Credit Base]],-1,0)+Table1[[#This Row],[Purchase Payments]]+Table1[[#This Row],[Income Credit]],0)</f>
        <v>0</v>
      </c>
      <c r="K171" s="7">
        <f>IF(AND(Table1[[#This Row],[Is Activation]]=FALSE,Table1[[#This Row],[Is Anniversery]]=TRUE),Table1[[#This Row],[Income Credit Base]]*ICP,0)</f>
        <v>0</v>
      </c>
      <c r="L171"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71" s="42" t="e">
        <f>IF(NOT(Table1[[#This Row],[Is Activation]]),(Table1[[#This Row],[Withdrawal Taken  ]]/Table1[[#This Row],[Assumed Contract Value ]]),0)</f>
        <v>#DIV/0!</v>
      </c>
      <c r="N171"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71" s="5">
        <f>IF(NOT(Table1[[#This Row],[Has Lifetime Income Started]]),Table1[[#This Row],[Income Base]]*MAW,0)</f>
        <v>0</v>
      </c>
      <c r="P171" s="9">
        <f>IF(AND(Table1[[#This Row],[Has Lifetime Income Started]],Table1[[#This Row],[Is Anniversery]]),Table1[[#This Row],[Income Base]]*PIP,0)</f>
        <v>0</v>
      </c>
      <c r="Q171" s="37" t="b">
        <f t="shared" si="24"/>
        <v>1</v>
      </c>
      <c r="R171" s="10">
        <f>1/(1+InterestRate)^Table1[[#This Row],[timeFromValuation]]</f>
        <v>1.875305925124052E-2</v>
      </c>
      <c r="S171" s="10">
        <f>Table1[[#This Row],[timeFromValuation]]</f>
        <v>81.5</v>
      </c>
      <c r="T171" s="10">
        <v>0</v>
      </c>
      <c r="U171" s="10">
        <v>0</v>
      </c>
      <c r="V171" s="10">
        <f>PRODUCT($T$8:$T171)</f>
        <v>0</v>
      </c>
      <c r="W171" s="10">
        <f>PRODUCT($U$8:$U171)</f>
        <v>0</v>
      </c>
      <c r="X171" s="10">
        <f>Table1[[#This Row],[Primary Annuitant Px]]+Table1[[#This Row],[Secondary Annuitant Py]]-Table1[[#This Row],[Primary Annuitant Px]]*Table1[[#This Row],[Secondary Annuitant Py]]</f>
        <v>0</v>
      </c>
      <c r="Y171" s="10">
        <f>PRODUCT($X$8:$X171)</f>
        <v>0</v>
      </c>
    </row>
    <row r="172" spans="1:25" x14ac:dyDescent="0.3">
      <c r="A172" s="34">
        <f t="shared" si="25"/>
        <v>164</v>
      </c>
      <c r="B172" s="32">
        <f ca="1">OFFSET(Table1[[#This Row],[Pay Period]],-1,0)+0.5</f>
        <v>82</v>
      </c>
      <c r="C172" s="29">
        <f t="shared" si="26"/>
        <v>82</v>
      </c>
      <c r="D172" s="36">
        <f t="shared" si="27"/>
        <v>0</v>
      </c>
      <c r="E172" s="36">
        <f t="shared" si="28"/>
        <v>0</v>
      </c>
      <c r="F172" s="36">
        <f>IF(Table1[[#This Row],[Assumed Contract Value ]]&gt;0.1,Table1[[#This Row],[timeFromValuation]]&gt;=Activation_Time,0)</f>
        <v>0</v>
      </c>
      <c r="G172" s="36">
        <v>0</v>
      </c>
      <c r="H172" s="36" t="b">
        <f>Table1[[#This Row],[timeFromValuation]]=INT(Table1[[#This Row],[timeFromValuation]])</f>
        <v>1</v>
      </c>
      <c r="I172" s="7">
        <f>IF((Table1[[#This Row],[Is Anniversery]]), Table1[[#This Row],[Assumed Contract Value ]],0)</f>
        <v>0</v>
      </c>
      <c r="J172" s="7">
        <f ca="1">IF(NOT(Table1[[#This Row],[Is Activation]]),OFFSET(Table1[[#This Row],[Income Credit Base]],-1,0)+Table1[[#This Row],[Purchase Payments]]+Table1[[#This Row],[Income Credit]],0)</f>
        <v>0</v>
      </c>
      <c r="K172" s="7">
        <f>IF(AND(Table1[[#This Row],[Is Activation]]=FALSE,Table1[[#This Row],[Is Anniversery]]=TRUE),Table1[[#This Row],[Income Credit Base]]*ICP,0)</f>
        <v>0</v>
      </c>
      <c r="L172"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72" s="42" t="e">
        <f>IF(NOT(Table1[[#This Row],[Is Activation]]),(Table1[[#This Row],[Withdrawal Taken  ]]/Table1[[#This Row],[Assumed Contract Value ]]),0)</f>
        <v>#DIV/0!</v>
      </c>
      <c r="N172"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72" s="5">
        <f>IF(NOT(Table1[[#This Row],[Has Lifetime Income Started]]),Table1[[#This Row],[Income Base]]*MAW,0)</f>
        <v>0</v>
      </c>
      <c r="P172" s="9" t="e">
        <f ca="1">IF(AND(Table1[[#This Row],[Has Lifetime Income Started]],Table1[[#This Row],[Is Anniversery]]),Table1[[#This Row],[Income Base]]*PIP,0)</f>
        <v>#DIV/0!</v>
      </c>
      <c r="Q172" s="37" t="b">
        <f t="shared" si="24"/>
        <v>1</v>
      </c>
      <c r="R172" s="10">
        <f>1/(1+InterestRate)^Table1[[#This Row],[timeFromValuation]]</f>
        <v>1.8301111891293836E-2</v>
      </c>
      <c r="S172" s="10">
        <f>Table1[[#This Row],[timeFromValuation]]</f>
        <v>82</v>
      </c>
      <c r="T172" s="10">
        <v>0</v>
      </c>
      <c r="U172" s="10">
        <v>0</v>
      </c>
      <c r="V172" s="10">
        <f>PRODUCT($T$8:$T172)</f>
        <v>0</v>
      </c>
      <c r="W172" s="10">
        <f>PRODUCT($U$8:$U172)</f>
        <v>0</v>
      </c>
      <c r="X172" s="10">
        <f>Table1[[#This Row],[Primary Annuitant Px]]+Table1[[#This Row],[Secondary Annuitant Py]]-Table1[[#This Row],[Primary Annuitant Px]]*Table1[[#This Row],[Secondary Annuitant Py]]</f>
        <v>0</v>
      </c>
      <c r="Y172" s="10">
        <f>PRODUCT($X$8:$X172)</f>
        <v>0</v>
      </c>
    </row>
    <row r="173" spans="1:25" x14ac:dyDescent="0.3">
      <c r="A173" s="34">
        <f t="shared" si="25"/>
        <v>165</v>
      </c>
      <c r="B173" s="32">
        <f ca="1">OFFSET(Table1[[#This Row],[Pay Period]],-1,0)+0.5</f>
        <v>82.5</v>
      </c>
      <c r="C173" s="29">
        <f t="shared" si="26"/>
        <v>82.5</v>
      </c>
      <c r="D173" s="36">
        <f t="shared" si="27"/>
        <v>0</v>
      </c>
      <c r="E173" s="36">
        <f t="shared" si="28"/>
        <v>0</v>
      </c>
      <c r="F173" s="36">
        <f>IF(Table1[[#This Row],[Assumed Contract Value ]]&gt;0.1,Table1[[#This Row],[timeFromValuation]]&gt;=Activation_Time,0)</f>
        <v>0</v>
      </c>
      <c r="G173" s="36">
        <v>0</v>
      </c>
      <c r="H173" s="36" t="b">
        <f>Table1[[#This Row],[timeFromValuation]]=INT(Table1[[#This Row],[timeFromValuation]])</f>
        <v>0</v>
      </c>
      <c r="I173" s="7">
        <f>IF((Table1[[#This Row],[Is Anniversery]]), Table1[[#This Row],[Assumed Contract Value ]],0)</f>
        <v>0</v>
      </c>
      <c r="J173" s="7">
        <f ca="1">IF(NOT(Table1[[#This Row],[Is Activation]]),OFFSET(Table1[[#This Row],[Income Credit Base]],-1,0)+Table1[[#This Row],[Purchase Payments]]+Table1[[#This Row],[Income Credit]],0)</f>
        <v>0</v>
      </c>
      <c r="K173" s="7">
        <f>IF(AND(Table1[[#This Row],[Is Activation]]=FALSE,Table1[[#This Row],[Is Anniversery]]=TRUE),Table1[[#This Row],[Income Credit Base]]*ICP,0)</f>
        <v>0</v>
      </c>
      <c r="L173"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73" s="42" t="e">
        <f>IF(NOT(Table1[[#This Row],[Is Activation]]),(Table1[[#This Row],[Withdrawal Taken  ]]/Table1[[#This Row],[Assumed Contract Value ]]),0)</f>
        <v>#DIV/0!</v>
      </c>
      <c r="N173"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73" s="5">
        <f>IF(NOT(Table1[[#This Row],[Has Lifetime Income Started]]),Table1[[#This Row],[Income Base]]*MAW,0)</f>
        <v>0</v>
      </c>
      <c r="P173" s="9">
        <f>IF(AND(Table1[[#This Row],[Has Lifetime Income Started]],Table1[[#This Row],[Is Anniversery]]),Table1[[#This Row],[Income Base]]*PIP,0)</f>
        <v>0</v>
      </c>
      <c r="Q173" s="37" t="b">
        <f t="shared" si="24"/>
        <v>1</v>
      </c>
      <c r="R173" s="10">
        <f>1/(1+InterestRate)^Table1[[#This Row],[timeFromValuation]]</f>
        <v>1.7860056429752871E-2</v>
      </c>
      <c r="S173" s="10">
        <f>Table1[[#This Row],[timeFromValuation]]</f>
        <v>82.5</v>
      </c>
      <c r="T173" s="10">
        <v>0</v>
      </c>
      <c r="U173" s="10">
        <v>0</v>
      </c>
      <c r="V173" s="10">
        <f>PRODUCT($T$8:$T173)</f>
        <v>0</v>
      </c>
      <c r="W173" s="10">
        <f>PRODUCT($U$8:$U173)</f>
        <v>0</v>
      </c>
      <c r="X173" s="10">
        <f>Table1[[#This Row],[Primary Annuitant Px]]+Table1[[#This Row],[Secondary Annuitant Py]]-Table1[[#This Row],[Primary Annuitant Px]]*Table1[[#This Row],[Secondary Annuitant Py]]</f>
        <v>0</v>
      </c>
      <c r="Y173" s="10">
        <f>PRODUCT($X$8:$X173)</f>
        <v>0</v>
      </c>
    </row>
    <row r="174" spans="1:25" x14ac:dyDescent="0.3">
      <c r="A174" s="34">
        <f t="shared" si="25"/>
        <v>166</v>
      </c>
      <c r="B174" s="32">
        <f ca="1">OFFSET(Table1[[#This Row],[Pay Period]],-1,0)+0.5</f>
        <v>83</v>
      </c>
      <c r="C174" s="29">
        <f t="shared" si="26"/>
        <v>83</v>
      </c>
      <c r="D174" s="36">
        <f t="shared" si="27"/>
        <v>0</v>
      </c>
      <c r="E174" s="36">
        <f t="shared" si="28"/>
        <v>0</v>
      </c>
      <c r="F174" s="36">
        <f>IF(Table1[[#This Row],[Assumed Contract Value ]]&gt;0.1,Table1[[#This Row],[timeFromValuation]]&gt;=Activation_Time,0)</f>
        <v>0</v>
      </c>
      <c r="G174" s="36">
        <v>0</v>
      </c>
      <c r="H174" s="36" t="b">
        <f>Table1[[#This Row],[timeFromValuation]]=INT(Table1[[#This Row],[timeFromValuation]])</f>
        <v>1</v>
      </c>
      <c r="I174" s="7">
        <f>IF((Table1[[#This Row],[Is Anniversery]]), Table1[[#This Row],[Assumed Contract Value ]],0)</f>
        <v>0</v>
      </c>
      <c r="J174" s="7">
        <f ca="1">IF(NOT(Table1[[#This Row],[Is Activation]]),OFFSET(Table1[[#This Row],[Income Credit Base]],-1,0)+Table1[[#This Row],[Purchase Payments]]+Table1[[#This Row],[Income Credit]],0)</f>
        <v>0</v>
      </c>
      <c r="K174" s="7">
        <f>IF(AND(Table1[[#This Row],[Is Activation]]=FALSE,Table1[[#This Row],[Is Anniversery]]=TRUE),Table1[[#This Row],[Income Credit Base]]*ICP,0)</f>
        <v>0</v>
      </c>
      <c r="L174"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74" s="42" t="e">
        <f>IF(NOT(Table1[[#This Row],[Is Activation]]),(Table1[[#This Row],[Withdrawal Taken  ]]/Table1[[#This Row],[Assumed Contract Value ]]),0)</f>
        <v>#DIV/0!</v>
      </c>
      <c r="N174"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74" s="5">
        <f>IF(NOT(Table1[[#This Row],[Has Lifetime Income Started]]),Table1[[#This Row],[Income Base]]*MAW,0)</f>
        <v>0</v>
      </c>
      <c r="P174" s="9" t="e">
        <f ca="1">IF(AND(Table1[[#This Row],[Has Lifetime Income Started]],Table1[[#This Row],[Is Anniversery]]),Table1[[#This Row],[Income Base]]*PIP,0)</f>
        <v>#DIV/0!</v>
      </c>
      <c r="Q174" s="37" t="b">
        <f t="shared" si="24"/>
        <v>1</v>
      </c>
      <c r="R174" s="10">
        <f>1/(1+InterestRate)^Table1[[#This Row],[timeFromValuation]]</f>
        <v>1.7429630372660796E-2</v>
      </c>
      <c r="S174" s="10">
        <f>Table1[[#This Row],[timeFromValuation]]</f>
        <v>83</v>
      </c>
      <c r="T174" s="10">
        <v>0</v>
      </c>
      <c r="U174" s="10">
        <v>0</v>
      </c>
      <c r="V174" s="10">
        <f>PRODUCT($T$8:$T174)</f>
        <v>0</v>
      </c>
      <c r="W174" s="10">
        <f>PRODUCT($U$8:$U174)</f>
        <v>0</v>
      </c>
      <c r="X174" s="10">
        <f>Table1[[#This Row],[Primary Annuitant Px]]+Table1[[#This Row],[Secondary Annuitant Py]]-Table1[[#This Row],[Primary Annuitant Px]]*Table1[[#This Row],[Secondary Annuitant Py]]</f>
        <v>0</v>
      </c>
      <c r="Y174" s="10">
        <f>PRODUCT($X$8:$X174)</f>
        <v>0</v>
      </c>
    </row>
    <row r="175" spans="1:25" x14ac:dyDescent="0.3">
      <c r="A175" s="34">
        <f t="shared" si="25"/>
        <v>167</v>
      </c>
      <c r="B175" s="32">
        <f ca="1">OFFSET(Table1[[#This Row],[Pay Period]],-1,0)+0.5</f>
        <v>83.5</v>
      </c>
      <c r="C175" s="29">
        <f t="shared" si="26"/>
        <v>83.5</v>
      </c>
      <c r="D175" s="36">
        <f t="shared" si="27"/>
        <v>0</v>
      </c>
      <c r="E175" s="36">
        <f t="shared" si="28"/>
        <v>0</v>
      </c>
      <c r="F175" s="36">
        <f>IF(Table1[[#This Row],[Assumed Contract Value ]]&gt;0.1,Table1[[#This Row],[timeFromValuation]]&gt;=Activation_Time,0)</f>
        <v>0</v>
      </c>
      <c r="G175" s="36">
        <v>0</v>
      </c>
      <c r="H175" s="36" t="b">
        <f>Table1[[#This Row],[timeFromValuation]]=INT(Table1[[#This Row],[timeFromValuation]])</f>
        <v>0</v>
      </c>
      <c r="I175" s="7">
        <f>IF((Table1[[#This Row],[Is Anniversery]]), Table1[[#This Row],[Assumed Contract Value ]],0)</f>
        <v>0</v>
      </c>
      <c r="J175" s="7">
        <f ca="1">IF(NOT(Table1[[#This Row],[Is Activation]]),OFFSET(Table1[[#This Row],[Income Credit Base]],-1,0)+Table1[[#This Row],[Purchase Payments]]+Table1[[#This Row],[Income Credit]],0)</f>
        <v>0</v>
      </c>
      <c r="K175" s="7">
        <f>IF(AND(Table1[[#This Row],[Is Activation]]=FALSE,Table1[[#This Row],[Is Anniversery]]=TRUE),Table1[[#This Row],[Income Credit Base]]*ICP,0)</f>
        <v>0</v>
      </c>
      <c r="L175"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75" s="42" t="e">
        <f>IF(NOT(Table1[[#This Row],[Is Activation]]),(Table1[[#This Row],[Withdrawal Taken  ]]/Table1[[#This Row],[Assumed Contract Value ]]),0)</f>
        <v>#DIV/0!</v>
      </c>
      <c r="N175"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75" s="5">
        <f>IF(NOT(Table1[[#This Row],[Has Lifetime Income Started]]),Table1[[#This Row],[Income Base]]*MAW,0)</f>
        <v>0</v>
      </c>
      <c r="P175" s="9">
        <f>IF(AND(Table1[[#This Row],[Has Lifetime Income Started]],Table1[[#This Row],[Is Anniversery]]),Table1[[#This Row],[Income Base]]*PIP,0)</f>
        <v>0</v>
      </c>
      <c r="Q175" s="37" t="b">
        <f t="shared" si="24"/>
        <v>1</v>
      </c>
      <c r="R175" s="10">
        <f>1/(1+InterestRate)^Table1[[#This Row],[timeFromValuation]]</f>
        <v>1.7009577552145591E-2</v>
      </c>
      <c r="S175" s="10">
        <f>Table1[[#This Row],[timeFromValuation]]</f>
        <v>83.5</v>
      </c>
      <c r="T175" s="10">
        <v>0</v>
      </c>
      <c r="U175" s="10">
        <v>0</v>
      </c>
      <c r="V175" s="10">
        <f>PRODUCT($T$8:$T175)</f>
        <v>0</v>
      </c>
      <c r="W175" s="10">
        <f>PRODUCT($U$8:$U175)</f>
        <v>0</v>
      </c>
      <c r="X175" s="10">
        <f>Table1[[#This Row],[Primary Annuitant Px]]+Table1[[#This Row],[Secondary Annuitant Py]]-Table1[[#This Row],[Primary Annuitant Px]]*Table1[[#This Row],[Secondary Annuitant Py]]</f>
        <v>0</v>
      </c>
      <c r="Y175" s="10">
        <f>PRODUCT($X$8:$X175)</f>
        <v>0</v>
      </c>
    </row>
    <row r="176" spans="1:25" x14ac:dyDescent="0.3">
      <c r="A176" s="34">
        <f t="shared" si="25"/>
        <v>168</v>
      </c>
      <c r="B176" s="32">
        <f ca="1">OFFSET(Table1[[#This Row],[Pay Period]],-1,0)+0.5</f>
        <v>84</v>
      </c>
      <c r="C176" s="29">
        <f t="shared" si="26"/>
        <v>84</v>
      </c>
      <c r="D176" s="36">
        <f t="shared" si="27"/>
        <v>0</v>
      </c>
      <c r="E176" s="36">
        <f t="shared" si="28"/>
        <v>0</v>
      </c>
      <c r="F176" s="36">
        <f>IF(Table1[[#This Row],[Assumed Contract Value ]]&gt;0.1,Table1[[#This Row],[timeFromValuation]]&gt;=Activation_Time,0)</f>
        <v>0</v>
      </c>
      <c r="G176" s="36">
        <v>0</v>
      </c>
      <c r="H176" s="36" t="b">
        <f>Table1[[#This Row],[timeFromValuation]]=INT(Table1[[#This Row],[timeFromValuation]])</f>
        <v>1</v>
      </c>
      <c r="I176" s="7">
        <f>IF((Table1[[#This Row],[Is Anniversery]]), Table1[[#This Row],[Assumed Contract Value ]],0)</f>
        <v>0</v>
      </c>
      <c r="J176" s="7">
        <f ca="1">IF(NOT(Table1[[#This Row],[Is Activation]]),OFFSET(Table1[[#This Row],[Income Credit Base]],-1,0)+Table1[[#This Row],[Purchase Payments]]+Table1[[#This Row],[Income Credit]],0)</f>
        <v>0</v>
      </c>
      <c r="K176" s="7">
        <f>IF(AND(Table1[[#This Row],[Is Activation]]=FALSE,Table1[[#This Row],[Is Anniversery]]=TRUE),Table1[[#This Row],[Income Credit Base]]*ICP,0)</f>
        <v>0</v>
      </c>
      <c r="L176"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76" s="42" t="e">
        <f>IF(NOT(Table1[[#This Row],[Is Activation]]),(Table1[[#This Row],[Withdrawal Taken  ]]/Table1[[#This Row],[Assumed Contract Value ]]),0)</f>
        <v>#DIV/0!</v>
      </c>
      <c r="N176"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76" s="5">
        <f>IF(NOT(Table1[[#This Row],[Has Lifetime Income Started]]),Table1[[#This Row],[Income Base]]*MAW,0)</f>
        <v>0</v>
      </c>
      <c r="P176" s="9" t="e">
        <f ca="1">IF(AND(Table1[[#This Row],[Has Lifetime Income Started]],Table1[[#This Row],[Is Anniversery]]),Table1[[#This Row],[Income Base]]*PIP,0)</f>
        <v>#DIV/0!</v>
      </c>
      <c r="Q176" s="37" t="b">
        <f t="shared" si="24"/>
        <v>1</v>
      </c>
      <c r="R176" s="10">
        <f>1/(1+InterestRate)^Table1[[#This Row],[timeFromValuation]]</f>
        <v>1.6599647973962663E-2</v>
      </c>
      <c r="S176" s="10">
        <f>Table1[[#This Row],[timeFromValuation]]</f>
        <v>84</v>
      </c>
      <c r="T176" s="10">
        <v>0</v>
      </c>
      <c r="U176" s="10">
        <v>0</v>
      </c>
      <c r="V176" s="10">
        <f>PRODUCT($T$8:$T176)</f>
        <v>0</v>
      </c>
      <c r="W176" s="10">
        <f>PRODUCT($U$8:$U176)</f>
        <v>0</v>
      </c>
      <c r="X176" s="10">
        <f>Table1[[#This Row],[Primary Annuitant Px]]+Table1[[#This Row],[Secondary Annuitant Py]]-Table1[[#This Row],[Primary Annuitant Px]]*Table1[[#This Row],[Secondary Annuitant Py]]</f>
        <v>0</v>
      </c>
      <c r="Y176" s="10">
        <f>PRODUCT($X$8:$X176)</f>
        <v>0</v>
      </c>
    </row>
    <row r="177" spans="1:25" x14ac:dyDescent="0.3">
      <c r="A177" s="34">
        <f t="shared" si="25"/>
        <v>169</v>
      </c>
      <c r="B177" s="32">
        <f ca="1">OFFSET(Table1[[#This Row],[Pay Period]],-1,0)+0.5</f>
        <v>84.5</v>
      </c>
      <c r="C177" s="29">
        <f t="shared" si="26"/>
        <v>84.5</v>
      </c>
      <c r="D177" s="36">
        <f t="shared" si="27"/>
        <v>0</v>
      </c>
      <c r="E177" s="36">
        <f t="shared" si="28"/>
        <v>0</v>
      </c>
      <c r="F177" s="36">
        <f>IF(Table1[[#This Row],[Assumed Contract Value ]]&gt;0.1,Table1[[#This Row],[timeFromValuation]]&gt;=Activation_Time,0)</f>
        <v>0</v>
      </c>
      <c r="G177" s="36">
        <v>0</v>
      </c>
      <c r="H177" s="36" t="b">
        <f>Table1[[#This Row],[timeFromValuation]]=INT(Table1[[#This Row],[timeFromValuation]])</f>
        <v>0</v>
      </c>
      <c r="I177" s="7">
        <f>IF((Table1[[#This Row],[Is Anniversery]]), Table1[[#This Row],[Assumed Contract Value ]],0)</f>
        <v>0</v>
      </c>
      <c r="J177" s="7">
        <f ca="1">IF(NOT(Table1[[#This Row],[Is Activation]]),OFFSET(Table1[[#This Row],[Income Credit Base]],-1,0)+Table1[[#This Row],[Purchase Payments]]+Table1[[#This Row],[Income Credit]],0)</f>
        <v>0</v>
      </c>
      <c r="K177" s="7">
        <f>IF(AND(Table1[[#This Row],[Is Activation]]=FALSE,Table1[[#This Row],[Is Anniversery]]=TRUE),Table1[[#This Row],[Income Credit Base]]*ICP,0)</f>
        <v>0</v>
      </c>
      <c r="L177"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77" s="42" t="e">
        <f>IF(NOT(Table1[[#This Row],[Is Activation]]),(Table1[[#This Row],[Withdrawal Taken  ]]/Table1[[#This Row],[Assumed Contract Value ]]),0)</f>
        <v>#DIV/0!</v>
      </c>
      <c r="N177"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77" s="5">
        <f>IF(NOT(Table1[[#This Row],[Has Lifetime Income Started]]),Table1[[#This Row],[Income Base]]*MAW,0)</f>
        <v>0</v>
      </c>
      <c r="P177" s="9">
        <f>IF(AND(Table1[[#This Row],[Has Lifetime Income Started]],Table1[[#This Row],[Is Anniversery]]),Table1[[#This Row],[Income Base]]*PIP,0)</f>
        <v>0</v>
      </c>
      <c r="Q177" s="37" t="b">
        <f t="shared" si="24"/>
        <v>1</v>
      </c>
      <c r="R177" s="10">
        <f>1/(1+InterestRate)^Table1[[#This Row],[timeFromValuation]]</f>
        <v>1.6199597668710097E-2</v>
      </c>
      <c r="S177" s="10">
        <f>Table1[[#This Row],[timeFromValuation]]</f>
        <v>84.5</v>
      </c>
      <c r="T177" s="10">
        <v>0</v>
      </c>
      <c r="U177" s="10">
        <v>0</v>
      </c>
      <c r="V177" s="10">
        <f>PRODUCT($T$8:$T177)</f>
        <v>0</v>
      </c>
      <c r="W177" s="10">
        <f>PRODUCT($U$8:$U177)</f>
        <v>0</v>
      </c>
      <c r="X177" s="10">
        <f>Table1[[#This Row],[Primary Annuitant Px]]+Table1[[#This Row],[Secondary Annuitant Py]]-Table1[[#This Row],[Primary Annuitant Px]]*Table1[[#This Row],[Secondary Annuitant Py]]</f>
        <v>0</v>
      </c>
      <c r="Y177" s="10">
        <f>PRODUCT($X$8:$X177)</f>
        <v>0</v>
      </c>
    </row>
    <row r="178" spans="1:25" x14ac:dyDescent="0.3">
      <c r="A178" s="34">
        <f t="shared" si="25"/>
        <v>170</v>
      </c>
      <c r="B178" s="32">
        <f ca="1">OFFSET(Table1[[#This Row],[Pay Period]],-1,0)+0.5</f>
        <v>85</v>
      </c>
      <c r="C178" s="29">
        <f t="shared" si="26"/>
        <v>85</v>
      </c>
      <c r="D178" s="36">
        <f t="shared" si="27"/>
        <v>0</v>
      </c>
      <c r="E178" s="36">
        <f t="shared" si="28"/>
        <v>0</v>
      </c>
      <c r="F178" s="36">
        <f>IF(Table1[[#This Row],[Assumed Contract Value ]]&gt;0.1,Table1[[#This Row],[timeFromValuation]]&gt;=Activation_Time,0)</f>
        <v>0</v>
      </c>
      <c r="G178" s="36">
        <v>0</v>
      </c>
      <c r="H178" s="36" t="b">
        <f>Table1[[#This Row],[timeFromValuation]]=INT(Table1[[#This Row],[timeFromValuation]])</f>
        <v>1</v>
      </c>
      <c r="I178" s="7">
        <f>IF((Table1[[#This Row],[Is Anniversery]]), Table1[[#This Row],[Assumed Contract Value ]],0)</f>
        <v>0</v>
      </c>
      <c r="J178" s="7">
        <f ca="1">IF(NOT(Table1[[#This Row],[Is Activation]]),OFFSET(Table1[[#This Row],[Income Credit Base]],-1,0)+Table1[[#This Row],[Purchase Payments]]+Table1[[#This Row],[Income Credit]],0)</f>
        <v>0</v>
      </c>
      <c r="K178" s="7">
        <f>IF(AND(Table1[[#This Row],[Is Activation]]=FALSE,Table1[[#This Row],[Is Anniversery]]=TRUE),Table1[[#This Row],[Income Credit Base]]*ICP,0)</f>
        <v>0</v>
      </c>
      <c r="L178"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78" s="42" t="e">
        <f>IF(NOT(Table1[[#This Row],[Is Activation]]),(Table1[[#This Row],[Withdrawal Taken  ]]/Table1[[#This Row],[Assumed Contract Value ]]),0)</f>
        <v>#DIV/0!</v>
      </c>
      <c r="N178"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78" s="5">
        <f>IF(NOT(Table1[[#This Row],[Has Lifetime Income Started]]),Table1[[#This Row],[Income Base]]*MAW,0)</f>
        <v>0</v>
      </c>
      <c r="P178" s="9" t="e">
        <f ca="1">IF(AND(Table1[[#This Row],[Has Lifetime Income Started]],Table1[[#This Row],[Is Anniversery]]),Table1[[#This Row],[Income Base]]*PIP,0)</f>
        <v>#DIV/0!</v>
      </c>
      <c r="Q178" s="37" t="b">
        <f t="shared" si="24"/>
        <v>1</v>
      </c>
      <c r="R178" s="10">
        <f>1/(1+InterestRate)^Table1[[#This Row],[timeFromValuation]]</f>
        <v>1.580918854663111E-2</v>
      </c>
      <c r="S178" s="10">
        <f>Table1[[#This Row],[timeFromValuation]]</f>
        <v>85</v>
      </c>
      <c r="T178" s="10">
        <v>0</v>
      </c>
      <c r="U178" s="10">
        <v>0</v>
      </c>
      <c r="V178" s="10">
        <f>PRODUCT($T$8:$T178)</f>
        <v>0</v>
      </c>
      <c r="W178" s="10">
        <f>PRODUCT($U$8:$U178)</f>
        <v>0</v>
      </c>
      <c r="X178" s="10">
        <f>Table1[[#This Row],[Primary Annuitant Px]]+Table1[[#This Row],[Secondary Annuitant Py]]-Table1[[#This Row],[Primary Annuitant Px]]*Table1[[#This Row],[Secondary Annuitant Py]]</f>
        <v>0</v>
      </c>
      <c r="Y178" s="10">
        <f>PRODUCT($X$8:$X178)</f>
        <v>0</v>
      </c>
    </row>
    <row r="179" spans="1:25" x14ac:dyDescent="0.3">
      <c r="A179" s="34">
        <f t="shared" si="25"/>
        <v>171</v>
      </c>
      <c r="B179" s="32">
        <f ca="1">OFFSET(Table1[[#This Row],[Pay Period]],-1,0)+0.5</f>
        <v>85.5</v>
      </c>
      <c r="C179" s="29">
        <f t="shared" si="26"/>
        <v>85.5</v>
      </c>
      <c r="D179" s="36">
        <f t="shared" si="27"/>
        <v>0</v>
      </c>
      <c r="E179" s="36">
        <f t="shared" si="28"/>
        <v>0</v>
      </c>
      <c r="F179" s="36">
        <f>IF(Table1[[#This Row],[Assumed Contract Value ]]&gt;0.1,Table1[[#This Row],[timeFromValuation]]&gt;=Activation_Time,0)</f>
        <v>0</v>
      </c>
      <c r="G179" s="36">
        <v>0</v>
      </c>
      <c r="H179" s="36" t="b">
        <f>Table1[[#This Row],[timeFromValuation]]=INT(Table1[[#This Row],[timeFromValuation]])</f>
        <v>0</v>
      </c>
      <c r="I179" s="7">
        <f>IF((Table1[[#This Row],[Is Anniversery]]), Table1[[#This Row],[Assumed Contract Value ]],0)</f>
        <v>0</v>
      </c>
      <c r="J179" s="7">
        <f ca="1">IF(NOT(Table1[[#This Row],[Is Activation]]),OFFSET(Table1[[#This Row],[Income Credit Base]],-1,0)+Table1[[#This Row],[Purchase Payments]]+Table1[[#This Row],[Income Credit]],0)</f>
        <v>0</v>
      </c>
      <c r="K179" s="7">
        <f>IF(AND(Table1[[#This Row],[Is Activation]]=FALSE,Table1[[#This Row],[Is Anniversery]]=TRUE),Table1[[#This Row],[Income Credit Base]]*ICP,0)</f>
        <v>0</v>
      </c>
      <c r="L179"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79" s="42" t="e">
        <f>IF(NOT(Table1[[#This Row],[Is Activation]]),(Table1[[#This Row],[Withdrawal Taken  ]]/Table1[[#This Row],[Assumed Contract Value ]]),0)</f>
        <v>#DIV/0!</v>
      </c>
      <c r="N179"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79" s="5">
        <f>IF(NOT(Table1[[#This Row],[Has Lifetime Income Started]]),Table1[[#This Row],[Income Base]]*MAW,0)</f>
        <v>0</v>
      </c>
      <c r="P179" s="9">
        <f>IF(AND(Table1[[#This Row],[Has Lifetime Income Started]],Table1[[#This Row],[Is Anniversery]]),Table1[[#This Row],[Income Base]]*PIP,0)</f>
        <v>0</v>
      </c>
      <c r="Q179" s="37" t="b">
        <f t="shared" si="24"/>
        <v>1</v>
      </c>
      <c r="R179" s="10">
        <f>1/(1+InterestRate)^Table1[[#This Row],[timeFromValuation]]</f>
        <v>1.5428188255914375E-2</v>
      </c>
      <c r="S179" s="10">
        <f>Table1[[#This Row],[timeFromValuation]]</f>
        <v>85.5</v>
      </c>
      <c r="T179" s="10">
        <v>0</v>
      </c>
      <c r="U179" s="10">
        <v>0</v>
      </c>
      <c r="V179" s="10">
        <f>PRODUCT($T$8:$T179)</f>
        <v>0</v>
      </c>
      <c r="W179" s="10">
        <f>PRODUCT($U$8:$U179)</f>
        <v>0</v>
      </c>
      <c r="X179" s="10">
        <f>Table1[[#This Row],[Primary Annuitant Px]]+Table1[[#This Row],[Secondary Annuitant Py]]-Table1[[#This Row],[Primary Annuitant Px]]*Table1[[#This Row],[Secondary Annuitant Py]]</f>
        <v>0</v>
      </c>
      <c r="Y179" s="10">
        <f>PRODUCT($X$8:$X179)</f>
        <v>0</v>
      </c>
    </row>
    <row r="180" spans="1:25" x14ac:dyDescent="0.3">
      <c r="A180" s="34">
        <f t="shared" si="25"/>
        <v>172</v>
      </c>
      <c r="B180" s="32">
        <f ca="1">OFFSET(Table1[[#This Row],[Pay Period]],-1,0)+0.5</f>
        <v>86</v>
      </c>
      <c r="C180" s="29">
        <f t="shared" si="26"/>
        <v>86</v>
      </c>
      <c r="D180" s="36">
        <f t="shared" si="27"/>
        <v>0</v>
      </c>
      <c r="E180" s="36">
        <f t="shared" si="28"/>
        <v>0</v>
      </c>
      <c r="F180" s="36">
        <f>IF(Table1[[#This Row],[Assumed Contract Value ]]&gt;0.1,Table1[[#This Row],[timeFromValuation]]&gt;=Activation_Time,0)</f>
        <v>0</v>
      </c>
      <c r="G180" s="36">
        <v>0</v>
      </c>
      <c r="H180" s="36" t="b">
        <f>Table1[[#This Row],[timeFromValuation]]=INT(Table1[[#This Row],[timeFromValuation]])</f>
        <v>1</v>
      </c>
      <c r="I180" s="7">
        <f>IF((Table1[[#This Row],[Is Anniversery]]), Table1[[#This Row],[Assumed Contract Value ]],0)</f>
        <v>0</v>
      </c>
      <c r="J180" s="7">
        <f ca="1">IF(NOT(Table1[[#This Row],[Is Activation]]),OFFSET(Table1[[#This Row],[Income Credit Base]],-1,0)+Table1[[#This Row],[Purchase Payments]]+Table1[[#This Row],[Income Credit]],0)</f>
        <v>0</v>
      </c>
      <c r="K180" s="7">
        <f>IF(AND(Table1[[#This Row],[Is Activation]]=FALSE,Table1[[#This Row],[Is Anniversery]]=TRUE),Table1[[#This Row],[Income Credit Base]]*ICP,0)</f>
        <v>0</v>
      </c>
      <c r="L180" s="7" t="e">
        <f ca="1">IF(AND(OFFSET(Table1[[#This Row],[Income Base]],-1,0)+Table1[[#This Row],[Purchase Payments]]+OFFSET(Table1[[#This Row],[Income Credit]],-1,0)&lt;Table1[[#This Row],[Assumed Contract Value ]],Table1[[#This Row],[Is Anniversery]]), Table1[[#This Row],[Assumed Contract Value ]], (OFFSET(Table1[[#This Row],[Income Base]],-1,0))+Table1[[#This Row],[Purchase Payments]]+OFFSET(Table1[[#This Row],[Income Credit]],-1,0))-(Table1[[#This Row],[Withdrawal Taken  ]]*(1-Table1[[#This Row],[Withdrawal Penalty Before Activation]]))</f>
        <v>#DIV/0!</v>
      </c>
      <c r="M180" s="42" t="e">
        <f>IF(NOT(Table1[[#This Row],[Is Activation]]),(Table1[[#This Row],[Withdrawal Taken  ]]/Table1[[#This Row],[Assumed Contract Value ]]),0)</f>
        <v>#DIV/0!</v>
      </c>
      <c r="N180" s="43">
        <f ca="1">IF(AND(Table1[[#This Row],[Is Activation]],(Table1[[#This Row],[Withdrawal Taken  ]]&gt;Table1[[#This Row],[Maximum Annual Withdrawal Amount upon Activation]])),(Table1[[#This Row],[Withdrawal Taken  ]]-Table1[[#This Row],[Maximum Annual Withdrawal Amount upon Activation]])/OFFSET(Table1[[#This Row],[Assumed Contract Value ]],-1,0),  0)</f>
        <v>0</v>
      </c>
      <c r="O180" s="5">
        <f>IF(NOT(Table1[[#This Row],[Has Lifetime Income Started]]),Table1[[#This Row],[Income Base]]*MAW,0)</f>
        <v>0</v>
      </c>
      <c r="P180" s="9" t="e">
        <f ca="1">IF(AND(Table1[[#This Row],[Has Lifetime Income Started]],Table1[[#This Row],[Is Anniversery]]),Table1[[#This Row],[Income Base]]*PIP,0)</f>
        <v>#DIV/0!</v>
      </c>
      <c r="Q180" s="37" t="b">
        <f t="shared" si="24"/>
        <v>1</v>
      </c>
      <c r="R180" s="10">
        <f>1/(1+InterestRate)^Table1[[#This Row],[timeFromValuation]]</f>
        <v>1.5056370044410581E-2</v>
      </c>
      <c r="S180" s="10">
        <f>Table1[[#This Row],[timeFromValuation]]</f>
        <v>86</v>
      </c>
      <c r="T180" s="10">
        <v>0</v>
      </c>
      <c r="U180" s="10">
        <v>0</v>
      </c>
      <c r="V180" s="10">
        <f>PRODUCT($T$8:$T180)</f>
        <v>0</v>
      </c>
      <c r="W180" s="10">
        <f>PRODUCT($U$8:$U180)</f>
        <v>0</v>
      </c>
      <c r="X180" s="10">
        <f>Table1[[#This Row],[Primary Annuitant Px]]+Table1[[#This Row],[Secondary Annuitant Py]]-Table1[[#This Row],[Primary Annuitant Px]]*Table1[[#This Row],[Secondary Annuitant Py]]</f>
        <v>0</v>
      </c>
      <c r="Y180" s="10">
        <f>PRODUCT($X$8:$X180)</f>
        <v>0</v>
      </c>
    </row>
  </sheetData>
  <mergeCells count="1">
    <mergeCell ref="O6:AF6"/>
  </mergeCells>
  <conditionalFormatting sqref="I8:Y180">
    <cfRule type="expression" dxfId="11" priority="2">
      <formula>#REF!</formula>
    </cfRule>
  </conditionalFormatting>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768BE-2E44-4402-B05E-138E7CD0C242}">
  <dimension ref="A1:AA94"/>
  <sheetViews>
    <sheetView topLeftCell="C1" zoomScaleNormal="100" workbookViewId="0">
      <selection activeCell="F3" sqref="F3"/>
    </sheetView>
  </sheetViews>
  <sheetFormatPr defaultRowHeight="14.4" x14ac:dyDescent="0.3"/>
  <cols>
    <col min="1" max="1" width="18.21875" bestFit="1" customWidth="1"/>
    <col min="2" max="2" width="19.109375" bestFit="1" customWidth="1"/>
    <col min="3" max="3" width="16.5546875" bestFit="1" customWidth="1"/>
    <col min="4" max="4" width="15.33203125" bestFit="1" customWidth="1"/>
    <col min="5" max="5" width="21.33203125" bestFit="1" customWidth="1"/>
    <col min="6" max="6" width="22.33203125" bestFit="1" customWidth="1"/>
    <col min="7" max="9" width="43" bestFit="1" customWidth="1"/>
    <col min="10" max="12" width="24.88671875" bestFit="1" customWidth="1"/>
    <col min="15" max="15" width="12.109375" bestFit="1" customWidth="1"/>
    <col min="16" max="16" width="10.6640625" bestFit="1" customWidth="1"/>
    <col min="18" max="18" width="19.5546875" bestFit="1" customWidth="1"/>
    <col min="22" max="22" width="9.5546875" bestFit="1" customWidth="1"/>
  </cols>
  <sheetData>
    <row r="1" spans="1:6" x14ac:dyDescent="0.3">
      <c r="A1" t="s">
        <v>111</v>
      </c>
      <c r="C1" t="str">
        <f>C3</f>
        <v>Age 45</v>
      </c>
      <c r="E1" s="80" t="s">
        <v>178</v>
      </c>
      <c r="F1" s="80" t="s">
        <v>179</v>
      </c>
    </row>
    <row r="2" spans="1:6" x14ac:dyDescent="0.3">
      <c r="A2" t="s">
        <v>114</v>
      </c>
      <c r="E2" t="s">
        <v>180</v>
      </c>
      <c r="F2">
        <v>0.05</v>
      </c>
    </row>
    <row r="3" spans="1:6" x14ac:dyDescent="0.3">
      <c r="A3" s="6">
        <f>N57+O57</f>
        <v>6250</v>
      </c>
      <c r="B3" t="s">
        <v>119</v>
      </c>
      <c r="C3" t="s">
        <v>47</v>
      </c>
    </row>
    <row r="4" spans="1:6" x14ac:dyDescent="0.3">
      <c r="A4" s="6">
        <f t="shared" ref="A4:A24" ca="1" si="0">N58+O58</f>
        <v>10000</v>
      </c>
    </row>
    <row r="5" spans="1:6" x14ac:dyDescent="0.3">
      <c r="A5" s="6">
        <f t="shared" ca="1" si="0"/>
        <v>10625</v>
      </c>
    </row>
    <row r="6" spans="1:6" x14ac:dyDescent="0.3">
      <c r="A6" s="6">
        <f t="shared" ca="1" si="0"/>
        <v>16775</v>
      </c>
    </row>
    <row r="7" spans="1:6" x14ac:dyDescent="0.3">
      <c r="A7" s="6">
        <f t="shared" ca="1" si="0"/>
        <v>17937.5</v>
      </c>
    </row>
    <row r="8" spans="1:6" x14ac:dyDescent="0.3">
      <c r="A8" s="6">
        <f t="shared" ca="1" si="0"/>
        <v>18785.375</v>
      </c>
    </row>
    <row r="9" spans="1:6" x14ac:dyDescent="0.3">
      <c r="A9" s="6">
        <f t="shared" ca="1" si="0"/>
        <v>18785.375</v>
      </c>
    </row>
    <row r="10" spans="1:6" x14ac:dyDescent="0.3">
      <c r="A10" s="6">
        <f t="shared" ca="1" si="0"/>
        <v>19370.386388319675</v>
      </c>
    </row>
    <row r="11" spans="1:6" x14ac:dyDescent="0.3">
      <c r="A11" s="6">
        <f t="shared" ca="1" si="0"/>
        <v>19500</v>
      </c>
    </row>
    <row r="12" spans="1:6" x14ac:dyDescent="0.3">
      <c r="A12" s="6">
        <f t="shared" ca="1" si="0"/>
        <v>19220.488830468748</v>
      </c>
    </row>
    <row r="13" spans="1:6" x14ac:dyDescent="0.3">
      <c r="A13" s="6">
        <f t="shared" ca="1" si="0"/>
        <v>19220.488830468748</v>
      </c>
    </row>
    <row r="14" spans="1:6" x14ac:dyDescent="0.3">
      <c r="A14" s="6">
        <f t="shared" ca="1" si="0"/>
        <v>17660.488830468748</v>
      </c>
    </row>
    <row r="15" spans="1:6" x14ac:dyDescent="0.3">
      <c r="A15" s="6">
        <f t="shared" ca="1" si="0"/>
        <v>18125</v>
      </c>
    </row>
    <row r="16" spans="1:6" x14ac:dyDescent="0.3">
      <c r="A16" s="6">
        <f t="shared" ca="1" si="0"/>
        <v>16594.8125</v>
      </c>
    </row>
    <row r="17" spans="1:3" x14ac:dyDescent="0.3">
      <c r="A17" s="6">
        <f t="shared" ca="1" si="0"/>
        <v>16594.8125</v>
      </c>
    </row>
    <row r="18" spans="1:3" x14ac:dyDescent="0.3">
      <c r="A18" s="6">
        <f t="shared" ca="1" si="0"/>
        <v>16594.8125</v>
      </c>
    </row>
    <row r="19" spans="1:3" x14ac:dyDescent="0.3">
      <c r="A19" s="6">
        <f t="shared" ca="1" si="0"/>
        <v>16594.8125</v>
      </c>
    </row>
    <row r="20" spans="1:3" x14ac:dyDescent="0.3">
      <c r="A20" s="6">
        <f t="shared" ca="1" si="0"/>
        <v>16594.8125</v>
      </c>
    </row>
    <row r="21" spans="1:3" x14ac:dyDescent="0.3">
      <c r="A21" s="6">
        <f t="shared" ca="1" si="0"/>
        <v>16594.8125</v>
      </c>
    </row>
    <row r="22" spans="1:3" x14ac:dyDescent="0.3">
      <c r="A22" s="6">
        <f t="shared" ca="1" si="0"/>
        <v>16594.8125</v>
      </c>
    </row>
    <row r="23" spans="1:3" x14ac:dyDescent="0.3">
      <c r="A23" s="6">
        <f t="shared" ca="1" si="0"/>
        <v>16594.8125</v>
      </c>
    </row>
    <row r="24" spans="1:3" x14ac:dyDescent="0.3">
      <c r="A24" s="6">
        <f t="shared" ca="1" si="0"/>
        <v>16594.8125</v>
      </c>
    </row>
    <row r="25" spans="1:3" x14ac:dyDescent="0.3">
      <c r="A25" s="6">
        <f ca="1">N79+O79</f>
        <v>10620.68</v>
      </c>
    </row>
    <row r="26" spans="1:3" x14ac:dyDescent="0.3">
      <c r="A26" s="6"/>
    </row>
    <row r="27" spans="1:3" x14ac:dyDescent="0.3">
      <c r="A27" s="6"/>
    </row>
    <row r="28" spans="1:3" x14ac:dyDescent="0.3">
      <c r="A28" s="6"/>
    </row>
    <row r="30" spans="1:3" x14ac:dyDescent="0.3">
      <c r="A30" s="44">
        <f>_xlfn.XMATCH(C30,TestCases[Test Name])</f>
        <v>1</v>
      </c>
      <c r="B30">
        <v>1</v>
      </c>
      <c r="C30" t="s">
        <v>49</v>
      </c>
    </row>
    <row r="31" spans="1:3" x14ac:dyDescent="0.3">
      <c r="B31" t="s">
        <v>29</v>
      </c>
      <c r="C31" t="s">
        <v>30</v>
      </c>
    </row>
    <row r="33" spans="1:22" ht="58.2" thickBot="1" x14ac:dyDescent="0.35">
      <c r="B33" s="57" t="s">
        <v>65</v>
      </c>
      <c r="C33" s="57" t="s">
        <v>64</v>
      </c>
      <c r="D33" s="57" t="s">
        <v>63</v>
      </c>
      <c r="E33" s="57" t="s">
        <v>62</v>
      </c>
      <c r="F33" s="57" t="s">
        <v>61</v>
      </c>
      <c r="G33" s="57" t="s">
        <v>60</v>
      </c>
      <c r="H33" s="57" t="s">
        <v>59</v>
      </c>
      <c r="I33" s="57" t="s">
        <v>58</v>
      </c>
      <c r="J33" s="57" t="s">
        <v>20</v>
      </c>
      <c r="K33" s="57" t="s">
        <v>57</v>
      </c>
      <c r="L33" s="57" t="s">
        <v>56</v>
      </c>
      <c r="M33" s="57" t="s">
        <v>55</v>
      </c>
      <c r="N33" s="57" t="s">
        <v>54</v>
      </c>
      <c r="O33" s="57" t="s">
        <v>53</v>
      </c>
      <c r="P33" s="57" t="s">
        <v>52</v>
      </c>
      <c r="Q33" s="57" t="s">
        <v>51</v>
      </c>
      <c r="R33" s="57" t="s">
        <v>50</v>
      </c>
    </row>
    <row r="34" spans="1:22" x14ac:dyDescent="0.3">
      <c r="B34" s="58">
        <v>1</v>
      </c>
      <c r="C34" s="59" t="s">
        <v>48</v>
      </c>
      <c r="D34" s="59" t="b">
        <v>0</v>
      </c>
      <c r="E34" s="60">
        <v>42465</v>
      </c>
      <c r="F34" s="60">
        <v>18720</v>
      </c>
      <c r="G34" s="59" t="s">
        <v>33</v>
      </c>
      <c r="H34" s="59"/>
      <c r="I34" s="59"/>
      <c r="J34" s="60">
        <v>42465</v>
      </c>
      <c r="K34" s="59">
        <v>762282.17661630618</v>
      </c>
      <c r="L34" s="60">
        <v>44109</v>
      </c>
      <c r="M34" s="59">
        <v>1</v>
      </c>
      <c r="N34" s="59">
        <v>5.2499999999999998E-2</v>
      </c>
      <c r="O34" s="61">
        <v>95325.473432383646</v>
      </c>
      <c r="P34" s="61">
        <v>95325.473432383646</v>
      </c>
      <c r="Q34" s="61">
        <v>4221.541103677775</v>
      </c>
      <c r="R34" s="62">
        <v>100000</v>
      </c>
    </row>
    <row r="36" spans="1:22" x14ac:dyDescent="0.3">
      <c r="A36" s="44" t="s">
        <v>66</v>
      </c>
      <c r="S36" t="s">
        <v>115</v>
      </c>
      <c r="T36" t="s">
        <v>116</v>
      </c>
      <c r="U36" t="s">
        <v>117</v>
      </c>
      <c r="V36" t="s">
        <v>118</v>
      </c>
    </row>
    <row r="37" spans="1:22" x14ac:dyDescent="0.3">
      <c r="A37" t="s">
        <v>67</v>
      </c>
      <c r="B37" t="s">
        <v>68</v>
      </c>
      <c r="C37" t="s">
        <v>69</v>
      </c>
      <c r="D37" t="s">
        <v>70</v>
      </c>
      <c r="E37" t="s">
        <v>71</v>
      </c>
      <c r="F37" t="s">
        <v>72</v>
      </c>
      <c r="G37" t="s">
        <v>105</v>
      </c>
      <c r="H37" t="s">
        <v>106</v>
      </c>
      <c r="I37" t="s">
        <v>107</v>
      </c>
      <c r="J37" t="s">
        <v>108</v>
      </c>
      <c r="K37" t="s">
        <v>109</v>
      </c>
      <c r="L37" t="s">
        <v>110</v>
      </c>
      <c r="M37" t="s">
        <v>13</v>
      </c>
      <c r="N37" t="s">
        <v>73</v>
      </c>
      <c r="O37" t="s">
        <v>74</v>
      </c>
      <c r="Q37" t="s">
        <v>112</v>
      </c>
      <c r="R37" t="s">
        <v>113</v>
      </c>
      <c r="S37">
        <v>1</v>
      </c>
      <c r="V37" cm="1">
        <f t="array" ref="V37:V54">Expected-Actual</f>
        <v>-1</v>
      </c>
    </row>
    <row r="38" spans="1:22" x14ac:dyDescent="0.3">
      <c r="A38" cm="1">
        <f t="array" ref="A38:A54">DATEDIF(Valuation_Date,Benefit_Effective_Date,"y")</f>
        <v>0</v>
      </c>
      <c r="B38" cm="1">
        <f t="array" ref="B38:B54">IF(TestCases[Secondary Birthdate],2,1)</f>
        <v>1</v>
      </c>
      <c r="C38" t="b" cm="1">
        <f t="array" ref="C38:C54">IF(Number_Of_Annuitants=2,TRUE,FALSE)</f>
        <v>0</v>
      </c>
      <c r="D38" cm="1">
        <f t="array" ref="D38:D54">DATEDIF(TestCases[Primary Birthdate],TestCases[[Benefit Effective Date ]],"y")</f>
        <v>65</v>
      </c>
      <c r="E38" cm="1">
        <f t="array" ref="E38:E54">IF(TestCases[Secondary Birthdate],DATEDIF(TestCases[Secondary Birthdate],TestCases[Valuation Date],"y"),)</f>
        <v>0</v>
      </c>
      <c r="F38">
        <f>IF(E38=0,D38,MIN(D38:E38))</f>
        <v>65</v>
      </c>
      <c r="G38" t="e" cm="1">
        <f t="array" aca="1" ref="G38" ca="1">IF(AND(Number_Of_Annuitants=1,LB_Age1&lt;=Minimum_Withdrawal_Age&lt;=UB_AGE1),OFFSET(UB_AGE1,0,1),OFFSET(UB_Ages2,0,1))</f>
        <v>#N/A</v>
      </c>
      <c r="H38" t="e" cm="1">
        <f t="array" aca="1" ref="H38" ca="1">IF(AND(Number_Of_Annuitants=1,LB_Age1&lt;=Minimum_Withdrawal_Age&lt;=UB_AGE1),OFFSET(UB_AGE1,0,3),OFFSET(UB_Ages2,0,3))</f>
        <v>#N/A</v>
      </c>
      <c r="I38" t="e" cm="1">
        <f t="array" aca="1" ref="I38" ca="1">IF(AND(Number_Of_Annuitants=1,LB_Age1&lt;=Minimum_Withdrawal_Age&lt;=UB_AGE1),OFFSET(UB_AGE1,0,5),OFFSET(UB_Ages2,0,5))</f>
        <v>#N/A</v>
      </c>
      <c r="J38" t="e" cm="1">
        <f t="array" aca="1" ref="J38" ca="1">IF(AND(Number_Of_Annuitants=1,LB_Age1&lt;=Minimum_Withdrawal_Age&lt;=UB_AGE1),OFFSET(UB_AGE1,0,2),OFFSET(UB_Ages2,0,2))</f>
        <v>#N/A</v>
      </c>
      <c r="K38" t="e" cm="1">
        <f t="array" aca="1" ref="K38" ca="1">IF(AND(Number_Of_Annuitants=1,LB_Age1&lt;=Minimum_Withdrawal_Age&lt;=UB_AGE1),OFFSET(UB_AGE1,0,4),OFFSET(UB_Ages2,0,4))</f>
        <v>#N/A</v>
      </c>
      <c r="L38" t="e" cm="1">
        <f t="array" aca="1" ref="L38" ca="1">IF(AND(Number_Of_Annuitants=1,LB_Age1&lt;=Minimum_Withdrawal_Age&lt;=UB_AGE1),OFFSET(UB_AGE1,0,6),OFFSET(UB_Ages2,0,6))</f>
        <v>#N/A</v>
      </c>
      <c r="M38" cm="1">
        <f t="array" aca="1" ref="M38:M54" ca="1">IF(TestCases[Withdrawal Activation Date]&lt;TODAY(), DATEDIF(TestCases[Valuation Date],TestCases[Withdrawal Activation Date],"y"),0)</f>
        <v>4</v>
      </c>
      <c r="N38" cm="1">
        <f t="array" ref="N38:N54">120-Minimum_Withdrawal_Age</f>
        <v>55</v>
      </c>
      <c r="O38" t="b" cm="1">
        <f t="array" ref="O38:O54">IF(TestCases[Valuation Date]&gt;TestCases[[Benefit Effective Date ]],TRUE,FALSE)</f>
        <v>0</v>
      </c>
      <c r="R38" s="76" t="s">
        <v>49</v>
      </c>
      <c r="S38" s="77">
        <v>0</v>
      </c>
      <c r="T38" s="77">
        <v>0</v>
      </c>
      <c r="U38" s="77">
        <v>0</v>
      </c>
      <c r="V38">
        <v>0</v>
      </c>
    </row>
    <row r="39" spans="1:22" x14ac:dyDescent="0.3">
      <c r="A39">
        <v>0</v>
      </c>
      <c r="B39">
        <v>1</v>
      </c>
      <c r="C39" t="b">
        <v>0</v>
      </c>
      <c r="D39">
        <v>65</v>
      </c>
      <c r="E39">
        <v>0</v>
      </c>
      <c r="F39">
        <f t="shared" ref="F39:F54" si="1">IF(E39=0,D39,MIN(D39:E39))</f>
        <v>65</v>
      </c>
      <c r="G39" t="e" cm="1">
        <f t="array" aca="1" ref="G39" ca="1">IF(AND(Number_Of_Annuitants=1,LB_Age1&lt;=Minimum_Withdrawal_Age&lt;=UB_AGE1),OFFSET(UB_AGE1,0,1),OFFSET(UB_Ages2,0,1))</f>
        <v>#N/A</v>
      </c>
      <c r="H39" t="e" cm="1">
        <f t="array" aca="1" ref="H39" ca="1">IF(AND(Number_Of_Annuitants=1,LB_Age1&lt;=Minimum_Withdrawal_Age&lt;=UB_AGE1),OFFSET(UB_AGE1,0,3),OFFSET(UB_Ages2,0,3))</f>
        <v>#N/A</v>
      </c>
      <c r="I39" t="e" cm="1">
        <f t="array" aca="1" ref="I39" ca="1">IF(AND(Number_Of_Annuitants=1,LB_Age1&lt;=Minimum_Withdrawal_Age&lt;=UB_AGE1),OFFSET(UB_AGE1,0,5),OFFSET(UB_Ages2,0,5))</f>
        <v>#N/A</v>
      </c>
      <c r="J39" t="e" cm="1">
        <f t="array" aca="1" ref="J39" ca="1">IF(AND(Number_Of_Annuitants=1,LB_Age1&lt;=Minimum_Withdrawal_Age&lt;=UB_AGE1),OFFSET(UB_AGE1,0,2),OFFSET(UB_Ages2,0,2))</f>
        <v>#N/A</v>
      </c>
      <c r="K39" t="e" cm="1">
        <f t="array" aca="1" ref="K39" ca="1">IF(AND(Number_Of_Annuitants=1,LB_Age1&lt;=Minimum_Withdrawal_Age&lt;=UB_AGE1),OFFSET(UB_AGE1,0,4),OFFSET(UB_Ages2,0,4))</f>
        <v>#N/A</v>
      </c>
      <c r="L39" t="e" cm="1">
        <f t="array" aca="1" ref="L39" ca="1">IF(AND(Number_Of_Annuitants=1,LB_Age1&lt;=Minimum_Withdrawal_Age&lt;=UB_AGE1),OFFSET(UB_AGE1,0,6),OFFSET(UB_Ages2,0,6))</f>
        <v>#N/A</v>
      </c>
      <c r="M39">
        <f ca="1"/>
        <v>4</v>
      </c>
      <c r="N39">
        <v>55</v>
      </c>
      <c r="O39" t="b">
        <v>0</v>
      </c>
      <c r="R39" s="59" t="s">
        <v>48</v>
      </c>
      <c r="S39" s="58">
        <v>1</v>
      </c>
      <c r="T39" s="58">
        <v>1</v>
      </c>
      <c r="U39" s="58">
        <v>1</v>
      </c>
      <c r="V39">
        <v>0</v>
      </c>
    </row>
    <row r="40" spans="1:22" x14ac:dyDescent="0.3">
      <c r="A40">
        <v>0</v>
      </c>
      <c r="B40">
        <v>1</v>
      </c>
      <c r="C40" t="b">
        <v>0</v>
      </c>
      <c r="D40">
        <v>45</v>
      </c>
      <c r="E40">
        <v>0</v>
      </c>
      <c r="F40">
        <f t="shared" si="1"/>
        <v>45</v>
      </c>
      <c r="G40" t="e" cm="1">
        <f t="array" aca="1" ref="G40" ca="1">IF(AND(Number_Of_Annuitants=1,LB_Age1&lt;=Minimum_Withdrawal_Age&lt;=UB_AGE1),OFFSET(UB_AGE1,0,1),OFFSET(UB_Ages2,0,1))</f>
        <v>#N/A</v>
      </c>
      <c r="H40" t="e" cm="1">
        <f t="array" aca="1" ref="H40" ca="1">IF(AND(Number_Of_Annuitants=1,LB_Age1&lt;=Minimum_Withdrawal_Age&lt;=UB_AGE1),OFFSET(UB_AGE1,0,3),OFFSET(UB_Ages2,0,3))</f>
        <v>#N/A</v>
      </c>
      <c r="I40" t="e" cm="1">
        <f t="array" aca="1" ref="I40" ca="1">IF(AND(Number_Of_Annuitants=1,LB_Age1&lt;=Minimum_Withdrawal_Age&lt;=UB_AGE1),OFFSET(UB_AGE1,0,5),OFFSET(UB_Ages2,0,5))</f>
        <v>#N/A</v>
      </c>
      <c r="J40" t="e" cm="1">
        <f t="array" aca="1" ref="J40" ca="1">IF(AND(Number_Of_Annuitants=1,LB_Age1&lt;=Minimum_Withdrawal_Age&lt;=UB_AGE1),OFFSET(UB_AGE1,0,2),OFFSET(UB_Ages2,0,2))</f>
        <v>#N/A</v>
      </c>
      <c r="K40" t="e" cm="1">
        <f t="array" aca="1" ref="K40" ca="1">IF(AND(Number_Of_Annuitants=1,LB_Age1&lt;=Minimum_Withdrawal_Age&lt;=UB_AGE1),OFFSET(UB_AGE1,0,4),OFFSET(UB_Ages2,0,4))</f>
        <v>#N/A</v>
      </c>
      <c r="L40" t="e" cm="1">
        <f t="array" aca="1" ref="L40" ca="1">IF(AND(Number_Of_Annuitants=1,LB_Age1&lt;=Minimum_Withdrawal_Age&lt;=UB_AGE1),OFFSET(UB_AGE1,0,6),OFFSET(UB_Ages2,0,6))</f>
        <v>#N/A</v>
      </c>
      <c r="M40">
        <f ca="1"/>
        <v>4</v>
      </c>
      <c r="N40">
        <v>75</v>
      </c>
      <c r="O40" t="b">
        <v>0</v>
      </c>
      <c r="R40" s="76" t="s">
        <v>47</v>
      </c>
      <c r="S40" s="77">
        <v>2</v>
      </c>
      <c r="T40" s="77">
        <v>2</v>
      </c>
      <c r="U40" s="77">
        <v>2</v>
      </c>
      <c r="V40">
        <v>0</v>
      </c>
    </row>
    <row r="41" spans="1:22" x14ac:dyDescent="0.3">
      <c r="A41">
        <v>0</v>
      </c>
      <c r="B41">
        <v>1</v>
      </c>
      <c r="C41" t="b">
        <v>0</v>
      </c>
      <c r="D41">
        <v>55</v>
      </c>
      <c r="E41">
        <v>0</v>
      </c>
      <c r="F41">
        <f t="shared" si="1"/>
        <v>55</v>
      </c>
      <c r="G41" t="e" cm="1">
        <f t="array" aca="1" ref="G41" ca="1">IF(AND(Number_Of_Annuitants=1,LB_Age1&lt;=Minimum_Withdrawal_Age&lt;=UB_AGE1),OFFSET(UB_AGE1,0,1),OFFSET(UB_Ages2,0,1))</f>
        <v>#N/A</v>
      </c>
      <c r="H41" t="e" cm="1">
        <f t="array" aca="1" ref="H41" ca="1">IF(AND(Number_Of_Annuitants=1,LB_Age1&lt;=Minimum_Withdrawal_Age&lt;=UB_AGE1),OFFSET(UB_AGE1,0,3),OFFSET(UB_Ages2,0,3))</f>
        <v>#N/A</v>
      </c>
      <c r="I41" t="e" cm="1">
        <f t="array" aca="1" ref="I41" ca="1">IF(AND(Number_Of_Annuitants=1,LB_Age1&lt;=Minimum_Withdrawal_Age&lt;=UB_AGE1),OFFSET(UB_AGE1,0,5),OFFSET(UB_Ages2,0,5))</f>
        <v>#N/A</v>
      </c>
      <c r="J41" t="e" cm="1">
        <f t="array" aca="1" ref="J41" ca="1">IF(AND(Number_Of_Annuitants=1,LB_Age1&lt;=Minimum_Withdrawal_Age&lt;=UB_AGE1),OFFSET(UB_AGE1,0,2),OFFSET(UB_Ages2,0,2))</f>
        <v>#N/A</v>
      </c>
      <c r="K41" t="e" cm="1">
        <f t="array" aca="1" ref="K41" ca="1">IF(AND(Number_Of_Annuitants=1,LB_Age1&lt;=Minimum_Withdrawal_Age&lt;=UB_AGE1),OFFSET(UB_AGE1,0,4),OFFSET(UB_Ages2,0,4))</f>
        <v>#N/A</v>
      </c>
      <c r="L41" t="e" cm="1">
        <f t="array" aca="1" ref="L41" ca="1">IF(AND(Number_Of_Annuitants=1,LB_Age1&lt;=Minimum_Withdrawal_Age&lt;=UB_AGE1),OFFSET(UB_AGE1,0,6),OFFSET(UB_Ages2,0,6))</f>
        <v>#N/A</v>
      </c>
      <c r="M41">
        <f ca="1"/>
        <v>4</v>
      </c>
      <c r="N41">
        <v>65</v>
      </c>
      <c r="O41" t="b">
        <v>0</v>
      </c>
      <c r="R41" s="59" t="s">
        <v>46</v>
      </c>
      <c r="S41" s="58">
        <v>3</v>
      </c>
      <c r="T41" s="58">
        <v>3</v>
      </c>
      <c r="U41" s="58">
        <v>3</v>
      </c>
      <c r="V41">
        <v>0</v>
      </c>
    </row>
    <row r="42" spans="1:22" x14ac:dyDescent="0.3">
      <c r="A42">
        <v>0</v>
      </c>
      <c r="B42">
        <v>1</v>
      </c>
      <c r="C42" t="b">
        <v>0</v>
      </c>
      <c r="D42">
        <v>75</v>
      </c>
      <c r="E42">
        <v>0</v>
      </c>
      <c r="F42">
        <f t="shared" si="1"/>
        <v>75</v>
      </c>
      <c r="G42" t="e" cm="1">
        <f t="array" aca="1" ref="G42" ca="1">IF(AND(Number_Of_Annuitants=1,LB_Age1&lt;=Minimum_Withdrawal_Age&lt;=UB_AGE1),OFFSET(UB_AGE1,0,1),OFFSET(UB_Ages2,0,1))</f>
        <v>#N/A</v>
      </c>
      <c r="H42" t="e" cm="1">
        <f t="array" aca="1" ref="H42" ca="1">IF(AND(Number_Of_Annuitants=1,LB_Age1&lt;=Minimum_Withdrawal_Age&lt;=UB_AGE1),OFFSET(UB_AGE1,0,3),OFFSET(UB_Ages2,0,3))</f>
        <v>#N/A</v>
      </c>
      <c r="I42" t="e" cm="1">
        <f t="array" aca="1" ref="I42" ca="1">IF(AND(Number_Of_Annuitants=1,LB_Age1&lt;=Minimum_Withdrawal_Age&lt;=UB_AGE1),OFFSET(UB_AGE1,0,5),OFFSET(UB_Ages2,0,5))</f>
        <v>#N/A</v>
      </c>
      <c r="J42" t="e" cm="1">
        <f t="array" aca="1" ref="J42" ca="1">IF(AND(Number_Of_Annuitants=1,LB_Age1&lt;=Minimum_Withdrawal_Age&lt;=UB_AGE1),OFFSET(UB_AGE1,0,2),OFFSET(UB_Ages2,0,2))</f>
        <v>#N/A</v>
      </c>
      <c r="K42" t="e" cm="1">
        <f t="array" aca="1" ref="K42" ca="1">IF(AND(Number_Of_Annuitants=1,LB_Age1&lt;=Minimum_Withdrawal_Age&lt;=UB_AGE1),OFFSET(UB_AGE1,0,4),OFFSET(UB_Ages2,0,4))</f>
        <v>#N/A</v>
      </c>
      <c r="L42" t="e" cm="1">
        <f t="array" aca="1" ref="L42" ca="1">IF(AND(Number_Of_Annuitants=1,LB_Age1&lt;=Minimum_Withdrawal_Age&lt;=UB_AGE1),OFFSET(UB_AGE1,0,6),OFFSET(UB_Ages2,0,6))</f>
        <v>#N/A</v>
      </c>
      <c r="M42">
        <f ca="1"/>
        <v>4</v>
      </c>
      <c r="N42">
        <v>45</v>
      </c>
      <c r="O42" t="b">
        <v>0</v>
      </c>
      <c r="R42" s="76" t="s">
        <v>45</v>
      </c>
      <c r="S42" s="77">
        <v>4</v>
      </c>
      <c r="T42" s="77">
        <v>4</v>
      </c>
      <c r="U42" s="77">
        <v>4</v>
      </c>
      <c r="V42">
        <v>0</v>
      </c>
    </row>
    <row r="43" spans="1:22" x14ac:dyDescent="0.3">
      <c r="A43">
        <v>0</v>
      </c>
      <c r="B43">
        <v>1</v>
      </c>
      <c r="C43" t="b">
        <v>0</v>
      </c>
      <c r="D43">
        <v>84</v>
      </c>
      <c r="E43">
        <v>0</v>
      </c>
      <c r="F43">
        <f t="shared" si="1"/>
        <v>84</v>
      </c>
      <c r="G43" t="e" cm="1">
        <f t="array" aca="1" ref="G43" ca="1">IF(AND(Number_Of_Annuitants=1,LB_Age1&lt;=Minimum_Withdrawal_Age&lt;=UB_AGE1),OFFSET(UB_AGE1,0,1),OFFSET(UB_Ages2,0,1))</f>
        <v>#N/A</v>
      </c>
      <c r="H43" t="e" cm="1">
        <f t="array" aca="1" ref="H43" ca="1">IF(AND(Number_Of_Annuitants=1,LB_Age1&lt;=Minimum_Withdrawal_Age&lt;=UB_AGE1),OFFSET(UB_AGE1,0,3),OFFSET(UB_Ages2,0,3))</f>
        <v>#N/A</v>
      </c>
      <c r="I43" t="e" cm="1">
        <f t="array" aca="1" ref="I43" ca="1">IF(AND(Number_Of_Annuitants=1,LB_Age1&lt;=Minimum_Withdrawal_Age&lt;=UB_AGE1),OFFSET(UB_AGE1,0,5),OFFSET(UB_Ages2,0,5))</f>
        <v>#N/A</v>
      </c>
      <c r="J43" t="e" cm="1">
        <f t="array" aca="1" ref="J43" ca="1">IF(AND(Number_Of_Annuitants=1,LB_Age1&lt;=Minimum_Withdrawal_Age&lt;=UB_AGE1),OFFSET(UB_AGE1,0,2),OFFSET(UB_Ages2,0,2))</f>
        <v>#N/A</v>
      </c>
      <c r="K43" t="e" cm="1">
        <f t="array" aca="1" ref="K43" ca="1">IF(AND(Number_Of_Annuitants=1,LB_Age1&lt;=Minimum_Withdrawal_Age&lt;=UB_AGE1),OFFSET(UB_AGE1,0,4),OFFSET(UB_Ages2,0,4))</f>
        <v>#N/A</v>
      </c>
      <c r="L43" t="e" cm="1">
        <f t="array" aca="1" ref="L43" ca="1">IF(AND(Number_Of_Annuitants=1,LB_Age1&lt;=Minimum_Withdrawal_Age&lt;=UB_AGE1),OFFSET(UB_AGE1,0,6),OFFSET(UB_Ages2,0,6))</f>
        <v>#N/A</v>
      </c>
      <c r="M43">
        <f ca="1"/>
        <v>4</v>
      </c>
      <c r="N43">
        <v>36</v>
      </c>
      <c r="O43" t="b">
        <v>0</v>
      </c>
      <c r="R43" s="59" t="s">
        <v>44</v>
      </c>
      <c r="S43" s="58">
        <v>5</v>
      </c>
      <c r="T43" s="58">
        <v>5</v>
      </c>
      <c r="U43" s="58">
        <v>5</v>
      </c>
      <c r="V43">
        <v>0</v>
      </c>
    </row>
    <row r="44" spans="1:22" x14ac:dyDescent="0.3">
      <c r="A44">
        <v>0</v>
      </c>
      <c r="B44">
        <v>1</v>
      </c>
      <c r="C44" t="b">
        <v>0</v>
      </c>
      <c r="D44">
        <v>65</v>
      </c>
      <c r="E44">
        <v>0</v>
      </c>
      <c r="F44">
        <f t="shared" si="1"/>
        <v>65</v>
      </c>
      <c r="G44" t="e" cm="1">
        <f t="array" aca="1" ref="G44" ca="1">IF(AND(Number_Of_Annuitants=1,LB_Age1&lt;=Minimum_Withdrawal_Age&lt;=UB_AGE1),OFFSET(UB_AGE1,0,1),OFFSET(UB_Ages2,0,1))</f>
        <v>#N/A</v>
      </c>
      <c r="H44" t="e" cm="1">
        <f t="array" aca="1" ref="H44" ca="1">IF(AND(Number_Of_Annuitants=1,LB_Age1&lt;=Minimum_Withdrawal_Age&lt;=UB_AGE1),OFFSET(UB_AGE1,0,3),OFFSET(UB_Ages2,0,3))</f>
        <v>#N/A</v>
      </c>
      <c r="I44" t="e" cm="1">
        <f t="array" aca="1" ref="I44" ca="1">IF(AND(Number_Of_Annuitants=1,LB_Age1&lt;=Minimum_Withdrawal_Age&lt;=UB_AGE1),OFFSET(UB_AGE1,0,5),OFFSET(UB_Ages2,0,5))</f>
        <v>#N/A</v>
      </c>
      <c r="J44" t="e" cm="1">
        <f t="array" aca="1" ref="J44" ca="1">IF(AND(Number_Of_Annuitants=1,LB_Age1&lt;=Minimum_Withdrawal_Age&lt;=UB_AGE1),OFFSET(UB_AGE1,0,2),OFFSET(UB_Ages2,0,2))</f>
        <v>#N/A</v>
      </c>
      <c r="K44" t="e" cm="1">
        <f t="array" aca="1" ref="K44" ca="1">IF(AND(Number_Of_Annuitants=1,LB_Age1&lt;=Minimum_Withdrawal_Age&lt;=UB_AGE1),OFFSET(UB_AGE1,0,4),OFFSET(UB_Ages2,0,4))</f>
        <v>#N/A</v>
      </c>
      <c r="L44" t="e" cm="1">
        <f t="array" aca="1" ref="L44" ca="1">IF(AND(Number_Of_Annuitants=1,LB_Age1&lt;=Minimum_Withdrawal_Age&lt;=UB_AGE1),OFFSET(UB_AGE1,0,6),OFFSET(UB_Ages2,0,6))</f>
        <v>#N/A</v>
      </c>
      <c r="M44">
        <f ca="1"/>
        <v>4</v>
      </c>
      <c r="N44">
        <v>55</v>
      </c>
      <c r="O44" t="b">
        <v>0</v>
      </c>
      <c r="R44" s="76" t="s">
        <v>43</v>
      </c>
      <c r="S44" s="77">
        <v>6</v>
      </c>
      <c r="T44" s="77">
        <v>6</v>
      </c>
      <c r="U44" s="77">
        <v>6</v>
      </c>
      <c r="V44">
        <v>0</v>
      </c>
    </row>
    <row r="45" spans="1:22" x14ac:dyDescent="0.3">
      <c r="A45">
        <v>0</v>
      </c>
      <c r="B45">
        <v>1</v>
      </c>
      <c r="C45" t="b">
        <v>0</v>
      </c>
      <c r="D45">
        <v>65</v>
      </c>
      <c r="E45">
        <v>0</v>
      </c>
      <c r="F45">
        <f t="shared" si="1"/>
        <v>65</v>
      </c>
      <c r="G45" t="e" cm="1">
        <f t="array" aca="1" ref="G45" ca="1">IF(AND(Number_Of_Annuitants=1,LB_Age1&lt;=Minimum_Withdrawal_Age&lt;=UB_AGE1),OFFSET(UB_AGE1,0,1),OFFSET(UB_Ages2,0,1))</f>
        <v>#N/A</v>
      </c>
      <c r="H45" t="e" cm="1">
        <f t="array" aca="1" ref="H45" ca="1">IF(AND(Number_Of_Annuitants=1,LB_Age1&lt;=Minimum_Withdrawal_Age&lt;=UB_AGE1),OFFSET(UB_AGE1,0,3),OFFSET(UB_Ages2,0,3))</f>
        <v>#N/A</v>
      </c>
      <c r="I45" t="e" cm="1">
        <f t="array" aca="1" ref="I45" ca="1">IF(AND(Number_Of_Annuitants=1,LB_Age1&lt;=Minimum_Withdrawal_Age&lt;=UB_AGE1),OFFSET(UB_AGE1,0,5),OFFSET(UB_Ages2,0,5))</f>
        <v>#N/A</v>
      </c>
      <c r="J45" t="e" cm="1">
        <f t="array" aca="1" ref="J45" ca="1">IF(AND(Number_Of_Annuitants=1,LB_Age1&lt;=Minimum_Withdrawal_Age&lt;=UB_AGE1),OFFSET(UB_AGE1,0,2),OFFSET(UB_Ages2,0,2))</f>
        <v>#N/A</v>
      </c>
      <c r="K45" t="e" cm="1">
        <f t="array" aca="1" ref="K45" ca="1">IF(AND(Number_Of_Annuitants=1,LB_Age1&lt;=Minimum_Withdrawal_Age&lt;=UB_AGE1),OFFSET(UB_AGE1,0,4),OFFSET(UB_Ages2,0,4))</f>
        <v>#N/A</v>
      </c>
      <c r="L45" t="e" cm="1">
        <f t="array" aca="1" ref="L45" ca="1">IF(AND(Number_Of_Annuitants=1,LB_Age1&lt;=Minimum_Withdrawal_Age&lt;=UB_AGE1),OFFSET(UB_AGE1,0,6),OFFSET(UB_Ages2,0,6))</f>
        <v>#N/A</v>
      </c>
      <c r="M45">
        <f ca="1"/>
        <v>4</v>
      </c>
      <c r="N45">
        <v>55</v>
      </c>
      <c r="O45" t="b">
        <v>0</v>
      </c>
      <c r="R45" s="59" t="s">
        <v>42</v>
      </c>
      <c r="S45" s="58">
        <v>7</v>
      </c>
      <c r="T45" s="58">
        <v>7</v>
      </c>
      <c r="U45" s="58">
        <v>7</v>
      </c>
      <c r="V45">
        <v>0</v>
      </c>
    </row>
    <row r="46" spans="1:22" x14ac:dyDescent="0.3">
      <c r="A46">
        <v>0</v>
      </c>
      <c r="B46">
        <v>1</v>
      </c>
      <c r="C46" t="b">
        <v>0</v>
      </c>
      <c r="D46">
        <v>65</v>
      </c>
      <c r="E46">
        <v>0</v>
      </c>
      <c r="F46">
        <f t="shared" si="1"/>
        <v>65</v>
      </c>
      <c r="G46" t="e" cm="1">
        <f t="array" aca="1" ref="G46" ca="1">IF(AND(Number_Of_Annuitants=1,LB_Age1&lt;=Minimum_Withdrawal_Age&lt;=UB_AGE1),OFFSET(UB_AGE1,0,1),OFFSET(UB_Ages2,0,1))</f>
        <v>#N/A</v>
      </c>
      <c r="H46" t="e" cm="1">
        <f t="array" aca="1" ref="H46" ca="1">IF(AND(Number_Of_Annuitants=1,LB_Age1&lt;=Minimum_Withdrawal_Age&lt;=UB_AGE1),OFFSET(UB_AGE1,0,3),OFFSET(UB_Ages2,0,3))</f>
        <v>#N/A</v>
      </c>
      <c r="I46" t="e" cm="1">
        <f t="array" aca="1" ref="I46" ca="1">IF(AND(Number_Of_Annuitants=1,LB_Age1&lt;=Minimum_Withdrawal_Age&lt;=UB_AGE1),OFFSET(UB_AGE1,0,5),OFFSET(UB_Ages2,0,5))</f>
        <v>#N/A</v>
      </c>
      <c r="J46" t="e" cm="1">
        <f t="array" aca="1" ref="J46" ca="1">IF(AND(Number_Of_Annuitants=1,LB_Age1&lt;=Minimum_Withdrawal_Age&lt;=UB_AGE1),OFFSET(UB_AGE1,0,2),OFFSET(UB_Ages2,0,2))</f>
        <v>#N/A</v>
      </c>
      <c r="K46" t="e" cm="1">
        <f t="array" aca="1" ref="K46" ca="1">IF(AND(Number_Of_Annuitants=1,LB_Age1&lt;=Minimum_Withdrawal_Age&lt;=UB_AGE1),OFFSET(UB_AGE1,0,4),OFFSET(UB_Ages2,0,4))</f>
        <v>#N/A</v>
      </c>
      <c r="L46" t="e" cm="1">
        <f t="array" aca="1" ref="L46" ca="1">IF(AND(Number_Of_Annuitants=1,LB_Age1&lt;=Minimum_Withdrawal_Age&lt;=UB_AGE1),OFFSET(UB_AGE1,0,6),OFFSET(UB_Ages2,0,6))</f>
        <v>#N/A</v>
      </c>
      <c r="M46">
        <f ca="1"/>
        <v>1</v>
      </c>
      <c r="N46">
        <v>55</v>
      </c>
      <c r="O46" t="b">
        <v>0</v>
      </c>
      <c r="R46" s="76" t="s">
        <v>41</v>
      </c>
      <c r="S46" s="77">
        <v>8</v>
      </c>
      <c r="T46" s="77">
        <v>8</v>
      </c>
      <c r="U46" s="77">
        <v>8</v>
      </c>
      <c r="V46">
        <v>0</v>
      </c>
    </row>
    <row r="47" spans="1:22" x14ac:dyDescent="0.3">
      <c r="A47">
        <v>0</v>
      </c>
      <c r="B47">
        <v>1</v>
      </c>
      <c r="C47" t="b">
        <v>0</v>
      </c>
      <c r="D47">
        <v>65</v>
      </c>
      <c r="E47">
        <v>0</v>
      </c>
      <c r="F47">
        <f t="shared" si="1"/>
        <v>65</v>
      </c>
      <c r="G47" t="e" cm="1">
        <f t="array" aca="1" ref="G47" ca="1">IF(AND(Number_Of_Annuitants=1,LB_Age1&lt;=Minimum_Withdrawal_Age&lt;=UB_AGE1),OFFSET(UB_AGE1,0,1),OFFSET(UB_Ages2,0,1))</f>
        <v>#N/A</v>
      </c>
      <c r="H47" t="e" cm="1">
        <f t="array" aca="1" ref="H47" ca="1">IF(AND(Number_Of_Annuitants=1,LB_Age1&lt;=Minimum_Withdrawal_Age&lt;=UB_AGE1),OFFSET(UB_AGE1,0,3),OFFSET(UB_Ages2,0,3))</f>
        <v>#N/A</v>
      </c>
      <c r="I47" t="e" cm="1">
        <f t="array" aca="1" ref="I47" ca="1">IF(AND(Number_Of_Annuitants=1,LB_Age1&lt;=Minimum_Withdrawal_Age&lt;=UB_AGE1),OFFSET(UB_AGE1,0,5),OFFSET(UB_Ages2,0,5))</f>
        <v>#N/A</v>
      </c>
      <c r="J47" t="e" cm="1">
        <f t="array" aca="1" ref="J47" ca="1">IF(AND(Number_Of_Annuitants=1,LB_Age1&lt;=Minimum_Withdrawal_Age&lt;=UB_AGE1),OFFSET(UB_AGE1,0,2),OFFSET(UB_Ages2,0,2))</f>
        <v>#N/A</v>
      </c>
      <c r="K47" t="e" cm="1">
        <f t="array" aca="1" ref="K47" ca="1">IF(AND(Number_Of_Annuitants=1,LB_Age1&lt;=Minimum_Withdrawal_Age&lt;=UB_AGE1),OFFSET(UB_AGE1,0,4),OFFSET(UB_Ages2,0,4))</f>
        <v>#N/A</v>
      </c>
      <c r="L47" t="e" cm="1">
        <f t="array" aca="1" ref="L47" ca="1">IF(AND(Number_Of_Annuitants=1,LB_Age1&lt;=Minimum_Withdrawal_Age&lt;=UB_AGE1),OFFSET(UB_AGE1,0,6),OFFSET(UB_Ages2,0,6))</f>
        <v>#N/A</v>
      </c>
      <c r="M47">
        <f ca="1"/>
        <v>2</v>
      </c>
      <c r="N47">
        <v>55</v>
      </c>
      <c r="O47" t="b">
        <v>0</v>
      </c>
      <c r="R47" s="59" t="s">
        <v>40</v>
      </c>
      <c r="S47" s="58">
        <v>9</v>
      </c>
      <c r="T47" s="58">
        <v>9</v>
      </c>
      <c r="U47" s="58">
        <v>9</v>
      </c>
      <c r="V47">
        <v>0</v>
      </c>
    </row>
    <row r="48" spans="1:22" x14ac:dyDescent="0.3">
      <c r="A48">
        <v>0</v>
      </c>
      <c r="B48">
        <v>1</v>
      </c>
      <c r="C48" t="b">
        <v>0</v>
      </c>
      <c r="D48">
        <v>65</v>
      </c>
      <c r="E48">
        <v>0</v>
      </c>
      <c r="F48">
        <f t="shared" si="1"/>
        <v>65</v>
      </c>
      <c r="G48" t="e" cm="1">
        <f t="array" aca="1" ref="G48" ca="1">IF(AND(Number_Of_Annuitants=1,LB_Age1&lt;=Minimum_Withdrawal_Age&lt;=UB_AGE1),OFFSET(UB_AGE1,0,1),OFFSET(UB_Ages2,0,1))</f>
        <v>#N/A</v>
      </c>
      <c r="H48" t="e" cm="1">
        <f t="array" aca="1" ref="H48" ca="1">IF(AND(Number_Of_Annuitants=1,LB_Age1&lt;=Minimum_Withdrawal_Age&lt;=UB_AGE1),OFFSET(UB_AGE1,0,3),OFFSET(UB_Ages2,0,3))</f>
        <v>#N/A</v>
      </c>
      <c r="I48" t="e" cm="1">
        <f t="array" aca="1" ref="I48" ca="1">IF(AND(Number_Of_Annuitants=1,LB_Age1&lt;=Minimum_Withdrawal_Age&lt;=UB_AGE1),OFFSET(UB_AGE1,0,5),OFFSET(UB_Ages2,0,5))</f>
        <v>#N/A</v>
      </c>
      <c r="J48" t="e" cm="1">
        <f t="array" aca="1" ref="J48" ca="1">IF(AND(Number_Of_Annuitants=1,LB_Age1&lt;=Minimum_Withdrawal_Age&lt;=UB_AGE1),OFFSET(UB_AGE1,0,2),OFFSET(UB_Ages2,0,2))</f>
        <v>#N/A</v>
      </c>
      <c r="K48" t="e" cm="1">
        <f t="array" aca="1" ref="K48" ca="1">IF(AND(Number_Of_Annuitants=1,LB_Age1&lt;=Minimum_Withdrawal_Age&lt;=UB_AGE1),OFFSET(UB_AGE1,0,4),OFFSET(UB_Ages2,0,4))</f>
        <v>#N/A</v>
      </c>
      <c r="L48" t="e" cm="1">
        <f t="array" aca="1" ref="L48" ca="1">IF(AND(Number_Of_Annuitants=1,LB_Age1&lt;=Minimum_Withdrawal_Age&lt;=UB_AGE1),OFFSET(UB_AGE1,0,6),OFFSET(UB_Ages2,0,6))</f>
        <v>#N/A</v>
      </c>
      <c r="M48">
        <f ca="1"/>
        <v>3</v>
      </c>
      <c r="N48">
        <v>55</v>
      </c>
      <c r="O48" t="b">
        <v>0</v>
      </c>
      <c r="R48" s="76" t="s">
        <v>39</v>
      </c>
      <c r="S48" s="77">
        <v>10</v>
      </c>
      <c r="T48" s="77">
        <v>10</v>
      </c>
      <c r="U48" s="77">
        <v>10</v>
      </c>
      <c r="V48">
        <v>0</v>
      </c>
    </row>
    <row r="49" spans="1:27" x14ac:dyDescent="0.3">
      <c r="A49">
        <v>0</v>
      </c>
      <c r="B49">
        <v>1</v>
      </c>
      <c r="C49" t="b">
        <v>0</v>
      </c>
      <c r="D49">
        <v>65</v>
      </c>
      <c r="E49">
        <v>0</v>
      </c>
      <c r="F49">
        <f t="shared" si="1"/>
        <v>65</v>
      </c>
      <c r="G49" t="e" cm="1">
        <f t="array" aca="1" ref="G49" ca="1">IF(AND(Number_Of_Annuitants=1,LB_Age1&lt;=Minimum_Withdrawal_Age&lt;=UB_AGE1),OFFSET(UB_AGE1,0,1),OFFSET(UB_Ages2,0,1))</f>
        <v>#N/A</v>
      </c>
      <c r="H49" t="e" cm="1">
        <f t="array" aca="1" ref="H49" ca="1">IF(AND(Number_Of_Annuitants=1,LB_Age1&lt;=Minimum_Withdrawal_Age&lt;=UB_AGE1),OFFSET(UB_AGE1,0,3),OFFSET(UB_Ages2,0,3))</f>
        <v>#N/A</v>
      </c>
      <c r="I49" t="e" cm="1">
        <f t="array" aca="1" ref="I49" ca="1">IF(AND(Number_Of_Annuitants=1,LB_Age1&lt;=Minimum_Withdrawal_Age&lt;=UB_AGE1),OFFSET(UB_AGE1,0,5),OFFSET(UB_Ages2,0,5))</f>
        <v>#N/A</v>
      </c>
      <c r="J49" t="e" cm="1">
        <f t="array" aca="1" ref="J49" ca="1">IF(AND(Number_Of_Annuitants=1,LB_Age1&lt;=Minimum_Withdrawal_Age&lt;=UB_AGE1),OFFSET(UB_AGE1,0,2),OFFSET(UB_Ages2,0,2))</f>
        <v>#N/A</v>
      </c>
      <c r="K49" t="e" cm="1">
        <f t="array" aca="1" ref="K49" ca="1">IF(AND(Number_Of_Annuitants=1,LB_Age1&lt;=Minimum_Withdrawal_Age&lt;=UB_AGE1),OFFSET(UB_AGE1,0,4),OFFSET(UB_Ages2,0,4))</f>
        <v>#N/A</v>
      </c>
      <c r="L49" t="e" cm="1">
        <f t="array" aca="1" ref="L49" ca="1">IF(AND(Number_Of_Annuitants=1,LB_Age1&lt;=Minimum_Withdrawal_Age&lt;=UB_AGE1),OFFSET(UB_AGE1,0,6),OFFSET(UB_Ages2,0,6))</f>
        <v>#N/A</v>
      </c>
      <c r="M49">
        <f ca="1"/>
        <v>5</v>
      </c>
      <c r="N49">
        <v>55</v>
      </c>
      <c r="O49" t="b">
        <v>0</v>
      </c>
      <c r="R49" s="59" t="s">
        <v>38</v>
      </c>
      <c r="S49" s="58">
        <v>11</v>
      </c>
      <c r="T49" s="58">
        <v>11</v>
      </c>
      <c r="U49" s="58">
        <v>11</v>
      </c>
      <c r="V49">
        <v>0</v>
      </c>
    </row>
    <row r="50" spans="1:27" x14ac:dyDescent="0.3">
      <c r="A50">
        <v>0</v>
      </c>
      <c r="B50">
        <v>1</v>
      </c>
      <c r="C50" t="b">
        <v>0</v>
      </c>
      <c r="D50">
        <v>65</v>
      </c>
      <c r="E50">
        <v>0</v>
      </c>
      <c r="F50">
        <f t="shared" si="1"/>
        <v>65</v>
      </c>
      <c r="G50" t="e" cm="1">
        <f t="array" aca="1" ref="G50" ca="1">IF(AND(Number_Of_Annuitants=1,LB_Age1&lt;=Minimum_Withdrawal_Age&lt;=UB_AGE1),OFFSET(UB_AGE1,0,1),OFFSET(UB_Ages2,0,1))</f>
        <v>#N/A</v>
      </c>
      <c r="H50" t="e" cm="1">
        <f t="array" aca="1" ref="H50" ca="1">IF(AND(Number_Of_Annuitants=1,LB_Age1&lt;=Minimum_Withdrawal_Age&lt;=UB_AGE1),OFFSET(UB_AGE1,0,3),OFFSET(UB_Ages2,0,3))</f>
        <v>#N/A</v>
      </c>
      <c r="I50" t="e" cm="1">
        <f t="array" aca="1" ref="I50" ca="1">IF(AND(Number_Of_Annuitants=1,LB_Age1&lt;=Minimum_Withdrawal_Age&lt;=UB_AGE1),OFFSET(UB_AGE1,0,5),OFFSET(UB_Ages2,0,5))</f>
        <v>#N/A</v>
      </c>
      <c r="J50" t="e" cm="1">
        <f t="array" aca="1" ref="J50" ca="1">IF(AND(Number_Of_Annuitants=1,LB_Age1&lt;=Minimum_Withdrawal_Age&lt;=UB_AGE1),OFFSET(UB_AGE1,0,2),OFFSET(UB_Ages2,0,2))</f>
        <v>#N/A</v>
      </c>
      <c r="K50" t="e" cm="1">
        <f t="array" aca="1" ref="K50" ca="1">IF(AND(Number_Of_Annuitants=1,LB_Age1&lt;=Minimum_Withdrawal_Age&lt;=UB_AGE1),OFFSET(UB_AGE1,0,4),OFFSET(UB_Ages2,0,4))</f>
        <v>#N/A</v>
      </c>
      <c r="L50" t="e" cm="1">
        <f t="array" aca="1" ref="L50" ca="1">IF(AND(Number_Of_Annuitants=1,LB_Age1&lt;=Minimum_Withdrawal_Age&lt;=UB_AGE1),OFFSET(UB_AGE1,0,6),OFFSET(UB_Ages2,0,6))</f>
        <v>#N/A</v>
      </c>
      <c r="M50">
        <f ca="1"/>
        <v>6</v>
      </c>
      <c r="N50">
        <v>55</v>
      </c>
      <c r="O50" t="b">
        <v>0</v>
      </c>
      <c r="R50" s="76" t="s">
        <v>37</v>
      </c>
      <c r="S50" s="77">
        <v>12</v>
      </c>
      <c r="T50" s="77">
        <v>12</v>
      </c>
      <c r="U50" s="77">
        <v>12</v>
      </c>
      <c r="V50">
        <v>0</v>
      </c>
    </row>
    <row r="51" spans="1:27" x14ac:dyDescent="0.3">
      <c r="A51">
        <v>0</v>
      </c>
      <c r="B51">
        <v>1</v>
      </c>
      <c r="C51" t="b">
        <v>0</v>
      </c>
      <c r="D51">
        <v>65</v>
      </c>
      <c r="E51">
        <v>0</v>
      </c>
      <c r="F51">
        <f t="shared" si="1"/>
        <v>65</v>
      </c>
      <c r="G51" t="e" cm="1">
        <f t="array" aca="1" ref="G51" ca="1">IF(AND(Number_Of_Annuitants=1,LB_Age1&lt;=Minimum_Withdrawal_Age&lt;=UB_AGE1),OFFSET(UB_AGE1,0,1),OFFSET(UB_Ages2,0,1))</f>
        <v>#N/A</v>
      </c>
      <c r="H51" t="e" cm="1">
        <f t="array" aca="1" ref="H51" ca="1">IF(AND(Number_Of_Annuitants=1,LB_Age1&lt;=Minimum_Withdrawal_Age&lt;=UB_AGE1),OFFSET(UB_AGE1,0,3),OFFSET(UB_Ages2,0,3))</f>
        <v>#N/A</v>
      </c>
      <c r="I51" t="e" cm="1">
        <f t="array" aca="1" ref="I51" ca="1">IF(AND(Number_Of_Annuitants=1,LB_Age1&lt;=Minimum_Withdrawal_Age&lt;=UB_AGE1),OFFSET(UB_AGE1,0,5),OFFSET(UB_Ages2,0,5))</f>
        <v>#N/A</v>
      </c>
      <c r="J51" t="e" cm="1">
        <f t="array" aca="1" ref="J51" ca="1">IF(AND(Number_Of_Annuitants=1,LB_Age1&lt;=Minimum_Withdrawal_Age&lt;=UB_AGE1),OFFSET(UB_AGE1,0,2),OFFSET(UB_Ages2,0,2))</f>
        <v>#N/A</v>
      </c>
      <c r="K51" t="e" cm="1">
        <f t="array" aca="1" ref="K51" ca="1">IF(AND(Number_Of_Annuitants=1,LB_Age1&lt;=Minimum_Withdrawal_Age&lt;=UB_AGE1),OFFSET(UB_AGE1,0,4),OFFSET(UB_Ages2,0,4))</f>
        <v>#N/A</v>
      </c>
      <c r="L51" t="e" cm="1">
        <f t="array" aca="1" ref="L51" ca="1">IF(AND(Number_Of_Annuitants=1,LB_Age1&lt;=Minimum_Withdrawal_Age&lt;=UB_AGE1),OFFSET(UB_AGE1,0,6),OFFSET(UB_Ages2,0,6))</f>
        <v>#N/A</v>
      </c>
      <c r="M51">
        <f ca="1"/>
        <v>0</v>
      </c>
      <c r="N51">
        <v>55</v>
      </c>
      <c r="O51" t="b">
        <v>0</v>
      </c>
      <c r="R51" s="59" t="s">
        <v>36</v>
      </c>
      <c r="S51" s="58">
        <v>13</v>
      </c>
      <c r="T51" s="58">
        <v>13</v>
      </c>
      <c r="U51" s="58">
        <v>13</v>
      </c>
      <c r="V51">
        <v>0</v>
      </c>
    </row>
    <row r="52" spans="1:27" x14ac:dyDescent="0.3">
      <c r="A52">
        <v>0</v>
      </c>
      <c r="B52">
        <v>2</v>
      </c>
      <c r="C52" t="b">
        <v>1</v>
      </c>
      <c r="D52">
        <v>55</v>
      </c>
      <c r="E52">
        <v>64</v>
      </c>
      <c r="F52">
        <f t="shared" si="1"/>
        <v>55</v>
      </c>
      <c r="G52" t="e" cm="1">
        <f t="array" aca="1" ref="G52" ca="1">IF(AND(Number_Of_Annuitants=1,LB_Age1&lt;=Minimum_Withdrawal_Age&lt;=UB_AGE1),OFFSET(UB_AGE1,0,1),OFFSET(UB_Ages2,0,1))</f>
        <v>#N/A</v>
      </c>
      <c r="H52" t="e" cm="1">
        <f t="array" aca="1" ref="H52" ca="1">IF(AND(Number_Of_Annuitants=1,LB_Age1&lt;=Minimum_Withdrawal_Age&lt;=UB_AGE1),OFFSET(UB_AGE1,0,3),OFFSET(UB_Ages2,0,3))</f>
        <v>#N/A</v>
      </c>
      <c r="I52" t="e" cm="1">
        <f t="array" aca="1" ref="I52" ca="1">IF(AND(Number_Of_Annuitants=1,LB_Age1&lt;=Minimum_Withdrawal_Age&lt;=UB_AGE1),OFFSET(UB_AGE1,0,5),OFFSET(UB_Ages2,0,5))</f>
        <v>#N/A</v>
      </c>
      <c r="J52" t="e" cm="1">
        <f t="array" aca="1" ref="J52" ca="1">IF(AND(Number_Of_Annuitants=1,LB_Age1&lt;=Minimum_Withdrawal_Age&lt;=UB_AGE1),OFFSET(UB_AGE1,0,2),OFFSET(UB_Ages2,0,2))</f>
        <v>#N/A</v>
      </c>
      <c r="K52" t="e" cm="1">
        <f t="array" aca="1" ref="K52" ca="1">IF(AND(Number_Of_Annuitants=1,LB_Age1&lt;=Minimum_Withdrawal_Age&lt;=UB_AGE1),OFFSET(UB_AGE1,0,4),OFFSET(UB_Ages2,0,4))</f>
        <v>#N/A</v>
      </c>
      <c r="L52" t="e" cm="1">
        <f t="array" aca="1" ref="L52" ca="1">IF(AND(Number_Of_Annuitants=1,LB_Age1&lt;=Minimum_Withdrawal_Age&lt;=UB_AGE1),OFFSET(UB_AGE1,0,6),OFFSET(UB_Ages2,0,6))</f>
        <v>#N/A</v>
      </c>
      <c r="M52">
        <f ca="1"/>
        <v>4</v>
      </c>
      <c r="N52">
        <v>65</v>
      </c>
      <c r="O52" t="b">
        <v>0</v>
      </c>
      <c r="R52" s="76" t="s">
        <v>35</v>
      </c>
      <c r="S52" s="77">
        <v>14</v>
      </c>
      <c r="T52" s="77">
        <v>14</v>
      </c>
      <c r="U52" s="77">
        <v>14</v>
      </c>
      <c r="V52">
        <v>0</v>
      </c>
    </row>
    <row r="53" spans="1:27" x14ac:dyDescent="0.3">
      <c r="A53">
        <v>0</v>
      </c>
      <c r="B53">
        <v>2</v>
      </c>
      <c r="C53" t="b">
        <v>1</v>
      </c>
      <c r="D53">
        <v>65</v>
      </c>
      <c r="E53">
        <v>74</v>
      </c>
      <c r="F53">
        <f t="shared" si="1"/>
        <v>65</v>
      </c>
      <c r="G53" t="e" cm="1">
        <f t="array" aca="1" ref="G53" ca="1">IF(AND(Number_Of_Annuitants=1,LB_Age1&lt;=Minimum_Withdrawal_Age&lt;=UB_AGE1),OFFSET(UB_AGE1,0,1),OFFSET(UB_Ages2,0,1))</f>
        <v>#N/A</v>
      </c>
      <c r="H53" t="e" cm="1">
        <f t="array" aca="1" ref="H53" ca="1">IF(AND(Number_Of_Annuitants=1,LB_Age1&lt;=Minimum_Withdrawal_Age&lt;=UB_AGE1),OFFSET(UB_AGE1,0,3),OFFSET(UB_Ages2,0,3))</f>
        <v>#N/A</v>
      </c>
      <c r="I53" t="e" cm="1">
        <f t="array" aca="1" ref="I53" ca="1">IF(AND(Number_Of_Annuitants=1,LB_Age1&lt;=Minimum_Withdrawal_Age&lt;=UB_AGE1),OFFSET(UB_AGE1,0,5),OFFSET(UB_Ages2,0,5))</f>
        <v>#N/A</v>
      </c>
      <c r="J53" t="e" cm="1">
        <f t="array" aca="1" ref="J53" ca="1">IF(AND(Number_Of_Annuitants=1,LB_Age1&lt;=Minimum_Withdrawal_Age&lt;=UB_AGE1),OFFSET(UB_AGE1,0,2),OFFSET(UB_Ages2,0,2))</f>
        <v>#N/A</v>
      </c>
      <c r="K53" t="e" cm="1">
        <f t="array" aca="1" ref="K53" ca="1">IF(AND(Number_Of_Annuitants=1,LB_Age1&lt;=Minimum_Withdrawal_Age&lt;=UB_AGE1),OFFSET(UB_AGE1,0,4),OFFSET(UB_Ages2,0,4))</f>
        <v>#N/A</v>
      </c>
      <c r="L53" t="e" cm="1">
        <f t="array" aca="1" ref="L53" ca="1">IF(AND(Number_Of_Annuitants=1,LB_Age1&lt;=Minimum_Withdrawal_Age&lt;=UB_AGE1),OFFSET(UB_AGE1,0,6),OFFSET(UB_Ages2,0,6))</f>
        <v>#N/A</v>
      </c>
      <c r="M53">
        <f ca="1"/>
        <v>4</v>
      </c>
      <c r="N53">
        <v>55</v>
      </c>
      <c r="O53" t="b">
        <v>0</v>
      </c>
      <c r="R53" s="59" t="s">
        <v>34</v>
      </c>
      <c r="S53" s="58">
        <v>15</v>
      </c>
      <c r="T53" s="58">
        <v>15</v>
      </c>
      <c r="U53" s="58">
        <v>15</v>
      </c>
      <c r="V53">
        <v>0</v>
      </c>
    </row>
    <row r="54" spans="1:27" x14ac:dyDescent="0.3">
      <c r="A54">
        <v>0</v>
      </c>
      <c r="B54">
        <v>2</v>
      </c>
      <c r="C54" t="b">
        <v>1</v>
      </c>
      <c r="D54">
        <v>80</v>
      </c>
      <c r="E54">
        <v>80</v>
      </c>
      <c r="F54">
        <f t="shared" si="1"/>
        <v>80</v>
      </c>
      <c r="G54" t="e" cm="1">
        <f t="array" aca="1" ref="G54" ca="1">IF(AND(Number_Of_Annuitants=1,LB_Age1&lt;=Minimum_Withdrawal_Age&lt;=UB_AGE1),OFFSET(UB_AGE1,0,1),OFFSET(UB_Ages2,0,1))</f>
        <v>#N/A</v>
      </c>
      <c r="H54" t="e" cm="1">
        <f t="array" aca="1" ref="H54" ca="1">IF(AND(Number_Of_Annuitants=1,LB_Age1&lt;=Minimum_Withdrawal_Age&lt;=UB_AGE1),OFFSET(UB_AGE1,0,3),OFFSET(UB_Ages2,0,3))</f>
        <v>#N/A</v>
      </c>
      <c r="I54" t="e" cm="1">
        <f t="array" aca="1" ref="I54" ca="1">IF(AND(Number_Of_Annuitants=1,LB_Age1&lt;=Minimum_Withdrawal_Age&lt;=UB_AGE1),OFFSET(UB_AGE1,0,5),OFFSET(UB_Ages2,0,5))</f>
        <v>#N/A</v>
      </c>
      <c r="J54" t="e" cm="1">
        <f t="array" aca="1" ref="J54" ca="1">IF(AND(Number_Of_Annuitants=1,LB_Age1&lt;=Minimum_Withdrawal_Age&lt;=UB_AGE1),OFFSET(UB_AGE1,0,2),OFFSET(UB_Ages2,0,2))</f>
        <v>#N/A</v>
      </c>
      <c r="K54" t="e" cm="1">
        <f t="array" aca="1" ref="K54" ca="1">IF(AND(Number_Of_Annuitants=1,LB_Age1&lt;=Minimum_Withdrawal_Age&lt;=UB_AGE1),OFFSET(UB_AGE1,0,4),OFFSET(UB_Ages2,0,4))</f>
        <v>#N/A</v>
      </c>
      <c r="L54" t="e" cm="1">
        <f t="array" aca="1" ref="L54" ca="1">IF(AND(Number_Of_Annuitants=1,LB_Age1&lt;=Minimum_Withdrawal_Age&lt;=UB_AGE1),OFFSET(UB_AGE1,0,6),OFFSET(UB_Ages2,0,6))</f>
        <v>#N/A</v>
      </c>
      <c r="M54">
        <f ca="1"/>
        <v>4</v>
      </c>
      <c r="N54">
        <v>40</v>
      </c>
      <c r="O54" t="b">
        <v>0</v>
      </c>
      <c r="R54" s="76" t="s">
        <v>32</v>
      </c>
      <c r="S54" s="77">
        <v>16</v>
      </c>
      <c r="T54" s="77">
        <v>16</v>
      </c>
      <c r="U54" s="77">
        <v>16</v>
      </c>
      <c r="V54">
        <v>0</v>
      </c>
    </row>
    <row r="55" spans="1:27" ht="15" thickBot="1" x14ac:dyDescent="0.35">
      <c r="I55" s="75"/>
    </row>
    <row r="56" spans="1:27" ht="129.6" x14ac:dyDescent="0.3">
      <c r="A56" s="38" t="s">
        <v>21</v>
      </c>
      <c r="B56" s="39" t="s">
        <v>22</v>
      </c>
      <c r="C56" s="40" t="s">
        <v>12</v>
      </c>
      <c r="D56" s="40" t="s">
        <v>7</v>
      </c>
      <c r="E56" s="40" t="s">
        <v>24</v>
      </c>
      <c r="F56" s="40" t="s">
        <v>8</v>
      </c>
      <c r="G56" s="40" t="s">
        <v>25</v>
      </c>
      <c r="H56" s="40" t="s">
        <v>9</v>
      </c>
      <c r="I56" s="40" t="s">
        <v>14</v>
      </c>
      <c r="J56" s="40" t="s">
        <v>1</v>
      </c>
      <c r="K56" s="40" t="s">
        <v>0</v>
      </c>
      <c r="L56" s="40" t="s">
        <v>27</v>
      </c>
      <c r="M56" s="40" t="s">
        <v>28</v>
      </c>
      <c r="N56" s="40" t="s">
        <v>4</v>
      </c>
      <c r="O56" s="40" t="s">
        <v>11</v>
      </c>
      <c r="P56" s="41" t="s">
        <v>26</v>
      </c>
      <c r="Q56" s="28" t="s">
        <v>15</v>
      </c>
      <c r="R56" s="30" t="s">
        <v>22</v>
      </c>
      <c r="S56" s="19" t="s">
        <v>12</v>
      </c>
      <c r="T56" s="19" t="s">
        <v>7</v>
      </c>
      <c r="U56" s="19" t="s">
        <v>8</v>
      </c>
      <c r="V56" s="19" t="s">
        <v>9</v>
      </c>
      <c r="W56" s="19" t="s">
        <v>10</v>
      </c>
      <c r="X56" s="19" t="s">
        <v>5</v>
      </c>
      <c r="Y56" s="19" t="s">
        <v>6</v>
      </c>
      <c r="Z56" s="19" t="s">
        <v>4</v>
      </c>
      <c r="AA56" s="20" t="s">
        <v>11</v>
      </c>
    </row>
    <row r="57" spans="1:27" x14ac:dyDescent="0.3">
      <c r="A57" s="32">
        <v>0</v>
      </c>
      <c r="B57" s="29">
        <f t="shared" ref="B57:D79" si="2">R57</f>
        <v>0</v>
      </c>
      <c r="C57" s="21">
        <f>S57</f>
        <v>100000</v>
      </c>
      <c r="D57" s="21">
        <f>T57</f>
        <v>0</v>
      </c>
      <c r="E57" s="21" t="b">
        <f>Table17[[#This Row],[Time From Valuation]]&gt;=Activation_Time</f>
        <v>0</v>
      </c>
      <c r="F57" s="21">
        <f t="shared" ref="F57:F77" si="3">U57</f>
        <v>100000</v>
      </c>
      <c r="G57" s="21" t="b">
        <f>Table17[[#This Row],[Time From Valuation]]=INT(Table17[[#This Row],[Time From Valuation]])</f>
        <v>1</v>
      </c>
      <c r="H57" s="7">
        <v>0</v>
      </c>
      <c r="I57" s="7">
        <f>Initial_Purchase_Payment</f>
        <v>100000</v>
      </c>
      <c r="J57" s="7">
        <v>0</v>
      </c>
      <c r="K57" s="7">
        <f>Initial_Purchase_Payment</f>
        <v>100000</v>
      </c>
      <c r="L57" s="42">
        <f>IF(NOT(Table17[[#This Row],[Is Activation]]),(Table17[[#This Row],[Withdrawal Taken  ]]/Table17[[#This Row],[Assumed Contract Value ]]),0)</f>
        <v>0</v>
      </c>
      <c r="M57"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57" s="5">
        <f>IF(NOT(Table17[[#This Row],[Has Lifetime Income Started]]),Table17[[#This Row],[Income Base]]*MAW,0)</f>
        <v>6250</v>
      </c>
      <c r="O57" s="9">
        <f>IF(AND(Table17[[#This Row],[Has Lifetime Income Started]],Table17[[#This Row],[Is Anniversery]]),Table17[[#This Row],[Income Base]]*PIP_2,0)</f>
        <v>0</v>
      </c>
      <c r="P57" s="33" t="b">
        <f>Table17[[#This Row],[Assumed Contract Value ]]&lt;0.1</f>
        <v>0</v>
      </c>
      <c r="Q57" s="2"/>
      <c r="R57" s="22">
        <v>0</v>
      </c>
      <c r="S57" s="23">
        <v>100000</v>
      </c>
      <c r="T57" s="23">
        <v>0</v>
      </c>
      <c r="U57" s="23">
        <v>100000</v>
      </c>
      <c r="V57" s="12">
        <v>0</v>
      </c>
      <c r="W57" s="11">
        <v>100000</v>
      </c>
      <c r="X57" s="11">
        <v>100000</v>
      </c>
      <c r="Y57" s="11">
        <v>0</v>
      </c>
      <c r="Z57" s="11">
        <v>6250</v>
      </c>
      <c r="AA57" s="14">
        <v>0</v>
      </c>
    </row>
    <row r="58" spans="1:27" x14ac:dyDescent="0.3">
      <c r="A58" s="32">
        <f>A57+1</f>
        <v>1</v>
      </c>
      <c r="B58" s="29">
        <f t="shared" si="2"/>
        <v>0.5</v>
      </c>
      <c r="C58" s="21">
        <f t="shared" si="2"/>
        <v>60000</v>
      </c>
      <c r="D58" s="21">
        <f t="shared" si="2"/>
        <v>0</v>
      </c>
      <c r="E58" s="21" t="b">
        <f>Table17[[#This Row],[Time From Valuation]]&gt;=Activation_Time</f>
        <v>0</v>
      </c>
      <c r="F58" s="21">
        <f>U58</f>
        <v>165000</v>
      </c>
      <c r="G58" s="21" t="b">
        <f>Table17[[#This Row],[Time From Valuation]]=INT(Table17[[#This Row],[Time From Valuation]])</f>
        <v>0</v>
      </c>
      <c r="H58" s="7">
        <f>IF((Table17[[#This Row],[Is Anniversery]]), Table17[[#This Row],[Assumed Contract Value ]],0)</f>
        <v>0</v>
      </c>
      <c r="I58" s="7">
        <f ca="1">IF(NOT(Table17[[#This Row],[Is Activation]]),OFFSET(Table17[[#This Row],[Income Credit Base]],-1,0)+Table17[[#This Row],[Purchase Payments]]+Table17[[#This Row],[Income Credit]],0)</f>
        <v>160000</v>
      </c>
      <c r="J58" s="7">
        <f ca="1">IF(AND(Table17[[#This Row],[Is Activation]]=FALSE,Table17[[#This Row],[Is Anniversery]]=TRUE),OFFSET(Table17[[#This Row],[Income Credit Base]],-1,0)*ICP,0)</f>
        <v>0</v>
      </c>
      <c r="K58"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160000</v>
      </c>
      <c r="L58" s="42">
        <f>IF(NOT(Table17[[#This Row],[Is Activation]]),(Table17[[#This Row],[Withdrawal Taken  ]]/Table17[[#This Row],[Assumed Contract Value ]]),0)</f>
        <v>0</v>
      </c>
      <c r="M58"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58" s="5">
        <f ca="1">IF(NOT(Table17[[#This Row],[Has Lifetime Income Started]]),Table17[[#This Row],[Income Base]]*MAW,0)</f>
        <v>10000</v>
      </c>
      <c r="O58" s="9">
        <f>IF(AND(Table17[[#This Row],[Has Lifetime Income Started]],Table17[[#This Row],[Is Anniversery]]),Table17[[#This Row],[Income Base]]*PIP_2,0)</f>
        <v>0</v>
      </c>
      <c r="P58" s="33" t="b">
        <f>Table17[[#This Row],[Assumed Contract Value ]]&lt;0.1</f>
        <v>0</v>
      </c>
      <c r="Q58" s="2"/>
      <c r="R58" s="22">
        <f>R57+0.5</f>
        <v>0.5</v>
      </c>
      <c r="S58" s="23">
        <v>60000</v>
      </c>
      <c r="T58" s="23">
        <v>0</v>
      </c>
      <c r="U58" s="23">
        <v>165000</v>
      </c>
      <c r="V58" s="12">
        <v>0</v>
      </c>
      <c r="W58" s="11">
        <v>160000</v>
      </c>
      <c r="X58" s="11">
        <v>160000</v>
      </c>
      <c r="Y58" s="11">
        <v>0</v>
      </c>
      <c r="Z58" s="11">
        <v>10000</v>
      </c>
      <c r="AA58" s="14">
        <v>0</v>
      </c>
    </row>
    <row r="59" spans="1:27" x14ac:dyDescent="0.3">
      <c r="A59" s="32">
        <f t="shared" ref="A59:A79" si="4">A58+1</f>
        <v>2</v>
      </c>
      <c r="B59" s="29">
        <f t="shared" si="2"/>
        <v>1</v>
      </c>
      <c r="C59" s="21">
        <f t="shared" si="2"/>
        <v>0</v>
      </c>
      <c r="D59" s="21">
        <f t="shared" si="2"/>
        <v>0</v>
      </c>
      <c r="E59" s="21" t="b">
        <f>Table17[[#This Row],[Time From Valuation]]&gt;=Activation_Time</f>
        <v>0</v>
      </c>
      <c r="F59" s="21">
        <f t="shared" si="3"/>
        <v>170000</v>
      </c>
      <c r="G59" s="21" t="b">
        <f>Table17[[#This Row],[Time From Valuation]]=INT(Table17[[#This Row],[Time From Valuation]])</f>
        <v>1</v>
      </c>
      <c r="H59" s="7">
        <f>IF((Table17[[#This Row],[Is Anniversery]]), Table17[[#This Row],[Assumed Contract Value ]],0)</f>
        <v>170000</v>
      </c>
      <c r="I59" s="7">
        <f ca="1">IF(NOT(Table17[[#This Row],[Is Activation]]),OFFSET(Table17[[#This Row],[Income Credit Base]],-1,0)+Table17[[#This Row],[Purchase Payments]]+Table17[[#This Row],[Income Credit]],0)</f>
        <v>168400</v>
      </c>
      <c r="J59" s="7">
        <f ca="1">IF(AND(Table17[[#This Row],[Is Activation]]=FALSE,Table17[[#This Row],[Is Anniversery]]=TRUE),OFFSET(Table17[[#This Row],[Income Credit Base]],-1,0)*ICP,0)</f>
        <v>8400</v>
      </c>
      <c r="K59"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170000</v>
      </c>
      <c r="L59" s="42">
        <f>IF(NOT(Table17[[#This Row],[Is Activation]]),(Table17[[#This Row],[Withdrawal Taken  ]]/Table17[[#This Row],[Assumed Contract Value ]]),0)</f>
        <v>0</v>
      </c>
      <c r="M59"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59" s="5">
        <f ca="1">IF(NOT(Table17[[#This Row],[Has Lifetime Income Started]]),Table17[[#This Row],[Income Base]]*MAW,0)</f>
        <v>10625</v>
      </c>
      <c r="O59" s="9">
        <f>IF(AND(Table17[[#This Row],[Has Lifetime Income Started]],Table17[[#This Row],[Is Anniversery]]),Table17[[#This Row],[Income Base]]*PIP_2,0)</f>
        <v>0</v>
      </c>
      <c r="P59" s="33" t="b">
        <f>Table17[[#This Row],[Assumed Contract Value ]]&lt;0.1</f>
        <v>0</v>
      </c>
      <c r="Q59" s="2"/>
      <c r="R59" s="22">
        <f t="shared" ref="R59:R79" si="5">R58+0.5</f>
        <v>1</v>
      </c>
      <c r="S59" s="23">
        <v>0</v>
      </c>
      <c r="T59" s="23">
        <v>0</v>
      </c>
      <c r="U59" s="23">
        <v>170000</v>
      </c>
      <c r="V59" s="12">
        <v>170000</v>
      </c>
      <c r="W59" s="11">
        <v>170000</v>
      </c>
      <c r="X59" s="11">
        <v>170000</v>
      </c>
      <c r="Y59" s="11">
        <v>8400</v>
      </c>
      <c r="Z59" s="11">
        <v>10625</v>
      </c>
      <c r="AA59" s="14">
        <v>0</v>
      </c>
    </row>
    <row r="60" spans="1:27" x14ac:dyDescent="0.3">
      <c r="A60" s="32">
        <f t="shared" si="4"/>
        <v>3</v>
      </c>
      <c r="B60" s="29">
        <f t="shared" si="2"/>
        <v>1.5</v>
      </c>
      <c r="C60" s="21">
        <f t="shared" si="2"/>
        <v>90000</v>
      </c>
      <c r="D60" s="21">
        <f t="shared" si="2"/>
        <v>0</v>
      </c>
      <c r="E60" s="21" t="b">
        <f>Table17[[#This Row],[Time From Valuation]]&gt;=Activation_Time</f>
        <v>0</v>
      </c>
      <c r="F60" s="21">
        <f t="shared" si="3"/>
        <v>255000</v>
      </c>
      <c r="G60" s="21" t="b">
        <f>Table17[[#This Row],[Time From Valuation]]=INT(Table17[[#This Row],[Time From Valuation]])</f>
        <v>0</v>
      </c>
      <c r="H60" s="7">
        <f>IF((Table17[[#This Row],[Is Anniversery]]), Table17[[#This Row],[Assumed Contract Value ]],0)</f>
        <v>0</v>
      </c>
      <c r="I60" s="7">
        <f ca="1">IF(NOT(Table17[[#This Row],[Is Activation]]),OFFSET(Table17[[#This Row],[Income Credit Base]],-1,0)+Table17[[#This Row],[Purchase Payments]]+Table17[[#This Row],[Income Credit]],0)</f>
        <v>258400</v>
      </c>
      <c r="J60" s="7">
        <f ca="1">IF(AND(Table17[[#This Row],[Is Activation]]=FALSE,Table17[[#This Row],[Is Anniversery]]=TRUE),OFFSET(Table17[[#This Row],[Income Credit Base]],-1,0)*ICP,0)</f>
        <v>0</v>
      </c>
      <c r="K60"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268400</v>
      </c>
      <c r="L60" s="42">
        <f>IF(NOT(Table17[[#This Row],[Is Activation]]),(Table17[[#This Row],[Withdrawal Taken  ]]/Table17[[#This Row],[Assumed Contract Value ]]),0)</f>
        <v>0</v>
      </c>
      <c r="M60"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60" s="5">
        <f ca="1">IF(NOT(Table17[[#This Row],[Has Lifetime Income Started]]),Table17[[#This Row],[Income Base]]*MAW,0)</f>
        <v>16775</v>
      </c>
      <c r="O60" s="9">
        <f>IF(AND(Table17[[#This Row],[Has Lifetime Income Started]],Table17[[#This Row],[Is Anniversery]]),Table17[[#This Row],[Income Base]]*PIP_2,0)</f>
        <v>0</v>
      </c>
      <c r="P60" s="33" t="b">
        <f>Table17[[#This Row],[Assumed Contract Value ]]&lt;0.1</f>
        <v>0</v>
      </c>
      <c r="Q60" s="2"/>
      <c r="R60" s="22">
        <f t="shared" si="5"/>
        <v>1.5</v>
      </c>
      <c r="S60" s="23">
        <v>90000</v>
      </c>
      <c r="T60" s="23">
        <v>0</v>
      </c>
      <c r="U60" s="23">
        <v>255000</v>
      </c>
      <c r="V60" s="12">
        <v>0</v>
      </c>
      <c r="W60" s="11">
        <v>260000</v>
      </c>
      <c r="X60" s="11">
        <v>260000</v>
      </c>
      <c r="Y60" s="11">
        <v>0</v>
      </c>
      <c r="Z60" s="11">
        <v>16250</v>
      </c>
      <c r="AA60" s="14">
        <v>0</v>
      </c>
    </row>
    <row r="61" spans="1:27" x14ac:dyDescent="0.3">
      <c r="A61" s="32">
        <f t="shared" si="4"/>
        <v>4</v>
      </c>
      <c r="B61" s="29">
        <f t="shared" si="2"/>
        <v>2</v>
      </c>
      <c r="C61" s="21">
        <f t="shared" si="2"/>
        <v>0</v>
      </c>
      <c r="D61" s="21">
        <f t="shared" si="2"/>
        <v>0</v>
      </c>
      <c r="E61" s="21" t="b">
        <f>Table17[[#This Row],[Time From Valuation]]&gt;=Activation_Time</f>
        <v>0</v>
      </c>
      <c r="F61" s="21">
        <f t="shared" si="3"/>
        <v>287000</v>
      </c>
      <c r="G61" s="21" t="b">
        <f>Table17[[#This Row],[Time From Valuation]]=INT(Table17[[#This Row],[Time From Valuation]])</f>
        <v>1</v>
      </c>
      <c r="H61" s="7">
        <f>IF((Table17[[#This Row],[Is Anniversery]]), Table17[[#This Row],[Assumed Contract Value ]],0)</f>
        <v>287000</v>
      </c>
      <c r="I61" s="7">
        <f ca="1">IF(NOT(Table17[[#This Row],[Is Activation]]),OFFSET(Table17[[#This Row],[Income Credit Base]],-1,0)+Table17[[#This Row],[Purchase Payments]]+Table17[[#This Row],[Income Credit]],0)</f>
        <v>271966</v>
      </c>
      <c r="J61" s="7">
        <f ca="1">IF(AND(Table17[[#This Row],[Is Activation]]=FALSE,Table17[[#This Row],[Is Anniversery]]=TRUE),OFFSET(Table17[[#This Row],[Income Credit Base]],-1,0)*ICP,0)</f>
        <v>13566</v>
      </c>
      <c r="K61"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287000</v>
      </c>
      <c r="L61" s="42">
        <f>IF(NOT(Table17[[#This Row],[Is Activation]]),(Table17[[#This Row],[Withdrawal Taken  ]]/Table17[[#This Row],[Assumed Contract Value ]]),0)</f>
        <v>0</v>
      </c>
      <c r="M61"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61" s="5">
        <f ca="1">IF(NOT(Table17[[#This Row],[Has Lifetime Income Started]]),Table17[[#This Row],[Income Base]]*MAW,0)</f>
        <v>17937.5</v>
      </c>
      <c r="O61" s="9">
        <f>IF(AND(Table17[[#This Row],[Has Lifetime Income Started]],Table17[[#This Row],[Is Anniversery]]),Table17[[#This Row],[Income Base]]*PIP_2,0)</f>
        <v>0</v>
      </c>
      <c r="P61" s="33" t="b">
        <f>Table17[[#This Row],[Assumed Contract Value ]]&lt;0.1</f>
        <v>0</v>
      </c>
      <c r="Q61" s="2"/>
      <c r="R61" s="22">
        <f t="shared" si="5"/>
        <v>2</v>
      </c>
      <c r="S61" s="23">
        <v>0</v>
      </c>
      <c r="T61" s="23">
        <v>0</v>
      </c>
      <c r="U61" s="23">
        <v>287000</v>
      </c>
      <c r="V61" s="12">
        <v>287000</v>
      </c>
      <c r="W61" s="11">
        <v>287000</v>
      </c>
      <c r="X61" s="11">
        <v>287000</v>
      </c>
      <c r="Y61" s="11">
        <v>13650</v>
      </c>
      <c r="Z61" s="11">
        <v>17938</v>
      </c>
      <c r="AA61" s="14">
        <v>0</v>
      </c>
    </row>
    <row r="62" spans="1:27" x14ac:dyDescent="0.3">
      <c r="A62" s="32">
        <f t="shared" si="4"/>
        <v>5</v>
      </c>
      <c r="B62" s="29">
        <f>R62</f>
        <v>2.5</v>
      </c>
      <c r="C62" s="21">
        <f t="shared" si="2"/>
        <v>0</v>
      </c>
      <c r="D62" s="21">
        <f t="shared" si="2"/>
        <v>0</v>
      </c>
      <c r="E62" s="21" t="b">
        <f>Table17[[#This Row],[Time From Valuation]]&gt;=Activation_Time</f>
        <v>0</v>
      </c>
      <c r="F62" s="21">
        <f t="shared" si="3"/>
        <v>287000</v>
      </c>
      <c r="G62" s="21" t="b">
        <f>Table17[[#This Row],[Time From Valuation]]=INT(Table17[[#This Row],[Time From Valuation]])</f>
        <v>0</v>
      </c>
      <c r="H62" s="7">
        <f>IF((Table17[[#This Row],[Is Anniversery]]), Table17[[#This Row],[Assumed Contract Value ]],0)</f>
        <v>0</v>
      </c>
      <c r="I62" s="7">
        <f ca="1">IF(NOT(Table17[[#This Row],[Is Activation]]),OFFSET(Table17[[#This Row],[Income Credit Base]],-1,0)+Table17[[#This Row],[Purchase Payments]]+Table17[[#This Row],[Income Credit]],0)</f>
        <v>271966</v>
      </c>
      <c r="J62" s="7">
        <f ca="1">IF(AND(Table17[[#This Row],[Is Activation]]=FALSE,Table17[[#This Row],[Is Anniversery]]=TRUE),OFFSET(Table17[[#This Row],[Income Credit Base]],-1,0)*ICP,0)</f>
        <v>0</v>
      </c>
      <c r="K62"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300566</v>
      </c>
      <c r="L62" s="42">
        <f>IF(NOT(Table17[[#This Row],[Is Activation]]),(Table17[[#This Row],[Withdrawal Taken  ]]/Table17[[#This Row],[Assumed Contract Value ]]),0)</f>
        <v>0</v>
      </c>
      <c r="M62"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62" s="5">
        <f ca="1">IF(NOT(Table17[[#This Row],[Has Lifetime Income Started]]),Table17[[#This Row],[Income Base]]*MAW,0)</f>
        <v>18785.375</v>
      </c>
      <c r="O62" s="9">
        <f>IF(AND(Table17[[#This Row],[Has Lifetime Income Started]],Table17[[#This Row],[Is Anniversery]]),Table17[[#This Row],[Income Base]]*PIP_2,0)</f>
        <v>0</v>
      </c>
      <c r="P62" s="33" t="b">
        <f>Table17[[#This Row],[Assumed Contract Value ]]&lt;0.1</f>
        <v>0</v>
      </c>
      <c r="Q62" s="2"/>
      <c r="R62" s="22">
        <f t="shared" si="5"/>
        <v>2.5</v>
      </c>
      <c r="S62" s="23">
        <v>0</v>
      </c>
      <c r="T62" s="23">
        <v>0</v>
      </c>
      <c r="U62" s="23">
        <v>287000</v>
      </c>
      <c r="V62" s="13">
        <v>0</v>
      </c>
      <c r="W62" s="11">
        <v>287000</v>
      </c>
      <c r="X62" s="11">
        <v>287000</v>
      </c>
      <c r="Y62" s="11">
        <v>0</v>
      </c>
      <c r="Z62" s="11">
        <v>17938</v>
      </c>
      <c r="AA62" s="14">
        <v>0</v>
      </c>
    </row>
    <row r="63" spans="1:27" x14ac:dyDescent="0.3">
      <c r="A63" s="32">
        <f t="shared" si="4"/>
        <v>6</v>
      </c>
      <c r="B63" s="29">
        <f t="shared" si="2"/>
        <v>3</v>
      </c>
      <c r="C63" s="21">
        <f t="shared" si="2"/>
        <v>0</v>
      </c>
      <c r="D63" s="21">
        <f t="shared" si="2"/>
        <v>0</v>
      </c>
      <c r="E63" s="21" t="b">
        <f>Table17[[#This Row],[Time From Valuation]]&gt;=Activation_Time</f>
        <v>0</v>
      </c>
      <c r="F63" s="21">
        <f t="shared" si="3"/>
        <v>300000</v>
      </c>
      <c r="G63" s="21" t="b">
        <f>Table17[[#This Row],[Time From Valuation]]=INT(Table17[[#This Row],[Time From Valuation]])</f>
        <v>1</v>
      </c>
      <c r="H63" s="7">
        <f>IF((Table17[[#This Row],[Is Anniversery]]), Table17[[#This Row],[Assumed Contract Value ]],0)</f>
        <v>300000</v>
      </c>
      <c r="I63" s="7">
        <f ca="1">IF(NOT(Table17[[#This Row],[Is Activation]]),OFFSET(Table17[[#This Row],[Income Credit Base]],-1,0)+Table17[[#This Row],[Purchase Payments]]+Table17[[#This Row],[Income Credit]],0)</f>
        <v>286244.21500000003</v>
      </c>
      <c r="J63" s="7">
        <f ca="1">IF(AND(Table17[[#This Row],[Is Activation]]=FALSE,Table17[[#This Row],[Is Anniversery]]=TRUE),OFFSET(Table17[[#This Row],[Income Credit Base]],-1,0)*ICP,0)</f>
        <v>14278.215</v>
      </c>
      <c r="K63"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300566</v>
      </c>
      <c r="L63" s="42">
        <f>IF(NOT(Table17[[#This Row],[Is Activation]]),(Table17[[#This Row],[Withdrawal Taken  ]]/Table17[[#This Row],[Assumed Contract Value ]]),0)</f>
        <v>0</v>
      </c>
      <c r="M63"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63" s="5">
        <f ca="1">IF(NOT(Table17[[#This Row],[Has Lifetime Income Started]]),Table17[[#This Row],[Income Base]]*MAW,0)</f>
        <v>18785.375</v>
      </c>
      <c r="O63" s="9">
        <f>IF(AND(Table17[[#This Row],[Has Lifetime Income Started]],Table17[[#This Row],[Is Anniversery]]),Table17[[#This Row],[Income Base]]*PIP_2,0)</f>
        <v>0</v>
      </c>
      <c r="P63" s="33" t="b">
        <f>Table17[[#This Row],[Assumed Contract Value ]]&lt;0.1</f>
        <v>0</v>
      </c>
      <c r="Q63" s="2"/>
      <c r="R63" s="22">
        <f t="shared" si="5"/>
        <v>3</v>
      </c>
      <c r="S63" s="23">
        <v>0</v>
      </c>
      <c r="T63" s="23">
        <v>0</v>
      </c>
      <c r="U63" s="23">
        <v>300000</v>
      </c>
      <c r="V63" s="12">
        <v>300000</v>
      </c>
      <c r="W63" s="11">
        <v>302068</v>
      </c>
      <c r="X63" s="11">
        <v>287000</v>
      </c>
      <c r="Y63" s="11">
        <v>15068</v>
      </c>
      <c r="Z63" s="11">
        <v>18879</v>
      </c>
      <c r="AA63" s="14">
        <v>0</v>
      </c>
    </row>
    <row r="64" spans="1:27" x14ac:dyDescent="0.3">
      <c r="A64" s="32">
        <f t="shared" si="4"/>
        <v>7</v>
      </c>
      <c r="B64" s="29">
        <f t="shared" si="2"/>
        <v>3.5</v>
      </c>
      <c r="C64" s="21">
        <f t="shared" si="2"/>
        <v>0</v>
      </c>
      <c r="D64" s="21">
        <f t="shared" si="2"/>
        <v>5000</v>
      </c>
      <c r="E64" s="21" t="b">
        <f>Table17[[#This Row],[Time From Valuation]]&gt;=Activation_Time</f>
        <v>0</v>
      </c>
      <c r="F64" s="21">
        <f t="shared" si="3"/>
        <v>305000</v>
      </c>
      <c r="G64" s="21" t="b">
        <f>Table17[[#This Row],[Time From Valuation]]=INT(Table17[[#This Row],[Time From Valuation]])</f>
        <v>0</v>
      </c>
      <c r="H64" s="7">
        <f>IF((Table17[[#This Row],[Is Anniversery]]), Table17[[#This Row],[Assumed Contract Value ]],0)</f>
        <v>0</v>
      </c>
      <c r="I64" s="7">
        <f ca="1">IF(NOT(Table17[[#This Row],[Is Activation]]),OFFSET(Table17[[#This Row],[Income Credit Base]],-1,0)+Table17[[#This Row],[Purchase Payments]]+Table17[[#This Row],[Income Credit]],0)</f>
        <v>286244.21500000003</v>
      </c>
      <c r="J64" s="7">
        <f ca="1">IF(AND(Table17[[#This Row],[Is Activation]]=FALSE,Table17[[#This Row],[Is Anniversery]]=TRUE),OFFSET(Table17[[#This Row],[Income Credit Base]],-1,0)*ICP,0)</f>
        <v>0</v>
      </c>
      <c r="K64"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309926.18221311481</v>
      </c>
      <c r="L64" s="42">
        <f>IF(NOT(Table17[[#This Row],[Is Activation]]),(Table17[[#This Row],[Withdrawal Taken  ]]/Table17[[#This Row],[Assumed Contract Value ]]),0)</f>
        <v>1.6393442622950821E-2</v>
      </c>
      <c r="M64"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64" s="5">
        <f ca="1">IF(NOT(Table17[[#This Row],[Has Lifetime Income Started]]),Table17[[#This Row],[Income Base]]*MAW,0)</f>
        <v>19370.386388319675</v>
      </c>
      <c r="O64" s="9">
        <f>IF(AND(Table17[[#This Row],[Has Lifetime Income Started]],Table17[[#This Row],[Is Anniversery]]),Table17[[#This Row],[Income Base]]*PIP_2,0)</f>
        <v>0</v>
      </c>
      <c r="P64" s="33" t="b">
        <f>Table17[[#This Row],[Assumed Contract Value ]]&lt;0.1</f>
        <v>0</v>
      </c>
      <c r="Q64" s="2"/>
      <c r="R64" s="22">
        <f t="shared" si="5"/>
        <v>3.5</v>
      </c>
      <c r="S64" s="23">
        <v>0</v>
      </c>
      <c r="T64" s="23">
        <v>5000</v>
      </c>
      <c r="U64" s="23">
        <v>305000</v>
      </c>
      <c r="V64" s="12">
        <v>0</v>
      </c>
      <c r="W64" s="11">
        <v>297116</v>
      </c>
      <c r="X64" s="11">
        <v>282295</v>
      </c>
      <c r="Y64" s="11">
        <v>0</v>
      </c>
      <c r="Z64" s="11">
        <v>18570</v>
      </c>
      <c r="AA64" s="14">
        <v>0</v>
      </c>
    </row>
    <row r="65" spans="1:27" x14ac:dyDescent="0.3">
      <c r="A65" s="32">
        <f t="shared" si="4"/>
        <v>8</v>
      </c>
      <c r="B65" s="29">
        <f t="shared" si="2"/>
        <v>4</v>
      </c>
      <c r="C65" s="21">
        <f t="shared" si="2"/>
        <v>0</v>
      </c>
      <c r="D65" s="21">
        <f t="shared" si="2"/>
        <v>0</v>
      </c>
      <c r="E65" s="21" t="b">
        <f>Table17[[#This Row],[Time From Valuation]]&gt;=Activation_Time</f>
        <v>0</v>
      </c>
      <c r="F65" s="21">
        <f t="shared" si="3"/>
        <v>312000</v>
      </c>
      <c r="G65" s="21" t="b">
        <f>Table17[[#This Row],[Time From Valuation]]=INT(Table17[[#This Row],[Time From Valuation]])</f>
        <v>1</v>
      </c>
      <c r="H65" s="7">
        <f>IF((Table17[[#This Row],[Is Anniversery]]), Table17[[#This Row],[Assumed Contract Value ]],0)</f>
        <v>312000</v>
      </c>
      <c r="I65" s="7">
        <f ca="1">IF(NOT(Table17[[#This Row],[Is Activation]]),OFFSET(Table17[[#This Row],[Income Credit Base]],-1,0)+Table17[[#This Row],[Purchase Payments]]+Table17[[#This Row],[Income Credit]],0)</f>
        <v>301272.0362875</v>
      </c>
      <c r="J65" s="7">
        <f ca="1">IF(AND(Table17[[#This Row],[Is Activation]]=FALSE,Table17[[#This Row],[Is Anniversery]]=TRUE),OFFSET(Table17[[#This Row],[Income Credit Base]],-1,0)*ICP,0)</f>
        <v>15027.821287500001</v>
      </c>
      <c r="K65"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312000</v>
      </c>
      <c r="L65" s="42">
        <f>IF(NOT(Table17[[#This Row],[Is Activation]]),(Table17[[#This Row],[Withdrawal Taken  ]]/Table17[[#This Row],[Assumed Contract Value ]]),0)</f>
        <v>0</v>
      </c>
      <c r="M65"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65" s="5">
        <f ca="1">IF(NOT(Table17[[#This Row],[Has Lifetime Income Started]]),Table17[[#This Row],[Income Base]]*MAW,0)</f>
        <v>19500</v>
      </c>
      <c r="O65" s="9">
        <f>IF(AND(Table17[[#This Row],[Has Lifetime Income Started]],Table17[[#This Row],[Is Anniversery]]),Table17[[#This Row],[Income Base]]*PIP_2,0)</f>
        <v>0</v>
      </c>
      <c r="P65" s="33" t="b">
        <f>Table17[[#This Row],[Assumed Contract Value ]]&lt;0.1</f>
        <v>0</v>
      </c>
      <c r="Q65" s="2"/>
      <c r="R65" s="22">
        <f t="shared" si="5"/>
        <v>4</v>
      </c>
      <c r="S65" s="23">
        <v>0</v>
      </c>
      <c r="T65" s="23">
        <v>0</v>
      </c>
      <c r="U65" s="23">
        <v>312000</v>
      </c>
      <c r="V65" s="12">
        <v>312000</v>
      </c>
      <c r="W65" s="11">
        <v>312000</v>
      </c>
      <c r="X65" s="11">
        <v>312000</v>
      </c>
      <c r="Y65" s="11">
        <v>14820</v>
      </c>
      <c r="Z65" s="11">
        <v>19500</v>
      </c>
      <c r="AA65" s="14">
        <v>0</v>
      </c>
    </row>
    <row r="66" spans="1:27" x14ac:dyDescent="0.3">
      <c r="A66" s="32">
        <f t="shared" si="4"/>
        <v>9</v>
      </c>
      <c r="B66" s="29">
        <f t="shared" si="2"/>
        <v>4.5</v>
      </c>
      <c r="C66" s="21">
        <f t="shared" si="2"/>
        <v>0</v>
      </c>
      <c r="D66" s="21">
        <f t="shared" si="2"/>
        <v>19500</v>
      </c>
      <c r="E66" s="21" t="b">
        <f>Table17[[#This Row],[Time From Valuation]]&gt;=Activation_Time</f>
        <v>1</v>
      </c>
      <c r="F66" s="21">
        <f t="shared" si="3"/>
        <v>302000</v>
      </c>
      <c r="G66" s="21" t="b">
        <f>Table17[[#This Row],[Time From Valuation]]=INT(Table17[[#This Row],[Time From Valuation]])</f>
        <v>0</v>
      </c>
      <c r="H66" s="7">
        <f>IF((Table17[[#This Row],[Is Anniversery]]), Table17[[#This Row],[Assumed Contract Value ]],0)</f>
        <v>0</v>
      </c>
      <c r="I66" s="7">
        <f ca="1">IF(NOT(Table17[[#This Row],[Is Activation]]),OFFSET(Table17[[#This Row],[Income Credit Base]],-1,0)+Table17[[#This Row],[Purchase Payments]]+Table17[[#This Row],[Income Credit]],0)</f>
        <v>0</v>
      </c>
      <c r="J66" s="7">
        <f>IF(AND(Table17[[#This Row],[Is Activation]]=FALSE,Table17[[#This Row],[Is Anniversery]]=TRUE),Table17[[#This Row],[Income Credit Base]]*ICP,0)</f>
        <v>0</v>
      </c>
      <c r="K66"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307527.82128749997</v>
      </c>
      <c r="L66" s="42">
        <f>IF(NOT(Table17[[#This Row],[Is Activation]]),(Table17[[#This Row],[Withdrawal Taken  ]]/Table17[[#This Row],[Assumed Contract Value ]]),0)</f>
        <v>0</v>
      </c>
      <c r="M66"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8.9586913311298611E-4</v>
      </c>
      <c r="N66" s="5">
        <f ca="1">IF(NOT(Table17[[#This Row],[Has Lifetime Income Started]]),Table17[[#This Row],[Income Base]]*MAW,0)</f>
        <v>19220.488830468748</v>
      </c>
      <c r="O66" s="9">
        <f>IF(AND(Table17[[#This Row],[Has Lifetime Income Started]],Table17[[#This Row],[Is Anniversery]]),Table17[[#This Row],[Income Base]]*PIP_2,0)</f>
        <v>0</v>
      </c>
      <c r="P66" s="33" t="b">
        <f>Table17[[#This Row],[Assumed Contract Value ]]&lt;0.1</f>
        <v>0</v>
      </c>
      <c r="Q66" s="2"/>
      <c r="R66" s="22">
        <f t="shared" si="5"/>
        <v>4.5</v>
      </c>
      <c r="S66" s="23">
        <v>0</v>
      </c>
      <c r="T66" s="23">
        <v>19500</v>
      </c>
      <c r="U66" s="23">
        <v>302000</v>
      </c>
      <c r="V66" s="13">
        <v>0</v>
      </c>
      <c r="W66" s="11">
        <v>312000</v>
      </c>
      <c r="X66" s="5">
        <v>0</v>
      </c>
      <c r="Y66" s="5">
        <v>0</v>
      </c>
      <c r="Z66" s="11">
        <v>19500</v>
      </c>
      <c r="AA66" s="14">
        <v>0</v>
      </c>
    </row>
    <row r="67" spans="1:27" x14ac:dyDescent="0.3">
      <c r="A67" s="32">
        <f t="shared" si="4"/>
        <v>10</v>
      </c>
      <c r="B67" s="29">
        <f t="shared" si="2"/>
        <v>5</v>
      </c>
      <c r="C67" s="21">
        <f t="shared" si="2"/>
        <v>0</v>
      </c>
      <c r="D67" s="21">
        <f t="shared" si="2"/>
        <v>0</v>
      </c>
      <c r="E67" s="21" t="b">
        <f>Table17[[#This Row],[Time From Valuation]]&gt;=Activation_Time</f>
        <v>1</v>
      </c>
      <c r="F67" s="21">
        <f t="shared" si="3"/>
        <v>305000</v>
      </c>
      <c r="G67" s="21" t="b">
        <f>Table17[[#This Row],[Time From Valuation]]=INT(Table17[[#This Row],[Time From Valuation]])</f>
        <v>1</v>
      </c>
      <c r="H67" s="7">
        <f>IF((Table17[[#This Row],[Is Anniversery]]), Table17[[#This Row],[Assumed Contract Value ]],0)</f>
        <v>305000</v>
      </c>
      <c r="I67" s="7">
        <f ca="1">IF(NOT(Table17[[#This Row],[Is Activation]]),OFFSET(Table17[[#This Row],[Income Credit Base]],-1,0)+Table17[[#This Row],[Purchase Payments]]+Table17[[#This Row],[Income Credit]],0)</f>
        <v>0</v>
      </c>
      <c r="J67" s="7">
        <f>IF(AND(Table17[[#This Row],[Is Activation]]=FALSE,Table17[[#This Row],[Is Anniversery]]=TRUE),Table17[[#This Row],[Income Credit Base]]*ICP,0)</f>
        <v>0</v>
      </c>
      <c r="K67"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307527.82128749997</v>
      </c>
      <c r="L67" s="42">
        <f>IF(NOT(Table17[[#This Row],[Is Activation]]),(Table17[[#This Row],[Withdrawal Taken  ]]/Table17[[#This Row],[Assumed Contract Value ]]),0)</f>
        <v>0</v>
      </c>
      <c r="M67"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67" s="5">
        <f ca="1">IF(NOT(Table17[[#This Row],[Has Lifetime Income Started]]),Table17[[#This Row],[Income Base]]*MAW,0)</f>
        <v>19220.488830468748</v>
      </c>
      <c r="O67" s="9">
        <f>IF(AND(Table17[[#This Row],[Has Lifetime Income Started]],Table17[[#This Row],[Is Anniversery]]),Table17[[#This Row],[Income Base]]*PIP_2,0)</f>
        <v>0</v>
      </c>
      <c r="P67" s="33" t="b">
        <f>Table17[[#This Row],[Assumed Contract Value ]]&lt;0.1</f>
        <v>0</v>
      </c>
      <c r="Q67" s="2"/>
      <c r="R67" s="22">
        <f t="shared" si="5"/>
        <v>5</v>
      </c>
      <c r="S67" s="23">
        <v>0</v>
      </c>
      <c r="T67" s="23">
        <v>0</v>
      </c>
      <c r="U67" s="23">
        <v>305000</v>
      </c>
      <c r="V67" s="12">
        <v>305000</v>
      </c>
      <c r="W67" s="11">
        <v>312000</v>
      </c>
      <c r="X67" s="5">
        <v>0</v>
      </c>
      <c r="Y67" s="5">
        <v>0</v>
      </c>
      <c r="Z67" s="11">
        <v>19500</v>
      </c>
      <c r="AA67" s="14">
        <v>0</v>
      </c>
    </row>
    <row r="68" spans="1:27" x14ac:dyDescent="0.3">
      <c r="A68" s="32">
        <f t="shared" si="4"/>
        <v>11</v>
      </c>
      <c r="B68" s="29">
        <f t="shared" si="2"/>
        <v>5.5</v>
      </c>
      <c r="C68" s="21">
        <f t="shared" si="2"/>
        <v>0</v>
      </c>
      <c r="D68" s="21">
        <f t="shared" si="2"/>
        <v>24960</v>
      </c>
      <c r="E68" s="21" t="b">
        <f>Table17[[#This Row],[Time From Valuation]]&gt;=Activation_Time</f>
        <v>1</v>
      </c>
      <c r="F68" s="21">
        <f t="shared" si="3"/>
        <v>280000</v>
      </c>
      <c r="G68" s="21" t="b">
        <f>Table17[[#This Row],[Time From Valuation]]=INT(Table17[[#This Row],[Time From Valuation]])</f>
        <v>0</v>
      </c>
      <c r="H68" s="7">
        <f>IF((Table17[[#This Row],[Is Anniversery]]), Table17[[#This Row],[Assumed Contract Value ]],0)</f>
        <v>0</v>
      </c>
      <c r="I68" s="7">
        <f ca="1">IF(NOT(Table17[[#This Row],[Is Activation]]),OFFSET(Table17[[#This Row],[Income Credit Base]],-1,0)+Table17[[#This Row],[Purchase Payments]]+Table17[[#This Row],[Income Credit]],0)</f>
        <v>0</v>
      </c>
      <c r="J68" s="7">
        <f>IF(AND(Table17[[#This Row],[Is Activation]]=FALSE,Table17[[#This Row],[Is Anniversery]]=TRUE),Table17[[#This Row],[Income Credit Base]]*ICP,0)</f>
        <v>0</v>
      </c>
      <c r="K68"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282567.82128749997</v>
      </c>
      <c r="L68" s="42">
        <f>IF(NOT(Table17[[#This Row],[Is Activation]]),(Table17[[#This Row],[Withdrawal Taken  ]]/Table17[[#This Row],[Assumed Contract Value ]]),0)</f>
        <v>0</v>
      </c>
      <c r="M68"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2.3932823506659841E-2</v>
      </c>
      <c r="N68" s="5">
        <f ca="1">IF(NOT(Table17[[#This Row],[Has Lifetime Income Started]]),Table17[[#This Row],[Income Base]]*MAW,0)</f>
        <v>17660.488830468748</v>
      </c>
      <c r="O68" s="9">
        <f>IF(AND(Table17[[#This Row],[Has Lifetime Income Started]],Table17[[#This Row],[Is Anniversery]]),Table17[[#This Row],[Income Base]]*PIP_2,0)</f>
        <v>0</v>
      </c>
      <c r="P68" s="33" t="b">
        <f>Table17[[#This Row],[Assumed Contract Value ]]&lt;0.1</f>
        <v>0</v>
      </c>
      <c r="Q68" s="2"/>
      <c r="R68" s="22">
        <f t="shared" si="5"/>
        <v>5.5</v>
      </c>
      <c r="S68" s="23">
        <v>0</v>
      </c>
      <c r="T68" s="23">
        <v>24960</v>
      </c>
      <c r="U68" s="23">
        <v>280000</v>
      </c>
      <c r="V68" s="12">
        <v>0</v>
      </c>
      <c r="W68" s="11">
        <v>306033</v>
      </c>
      <c r="X68" s="5">
        <v>0</v>
      </c>
      <c r="Y68" s="5">
        <v>0</v>
      </c>
      <c r="Z68" s="11">
        <v>19127</v>
      </c>
      <c r="AA68" s="14">
        <v>0</v>
      </c>
    </row>
    <row r="69" spans="1:27" x14ac:dyDescent="0.3">
      <c r="A69" s="32">
        <f t="shared" si="4"/>
        <v>12</v>
      </c>
      <c r="B69" s="29">
        <f t="shared" si="2"/>
        <v>6</v>
      </c>
      <c r="C69" s="21">
        <f t="shared" si="2"/>
        <v>0</v>
      </c>
      <c r="D69" s="21">
        <f t="shared" si="2"/>
        <v>0</v>
      </c>
      <c r="E69" s="21" t="b">
        <f>Table17[[#This Row],[Time From Valuation]]&gt;=Activation_Time</f>
        <v>1</v>
      </c>
      <c r="F69" s="21">
        <f t="shared" si="3"/>
        <v>290000</v>
      </c>
      <c r="G69" s="21" t="b">
        <f>Table17[[#This Row],[Time From Valuation]]=INT(Table17[[#This Row],[Time From Valuation]])</f>
        <v>1</v>
      </c>
      <c r="H69" s="7">
        <f>IF((Table17[[#This Row],[Is Anniversery]]), Table17[[#This Row],[Assumed Contract Value ]],0)</f>
        <v>290000</v>
      </c>
      <c r="I69" s="7">
        <f ca="1">IF(NOT(Table17[[#This Row],[Is Activation]]),OFFSET(Table17[[#This Row],[Income Credit Base]],-1,0)+Table17[[#This Row],[Purchase Payments]]+Table17[[#This Row],[Income Credit]],0)</f>
        <v>0</v>
      </c>
      <c r="J69" s="7">
        <f>IF(AND(Table17[[#This Row],[Is Activation]]=FALSE,Table17[[#This Row],[Is Anniversery]]=TRUE),Table17[[#This Row],[Income Credit Base]]*ICP,0)</f>
        <v>0</v>
      </c>
      <c r="K69"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290000</v>
      </c>
      <c r="L69" s="42">
        <f>IF(NOT(Table17[[#This Row],[Is Activation]]),(Table17[[#This Row],[Withdrawal Taken  ]]/Table17[[#This Row],[Assumed Contract Value ]]),0)</f>
        <v>0</v>
      </c>
      <c r="M69"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69" s="5">
        <f ca="1">IF(NOT(Table17[[#This Row],[Has Lifetime Income Started]]),Table17[[#This Row],[Income Base]]*MAW,0)</f>
        <v>18125</v>
      </c>
      <c r="O69" s="9">
        <f>IF(AND(Table17[[#This Row],[Has Lifetime Income Started]],Table17[[#This Row],[Is Anniversery]]),Table17[[#This Row],[Income Base]]*PIP_2,0)</f>
        <v>0</v>
      </c>
      <c r="P69" s="33" t="b">
        <f>Table17[[#This Row],[Assumed Contract Value ]]&lt;0.1</f>
        <v>0</v>
      </c>
      <c r="Q69" s="2"/>
      <c r="R69" s="22">
        <f t="shared" si="5"/>
        <v>6</v>
      </c>
      <c r="S69" s="23">
        <v>0</v>
      </c>
      <c r="T69" s="23">
        <v>0</v>
      </c>
      <c r="U69" s="23">
        <v>290000</v>
      </c>
      <c r="V69" s="12">
        <v>290000</v>
      </c>
      <c r="W69" s="11">
        <v>306033</v>
      </c>
      <c r="X69" s="5">
        <v>0</v>
      </c>
      <c r="Y69" s="5">
        <v>0</v>
      </c>
      <c r="Z69" s="11">
        <v>19127</v>
      </c>
      <c r="AA69" s="14">
        <v>0</v>
      </c>
    </row>
    <row r="70" spans="1:27" x14ac:dyDescent="0.3">
      <c r="A70" s="32">
        <f t="shared" si="4"/>
        <v>13</v>
      </c>
      <c r="B70" s="29">
        <f t="shared" si="2"/>
        <v>6.5</v>
      </c>
      <c r="C70" s="21">
        <f t="shared" si="2"/>
        <v>0</v>
      </c>
      <c r="D70" s="21">
        <f t="shared" si="2"/>
        <v>24483</v>
      </c>
      <c r="E70" s="21" t="b">
        <f>Table17[[#This Row],[Time From Valuation]]&gt;=Activation_Time</f>
        <v>1</v>
      </c>
      <c r="F70" s="21">
        <f t="shared" si="3"/>
        <v>260000</v>
      </c>
      <c r="G70" s="21" t="b">
        <f>Table17[[#This Row],[Time From Valuation]]=INT(Table17[[#This Row],[Time From Valuation]])</f>
        <v>0</v>
      </c>
      <c r="H70" s="7">
        <f>IF((Table17[[#This Row],[Is Anniversery]]), Table17[[#This Row],[Assumed Contract Value ]],0)</f>
        <v>0</v>
      </c>
      <c r="I70" s="7">
        <f ca="1">IF(NOT(Table17[[#This Row],[Is Activation]]),OFFSET(Table17[[#This Row],[Income Credit Base]],-1,0)+Table17[[#This Row],[Purchase Payments]]+Table17[[#This Row],[Income Credit]],0)</f>
        <v>0</v>
      </c>
      <c r="J70" s="7">
        <f>IF(AND(Table17[[#This Row],[Is Activation]]=FALSE,Table17[[#This Row],[Is Anniversery]]=TRUE),Table17[[#This Row],[Income Credit Base]]*ICP,0)</f>
        <v>0</v>
      </c>
      <c r="K70"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265517</v>
      </c>
      <c r="L70" s="42">
        <f>IF(NOT(Table17[[#This Row],[Is Activation]]),(Table17[[#This Row],[Withdrawal Taken  ]]/Table17[[#This Row],[Assumed Contract Value ]]),0)</f>
        <v>0</v>
      </c>
      <c r="M70"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2.7200646551724137E-2</v>
      </c>
      <c r="N70" s="5">
        <f ca="1">IF(NOT(Table17[[#This Row],[Has Lifetime Income Started]]),Table17[[#This Row],[Income Base]]*MAW,0)</f>
        <v>16594.8125</v>
      </c>
      <c r="O70" s="9">
        <f>IF(AND(Table17[[#This Row],[Has Lifetime Income Started]],Table17[[#This Row],[Is Anniversery]]),Table17[[#This Row],[Income Base]]*PIP_2,0)</f>
        <v>0</v>
      </c>
      <c r="P70" s="33" t="b">
        <f>Table17[[#This Row],[Assumed Contract Value ]]&lt;0.1</f>
        <v>0</v>
      </c>
      <c r="Q70" s="2"/>
      <c r="R70" s="22">
        <f t="shared" si="5"/>
        <v>6.5</v>
      </c>
      <c r="S70" s="23">
        <v>0</v>
      </c>
      <c r="T70" s="23">
        <v>24483</v>
      </c>
      <c r="U70" s="23">
        <v>260000</v>
      </c>
      <c r="V70" s="12">
        <v>0</v>
      </c>
      <c r="W70" s="11">
        <v>299982</v>
      </c>
      <c r="X70" s="5">
        <v>0</v>
      </c>
      <c r="Y70" s="5">
        <v>0</v>
      </c>
      <c r="Z70" s="11">
        <v>18749</v>
      </c>
      <c r="AA70" s="14">
        <v>0</v>
      </c>
    </row>
    <row r="71" spans="1:27" x14ac:dyDescent="0.3">
      <c r="A71" s="32">
        <f t="shared" si="4"/>
        <v>14</v>
      </c>
      <c r="B71" s="29">
        <f t="shared" si="2"/>
        <v>7</v>
      </c>
      <c r="C71" s="21">
        <f t="shared" si="2"/>
        <v>0</v>
      </c>
      <c r="D71" s="21">
        <f t="shared" si="2"/>
        <v>0</v>
      </c>
      <c r="E71" s="21" t="b">
        <f>Table17[[#This Row],[Time From Valuation]]&gt;=Activation_Time</f>
        <v>1</v>
      </c>
      <c r="F71" s="21">
        <f t="shared" si="3"/>
        <v>230000</v>
      </c>
      <c r="G71" s="21" t="b">
        <f>Table17[[#This Row],[Time From Valuation]]=INT(Table17[[#This Row],[Time From Valuation]])</f>
        <v>1</v>
      </c>
      <c r="H71" s="7">
        <f>IF((Table17[[#This Row],[Is Anniversery]]), Table17[[#This Row],[Assumed Contract Value ]],0)</f>
        <v>230000</v>
      </c>
      <c r="I71" s="7">
        <f ca="1">IF(NOT(Table17[[#This Row],[Is Activation]]),OFFSET(Table17[[#This Row],[Income Credit Base]],-1,0)+Table17[[#This Row],[Purchase Payments]]+Table17[[#This Row],[Income Credit]],0)</f>
        <v>0</v>
      </c>
      <c r="J71" s="7">
        <f>IF(AND(Table17[[#This Row],[Is Activation]]=FALSE,Table17[[#This Row],[Is Anniversery]]=TRUE),Table17[[#This Row],[Income Credit Base]]*ICP,0)</f>
        <v>0</v>
      </c>
      <c r="K71"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265517</v>
      </c>
      <c r="L71" s="42">
        <f>IF(NOT(Table17[[#This Row],[Is Activation]]),(Table17[[#This Row],[Withdrawal Taken  ]]/Table17[[#This Row],[Assumed Contract Value ]]),0)</f>
        <v>0</v>
      </c>
      <c r="M71"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71" s="5">
        <f ca="1">IF(NOT(Table17[[#This Row],[Has Lifetime Income Started]]),Table17[[#This Row],[Income Base]]*MAW,0)</f>
        <v>16594.8125</v>
      </c>
      <c r="O71" s="9">
        <f>IF(AND(Table17[[#This Row],[Has Lifetime Income Started]],Table17[[#This Row],[Is Anniversery]]),Table17[[#This Row],[Income Base]]*PIP_2,0)</f>
        <v>0</v>
      </c>
      <c r="P71" s="33" t="b">
        <f>Table17[[#This Row],[Assumed Contract Value ]]&lt;0.1</f>
        <v>0</v>
      </c>
      <c r="Q71" s="2"/>
      <c r="R71" s="22">
        <f t="shared" si="5"/>
        <v>7</v>
      </c>
      <c r="S71" s="23">
        <v>0</v>
      </c>
      <c r="T71" s="23">
        <v>0</v>
      </c>
      <c r="U71" s="23">
        <v>230000</v>
      </c>
      <c r="V71" s="12">
        <v>230000</v>
      </c>
      <c r="W71" s="11">
        <v>299982</v>
      </c>
      <c r="X71" s="5">
        <v>0</v>
      </c>
      <c r="Y71" s="5">
        <v>0</v>
      </c>
      <c r="Z71" s="11">
        <v>18749</v>
      </c>
      <c r="AA71" s="14">
        <v>0</v>
      </c>
    </row>
    <row r="72" spans="1:27" x14ac:dyDescent="0.3">
      <c r="A72" s="32">
        <f t="shared" si="4"/>
        <v>15</v>
      </c>
      <c r="B72" s="29">
        <f t="shared" si="2"/>
        <v>7.5</v>
      </c>
      <c r="C72" s="21">
        <f t="shared" si="2"/>
        <v>0</v>
      </c>
      <c r="D72" s="21">
        <f t="shared" si="2"/>
        <v>0</v>
      </c>
      <c r="E72" s="21" t="b">
        <f>Table17[[#This Row],[Time From Valuation]]&gt;=Activation_Time</f>
        <v>1</v>
      </c>
      <c r="F72" s="21">
        <f t="shared" si="3"/>
        <v>230000</v>
      </c>
      <c r="G72" s="21" t="b">
        <f>Table17[[#This Row],[Time From Valuation]]=INT(Table17[[#This Row],[Time From Valuation]])</f>
        <v>0</v>
      </c>
      <c r="H72" s="7">
        <f>IF((Table17[[#This Row],[Is Anniversery]]), Table17[[#This Row],[Assumed Contract Value ]],0)</f>
        <v>0</v>
      </c>
      <c r="I72" s="7">
        <f ca="1">IF(NOT(Table17[[#This Row],[Is Activation]]),OFFSET(Table17[[#This Row],[Income Credit Base]],-1,0)+Table17[[#This Row],[Purchase Payments]]+Table17[[#This Row],[Income Credit]],0)</f>
        <v>0</v>
      </c>
      <c r="J72" s="7">
        <f>IF(AND(Table17[[#This Row],[Is Activation]]=FALSE,Table17[[#This Row],[Is Anniversery]]=TRUE),Table17[[#This Row],[Income Credit Base]]*ICP,0)</f>
        <v>0</v>
      </c>
      <c r="K72"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265517</v>
      </c>
      <c r="L72" s="42">
        <f>IF(NOT(Table17[[#This Row],[Is Activation]]),(Table17[[#This Row],[Withdrawal Taken  ]]/Table17[[#This Row],[Assumed Contract Value ]]),0)</f>
        <v>0</v>
      </c>
      <c r="M72"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72" s="5">
        <f ca="1">IF(NOT(Table17[[#This Row],[Has Lifetime Income Started]]),Table17[[#This Row],[Income Base]]*MAW,0)</f>
        <v>16594.8125</v>
      </c>
      <c r="O72" s="9">
        <f>IF(AND(Table17[[#This Row],[Has Lifetime Income Started]],Table17[[#This Row],[Is Anniversery]]),Table17[[#This Row],[Income Base]]*PIP_2,0)</f>
        <v>0</v>
      </c>
      <c r="P72" s="33" t="b">
        <f>Table17[[#This Row],[Assumed Contract Value ]]&lt;0.1</f>
        <v>0</v>
      </c>
      <c r="Q72" s="2"/>
      <c r="R72" s="22">
        <f>R71+0.5</f>
        <v>7.5</v>
      </c>
      <c r="S72" s="23">
        <v>0</v>
      </c>
      <c r="T72" s="23">
        <v>0</v>
      </c>
      <c r="U72" s="23">
        <v>230000</v>
      </c>
      <c r="V72" s="13">
        <v>0</v>
      </c>
      <c r="W72" s="11">
        <v>299982</v>
      </c>
      <c r="X72" s="5">
        <v>0</v>
      </c>
      <c r="Y72" s="5">
        <v>0</v>
      </c>
      <c r="Z72" s="11">
        <v>18749</v>
      </c>
      <c r="AA72" s="14">
        <v>0</v>
      </c>
    </row>
    <row r="73" spans="1:27" x14ac:dyDescent="0.3">
      <c r="A73" s="32">
        <f t="shared" si="4"/>
        <v>16</v>
      </c>
      <c r="B73" s="29">
        <f t="shared" si="2"/>
        <v>8</v>
      </c>
      <c r="C73" s="21">
        <f t="shared" si="2"/>
        <v>0</v>
      </c>
      <c r="D73" s="21">
        <f t="shared" si="2"/>
        <v>0</v>
      </c>
      <c r="E73" s="21" t="b">
        <f>Table17[[#This Row],[Time From Valuation]]&gt;=Activation_Time</f>
        <v>1</v>
      </c>
      <c r="F73" s="21">
        <f t="shared" si="3"/>
        <v>150000</v>
      </c>
      <c r="G73" s="21" t="b">
        <f>Table17[[#This Row],[Time From Valuation]]=INT(Table17[[#This Row],[Time From Valuation]])</f>
        <v>1</v>
      </c>
      <c r="H73" s="7">
        <f>IF((Table17[[#This Row],[Is Anniversery]]), Table17[[#This Row],[Assumed Contract Value ]],0)</f>
        <v>150000</v>
      </c>
      <c r="I73" s="7">
        <f ca="1">IF(NOT(Table17[[#This Row],[Is Activation]]),OFFSET(Table17[[#This Row],[Income Credit Base]],-1,0)+Table17[[#This Row],[Purchase Payments]]+Table17[[#This Row],[Income Credit]],0)</f>
        <v>0</v>
      </c>
      <c r="J73" s="7">
        <f>IF(AND(Table17[[#This Row],[Is Activation]]=FALSE,Table17[[#This Row],[Is Anniversery]]=TRUE),Table17[[#This Row],[Income Credit Base]]*ICP,0)</f>
        <v>0</v>
      </c>
      <c r="K73"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265517</v>
      </c>
      <c r="L73" s="42">
        <f>IF(NOT(Table17[[#This Row],[Is Activation]]),(Table17[[#This Row],[Withdrawal Taken  ]]/Table17[[#This Row],[Assumed Contract Value ]]),0)</f>
        <v>0</v>
      </c>
      <c r="M73"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73" s="5">
        <f ca="1">IF(NOT(Table17[[#This Row],[Has Lifetime Income Started]]),Table17[[#This Row],[Income Base]]*MAW,0)</f>
        <v>16594.8125</v>
      </c>
      <c r="O73" s="9">
        <f>IF(AND(Table17[[#This Row],[Has Lifetime Income Started]],Table17[[#This Row],[Is Anniversery]]),Table17[[#This Row],[Income Base]]*PIP_2,0)</f>
        <v>0</v>
      </c>
      <c r="P73" s="33" t="b">
        <f>Table17[[#This Row],[Assumed Contract Value ]]&lt;0.1</f>
        <v>0</v>
      </c>
      <c r="Q73" s="2"/>
      <c r="R73" s="22">
        <f t="shared" si="5"/>
        <v>8</v>
      </c>
      <c r="S73" s="23">
        <v>0</v>
      </c>
      <c r="T73" s="23">
        <v>0</v>
      </c>
      <c r="U73" s="23">
        <v>150000</v>
      </c>
      <c r="V73" s="12">
        <v>150000</v>
      </c>
      <c r="W73" s="11">
        <v>299982</v>
      </c>
      <c r="X73" s="5">
        <v>0</v>
      </c>
      <c r="Y73" s="5">
        <v>0</v>
      </c>
      <c r="Z73" s="11">
        <v>18749</v>
      </c>
      <c r="AA73" s="14">
        <v>0</v>
      </c>
    </row>
    <row r="74" spans="1:27" x14ac:dyDescent="0.3">
      <c r="A74" s="32">
        <f t="shared" si="4"/>
        <v>17</v>
      </c>
      <c r="B74" s="29">
        <f t="shared" si="2"/>
        <v>8.5</v>
      </c>
      <c r="C74" s="21">
        <f t="shared" si="2"/>
        <v>0</v>
      </c>
      <c r="D74" s="21">
        <f t="shared" si="2"/>
        <v>0</v>
      </c>
      <c r="E74" s="21" t="b">
        <f>Table17[[#This Row],[Time From Valuation]]&gt;=Activation_Time</f>
        <v>1</v>
      </c>
      <c r="F74" s="21">
        <f t="shared" si="3"/>
        <v>150000</v>
      </c>
      <c r="G74" s="21" t="b">
        <f>Table17[[#This Row],[Time From Valuation]]=INT(Table17[[#This Row],[Time From Valuation]])</f>
        <v>0</v>
      </c>
      <c r="H74" s="7">
        <f>IF((Table17[[#This Row],[Is Anniversery]]), Table17[[#This Row],[Assumed Contract Value ]],0)</f>
        <v>0</v>
      </c>
      <c r="I74" s="7">
        <f ca="1">IF(NOT(Table17[[#This Row],[Is Activation]]),OFFSET(Table17[[#This Row],[Income Credit Base]],-1,0)+Table17[[#This Row],[Purchase Payments]]+Table17[[#This Row],[Income Credit]],0)</f>
        <v>0</v>
      </c>
      <c r="J74" s="7">
        <f>IF(AND(Table17[[#This Row],[Is Activation]]=FALSE,Table17[[#This Row],[Is Anniversery]]=TRUE),Table17[[#This Row],[Income Credit Base]]*ICP,0)</f>
        <v>0</v>
      </c>
      <c r="K74"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265517</v>
      </c>
      <c r="L74" s="42">
        <f>IF(NOT(Table17[[#This Row],[Is Activation]]),(Table17[[#This Row],[Withdrawal Taken  ]]/Table17[[#This Row],[Assumed Contract Value ]]),0)</f>
        <v>0</v>
      </c>
      <c r="M74"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74" s="5">
        <f ca="1">IF(NOT(Table17[[#This Row],[Has Lifetime Income Started]]),Table17[[#This Row],[Income Base]]*MAW,0)</f>
        <v>16594.8125</v>
      </c>
      <c r="O74" s="9">
        <f>IF(AND(Table17[[#This Row],[Has Lifetime Income Started]],Table17[[#This Row],[Is Anniversery]]),Table17[[#This Row],[Income Base]]*PIP_2,0)</f>
        <v>0</v>
      </c>
      <c r="P74" s="33" t="b">
        <f>Table17[[#This Row],[Assumed Contract Value ]]&lt;0.1</f>
        <v>0</v>
      </c>
      <c r="Q74" s="2"/>
      <c r="R74" s="22">
        <f t="shared" si="5"/>
        <v>8.5</v>
      </c>
      <c r="S74" s="23">
        <v>0</v>
      </c>
      <c r="T74" s="23">
        <v>0</v>
      </c>
      <c r="U74" s="23">
        <v>150000</v>
      </c>
      <c r="V74" s="13">
        <v>0</v>
      </c>
      <c r="W74" s="11">
        <v>299982</v>
      </c>
      <c r="X74" s="5">
        <v>0</v>
      </c>
      <c r="Y74" s="5">
        <v>0</v>
      </c>
      <c r="Z74" s="11">
        <v>18749</v>
      </c>
      <c r="AA74" s="14">
        <v>0</v>
      </c>
    </row>
    <row r="75" spans="1:27" x14ac:dyDescent="0.3">
      <c r="A75" s="32">
        <f t="shared" si="4"/>
        <v>18</v>
      </c>
      <c r="B75" s="29">
        <f t="shared" si="2"/>
        <v>9</v>
      </c>
      <c r="C75" s="21">
        <f t="shared" si="2"/>
        <v>0</v>
      </c>
      <c r="D75" s="21">
        <f t="shared" si="2"/>
        <v>0</v>
      </c>
      <c r="E75" s="21" t="b">
        <f>Table17[[#This Row],[Time From Valuation]]&gt;=Activation_Time</f>
        <v>1</v>
      </c>
      <c r="F75" s="21">
        <f t="shared" si="3"/>
        <v>100000</v>
      </c>
      <c r="G75" s="21" t="b">
        <f>Table17[[#This Row],[Time From Valuation]]=INT(Table17[[#This Row],[Time From Valuation]])</f>
        <v>1</v>
      </c>
      <c r="H75" s="7">
        <f>IF((Table17[[#This Row],[Is Anniversery]]), Table17[[#This Row],[Assumed Contract Value ]],0)</f>
        <v>100000</v>
      </c>
      <c r="I75" s="7">
        <f ca="1">IF(NOT(Table17[[#This Row],[Is Activation]]),OFFSET(Table17[[#This Row],[Income Credit Base]],-1,0)+Table17[[#This Row],[Purchase Payments]]+Table17[[#This Row],[Income Credit]],0)</f>
        <v>0</v>
      </c>
      <c r="J75" s="7">
        <f>IF(AND(Table17[[#This Row],[Is Activation]]=FALSE,Table17[[#This Row],[Is Anniversery]]=TRUE),Table17[[#This Row],[Income Credit Base]]*ICP,0)</f>
        <v>0</v>
      </c>
      <c r="K75"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265517</v>
      </c>
      <c r="L75" s="42">
        <f>IF(NOT(Table17[[#This Row],[Is Activation]]),(Table17[[#This Row],[Withdrawal Taken  ]]/Table17[[#This Row],[Assumed Contract Value ]]),0)</f>
        <v>0</v>
      </c>
      <c r="M75"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75" s="5">
        <f ca="1">IF(NOT(Table17[[#This Row],[Has Lifetime Income Started]]),Table17[[#This Row],[Income Base]]*MAW,0)</f>
        <v>16594.8125</v>
      </c>
      <c r="O75" s="9">
        <f>IF(AND(Table17[[#This Row],[Has Lifetime Income Started]],Table17[[#This Row],[Is Anniversery]]),Table17[[#This Row],[Income Base]]*PIP_2,0)</f>
        <v>0</v>
      </c>
      <c r="P75" s="33" t="b">
        <f>Table17[[#This Row],[Assumed Contract Value ]]&lt;0.1</f>
        <v>0</v>
      </c>
      <c r="Q75" s="2"/>
      <c r="R75" s="22">
        <f t="shared" si="5"/>
        <v>9</v>
      </c>
      <c r="S75" s="23">
        <v>0</v>
      </c>
      <c r="T75" s="23">
        <v>0</v>
      </c>
      <c r="U75" s="23">
        <v>100000</v>
      </c>
      <c r="V75" s="12">
        <v>100000</v>
      </c>
      <c r="W75" s="11">
        <v>299982</v>
      </c>
      <c r="X75" s="5">
        <v>0</v>
      </c>
      <c r="Y75" s="5">
        <v>0</v>
      </c>
      <c r="Z75" s="11">
        <v>18749</v>
      </c>
      <c r="AA75" s="14">
        <v>0</v>
      </c>
    </row>
    <row r="76" spans="1:27" x14ac:dyDescent="0.3">
      <c r="A76" s="32">
        <f t="shared" si="4"/>
        <v>19</v>
      </c>
      <c r="B76" s="29">
        <f t="shared" si="2"/>
        <v>9.5</v>
      </c>
      <c r="C76" s="21">
        <f t="shared" si="2"/>
        <v>0</v>
      </c>
      <c r="D76" s="21">
        <f t="shared" si="2"/>
        <v>0</v>
      </c>
      <c r="E76" s="21" t="b">
        <f>Table17[[#This Row],[Time From Valuation]]&gt;=Activation_Time</f>
        <v>1</v>
      </c>
      <c r="F76" s="21">
        <f t="shared" si="3"/>
        <v>100000</v>
      </c>
      <c r="G76" s="21" t="b">
        <f>Table17[[#This Row],[Time From Valuation]]=INT(Table17[[#This Row],[Time From Valuation]])</f>
        <v>0</v>
      </c>
      <c r="H76" s="7">
        <f>IF((Table17[[#This Row],[Is Anniversery]]), Table17[[#This Row],[Assumed Contract Value ]],0)</f>
        <v>0</v>
      </c>
      <c r="I76" s="7">
        <f ca="1">IF(NOT(Table17[[#This Row],[Is Activation]]),OFFSET(Table17[[#This Row],[Income Credit Base]],-1,0)+Table17[[#This Row],[Purchase Payments]]+Table17[[#This Row],[Income Credit]],0)</f>
        <v>0</v>
      </c>
      <c r="J76" s="7">
        <f>IF(AND(Table17[[#This Row],[Is Activation]]=FALSE,Table17[[#This Row],[Is Anniversery]]=TRUE),Table17[[#This Row],[Income Credit Base]]*ICP,0)</f>
        <v>0</v>
      </c>
      <c r="K76"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265517</v>
      </c>
      <c r="L76" s="42">
        <f>IF(NOT(Table17[[#This Row],[Is Activation]]),(Table17[[#This Row],[Withdrawal Taken  ]]/Table17[[#This Row],[Assumed Contract Value ]]),0)</f>
        <v>0</v>
      </c>
      <c r="M76"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76" s="5">
        <f ca="1">IF(NOT(Table17[[#This Row],[Has Lifetime Income Started]]),Table17[[#This Row],[Income Base]]*MAW,0)</f>
        <v>16594.8125</v>
      </c>
      <c r="O76" s="9">
        <f>IF(AND(Table17[[#This Row],[Has Lifetime Income Started]],Table17[[#This Row],[Is Anniversery]]),Table17[[#This Row],[Income Base]]*PIP_2,0)</f>
        <v>0</v>
      </c>
      <c r="P76" s="33" t="b">
        <f>Table17[[#This Row],[Assumed Contract Value ]]&lt;0.1</f>
        <v>0</v>
      </c>
      <c r="Q76" s="2"/>
      <c r="R76" s="22">
        <f t="shared" si="5"/>
        <v>9.5</v>
      </c>
      <c r="S76" s="23">
        <v>0</v>
      </c>
      <c r="T76" s="23">
        <v>0</v>
      </c>
      <c r="U76" s="23">
        <v>100000</v>
      </c>
      <c r="V76" s="13">
        <v>0</v>
      </c>
      <c r="W76" s="11">
        <v>299982</v>
      </c>
      <c r="X76" s="5">
        <v>0</v>
      </c>
      <c r="Y76" s="5">
        <v>0</v>
      </c>
      <c r="Z76" s="11">
        <v>18749</v>
      </c>
      <c r="AA76" s="14">
        <v>0</v>
      </c>
    </row>
    <row r="77" spans="1:27" x14ac:dyDescent="0.3">
      <c r="A77" s="32">
        <f t="shared" si="4"/>
        <v>20</v>
      </c>
      <c r="B77" s="29">
        <f t="shared" si="2"/>
        <v>10</v>
      </c>
      <c r="C77" s="21">
        <f t="shared" si="2"/>
        <v>0</v>
      </c>
      <c r="D77" s="21">
        <f t="shared" si="2"/>
        <v>0</v>
      </c>
      <c r="E77" s="21" t="b">
        <f>Table17[[#This Row],[Time From Valuation]]&gt;=Activation_Time</f>
        <v>1</v>
      </c>
      <c r="F77" s="21">
        <f t="shared" si="3"/>
        <v>50000</v>
      </c>
      <c r="G77" s="21" t="b">
        <f>Table17[[#This Row],[Time From Valuation]]=INT(Table17[[#This Row],[Time From Valuation]])</f>
        <v>1</v>
      </c>
      <c r="H77" s="7">
        <f>IF((Table17[[#This Row],[Is Anniversery]]), Table17[[#This Row],[Assumed Contract Value ]],0)</f>
        <v>50000</v>
      </c>
      <c r="I77" s="7">
        <f ca="1">IF(NOT(Table17[[#This Row],[Is Activation]]),OFFSET(Table17[[#This Row],[Income Credit Base]],-1,0)+Table17[[#This Row],[Purchase Payments]]+Table17[[#This Row],[Income Credit]],0)</f>
        <v>0</v>
      </c>
      <c r="J77" s="7">
        <f>IF(AND(Table17[[#This Row],[Is Activation]]=FALSE,Table17[[#This Row],[Is Anniversery]]=TRUE),Table17[[#This Row],[Income Credit Base]]*ICP,0)</f>
        <v>0</v>
      </c>
      <c r="K77"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265517</v>
      </c>
      <c r="L77" s="42">
        <f>IF(NOT(Table17[[#This Row],[Is Activation]]),(Table17[[#This Row],[Withdrawal Taken  ]]/Table17[[#This Row],[Assumed Contract Value ]]),0)</f>
        <v>0</v>
      </c>
      <c r="M77"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77" s="5">
        <f ca="1">IF(NOT(Table17[[#This Row],[Has Lifetime Income Started]]),Table17[[#This Row],[Income Base]]*MAW,0)</f>
        <v>16594.8125</v>
      </c>
      <c r="O77" s="9">
        <f>IF(AND(Table17[[#This Row],[Has Lifetime Income Started]],Table17[[#This Row],[Is Anniversery]]),Table17[[#This Row],[Income Base]]*PIP_2,0)</f>
        <v>0</v>
      </c>
      <c r="P77" s="33" t="b">
        <f>Table17[[#This Row],[Assumed Contract Value ]]&lt;0.1</f>
        <v>0</v>
      </c>
      <c r="Q77" s="2"/>
      <c r="R77" s="22">
        <f t="shared" si="5"/>
        <v>10</v>
      </c>
      <c r="S77" s="23">
        <v>0</v>
      </c>
      <c r="T77" s="23">
        <v>0</v>
      </c>
      <c r="U77" s="23">
        <v>50000</v>
      </c>
      <c r="V77" s="12">
        <v>50000</v>
      </c>
      <c r="W77" s="11">
        <v>299982</v>
      </c>
      <c r="X77" s="5">
        <v>0</v>
      </c>
      <c r="Y77" s="5">
        <v>0</v>
      </c>
      <c r="Z77" s="11">
        <v>18749</v>
      </c>
      <c r="AA77" s="14">
        <v>0</v>
      </c>
    </row>
    <row r="78" spans="1:27" x14ac:dyDescent="0.3">
      <c r="A78" s="32">
        <f t="shared" si="4"/>
        <v>21</v>
      </c>
      <c r="B78" s="29">
        <f t="shared" si="2"/>
        <v>10.5</v>
      </c>
      <c r="C78" s="21">
        <f t="shared" si="2"/>
        <v>0</v>
      </c>
      <c r="D78" s="21">
        <f t="shared" si="2"/>
        <v>0</v>
      </c>
      <c r="E78" s="21" t="b">
        <f>Table17[[#This Row],[Time From Valuation]]&gt;=Activation_Time</f>
        <v>1</v>
      </c>
      <c r="F78" s="21">
        <f>U78</f>
        <v>50000</v>
      </c>
      <c r="G78" s="21" t="b">
        <f>Table17[[#This Row],[Time From Valuation]]=INT(Table17[[#This Row],[Time From Valuation]])</f>
        <v>0</v>
      </c>
      <c r="H78" s="7">
        <f>IF((Table17[[#This Row],[Is Anniversery]]), Table17[[#This Row],[Assumed Contract Value ]],0)</f>
        <v>0</v>
      </c>
      <c r="I78" s="7">
        <f ca="1">IF(NOT(Table17[[#This Row],[Is Activation]]),OFFSET(Table17[[#This Row],[Income Credit Base]],-1,0)+Table17[[#This Row],[Purchase Payments]]+Table17[[#This Row],[Income Credit]],0)</f>
        <v>0</v>
      </c>
      <c r="J78" s="7">
        <f>IF(AND(Table17[[#This Row],[Is Activation]]=FALSE,Table17[[#This Row],[Is Anniversery]]=TRUE),Table17[[#This Row],[Income Credit Base]]*ICP,0)</f>
        <v>0</v>
      </c>
      <c r="K78"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265517</v>
      </c>
      <c r="L78" s="42">
        <f>IF(NOT(Table17[[#This Row],[Is Activation]]),(Table17[[#This Row],[Withdrawal Taken  ]]/Table17[[#This Row],[Assumed Contract Value ]]),0)</f>
        <v>0</v>
      </c>
      <c r="M78"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78" s="5">
        <f ca="1">IF(NOT(Table17[[#This Row],[Has Lifetime Income Started]]),Table17[[#This Row],[Income Base]]*MAW,0)</f>
        <v>16594.8125</v>
      </c>
      <c r="O78" s="9">
        <f>IF(AND(Table17[[#This Row],[Has Lifetime Income Started]],Table17[[#This Row],[Is Anniversery]]),Table17[[#This Row],[Income Base]]*PIP_2,0)</f>
        <v>0</v>
      </c>
      <c r="P78" s="33" t="b">
        <f>Table17[[#This Row],[Assumed Contract Value ]]&lt;0.1</f>
        <v>0</v>
      </c>
      <c r="Q78" s="2"/>
      <c r="R78" s="22">
        <f t="shared" si="5"/>
        <v>10.5</v>
      </c>
      <c r="S78" s="23">
        <v>0</v>
      </c>
      <c r="T78" s="23">
        <v>0</v>
      </c>
      <c r="U78" s="23">
        <v>50000</v>
      </c>
      <c r="V78" s="13">
        <v>0</v>
      </c>
      <c r="W78" s="11">
        <v>299982</v>
      </c>
      <c r="X78" s="5">
        <v>0</v>
      </c>
      <c r="Y78" s="5">
        <v>0</v>
      </c>
      <c r="Z78" s="11">
        <v>18749</v>
      </c>
      <c r="AA78" s="14">
        <v>0</v>
      </c>
    </row>
    <row r="79" spans="1:27" ht="15" thickBot="1" x14ac:dyDescent="0.35">
      <c r="A79" s="34">
        <f t="shared" si="4"/>
        <v>22</v>
      </c>
      <c r="B79" s="35">
        <f t="shared" si="2"/>
        <v>11</v>
      </c>
      <c r="C79" s="36">
        <f t="shared" si="2"/>
        <v>0</v>
      </c>
      <c r="D79" s="36">
        <f t="shared" si="2"/>
        <v>0</v>
      </c>
      <c r="E79" s="36" t="b">
        <f>Table17[[#This Row],[Time From Valuation]]&gt;=Activation_Time</f>
        <v>1</v>
      </c>
      <c r="F79" s="36">
        <v>0</v>
      </c>
      <c r="G79" s="36" t="b">
        <f>Table17[[#This Row],[Time From Valuation]]=INT(Table17[[#This Row],[Time From Valuation]])</f>
        <v>1</v>
      </c>
      <c r="H79" s="7">
        <f>IF((Table17[[#This Row],[Is Anniversery]]), Table17[[#This Row],[Assumed Contract Value ]],0)</f>
        <v>0</v>
      </c>
      <c r="I79" s="7">
        <f ca="1">IF(NOT(Table17[[#This Row],[Is Activation]]),OFFSET(Table17[[#This Row],[Income Credit Base]],-1,0)+Table17[[#This Row],[Purchase Payments]]+Table17[[#This Row],[Income Credit]],0)</f>
        <v>0</v>
      </c>
      <c r="J79" s="7">
        <f>IF(AND(Table17[[#This Row],[Is Activation]]=FALSE,Table17[[#This Row],[Is Anniversery]]=TRUE),Table17[[#This Row],[Income Credit Base]]*ICP,0)</f>
        <v>0</v>
      </c>
      <c r="K79" s="7">
        <f ca="1">IF(AND(OFFSET(Table17[[#This Row],[Income Base]],-1,0)+Table17[[#This Row],[Purchase Payments]]+OFFSET(Table17[[#This Row],[Income Credit]],-1,0)&lt;Table17[[#This Row],[Assumed Contract Value ]],Table17[[#This Row],[Is Anniversery]]), Table17[[#This Row],[Assumed Contract Value ]], (OFFSET(Table17[[#This Row],[Income Base]],-1,0))+Table17[[#This Row],[Purchase Payments]]+OFFSET(Table17[[#This Row],[Income Credit]],-1,0))-(Table17[[#This Row],[Withdrawal Taken  ]]*(1-Table17[[#This Row],[Withdrawal Penalty Before Activation]]))</f>
        <v>265517</v>
      </c>
      <c r="L79" s="42">
        <f>IF(NOT(Table17[[#This Row],[Is Activation]]),(Table17[[#This Row],[Withdrawal Taken  ]]/Table17[[#This Row],[Assumed Contract Value ]]),0)</f>
        <v>0</v>
      </c>
      <c r="M79" s="43">
        <f ca="1">IF(AND(Table17[[#This Row],[Is Activation]],(Table17[[#This Row],[Withdrawal Taken  ]]&gt;Table17[[#This Row],[Maximum Annual Withdrawal Amount upon Activation]])),(Table17[[#This Row],[Withdrawal Taken  ]]-Table17[[#This Row],[Maximum Annual Withdrawal Amount upon Activation]])/OFFSET(Table17[[#This Row],[Assumed Contract Value ]],-1,0),  0)</f>
        <v>0</v>
      </c>
      <c r="N79" s="5">
        <f>IF(NOT(Table17[[#This Row],[Has Lifetime Income Started]]),Table17[[#This Row],[Income Base]]*MAW,0)</f>
        <v>0</v>
      </c>
      <c r="O79" s="9">
        <f ca="1">IF(AND(Table17[[#This Row],[Has Lifetime Income Started]],Table17[[#This Row],[Is Anniversery]]),Table17[[#This Row],[Income Base]]*PIP_2,0)</f>
        <v>10620.68</v>
      </c>
      <c r="P79" s="37" t="b">
        <f>Table17[[#This Row],[Assumed Contract Value ]]&lt;0.1</f>
        <v>1</v>
      </c>
      <c r="Q79" s="2"/>
      <c r="R79" s="24">
        <f t="shared" si="5"/>
        <v>11</v>
      </c>
      <c r="S79" s="25">
        <v>0</v>
      </c>
      <c r="T79" s="25">
        <v>0</v>
      </c>
      <c r="U79" s="23">
        <v>0</v>
      </c>
      <c r="V79" s="17">
        <v>0</v>
      </c>
      <c r="W79" s="15">
        <v>299982</v>
      </c>
      <c r="X79" s="16">
        <v>0</v>
      </c>
      <c r="Y79" s="16">
        <v>0</v>
      </c>
      <c r="Z79" s="15">
        <v>0</v>
      </c>
      <c r="AA79" s="18">
        <v>11999</v>
      </c>
    </row>
    <row r="81" spans="1:4" x14ac:dyDescent="0.3">
      <c r="A81" t="s">
        <v>3</v>
      </c>
      <c r="B81" s="26" t="s">
        <v>23</v>
      </c>
      <c r="C81" s="26"/>
      <c r="D81" s="31">
        <v>100000</v>
      </c>
    </row>
    <row r="82" spans="1:4" ht="18" x14ac:dyDescent="0.35">
      <c r="A82" s="27">
        <v>4.5</v>
      </c>
    </row>
    <row r="83" spans="1:4" x14ac:dyDescent="0.3">
      <c r="A83" s="1">
        <v>5.2499999999999998E-2</v>
      </c>
    </row>
    <row r="84" spans="1:4" x14ac:dyDescent="0.3">
      <c r="A84">
        <v>65</v>
      </c>
    </row>
    <row r="85" spans="1:4" x14ac:dyDescent="0.3">
      <c r="A85" s="1">
        <v>6.25E-2</v>
      </c>
    </row>
    <row r="86" spans="1:4" x14ac:dyDescent="0.3">
      <c r="A86" s="8">
        <v>0.04</v>
      </c>
    </row>
    <row r="89" spans="1:4" x14ac:dyDescent="0.3">
      <c r="B89" s="26"/>
      <c r="C89" s="26"/>
      <c r="D89" s="31"/>
    </row>
    <row r="90" spans="1:4" ht="18" x14ac:dyDescent="0.35">
      <c r="A90" s="27"/>
    </row>
    <row r="91" spans="1:4" x14ac:dyDescent="0.3">
      <c r="A91" s="1"/>
    </row>
    <row r="93" spans="1:4" x14ac:dyDescent="0.3">
      <c r="A93" s="1"/>
    </row>
    <row r="94" spans="1:4" x14ac:dyDescent="0.3">
      <c r="A94" s="8"/>
    </row>
  </sheetData>
  <conditionalFormatting sqref="H57:M79 O57:P79">
    <cfRule type="expression" dxfId="10" priority="4">
      <formula>#REF!</formula>
    </cfRule>
  </conditionalFormatting>
  <conditionalFormatting sqref="N57:N79">
    <cfRule type="expression" dxfId="9" priority="2">
      <formula>#REF!</formula>
    </cfRule>
  </conditionalFormatting>
  <conditionalFormatting sqref="V37:V54">
    <cfRule type="cellIs" dxfId="8" priority="1" operator="notEqual">
      <formula>0</formula>
    </cfRule>
  </conditionalFormatting>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A831DA5B-386C-415F-8EC1-CA028EE71EEC}">
          <x14:formula1>
            <xm:f>'Test Cases'!$B$2:$B$18</xm:f>
          </x14:formula1>
          <xm:sqref>C3</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999D1-20EE-47CD-B6DF-DD6CE2D54FB3}">
  <sheetPr>
    <tabColor theme="9" tint="0.79998168889431442"/>
  </sheetPr>
  <dimension ref="A1"/>
  <sheetViews>
    <sheetView topLeftCell="A62" workbookViewId="0">
      <selection activeCell="A88" sqref="A88"/>
    </sheetView>
  </sheetViews>
  <sheetFormatPr defaultRowHeight="14.4" x14ac:dyDescent="0.3"/>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5121" r:id="rId4">
          <objectPr defaultSize="0" r:id="rId5">
            <anchor moveWithCells="1">
              <from>
                <xdr:col>1</xdr:col>
                <xdr:colOff>525780</xdr:colOff>
                <xdr:row>1</xdr:row>
                <xdr:rowOff>68580</xdr:rowOff>
              </from>
              <to>
                <xdr:col>11</xdr:col>
                <xdr:colOff>373380</xdr:colOff>
                <xdr:row>17</xdr:row>
                <xdr:rowOff>175260</xdr:rowOff>
              </to>
            </anchor>
          </objectPr>
        </oleObject>
      </mc:Choice>
      <mc:Fallback>
        <oleObject progId="Word.Document.12" shapeId="5121" r:id="rId4"/>
      </mc:Fallback>
    </mc:AlternateContent>
    <mc:AlternateContent xmlns:mc="http://schemas.openxmlformats.org/markup-compatibility/2006">
      <mc:Choice Requires="x14">
        <oleObject progId="Word.Document.12" shapeId="5122" r:id="rId6">
          <objectPr defaultSize="0" r:id="rId7">
            <anchor moveWithCells="1">
              <from>
                <xdr:col>1</xdr:col>
                <xdr:colOff>381000</xdr:colOff>
                <xdr:row>18</xdr:row>
                <xdr:rowOff>99060</xdr:rowOff>
              </from>
              <to>
                <xdr:col>11</xdr:col>
                <xdr:colOff>228600</xdr:colOff>
                <xdr:row>47</xdr:row>
                <xdr:rowOff>60960</xdr:rowOff>
              </to>
            </anchor>
          </objectPr>
        </oleObject>
      </mc:Choice>
      <mc:Fallback>
        <oleObject progId="Word.Document.12" shapeId="5122" r:id="rId6"/>
      </mc:Fallback>
    </mc:AlternateContent>
    <mc:AlternateContent xmlns:mc="http://schemas.openxmlformats.org/markup-compatibility/2006">
      <mc:Choice Requires="x14">
        <oleObject progId="Word.Document.12" shapeId="5123" r:id="rId8">
          <objectPr defaultSize="0" r:id="rId9">
            <anchor moveWithCells="1">
              <from>
                <xdr:col>1</xdr:col>
                <xdr:colOff>403860</xdr:colOff>
                <xdr:row>48</xdr:row>
                <xdr:rowOff>144780</xdr:rowOff>
              </from>
              <to>
                <xdr:col>11</xdr:col>
                <xdr:colOff>251460</xdr:colOff>
                <xdr:row>59</xdr:row>
                <xdr:rowOff>45720</xdr:rowOff>
              </to>
            </anchor>
          </objectPr>
        </oleObject>
      </mc:Choice>
      <mc:Fallback>
        <oleObject progId="Word.Document.12" shapeId="5123" r:id="rId8"/>
      </mc:Fallback>
    </mc:AlternateContent>
    <mc:AlternateContent xmlns:mc="http://schemas.openxmlformats.org/markup-compatibility/2006">
      <mc:Choice Requires="x14">
        <oleObject progId="Word.Document.12" shapeId="5124" r:id="rId10">
          <objectPr defaultSize="0" r:id="rId11">
            <anchor moveWithCells="1">
              <from>
                <xdr:col>1</xdr:col>
                <xdr:colOff>449580</xdr:colOff>
                <xdr:row>63</xdr:row>
                <xdr:rowOff>160020</xdr:rowOff>
              </from>
              <to>
                <xdr:col>11</xdr:col>
                <xdr:colOff>297180</xdr:colOff>
                <xdr:row>75</xdr:row>
                <xdr:rowOff>144780</xdr:rowOff>
              </to>
            </anchor>
          </objectPr>
        </oleObject>
      </mc:Choice>
      <mc:Fallback>
        <oleObject progId="Word.Document.12" shapeId="5124" r:id="rId10"/>
      </mc:Fallback>
    </mc:AlternateContent>
    <mc:AlternateContent xmlns:mc="http://schemas.openxmlformats.org/markup-compatibility/2006">
      <mc:Choice Requires="x14">
        <oleObject progId="Word.Document.12" shapeId="5125" r:id="rId12">
          <objectPr defaultSize="0" r:id="rId13">
            <anchor moveWithCells="1">
              <from>
                <xdr:col>1</xdr:col>
                <xdr:colOff>541020</xdr:colOff>
                <xdr:row>79</xdr:row>
                <xdr:rowOff>160020</xdr:rowOff>
              </from>
              <to>
                <xdr:col>11</xdr:col>
                <xdr:colOff>388620</xdr:colOff>
                <xdr:row>91</xdr:row>
                <xdr:rowOff>76200</xdr:rowOff>
              </to>
            </anchor>
          </objectPr>
        </oleObject>
      </mc:Choice>
      <mc:Fallback>
        <oleObject progId="Word.Document.12" shapeId="5125" r:id="rId12"/>
      </mc:Fallback>
    </mc:AlternateContent>
    <mc:AlternateContent xmlns:mc="http://schemas.openxmlformats.org/markup-compatibility/2006">
      <mc:Choice Requires="x14">
        <oleObject progId="Word.Document.12" shapeId="5126" r:id="rId14">
          <objectPr defaultSize="0" r:id="rId15">
            <anchor moveWithCells="1">
              <from>
                <xdr:col>1</xdr:col>
                <xdr:colOff>579120</xdr:colOff>
                <xdr:row>94</xdr:row>
                <xdr:rowOff>144780</xdr:rowOff>
              </from>
              <to>
                <xdr:col>11</xdr:col>
                <xdr:colOff>426720</xdr:colOff>
                <xdr:row>112</xdr:row>
                <xdr:rowOff>30480</xdr:rowOff>
              </to>
            </anchor>
          </objectPr>
        </oleObject>
      </mc:Choice>
      <mc:Fallback>
        <oleObject progId="Word.Document.12" shapeId="5126" r:id="rId14"/>
      </mc:Fallback>
    </mc:AlternateContent>
    <mc:AlternateContent xmlns:mc="http://schemas.openxmlformats.org/markup-compatibility/2006">
      <mc:Choice Requires="x14">
        <oleObject progId="Word.Document.12" shapeId="5127" r:id="rId16">
          <objectPr defaultSize="0" r:id="rId17">
            <anchor moveWithCells="1">
              <from>
                <xdr:col>1</xdr:col>
                <xdr:colOff>594360</xdr:colOff>
                <xdr:row>116</xdr:row>
                <xdr:rowOff>30480</xdr:rowOff>
              </from>
              <to>
                <xdr:col>11</xdr:col>
                <xdr:colOff>441960</xdr:colOff>
                <xdr:row>124</xdr:row>
                <xdr:rowOff>83820</xdr:rowOff>
              </to>
            </anchor>
          </objectPr>
        </oleObject>
      </mc:Choice>
      <mc:Fallback>
        <oleObject progId="Word.Document.12" shapeId="5127" r:id="rId16"/>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E559F-9EFD-46FC-9F16-41EAE84F8BE1}">
  <sheetPr>
    <tabColor theme="9" tint="0.79998168889431442"/>
  </sheetPr>
  <dimension ref="A1"/>
  <sheetViews>
    <sheetView topLeftCell="A9" workbookViewId="0">
      <selection activeCell="T51" sqref="T51"/>
    </sheetView>
  </sheetViews>
  <sheetFormatPr defaultRowHeight="14.4" x14ac:dyDescent="0.3"/>
  <sheetData/>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Word.Document.12" shapeId="3073" r:id="rId4">
          <objectPr defaultSize="0" r:id="rId5">
            <anchor moveWithCells="1">
              <from>
                <xdr:col>1</xdr:col>
                <xdr:colOff>0</xdr:colOff>
                <xdr:row>1</xdr:row>
                <xdr:rowOff>0</xdr:rowOff>
              </from>
              <to>
                <xdr:col>17</xdr:col>
                <xdr:colOff>60960</xdr:colOff>
                <xdr:row>36</xdr:row>
                <xdr:rowOff>121920</xdr:rowOff>
              </to>
            </anchor>
          </objectPr>
        </oleObject>
      </mc:Choice>
      <mc:Fallback>
        <oleObject progId="Word.Document.12" shapeId="3073"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2AF8-B2A2-427B-87D8-092C4A496479}">
  <sheetPr>
    <tabColor theme="9" tint="0.79998168889431442"/>
  </sheetPr>
  <dimension ref="A1"/>
  <sheetViews>
    <sheetView topLeftCell="A15" workbookViewId="0">
      <selection activeCell="S25" sqref="S25"/>
    </sheetView>
  </sheetViews>
  <sheetFormatPr defaultRowHeight="14.4" x14ac:dyDescent="0.3"/>
  <sheetData/>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Word.Document.12" shapeId="4097" r:id="rId4">
          <objectPr defaultSize="0" r:id="rId5">
            <anchor moveWithCells="1">
              <from>
                <xdr:col>0</xdr:col>
                <xdr:colOff>556260</xdr:colOff>
                <xdr:row>1</xdr:row>
                <xdr:rowOff>0</xdr:rowOff>
              </from>
              <to>
                <xdr:col>15</xdr:col>
                <xdr:colOff>480060</xdr:colOff>
                <xdr:row>36</xdr:row>
                <xdr:rowOff>76200</xdr:rowOff>
              </to>
            </anchor>
          </objectPr>
        </oleObject>
      </mc:Choice>
      <mc:Fallback>
        <oleObject progId="Word.Document.12" shapeId="4097" r:id="rId4"/>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C7B1D-EA56-4DBE-93D7-1F0DD0865D25}">
  <sheetPr>
    <tabColor rgb="FF00B050"/>
  </sheetPr>
  <dimension ref="A1:Q18"/>
  <sheetViews>
    <sheetView topLeftCell="I1" workbookViewId="0">
      <selection activeCell="B12" sqref="B12"/>
    </sheetView>
  </sheetViews>
  <sheetFormatPr defaultRowHeight="14.4" x14ac:dyDescent="0.3"/>
  <cols>
    <col min="1" max="1" width="6.33203125" customWidth="1"/>
    <col min="2" max="2" width="21.5546875" bestFit="1" customWidth="1"/>
    <col min="3" max="3" width="14.6640625" customWidth="1"/>
    <col min="4" max="4" width="15.33203125" customWidth="1"/>
    <col min="5" max="5" width="17.6640625" customWidth="1"/>
    <col min="6" max="6" width="16" customWidth="1"/>
    <col min="7" max="7" width="20" customWidth="1"/>
    <col min="8" max="8" width="18.33203125" customWidth="1"/>
    <col min="9" max="9" width="21.44140625" customWidth="1"/>
    <col min="10" max="10" width="24.109375" customWidth="1"/>
    <col min="11" max="11" width="25.88671875" customWidth="1"/>
    <col min="12" max="12" width="22.5546875" customWidth="1"/>
    <col min="13" max="13" width="25" customWidth="1"/>
    <col min="14" max="14" width="20.33203125" customWidth="1"/>
    <col min="15" max="15" width="25.77734375" customWidth="1"/>
    <col min="16" max="16" width="19.88671875" customWidth="1"/>
    <col min="17" max="17" width="22.109375" customWidth="1"/>
  </cols>
  <sheetData>
    <row r="1" spans="1:17" x14ac:dyDescent="0.3">
      <c r="A1" s="51" t="s">
        <v>65</v>
      </c>
      <c r="B1" s="51" t="s">
        <v>64</v>
      </c>
      <c r="C1" s="51" t="s">
        <v>63</v>
      </c>
      <c r="D1" s="51" t="s">
        <v>62</v>
      </c>
      <c r="E1" s="51" t="s">
        <v>61</v>
      </c>
      <c r="F1" s="51" t="s">
        <v>60</v>
      </c>
      <c r="G1" s="51" t="s">
        <v>59</v>
      </c>
      <c r="H1" s="51" t="s">
        <v>58</v>
      </c>
      <c r="I1" s="51" t="s">
        <v>20</v>
      </c>
      <c r="J1" s="51" t="s">
        <v>57</v>
      </c>
      <c r="K1" s="51" t="s">
        <v>56</v>
      </c>
      <c r="L1" s="51" t="s">
        <v>55</v>
      </c>
      <c r="M1" s="51" t="s">
        <v>54</v>
      </c>
      <c r="N1" s="51" t="s">
        <v>53</v>
      </c>
      <c r="O1" s="51" t="s">
        <v>52</v>
      </c>
      <c r="P1" s="51" t="s">
        <v>51</v>
      </c>
      <c r="Q1" s="51" t="s">
        <v>50</v>
      </c>
    </row>
    <row r="2" spans="1:17" x14ac:dyDescent="0.3">
      <c r="A2" s="49">
        <v>0</v>
      </c>
      <c r="B2" s="47" t="s">
        <v>49</v>
      </c>
      <c r="C2" s="47" t="b">
        <v>1</v>
      </c>
      <c r="D2" s="48">
        <v>42465</v>
      </c>
      <c r="E2" s="48">
        <v>18720</v>
      </c>
      <c r="F2" s="47" t="s">
        <v>33</v>
      </c>
      <c r="G2" s="47"/>
      <c r="H2" s="47"/>
      <c r="I2" s="48">
        <v>42465</v>
      </c>
      <c r="J2" s="47">
        <v>100000</v>
      </c>
      <c r="K2" s="48">
        <v>44109</v>
      </c>
      <c r="L2" s="47">
        <v>1</v>
      </c>
      <c r="M2" s="47">
        <v>5.2499999999999998E-2</v>
      </c>
      <c r="N2" s="47">
        <v>100000</v>
      </c>
      <c r="O2" s="47">
        <v>100000</v>
      </c>
      <c r="P2" s="47">
        <v>999</v>
      </c>
      <c r="Q2" s="50">
        <v>100000</v>
      </c>
    </row>
    <row r="3" spans="1:17" x14ac:dyDescent="0.3">
      <c r="A3" s="49">
        <v>1</v>
      </c>
      <c r="B3" s="47" t="s">
        <v>48</v>
      </c>
      <c r="C3" s="47" t="b">
        <v>0</v>
      </c>
      <c r="D3" s="48">
        <v>42465</v>
      </c>
      <c r="E3" s="48">
        <v>18720</v>
      </c>
      <c r="F3" s="47" t="s">
        <v>33</v>
      </c>
      <c r="G3" s="47"/>
      <c r="H3" s="47"/>
      <c r="I3" s="48">
        <v>42465</v>
      </c>
      <c r="J3" s="47">
        <v>762282.17661630618</v>
      </c>
      <c r="K3" s="48">
        <v>44109</v>
      </c>
      <c r="L3" s="47">
        <v>1</v>
      </c>
      <c r="M3" s="47">
        <v>5.2499999999999998E-2</v>
      </c>
      <c r="N3" s="46">
        <v>95325.473432383646</v>
      </c>
      <c r="O3" s="46">
        <v>95325.473432383646</v>
      </c>
      <c r="P3" s="46">
        <v>4221.541103677775</v>
      </c>
      <c r="Q3" s="50">
        <v>100000</v>
      </c>
    </row>
    <row r="4" spans="1:17" x14ac:dyDescent="0.3">
      <c r="A4" s="49">
        <v>2</v>
      </c>
      <c r="B4" s="47" t="s">
        <v>47</v>
      </c>
      <c r="C4" s="47" t="b">
        <v>0</v>
      </c>
      <c r="D4" s="48">
        <v>42465</v>
      </c>
      <c r="E4" s="48">
        <v>26020</v>
      </c>
      <c r="F4" s="47" t="s">
        <v>33</v>
      </c>
      <c r="G4" s="47"/>
      <c r="H4" s="47"/>
      <c r="I4" s="48">
        <v>42465</v>
      </c>
      <c r="J4" s="46">
        <v>152456.43532326125</v>
      </c>
      <c r="K4" s="48">
        <v>44109</v>
      </c>
      <c r="L4" s="47">
        <v>1</v>
      </c>
      <c r="M4" s="47">
        <v>5.2499999999999998E-2</v>
      </c>
      <c r="N4" s="46">
        <v>152456.43532326125</v>
      </c>
      <c r="O4" s="46">
        <v>152456.43532326125</v>
      </c>
      <c r="P4" s="46">
        <v>8114.6383236774336</v>
      </c>
      <c r="Q4" s="45">
        <v>152456.43532326125</v>
      </c>
    </row>
    <row r="5" spans="1:17" x14ac:dyDescent="0.3">
      <c r="A5" s="49">
        <v>3</v>
      </c>
      <c r="B5" s="47" t="s">
        <v>46</v>
      </c>
      <c r="C5" s="47" t="b">
        <v>0</v>
      </c>
      <c r="D5" s="48">
        <v>42465</v>
      </c>
      <c r="E5" s="48">
        <v>22370</v>
      </c>
      <c r="F5" s="47" t="s">
        <v>33</v>
      </c>
      <c r="G5" s="47"/>
      <c r="H5" s="47"/>
      <c r="I5" s="48">
        <v>42465</v>
      </c>
      <c r="J5" s="46">
        <v>182203.00216090496</v>
      </c>
      <c r="K5" s="48">
        <v>44109</v>
      </c>
      <c r="L5" s="47">
        <v>1</v>
      </c>
      <c r="M5" s="47">
        <v>5.2499999999999998E-2</v>
      </c>
      <c r="N5" s="46">
        <v>182203.00216090496</v>
      </c>
      <c r="O5" s="46">
        <v>182203.00216090496</v>
      </c>
      <c r="P5" s="46">
        <v>14523.798553991892</v>
      </c>
      <c r="Q5" s="45">
        <v>182203.00216090496</v>
      </c>
    </row>
    <row r="6" spans="1:17" x14ac:dyDescent="0.3">
      <c r="A6" s="49">
        <v>4</v>
      </c>
      <c r="B6" s="47" t="s">
        <v>45</v>
      </c>
      <c r="C6" s="47" t="b">
        <v>0</v>
      </c>
      <c r="D6" s="48">
        <v>42465</v>
      </c>
      <c r="E6" s="48">
        <v>15070</v>
      </c>
      <c r="F6" s="47" t="s">
        <v>33</v>
      </c>
      <c r="G6" s="47"/>
      <c r="H6" s="47"/>
      <c r="I6" s="48">
        <v>42465</v>
      </c>
      <c r="J6" s="46">
        <v>69184.946238427947</v>
      </c>
      <c r="K6" s="48">
        <v>44109</v>
      </c>
      <c r="L6" s="47">
        <v>1</v>
      </c>
      <c r="M6" s="47">
        <v>5.2499999999999998E-2</v>
      </c>
      <c r="N6" s="46">
        <v>69184.946238427947</v>
      </c>
      <c r="O6" s="46">
        <v>69184.946238427947</v>
      </c>
      <c r="P6" s="46">
        <v>8143.3285014251214</v>
      </c>
      <c r="Q6" s="45">
        <v>69184.946238427947</v>
      </c>
    </row>
    <row r="7" spans="1:17" x14ac:dyDescent="0.3">
      <c r="A7" s="49">
        <v>5</v>
      </c>
      <c r="B7" s="47" t="s">
        <v>44</v>
      </c>
      <c r="C7" s="47" t="b">
        <v>0</v>
      </c>
      <c r="D7" s="48">
        <v>42465</v>
      </c>
      <c r="E7" s="48">
        <v>11420</v>
      </c>
      <c r="F7" s="47" t="s">
        <v>33</v>
      </c>
      <c r="G7" s="47"/>
      <c r="H7" s="47"/>
      <c r="I7" s="48">
        <v>42465</v>
      </c>
      <c r="J7" s="46">
        <v>150298.66258566288</v>
      </c>
      <c r="K7" s="48">
        <v>44109</v>
      </c>
      <c r="L7" s="47">
        <v>1</v>
      </c>
      <c r="M7" s="47">
        <v>5.2499999999999998E-2</v>
      </c>
      <c r="N7" s="46">
        <v>150298.66258566288</v>
      </c>
      <c r="O7" s="46">
        <v>150298.66258566288</v>
      </c>
      <c r="P7" s="46">
        <v>13684.105061322096</v>
      </c>
      <c r="Q7" s="45">
        <v>150298.66258566288</v>
      </c>
    </row>
    <row r="8" spans="1:17" x14ac:dyDescent="0.3">
      <c r="A8" s="49">
        <v>6</v>
      </c>
      <c r="B8" s="47" t="s">
        <v>43</v>
      </c>
      <c r="C8" s="47" t="b">
        <v>0</v>
      </c>
      <c r="D8" s="48">
        <v>42465</v>
      </c>
      <c r="E8" s="48">
        <v>18720</v>
      </c>
      <c r="F8" s="47" t="s">
        <v>33</v>
      </c>
      <c r="G8" s="47"/>
      <c r="H8" s="47"/>
      <c r="I8" s="48">
        <v>42465</v>
      </c>
      <c r="J8" s="46">
        <v>105606.93882617053</v>
      </c>
      <c r="K8" s="48">
        <v>44109</v>
      </c>
      <c r="L8" s="47">
        <v>2</v>
      </c>
      <c r="M8" s="47">
        <v>5.2499999999999998E-2</v>
      </c>
      <c r="N8" s="46">
        <v>105606.93882617053</v>
      </c>
      <c r="O8" s="46">
        <v>105606.93882617053</v>
      </c>
      <c r="P8" s="46">
        <v>10085.128879183343</v>
      </c>
      <c r="Q8" s="45">
        <v>105606.93882617053</v>
      </c>
    </row>
    <row r="9" spans="1:17" x14ac:dyDescent="0.3">
      <c r="A9" s="49">
        <v>7</v>
      </c>
      <c r="B9" s="47" t="s">
        <v>42</v>
      </c>
      <c r="C9" s="47" t="b">
        <v>0</v>
      </c>
      <c r="D9" s="48">
        <v>42465</v>
      </c>
      <c r="E9" s="48">
        <v>18720</v>
      </c>
      <c r="F9" s="47" t="s">
        <v>33</v>
      </c>
      <c r="G9" s="47"/>
      <c r="H9" s="47"/>
      <c r="I9" s="48">
        <v>42465</v>
      </c>
      <c r="J9" s="46">
        <v>42427.11718072473</v>
      </c>
      <c r="K9" s="48">
        <v>44109</v>
      </c>
      <c r="L9" s="47">
        <v>3</v>
      </c>
      <c r="M9" s="47">
        <v>5.2499999999999998E-2</v>
      </c>
      <c r="N9" s="46">
        <v>42427.11718072473</v>
      </c>
      <c r="O9" s="46">
        <v>42427.11718072473</v>
      </c>
      <c r="P9" s="46">
        <v>5578.9796538104865</v>
      </c>
      <c r="Q9" s="45">
        <v>42427.11718072473</v>
      </c>
    </row>
    <row r="10" spans="1:17" x14ac:dyDescent="0.3">
      <c r="A10" s="49">
        <v>8</v>
      </c>
      <c r="B10" s="47" t="s">
        <v>41</v>
      </c>
      <c r="C10" s="47" t="b">
        <v>0</v>
      </c>
      <c r="D10" s="48">
        <v>42465</v>
      </c>
      <c r="E10" s="48">
        <v>18720</v>
      </c>
      <c r="F10" s="47" t="s">
        <v>33</v>
      </c>
      <c r="G10" s="47"/>
      <c r="H10" s="47"/>
      <c r="I10" s="48">
        <v>42465</v>
      </c>
      <c r="J10" s="46">
        <v>47603.469194453544</v>
      </c>
      <c r="K10" s="48">
        <v>43013</v>
      </c>
      <c r="L10" s="47">
        <v>1</v>
      </c>
      <c r="M10" s="47">
        <v>5.2499999999999998E-2</v>
      </c>
      <c r="N10" s="46">
        <v>47603.469194453544</v>
      </c>
      <c r="O10" s="46">
        <v>47603.469194453544</v>
      </c>
      <c r="P10" s="46">
        <v>18541.617782629564</v>
      </c>
      <c r="Q10" s="45">
        <v>47603.469194453544</v>
      </c>
    </row>
    <row r="11" spans="1:17" x14ac:dyDescent="0.3">
      <c r="A11" s="49">
        <v>9</v>
      </c>
      <c r="B11" s="47" t="s">
        <v>40</v>
      </c>
      <c r="C11" s="47" t="b">
        <v>0</v>
      </c>
      <c r="D11" s="48">
        <v>42465</v>
      </c>
      <c r="E11" s="48">
        <v>18720</v>
      </c>
      <c r="F11" s="47" t="s">
        <v>33</v>
      </c>
      <c r="G11" s="47"/>
      <c r="H11" s="47"/>
      <c r="I11" s="48">
        <v>42465</v>
      </c>
      <c r="J11" s="46">
        <v>157110.87938977685</v>
      </c>
      <c r="K11" s="48">
        <v>43378</v>
      </c>
      <c r="L11" s="47">
        <v>1</v>
      </c>
      <c r="M11" s="47">
        <v>5.2499999999999998E-2</v>
      </c>
      <c r="N11" s="46">
        <v>157110.87938977685</v>
      </c>
      <c r="O11" s="46">
        <v>157110.87938977685</v>
      </c>
      <c r="P11" s="46">
        <v>12472.756690167882</v>
      </c>
      <c r="Q11" s="45">
        <v>157110.87938977685</v>
      </c>
    </row>
    <row r="12" spans="1:17" x14ac:dyDescent="0.3">
      <c r="A12" s="49">
        <v>10</v>
      </c>
      <c r="B12" s="47" t="s">
        <v>39</v>
      </c>
      <c r="C12" s="47" t="b">
        <v>0</v>
      </c>
      <c r="D12" s="48">
        <v>42465</v>
      </c>
      <c r="E12" s="48">
        <v>18720</v>
      </c>
      <c r="F12" s="47" t="s">
        <v>33</v>
      </c>
      <c r="G12" s="47"/>
      <c r="H12" s="47"/>
      <c r="I12" s="48">
        <v>42465</v>
      </c>
      <c r="J12" s="46">
        <v>28106.899207877428</v>
      </c>
      <c r="K12" s="48">
        <v>43743</v>
      </c>
      <c r="L12" s="47">
        <v>1</v>
      </c>
      <c r="M12" s="47">
        <v>5.2499999999999998E-2</v>
      </c>
      <c r="N12" s="46">
        <v>28106.899207877428</v>
      </c>
      <c r="O12" s="46">
        <v>28106.899207877428</v>
      </c>
      <c r="P12" s="46">
        <v>3862.4017537345594</v>
      </c>
      <c r="Q12" s="45">
        <v>28106.899207877428</v>
      </c>
    </row>
    <row r="13" spans="1:17" x14ac:dyDescent="0.3">
      <c r="A13" s="49">
        <v>11</v>
      </c>
      <c r="B13" s="47" t="s">
        <v>38</v>
      </c>
      <c r="C13" s="47" t="b">
        <v>0</v>
      </c>
      <c r="D13" s="48">
        <v>42465</v>
      </c>
      <c r="E13" s="48">
        <v>18720</v>
      </c>
      <c r="F13" s="47" t="s">
        <v>33</v>
      </c>
      <c r="G13" s="47"/>
      <c r="H13" s="47"/>
      <c r="I13" s="48">
        <v>42465</v>
      </c>
      <c r="J13" s="46">
        <v>96931.426475781816</v>
      </c>
      <c r="K13" s="48">
        <v>44474</v>
      </c>
      <c r="L13" s="47">
        <v>1</v>
      </c>
      <c r="M13" s="47">
        <v>5.2499999999999998E-2</v>
      </c>
      <c r="N13" s="46">
        <v>96931.426475781816</v>
      </c>
      <c r="O13" s="46">
        <v>96931.426475781816</v>
      </c>
      <c r="P13" s="46">
        <v>1796.8830721520278</v>
      </c>
      <c r="Q13" s="45">
        <v>96931.426475781816</v>
      </c>
    </row>
    <row r="14" spans="1:17" x14ac:dyDescent="0.3">
      <c r="A14" s="49">
        <v>12</v>
      </c>
      <c r="B14" s="47" t="s">
        <v>37</v>
      </c>
      <c r="C14" s="47" t="b">
        <v>0</v>
      </c>
      <c r="D14" s="48">
        <v>42465</v>
      </c>
      <c r="E14" s="48">
        <v>18720</v>
      </c>
      <c r="F14" s="47" t="s">
        <v>33</v>
      </c>
      <c r="G14" s="47"/>
      <c r="H14" s="47"/>
      <c r="I14" s="48">
        <v>42465</v>
      </c>
      <c r="J14" s="46">
        <v>92382.669600073219</v>
      </c>
      <c r="K14" s="48">
        <v>44839</v>
      </c>
      <c r="L14" s="47">
        <v>1</v>
      </c>
      <c r="M14" s="47">
        <v>5.2499999999999998E-2</v>
      </c>
      <c r="N14" s="46">
        <v>92382.669600073219</v>
      </c>
      <c r="O14" s="46">
        <v>92382.669600073219</v>
      </c>
      <c r="P14" s="46">
        <v>24938.25284851898</v>
      </c>
      <c r="Q14" s="45">
        <v>92382.669600073219</v>
      </c>
    </row>
    <row r="15" spans="1:17" x14ac:dyDescent="0.3">
      <c r="A15" s="49">
        <v>13</v>
      </c>
      <c r="B15" s="47" t="s">
        <v>36</v>
      </c>
      <c r="C15" s="47" t="b">
        <v>0</v>
      </c>
      <c r="D15" s="48">
        <v>42465</v>
      </c>
      <c r="E15" s="48">
        <v>18720</v>
      </c>
      <c r="F15" s="47" t="s">
        <v>33</v>
      </c>
      <c r="G15" s="47"/>
      <c r="H15" s="47"/>
      <c r="I15" s="48">
        <v>42465</v>
      </c>
      <c r="J15" s="46">
        <v>58832.783356219523</v>
      </c>
      <c r="K15" s="48">
        <v>45204</v>
      </c>
      <c r="L15" s="47">
        <v>1</v>
      </c>
      <c r="M15" s="47">
        <v>5.2499999999999998E-2</v>
      </c>
      <c r="N15" s="46">
        <v>58832.783356219523</v>
      </c>
      <c r="O15" s="46">
        <v>58832.783356219523</v>
      </c>
      <c r="P15" s="46">
        <v>19049.832245647714</v>
      </c>
      <c r="Q15" s="45">
        <v>58832.783356219523</v>
      </c>
    </row>
    <row r="16" spans="1:17" x14ac:dyDescent="0.3">
      <c r="A16" s="49">
        <v>14</v>
      </c>
      <c r="B16" s="47" t="s">
        <v>35</v>
      </c>
      <c r="C16" s="47" t="b">
        <v>0</v>
      </c>
      <c r="D16" s="48">
        <v>42465</v>
      </c>
      <c r="E16" s="48">
        <v>22370</v>
      </c>
      <c r="F16" s="47" t="s">
        <v>33</v>
      </c>
      <c r="G16" s="48">
        <v>18805</v>
      </c>
      <c r="H16" s="47" t="s">
        <v>31</v>
      </c>
      <c r="I16" s="48">
        <v>42465</v>
      </c>
      <c r="J16" s="46">
        <v>77254.968706246742</v>
      </c>
      <c r="K16" s="48">
        <v>44109</v>
      </c>
      <c r="L16" s="47">
        <v>1</v>
      </c>
      <c r="M16" s="47">
        <v>5.2499999999999998E-2</v>
      </c>
      <c r="N16" s="46">
        <v>77254.968706246742</v>
      </c>
      <c r="O16" s="46">
        <v>77254.968706246742</v>
      </c>
      <c r="P16" s="46">
        <v>8328.878719952414</v>
      </c>
      <c r="Q16" s="45">
        <v>77254.968706246742</v>
      </c>
    </row>
    <row r="17" spans="1:17" x14ac:dyDescent="0.3">
      <c r="A17" s="49">
        <v>15</v>
      </c>
      <c r="B17" s="47" t="s">
        <v>34</v>
      </c>
      <c r="C17" s="47" t="b">
        <v>0</v>
      </c>
      <c r="D17" s="48">
        <v>42465</v>
      </c>
      <c r="E17" s="48">
        <v>18720</v>
      </c>
      <c r="F17" s="47" t="s">
        <v>33</v>
      </c>
      <c r="G17" s="48">
        <v>15171</v>
      </c>
      <c r="H17" s="47" t="s">
        <v>33</v>
      </c>
      <c r="I17" s="48">
        <v>42465</v>
      </c>
      <c r="J17" s="46">
        <v>102897.29750340692</v>
      </c>
      <c r="K17" s="48">
        <v>44109</v>
      </c>
      <c r="L17" s="47">
        <v>1</v>
      </c>
      <c r="M17" s="47">
        <v>5.2499999999999998E-2</v>
      </c>
      <c r="N17" s="46">
        <v>102897.29750340692</v>
      </c>
      <c r="O17" s="46">
        <v>102897.29750340692</v>
      </c>
      <c r="P17" s="46">
        <v>17308.417559792819</v>
      </c>
      <c r="Q17" s="45">
        <v>102897.29750340692</v>
      </c>
    </row>
    <row r="18" spans="1:17" x14ac:dyDescent="0.3">
      <c r="A18" s="52">
        <v>16</v>
      </c>
      <c r="B18" s="53" t="s">
        <v>32</v>
      </c>
      <c r="C18" s="53" t="b">
        <v>0</v>
      </c>
      <c r="D18" s="54">
        <v>42465</v>
      </c>
      <c r="E18" s="54">
        <v>13245</v>
      </c>
      <c r="F18" s="53" t="s">
        <v>31</v>
      </c>
      <c r="G18" s="54">
        <v>13244</v>
      </c>
      <c r="H18" s="53" t="s">
        <v>31</v>
      </c>
      <c r="I18" s="54">
        <v>42465</v>
      </c>
      <c r="J18" s="55">
        <v>146058.38404748004</v>
      </c>
      <c r="K18" s="54">
        <v>44109</v>
      </c>
      <c r="L18" s="53">
        <v>1</v>
      </c>
      <c r="M18" s="53">
        <v>5.2499999999999998E-2</v>
      </c>
      <c r="N18" s="55">
        <v>146058.38404748004</v>
      </c>
      <c r="O18" s="55">
        <v>146058.38404748004</v>
      </c>
      <c r="P18" s="55">
        <v>23365.275131770417</v>
      </c>
      <c r="Q18" s="56">
        <v>146058.38404748004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C3A6F-A05B-4448-8F9E-BC2F3F4E7320}">
  <dimension ref="A1:I22"/>
  <sheetViews>
    <sheetView topLeftCell="A10" zoomScaleNormal="100" workbookViewId="0">
      <selection activeCell="A14" sqref="A14"/>
    </sheetView>
  </sheetViews>
  <sheetFormatPr defaultRowHeight="14.4" x14ac:dyDescent="0.3"/>
  <cols>
    <col min="1" max="1" width="54.88671875" customWidth="1"/>
    <col min="2" max="3" width="7" bestFit="1" customWidth="1"/>
    <col min="4" max="4" width="12.44140625" customWidth="1"/>
    <col min="5" max="5" width="13.109375" customWidth="1"/>
    <col min="6" max="6" width="14.88671875" customWidth="1"/>
    <col min="7" max="7" width="13.5546875" customWidth="1"/>
    <col min="8" max="8" width="11" customWidth="1"/>
    <col min="9" max="9" width="11.6640625" customWidth="1"/>
  </cols>
  <sheetData>
    <row r="1" spans="1:9" ht="17.399999999999999" x14ac:dyDescent="0.3">
      <c r="A1" s="88" t="s">
        <v>104</v>
      </c>
      <c r="B1" s="89"/>
      <c r="C1" s="89"/>
      <c r="D1" s="89"/>
      <c r="E1" s="89"/>
      <c r="F1" s="89"/>
      <c r="G1" s="89"/>
      <c r="H1" s="89"/>
      <c r="I1" s="90"/>
    </row>
    <row r="2" spans="1:9" ht="17.399999999999999" x14ac:dyDescent="0.3">
      <c r="A2" s="91" t="s">
        <v>103</v>
      </c>
      <c r="B2" s="92"/>
      <c r="C2" s="92"/>
      <c r="D2" s="92"/>
      <c r="E2" s="92"/>
      <c r="F2" s="92"/>
      <c r="G2" s="92"/>
      <c r="H2" s="92"/>
      <c r="I2" s="93"/>
    </row>
    <row r="3" spans="1:9" ht="18" x14ac:dyDescent="0.3">
      <c r="A3" s="94" t="s">
        <v>102</v>
      </c>
      <c r="B3" s="95"/>
      <c r="C3" s="95"/>
      <c r="D3" s="95"/>
      <c r="E3" s="95"/>
      <c r="F3" s="95"/>
      <c r="G3" s="95"/>
      <c r="H3" s="95"/>
      <c r="I3" s="96"/>
    </row>
    <row r="4" spans="1:9" ht="18" thickBot="1" x14ac:dyDescent="0.35">
      <c r="A4" s="97" t="s">
        <v>101</v>
      </c>
      <c r="B4" s="98"/>
      <c r="C4" s="98"/>
      <c r="D4" s="98"/>
      <c r="E4" s="98"/>
      <c r="F4" s="98"/>
      <c r="G4" s="98"/>
      <c r="H4" s="98"/>
      <c r="I4" s="99"/>
    </row>
    <row r="5" spans="1:9" ht="51.75" customHeight="1" thickBot="1" x14ac:dyDescent="0.35">
      <c r="A5" s="100" t="s">
        <v>100</v>
      </c>
      <c r="B5" s="101"/>
      <c r="C5" s="101"/>
      <c r="D5" s="102"/>
      <c r="E5" s="102"/>
      <c r="F5" s="102"/>
      <c r="G5" s="102"/>
      <c r="H5" s="102"/>
      <c r="I5" s="103"/>
    </row>
    <row r="6" spans="1:9" ht="33" customHeight="1" thickBot="1" x14ac:dyDescent="0.35">
      <c r="A6" s="84" t="s">
        <v>99</v>
      </c>
      <c r="B6" s="74"/>
      <c r="C6" s="74"/>
      <c r="D6" s="86" t="s">
        <v>98</v>
      </c>
      <c r="E6" s="87"/>
      <c r="F6" s="86" t="s">
        <v>97</v>
      </c>
      <c r="G6" s="87"/>
      <c r="H6" s="86" t="s">
        <v>96</v>
      </c>
      <c r="I6" s="87"/>
    </row>
    <row r="7" spans="1:9" x14ac:dyDescent="0.3">
      <c r="A7" s="84"/>
      <c r="B7" s="72"/>
      <c r="C7" s="72"/>
      <c r="D7" s="73" t="s">
        <v>95</v>
      </c>
      <c r="E7" s="72" t="s">
        <v>94</v>
      </c>
      <c r="F7" s="72" t="s">
        <v>95</v>
      </c>
      <c r="G7" s="72" t="s">
        <v>94</v>
      </c>
      <c r="H7" s="72" t="s">
        <v>95</v>
      </c>
      <c r="I7" s="72" t="s">
        <v>94</v>
      </c>
    </row>
    <row r="8" spans="1:9" x14ac:dyDescent="0.3">
      <c r="A8" s="84"/>
      <c r="B8" s="72"/>
      <c r="C8" s="72"/>
      <c r="D8" s="72" t="s">
        <v>93</v>
      </c>
      <c r="E8" s="72" t="s">
        <v>92</v>
      </c>
      <c r="F8" s="72" t="s">
        <v>93</v>
      </c>
      <c r="G8" s="72" t="s">
        <v>92</v>
      </c>
      <c r="H8" s="72" t="s">
        <v>93</v>
      </c>
      <c r="I8" s="72" t="s">
        <v>92</v>
      </c>
    </row>
    <row r="9" spans="1:9" x14ac:dyDescent="0.3">
      <c r="A9" s="84"/>
      <c r="B9" s="72"/>
      <c r="C9" s="72"/>
      <c r="D9" s="73" t="s">
        <v>91</v>
      </c>
      <c r="E9" s="72" t="s">
        <v>90</v>
      </c>
      <c r="F9" s="72" t="s">
        <v>91</v>
      </c>
      <c r="G9" s="72" t="s">
        <v>90</v>
      </c>
      <c r="H9" s="72" t="s">
        <v>91</v>
      </c>
      <c r="I9" s="72" t="s">
        <v>90</v>
      </c>
    </row>
    <row r="10" spans="1:9" ht="27" thickBot="1" x14ac:dyDescent="0.35">
      <c r="A10" s="85"/>
      <c r="B10" s="71" t="s">
        <v>89</v>
      </c>
      <c r="C10" s="71" t="s">
        <v>88</v>
      </c>
      <c r="D10" s="70" t="s">
        <v>87</v>
      </c>
      <c r="E10" s="70" t="s">
        <v>87</v>
      </c>
      <c r="F10" s="70" t="s">
        <v>87</v>
      </c>
      <c r="G10" s="70" t="s">
        <v>87</v>
      </c>
      <c r="H10" s="70" t="s">
        <v>87</v>
      </c>
      <c r="I10" s="70" t="s">
        <v>87</v>
      </c>
    </row>
    <row r="11" spans="1:9" ht="15" thickBot="1" x14ac:dyDescent="0.35">
      <c r="A11" s="67" t="s">
        <v>86</v>
      </c>
      <c r="B11" s="69">
        <v>45</v>
      </c>
      <c r="C11" s="69">
        <v>59</v>
      </c>
      <c r="D11" s="68">
        <v>0.04</v>
      </c>
      <c r="E11" s="68">
        <v>0.03</v>
      </c>
      <c r="F11" s="68">
        <v>0.04</v>
      </c>
      <c r="G11" s="68">
        <v>0.03</v>
      </c>
      <c r="H11" s="68">
        <v>0.03</v>
      </c>
      <c r="I11" s="68">
        <v>0.03</v>
      </c>
    </row>
    <row r="12" spans="1:9" ht="36.75" customHeight="1" thickBot="1" x14ac:dyDescent="0.35">
      <c r="A12" s="67" t="s">
        <v>85</v>
      </c>
      <c r="B12" s="69">
        <v>60</v>
      </c>
      <c r="C12" s="69">
        <v>64</v>
      </c>
      <c r="D12" s="68">
        <v>0.05</v>
      </c>
      <c r="E12" s="68">
        <v>0.03</v>
      </c>
      <c r="F12" s="68">
        <v>0.05</v>
      </c>
      <c r="G12" s="68">
        <v>0.03</v>
      </c>
      <c r="H12" s="68">
        <v>3.5000000000000003E-2</v>
      </c>
      <c r="I12" s="68">
        <v>3.5000000000000003E-2</v>
      </c>
    </row>
    <row r="13" spans="1:9" ht="33.75" customHeight="1" thickBot="1" x14ac:dyDescent="0.35">
      <c r="A13" s="67" t="s">
        <v>84</v>
      </c>
      <c r="B13" s="69">
        <v>65</v>
      </c>
      <c r="C13" s="69">
        <v>71</v>
      </c>
      <c r="D13" s="68">
        <v>6.25E-2</v>
      </c>
      <c r="E13" s="68">
        <v>0.04</v>
      </c>
      <c r="F13" s="68">
        <v>7.4999999999999997E-2</v>
      </c>
      <c r="G13" s="68">
        <v>0.03</v>
      </c>
      <c r="H13" s="68">
        <v>0.05</v>
      </c>
      <c r="I13" s="68">
        <v>0.05</v>
      </c>
    </row>
    <row r="14" spans="1:9" ht="43.5" customHeight="1" thickBot="1" x14ac:dyDescent="0.35">
      <c r="A14" s="67" t="s">
        <v>83</v>
      </c>
      <c r="B14" s="69">
        <v>72</v>
      </c>
      <c r="C14" s="69">
        <v>99</v>
      </c>
      <c r="D14" s="68">
        <v>6.7500000000000004E-2</v>
      </c>
      <c r="E14" s="68">
        <v>0.04</v>
      </c>
      <c r="F14" s="68">
        <v>0.08</v>
      </c>
      <c r="G14" s="68">
        <v>0.03</v>
      </c>
      <c r="H14" s="68">
        <v>5.2499999999999998E-2</v>
      </c>
      <c r="I14" s="68">
        <v>5.2499999999999998E-2</v>
      </c>
    </row>
    <row r="15" spans="1:9" ht="41.25" customHeight="1" thickBot="1" x14ac:dyDescent="0.35">
      <c r="A15" s="67" t="s">
        <v>82</v>
      </c>
      <c r="B15" s="66">
        <v>45</v>
      </c>
      <c r="C15" s="66">
        <v>59</v>
      </c>
      <c r="D15" s="65">
        <v>3.5000000000000003E-2</v>
      </c>
      <c r="E15" s="65">
        <v>0.03</v>
      </c>
      <c r="F15" s="65">
        <v>3.5000000000000003E-2</v>
      </c>
      <c r="G15" s="65">
        <v>0.03</v>
      </c>
      <c r="H15" s="65">
        <v>2.75E-2</v>
      </c>
      <c r="I15" s="65">
        <v>2.75E-2</v>
      </c>
    </row>
    <row r="16" spans="1:9" ht="36" customHeight="1" thickBot="1" x14ac:dyDescent="0.35">
      <c r="A16" s="67" t="s">
        <v>81</v>
      </c>
      <c r="B16" s="66">
        <v>60</v>
      </c>
      <c r="C16" s="66">
        <v>64</v>
      </c>
      <c r="D16" s="65">
        <v>4.4999999999999998E-2</v>
      </c>
      <c r="E16" s="65">
        <v>0.03</v>
      </c>
      <c r="F16" s="65">
        <v>4.4999999999999998E-2</v>
      </c>
      <c r="G16" s="65">
        <v>0.03</v>
      </c>
      <c r="H16" s="65">
        <v>3.2500000000000001E-2</v>
      </c>
      <c r="I16" s="65">
        <v>3.2500000000000001E-2</v>
      </c>
    </row>
    <row r="17" spans="1:9" ht="37.5" customHeight="1" thickBot="1" x14ac:dyDescent="0.35">
      <c r="A17" s="67" t="s">
        <v>80</v>
      </c>
      <c r="B17" s="66">
        <v>65</v>
      </c>
      <c r="C17" s="66">
        <v>71</v>
      </c>
      <c r="D17" s="65">
        <v>5.7500000000000002E-2</v>
      </c>
      <c r="E17" s="65">
        <v>0.04</v>
      </c>
      <c r="F17" s="65">
        <v>7.0000000000000007E-2</v>
      </c>
      <c r="G17" s="65">
        <v>0.03</v>
      </c>
      <c r="H17" s="65">
        <v>4.4999999999999998E-2</v>
      </c>
      <c r="I17" s="65">
        <v>4.4999999999999998E-2</v>
      </c>
    </row>
    <row r="18" spans="1:9" ht="31.5" customHeight="1" thickBot="1" x14ac:dyDescent="0.35">
      <c r="A18" s="67" t="s">
        <v>79</v>
      </c>
      <c r="B18" s="66">
        <v>72</v>
      </c>
      <c r="C18" s="66">
        <v>99</v>
      </c>
      <c r="D18" s="65">
        <v>6.25E-2</v>
      </c>
      <c r="E18" s="65">
        <v>0.04</v>
      </c>
      <c r="F18" s="65">
        <v>7.4999999999999997E-2</v>
      </c>
      <c r="G18" s="65">
        <v>0.03</v>
      </c>
      <c r="H18" s="65">
        <v>4.7500000000000001E-2</v>
      </c>
      <c r="I18" s="65">
        <v>4.7500000000000001E-2</v>
      </c>
    </row>
    <row r="19" spans="1:9" x14ac:dyDescent="0.3">
      <c r="A19" s="64" t="s">
        <v>78</v>
      </c>
      <c r="B19" s="64"/>
      <c r="C19" s="64"/>
    </row>
    <row r="20" spans="1:9" x14ac:dyDescent="0.3">
      <c r="A20" s="64" t="s">
        <v>77</v>
      </c>
      <c r="B20" s="64"/>
      <c r="C20" s="64"/>
    </row>
    <row r="21" spans="1:9" x14ac:dyDescent="0.3">
      <c r="A21" s="64" t="s">
        <v>76</v>
      </c>
      <c r="B21" s="64"/>
      <c r="C21" s="64"/>
    </row>
    <row r="22" spans="1:9" x14ac:dyDescent="0.3">
      <c r="A22" s="63" t="s">
        <v>75</v>
      </c>
      <c r="B22" s="63"/>
      <c r="C22" s="63"/>
    </row>
  </sheetData>
  <mergeCells count="9">
    <mergeCell ref="A6:A10"/>
    <mergeCell ref="D6:E6"/>
    <mergeCell ref="F6:G6"/>
    <mergeCell ref="H6:I6"/>
    <mergeCell ref="A1:I1"/>
    <mergeCell ref="A2:I2"/>
    <mergeCell ref="A3:I3"/>
    <mergeCell ref="A4:I4"/>
    <mergeCell ref="A5:I5"/>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DB6BF-FFAB-43F0-801B-4F479D8396A0}">
  <sheetPr>
    <tabColor rgb="FFFFFF00"/>
  </sheetPr>
  <dimension ref="A2:J101"/>
  <sheetViews>
    <sheetView zoomScale="90" zoomScaleNormal="90" workbookViewId="0">
      <pane xSplit="2" ySplit="2" topLeftCell="E3" activePane="bottomRight" state="frozen"/>
      <selection pane="topRight" activeCell="C1" sqref="C1"/>
      <selection pane="bottomLeft" activeCell="A3" sqref="A3"/>
      <selection pane="bottomRight" activeCell="J14" sqref="J14:J19"/>
    </sheetView>
  </sheetViews>
  <sheetFormatPr defaultRowHeight="14.4" x14ac:dyDescent="0.3"/>
  <cols>
    <col min="2" max="2" width="21.5546875" bestFit="1" customWidth="1"/>
    <col min="3" max="3" width="75.5546875" bestFit="1" customWidth="1"/>
    <col min="4" max="4" width="46.109375" customWidth="1"/>
    <col min="5" max="5" width="49.88671875" customWidth="1"/>
    <col min="6" max="6" width="19.6640625" bestFit="1" customWidth="1"/>
    <col min="7" max="7" width="52.6640625" customWidth="1"/>
    <col min="8" max="8" width="18.109375" customWidth="1"/>
    <col min="9" max="9" width="37.5546875" customWidth="1"/>
    <col min="10" max="10" width="15" customWidth="1"/>
  </cols>
  <sheetData>
    <row r="2" spans="1:10" ht="16.5" customHeight="1" x14ac:dyDescent="0.3">
      <c r="A2" s="51" t="s">
        <v>65</v>
      </c>
      <c r="B2" s="51" t="s">
        <v>64</v>
      </c>
      <c r="C2" s="79" t="s">
        <v>119</v>
      </c>
      <c r="D2" s="51" t="s">
        <v>177</v>
      </c>
      <c r="E2" s="51" t="s">
        <v>176</v>
      </c>
      <c r="F2" s="51" t="s">
        <v>175</v>
      </c>
      <c r="G2" s="51" t="s">
        <v>174</v>
      </c>
      <c r="H2" s="51" t="s">
        <v>173</v>
      </c>
      <c r="I2" s="51" t="s">
        <v>172</v>
      </c>
      <c r="J2" s="51" t="s">
        <v>171</v>
      </c>
    </row>
    <row r="3" spans="1:10" ht="57.6" x14ac:dyDescent="0.3">
      <c r="A3">
        <v>0</v>
      </c>
      <c r="B3" t="s">
        <v>49</v>
      </c>
      <c r="C3" t="s">
        <v>170</v>
      </c>
      <c r="D3" s="3" t="s">
        <v>169</v>
      </c>
      <c r="E3" s="3" t="s">
        <v>168</v>
      </c>
      <c r="F3" t="s">
        <v>163</v>
      </c>
      <c r="G3" t="s">
        <v>167</v>
      </c>
      <c r="H3" s="10">
        <v>2313827.4812808409</v>
      </c>
      <c r="I3" s="10">
        <v>2313827.4812808409</v>
      </c>
      <c r="J3" s="10">
        <v>0</v>
      </c>
    </row>
    <row r="4" spans="1:10" x14ac:dyDescent="0.3">
      <c r="A4">
        <v>1</v>
      </c>
      <c r="B4" t="s">
        <v>166</v>
      </c>
      <c r="D4" s="3"/>
      <c r="E4" s="3"/>
      <c r="F4" t="s">
        <v>121</v>
      </c>
      <c r="H4" s="10"/>
      <c r="I4" s="78"/>
      <c r="J4" s="10"/>
    </row>
    <row r="5" spans="1:10" ht="72" x14ac:dyDescent="0.3">
      <c r="A5">
        <v>2</v>
      </c>
      <c r="B5" t="s">
        <v>47</v>
      </c>
      <c r="C5" t="s">
        <v>165</v>
      </c>
      <c r="D5" s="3" t="s">
        <v>164</v>
      </c>
      <c r="E5" s="3" t="s">
        <v>160</v>
      </c>
      <c r="F5" t="s">
        <v>163</v>
      </c>
      <c r="G5" t="s">
        <v>159</v>
      </c>
      <c r="H5" s="10">
        <v>1578993.2281952591</v>
      </c>
      <c r="I5" s="78">
        <v>2313827.48128084</v>
      </c>
      <c r="J5" s="10">
        <v>-734834.25308558182</v>
      </c>
    </row>
    <row r="6" spans="1:10" ht="72" x14ac:dyDescent="0.3">
      <c r="A6">
        <v>3</v>
      </c>
      <c r="B6" t="s">
        <v>46</v>
      </c>
      <c r="C6" t="s">
        <v>162</v>
      </c>
      <c r="D6" s="3" t="s">
        <v>161</v>
      </c>
      <c r="E6" s="3" t="s">
        <v>160</v>
      </c>
      <c r="F6" t="s">
        <v>121</v>
      </c>
      <c r="G6" t="s">
        <v>159</v>
      </c>
      <c r="H6" s="10">
        <v>1578993.2281952591</v>
      </c>
      <c r="I6" s="78">
        <v>2313827.48128084</v>
      </c>
      <c r="J6" s="10">
        <v>-734834.25308558182</v>
      </c>
    </row>
    <row r="7" spans="1:10" ht="72" x14ac:dyDescent="0.3">
      <c r="A7">
        <v>4</v>
      </c>
      <c r="B7" t="s">
        <v>45</v>
      </c>
      <c r="C7" t="s">
        <v>158</v>
      </c>
      <c r="D7" s="3" t="s">
        <v>157</v>
      </c>
      <c r="E7" s="3" t="s">
        <v>154</v>
      </c>
      <c r="F7" t="s">
        <v>121</v>
      </c>
      <c r="G7" t="s">
        <v>153</v>
      </c>
      <c r="H7" s="10">
        <v>1578993.2281952591</v>
      </c>
      <c r="I7" s="78">
        <v>2313827.48128084</v>
      </c>
      <c r="J7" s="10">
        <v>-734834.25308558182</v>
      </c>
    </row>
    <row r="8" spans="1:10" ht="43.2" x14ac:dyDescent="0.3">
      <c r="A8">
        <v>5</v>
      </c>
      <c r="B8" t="s">
        <v>44</v>
      </c>
      <c r="C8" t="s">
        <v>156</v>
      </c>
      <c r="D8" t="s">
        <v>155</v>
      </c>
      <c r="E8" s="3" t="s">
        <v>154</v>
      </c>
      <c r="F8" t="s">
        <v>121</v>
      </c>
      <c r="G8" t="s">
        <v>153</v>
      </c>
      <c r="H8" s="10">
        <v>1578993.2281952591</v>
      </c>
      <c r="I8" s="78">
        <v>2313827.48128084</v>
      </c>
      <c r="J8" s="10">
        <v>-734834.25308558182</v>
      </c>
    </row>
    <row r="9" spans="1:10" ht="57.6" x14ac:dyDescent="0.3">
      <c r="A9">
        <v>6</v>
      </c>
      <c r="B9" t="s">
        <v>43</v>
      </c>
      <c r="C9" t="s">
        <v>152</v>
      </c>
      <c r="D9" s="3" t="s">
        <v>151</v>
      </c>
      <c r="E9" s="3" t="s">
        <v>138</v>
      </c>
      <c r="F9" t="s">
        <v>121</v>
      </c>
      <c r="G9" t="s">
        <v>137</v>
      </c>
      <c r="H9" s="10">
        <v>1578993.2281952591</v>
      </c>
      <c r="I9" s="78">
        <v>2313827.48128084</v>
      </c>
      <c r="J9" s="10">
        <v>-734834.25308558182</v>
      </c>
    </row>
    <row r="10" spans="1:10" ht="57.6" x14ac:dyDescent="0.3">
      <c r="A10">
        <v>7</v>
      </c>
      <c r="B10" t="s">
        <v>42</v>
      </c>
      <c r="C10" t="s">
        <v>150</v>
      </c>
      <c r="D10" s="3" t="s">
        <v>149</v>
      </c>
      <c r="E10" s="3" t="s">
        <v>148</v>
      </c>
      <c r="F10" t="s">
        <v>121</v>
      </c>
      <c r="G10" t="s">
        <v>147</v>
      </c>
      <c r="H10" s="10">
        <v>1578993.2281952591</v>
      </c>
      <c r="I10" s="78">
        <v>2313827.48128084</v>
      </c>
      <c r="J10" s="10">
        <v>-734834.25308558182</v>
      </c>
    </row>
    <row r="11" spans="1:10" ht="72" x14ac:dyDescent="0.3">
      <c r="A11">
        <v>8</v>
      </c>
      <c r="B11" t="s">
        <v>41</v>
      </c>
      <c r="C11" t="s">
        <v>146</v>
      </c>
      <c r="D11" s="3" t="s">
        <v>145</v>
      </c>
      <c r="E11" s="3" t="s">
        <v>138</v>
      </c>
      <c r="F11" t="s">
        <v>121</v>
      </c>
      <c r="G11" t="s">
        <v>137</v>
      </c>
      <c r="H11" s="10">
        <v>1578993.2281952591</v>
      </c>
      <c r="I11" s="78">
        <v>2313827.48128084</v>
      </c>
      <c r="J11" s="10">
        <v>-734834.25308558182</v>
      </c>
    </row>
    <row r="12" spans="1:10" ht="72" x14ac:dyDescent="0.3">
      <c r="A12">
        <v>9</v>
      </c>
      <c r="B12" t="s">
        <v>40</v>
      </c>
      <c r="C12" t="s">
        <v>144</v>
      </c>
      <c r="D12" s="3" t="s">
        <v>143</v>
      </c>
      <c r="E12" s="3" t="s">
        <v>138</v>
      </c>
      <c r="F12" t="s">
        <v>121</v>
      </c>
      <c r="G12" t="s">
        <v>137</v>
      </c>
      <c r="H12" s="10">
        <v>1578993.2281952591</v>
      </c>
      <c r="I12" s="78">
        <v>2313827.48128084</v>
      </c>
      <c r="J12" s="10">
        <v>-734834.25308558182</v>
      </c>
    </row>
    <row r="13" spans="1:10" ht="72" x14ac:dyDescent="0.3">
      <c r="A13">
        <v>10</v>
      </c>
      <c r="B13" t="s">
        <v>39</v>
      </c>
      <c r="C13" t="s">
        <v>142</v>
      </c>
      <c r="D13" s="3" t="s">
        <v>141</v>
      </c>
      <c r="E13" s="3" t="s">
        <v>138</v>
      </c>
      <c r="F13" t="s">
        <v>121</v>
      </c>
      <c r="G13" t="s">
        <v>137</v>
      </c>
      <c r="H13" s="10">
        <v>1578993.2281952591</v>
      </c>
      <c r="I13" s="78">
        <v>2313827.48128084</v>
      </c>
      <c r="J13" s="10">
        <v>-734834.25308558182</v>
      </c>
    </row>
    <row r="14" spans="1:10" ht="15" customHeight="1" x14ac:dyDescent="0.3">
      <c r="A14">
        <v>11</v>
      </c>
      <c r="B14" t="s">
        <v>38</v>
      </c>
      <c r="C14" t="s">
        <v>140</v>
      </c>
      <c r="D14" s="3" t="s">
        <v>139</v>
      </c>
      <c r="E14" s="3" t="s">
        <v>138</v>
      </c>
      <c r="F14" t="s">
        <v>121</v>
      </c>
      <c r="G14" t="s">
        <v>137</v>
      </c>
      <c r="H14" s="10">
        <v>1578993.2281952591</v>
      </c>
      <c r="I14" s="78">
        <v>2313827.48128084</v>
      </c>
      <c r="J14" s="10">
        <v>-734834.25308558182</v>
      </c>
    </row>
    <row r="15" spans="1:10" ht="72" x14ac:dyDescent="0.3">
      <c r="A15">
        <v>12</v>
      </c>
      <c r="B15" t="s">
        <v>37</v>
      </c>
      <c r="C15" t="s">
        <v>136</v>
      </c>
      <c r="D15" s="3" t="s">
        <v>135</v>
      </c>
      <c r="E15" s="3" t="s">
        <v>132</v>
      </c>
      <c r="F15" t="s">
        <v>121</v>
      </c>
      <c r="G15" t="s">
        <v>131</v>
      </c>
      <c r="H15" s="10">
        <v>1578993.2281952591</v>
      </c>
      <c r="I15" s="78">
        <v>2313827.48128084</v>
      </c>
      <c r="J15" s="10">
        <v>-734834.25308558182</v>
      </c>
    </row>
    <row r="16" spans="1:10" ht="72" x14ac:dyDescent="0.3">
      <c r="A16">
        <v>13</v>
      </c>
      <c r="B16" t="s">
        <v>36</v>
      </c>
      <c r="C16" t="s">
        <v>134</v>
      </c>
      <c r="D16" s="3" t="s">
        <v>133</v>
      </c>
      <c r="E16" s="3" t="s">
        <v>132</v>
      </c>
      <c r="F16" t="s">
        <v>121</v>
      </c>
      <c r="G16" t="s">
        <v>131</v>
      </c>
      <c r="H16" s="10">
        <v>1578993.2281952591</v>
      </c>
      <c r="I16" s="78">
        <v>2313827.48128084</v>
      </c>
      <c r="J16" s="10">
        <v>-734834.25308558182</v>
      </c>
    </row>
    <row r="17" spans="1:10" ht="43.2" x14ac:dyDescent="0.3">
      <c r="A17">
        <v>14</v>
      </c>
      <c r="B17" t="s">
        <v>35</v>
      </c>
      <c r="C17" t="s">
        <v>130</v>
      </c>
      <c r="D17" s="3" t="s">
        <v>123</v>
      </c>
      <c r="E17" s="3" t="s">
        <v>129</v>
      </c>
      <c r="F17" t="s">
        <v>121</v>
      </c>
      <c r="G17" t="s">
        <v>128</v>
      </c>
      <c r="H17" s="10">
        <v>1578993.2281952591</v>
      </c>
      <c r="I17" s="78">
        <v>2313827.48128084</v>
      </c>
      <c r="J17" s="10">
        <v>-734834.25308558182</v>
      </c>
    </row>
    <row r="18" spans="1:10" ht="43.2" x14ac:dyDescent="0.3">
      <c r="A18">
        <v>15</v>
      </c>
      <c r="B18" t="s">
        <v>34</v>
      </c>
      <c r="C18" t="s">
        <v>127</v>
      </c>
      <c r="D18" s="3" t="s">
        <v>123</v>
      </c>
      <c r="E18" s="3" t="s">
        <v>126</v>
      </c>
      <c r="F18" t="s">
        <v>121</v>
      </c>
      <c r="G18" t="s">
        <v>125</v>
      </c>
      <c r="H18" s="10">
        <v>1578993.2281952591</v>
      </c>
      <c r="I18" s="78">
        <v>2313827.48128084</v>
      </c>
      <c r="J18" s="10">
        <v>-734834.25308558182</v>
      </c>
    </row>
    <row r="19" spans="1:10" ht="43.2" x14ac:dyDescent="0.3">
      <c r="A19">
        <v>16</v>
      </c>
      <c r="B19" t="s">
        <v>32</v>
      </c>
      <c r="C19" t="s">
        <v>124</v>
      </c>
      <c r="D19" s="3" t="s">
        <v>123</v>
      </c>
      <c r="E19" s="3" t="s">
        <v>122</v>
      </c>
      <c r="F19" t="s">
        <v>121</v>
      </c>
      <c r="G19" t="s">
        <v>120</v>
      </c>
      <c r="H19" s="10">
        <v>1578993.2281952591</v>
      </c>
      <c r="I19" s="78">
        <v>2313827.48128084</v>
      </c>
      <c r="J19" s="10">
        <v>-734834.25308558182</v>
      </c>
    </row>
    <row r="20" spans="1:10" x14ac:dyDescent="0.3">
      <c r="A20" t="str">
        <f>IF(NOT(ISBLANK('[1]Test Cases'!A19)),'[1]Test Cases'!A19,"")</f>
        <v/>
      </c>
      <c r="B20" t="str">
        <f>IF(NOT(ISBLANK('[1]Test Cases'!B19)),'[1]Test Cases'!B19,"")</f>
        <v/>
      </c>
    </row>
    <row r="21" spans="1:10" x14ac:dyDescent="0.3">
      <c r="A21" t="str">
        <f>IF(NOT(ISBLANK('[1]Test Cases'!A20)),'[1]Test Cases'!A20,"")</f>
        <v/>
      </c>
      <c r="B21" t="str">
        <f>IF(NOT(ISBLANK('[1]Test Cases'!B20)),'[1]Test Cases'!B20,"")</f>
        <v/>
      </c>
    </row>
    <row r="22" spans="1:10" x14ac:dyDescent="0.3">
      <c r="A22" t="str">
        <f>IF(NOT(ISBLANK('[1]Test Cases'!A21)),'[1]Test Cases'!A21,"")</f>
        <v/>
      </c>
      <c r="B22" t="str">
        <f>IF(NOT(ISBLANK('[1]Test Cases'!B21)),'[1]Test Cases'!B21,"")</f>
        <v/>
      </c>
    </row>
    <row r="23" spans="1:10" x14ac:dyDescent="0.3">
      <c r="A23" t="str">
        <f>IF(NOT(ISBLANK('[1]Test Cases'!A22)),'[1]Test Cases'!A22,"")</f>
        <v/>
      </c>
      <c r="B23" t="str">
        <f>IF(NOT(ISBLANK('[1]Test Cases'!B22)),'[1]Test Cases'!B22,"")</f>
        <v/>
      </c>
    </row>
    <row r="24" spans="1:10" x14ac:dyDescent="0.3">
      <c r="A24" t="str">
        <f>IF(NOT(ISBLANK('[1]Test Cases'!A23)),'[1]Test Cases'!A23,"")</f>
        <v/>
      </c>
      <c r="B24" t="str">
        <f>IF(NOT(ISBLANK('[1]Test Cases'!B23)),'[1]Test Cases'!B23,"")</f>
        <v/>
      </c>
    </row>
    <row r="25" spans="1:10" x14ac:dyDescent="0.3">
      <c r="A25" t="str">
        <f>IF(NOT(ISBLANK('[1]Test Cases'!A24)),'[1]Test Cases'!A24,"")</f>
        <v/>
      </c>
      <c r="B25" t="str">
        <f>IF(NOT(ISBLANK('[1]Test Cases'!B24)),'[1]Test Cases'!B24,"")</f>
        <v/>
      </c>
    </row>
    <row r="26" spans="1:10" x14ac:dyDescent="0.3">
      <c r="A26" t="str">
        <f>IF(NOT(ISBLANK('[1]Test Cases'!A25)),'[1]Test Cases'!A25,"")</f>
        <v/>
      </c>
      <c r="B26" t="str">
        <f>IF(NOT(ISBLANK('[1]Test Cases'!B25)),'[1]Test Cases'!B25,"")</f>
        <v/>
      </c>
    </row>
    <row r="27" spans="1:10" x14ac:dyDescent="0.3">
      <c r="A27" t="str">
        <f>IF(NOT(ISBLANK('[1]Test Cases'!A26)),'[1]Test Cases'!A26,"")</f>
        <v/>
      </c>
      <c r="B27" t="str">
        <f>IF(NOT(ISBLANK('[1]Test Cases'!B26)),'[1]Test Cases'!B26,"")</f>
        <v/>
      </c>
    </row>
    <row r="28" spans="1:10" x14ac:dyDescent="0.3">
      <c r="A28" t="str">
        <f>IF(NOT(ISBLANK('[1]Test Cases'!A27)),'[1]Test Cases'!A27,"")</f>
        <v/>
      </c>
      <c r="B28" t="str">
        <f>IF(NOT(ISBLANK('[1]Test Cases'!B27)),'[1]Test Cases'!B27,"")</f>
        <v/>
      </c>
    </row>
    <row r="29" spans="1:10" x14ac:dyDescent="0.3">
      <c r="A29" t="str">
        <f>IF(NOT(ISBLANK('[1]Test Cases'!A28)),'[1]Test Cases'!A28,"")</f>
        <v/>
      </c>
      <c r="B29" t="str">
        <f>IF(NOT(ISBLANK('[1]Test Cases'!B28)),'[1]Test Cases'!B28,"")</f>
        <v/>
      </c>
    </row>
    <row r="30" spans="1:10" x14ac:dyDescent="0.3">
      <c r="A30" t="str">
        <f>IF(NOT(ISBLANK('[1]Test Cases'!A29)),'[1]Test Cases'!A29,"")</f>
        <v/>
      </c>
      <c r="B30" t="str">
        <f>IF(NOT(ISBLANK('[1]Test Cases'!B29)),'[1]Test Cases'!B29,"")</f>
        <v/>
      </c>
    </row>
    <row r="31" spans="1:10" x14ac:dyDescent="0.3">
      <c r="A31" t="str">
        <f>IF(NOT(ISBLANK('[1]Test Cases'!A30)),'[1]Test Cases'!A30,"")</f>
        <v/>
      </c>
      <c r="B31" t="str">
        <f>IF(NOT(ISBLANK('[1]Test Cases'!B30)),'[1]Test Cases'!B30,"")</f>
        <v/>
      </c>
    </row>
    <row r="32" spans="1:10" x14ac:dyDescent="0.3">
      <c r="A32" t="str">
        <f>IF(NOT(ISBLANK('[1]Test Cases'!A31)),'[1]Test Cases'!A31,"")</f>
        <v/>
      </c>
      <c r="B32" t="str">
        <f>IF(NOT(ISBLANK('[1]Test Cases'!B31)),'[1]Test Cases'!B31,"")</f>
        <v/>
      </c>
    </row>
    <row r="33" spans="1:2" x14ac:dyDescent="0.3">
      <c r="A33" t="str">
        <f>IF(NOT(ISBLANK('[1]Test Cases'!A32)),'[1]Test Cases'!A32,"")</f>
        <v/>
      </c>
      <c r="B33" t="str">
        <f>IF(NOT(ISBLANK('[1]Test Cases'!B32)),'[1]Test Cases'!B32,"")</f>
        <v/>
      </c>
    </row>
    <row r="34" spans="1:2" x14ac:dyDescent="0.3">
      <c r="A34" t="str">
        <f>IF(NOT(ISBLANK('[1]Test Cases'!A33)),'[1]Test Cases'!A33,"")</f>
        <v/>
      </c>
      <c r="B34" t="str">
        <f>IF(NOT(ISBLANK('[1]Test Cases'!B33)),'[1]Test Cases'!B33,"")</f>
        <v/>
      </c>
    </row>
    <row r="35" spans="1:2" x14ac:dyDescent="0.3">
      <c r="A35" t="str">
        <f>IF(NOT(ISBLANK('[1]Test Cases'!A34)),'[1]Test Cases'!A34,"")</f>
        <v/>
      </c>
      <c r="B35" t="str">
        <f>IF(NOT(ISBLANK('[1]Test Cases'!B34)),'[1]Test Cases'!B34,"")</f>
        <v/>
      </c>
    </row>
    <row r="36" spans="1:2" x14ac:dyDescent="0.3">
      <c r="A36" t="str">
        <f>IF(NOT(ISBLANK('[1]Test Cases'!A35)),'[1]Test Cases'!A35,"")</f>
        <v/>
      </c>
      <c r="B36" t="str">
        <f>IF(NOT(ISBLANK('[1]Test Cases'!B35)),'[1]Test Cases'!B35,"")</f>
        <v/>
      </c>
    </row>
    <row r="37" spans="1:2" x14ac:dyDescent="0.3">
      <c r="A37" t="str">
        <f>IF(NOT(ISBLANK('[1]Test Cases'!A36)),'[1]Test Cases'!A36,"")</f>
        <v/>
      </c>
      <c r="B37" t="str">
        <f>IF(NOT(ISBLANK('[1]Test Cases'!B36)),'[1]Test Cases'!B36,"")</f>
        <v/>
      </c>
    </row>
    <row r="38" spans="1:2" x14ac:dyDescent="0.3">
      <c r="A38" t="str">
        <f>IF(NOT(ISBLANK('[1]Test Cases'!A37)),'[1]Test Cases'!A37,"")</f>
        <v/>
      </c>
      <c r="B38" t="str">
        <f>IF(NOT(ISBLANK('[1]Test Cases'!B37)),'[1]Test Cases'!B37,"")</f>
        <v/>
      </c>
    </row>
    <row r="39" spans="1:2" x14ac:dyDescent="0.3">
      <c r="A39" t="str">
        <f>IF(NOT(ISBLANK('[1]Test Cases'!A38)),'[1]Test Cases'!A38,"")</f>
        <v/>
      </c>
      <c r="B39" t="str">
        <f>IF(NOT(ISBLANK('[1]Test Cases'!B38)),'[1]Test Cases'!B38,"")</f>
        <v/>
      </c>
    </row>
    <row r="40" spans="1:2" x14ac:dyDescent="0.3">
      <c r="A40" t="str">
        <f>IF(NOT(ISBLANK('[1]Test Cases'!A39)),'[1]Test Cases'!A39,"")</f>
        <v/>
      </c>
      <c r="B40" t="str">
        <f>IF(NOT(ISBLANK('[1]Test Cases'!B39)),'[1]Test Cases'!B39,"")</f>
        <v/>
      </c>
    </row>
    <row r="41" spans="1:2" x14ac:dyDescent="0.3">
      <c r="A41" t="str">
        <f>IF(NOT(ISBLANK('[1]Test Cases'!A40)),'[1]Test Cases'!A40,"")</f>
        <v/>
      </c>
      <c r="B41" t="str">
        <f>IF(NOT(ISBLANK('[1]Test Cases'!B40)),'[1]Test Cases'!B40,"")</f>
        <v/>
      </c>
    </row>
    <row r="42" spans="1:2" x14ac:dyDescent="0.3">
      <c r="A42" t="str">
        <f>IF(NOT(ISBLANK('[1]Test Cases'!A41)),'[1]Test Cases'!A41,"")</f>
        <v/>
      </c>
      <c r="B42" t="str">
        <f>IF(NOT(ISBLANK('[1]Test Cases'!B41)),'[1]Test Cases'!B41,"")</f>
        <v/>
      </c>
    </row>
    <row r="43" spans="1:2" x14ac:dyDescent="0.3">
      <c r="A43" t="str">
        <f>IF(NOT(ISBLANK('[1]Test Cases'!A42)),'[1]Test Cases'!A42,"")</f>
        <v/>
      </c>
      <c r="B43" t="str">
        <f>IF(NOT(ISBLANK('[1]Test Cases'!B42)),'[1]Test Cases'!B42,"")</f>
        <v/>
      </c>
    </row>
    <row r="44" spans="1:2" x14ac:dyDescent="0.3">
      <c r="A44" t="str">
        <f>IF(NOT(ISBLANK('[1]Test Cases'!A43)),'[1]Test Cases'!A43,"")</f>
        <v/>
      </c>
      <c r="B44" t="str">
        <f>IF(NOT(ISBLANK('[1]Test Cases'!B43)),'[1]Test Cases'!B43,"")</f>
        <v/>
      </c>
    </row>
    <row r="45" spans="1:2" x14ac:dyDescent="0.3">
      <c r="A45" t="str">
        <f>IF(NOT(ISBLANK('[1]Test Cases'!A44)),'[1]Test Cases'!A44,"")</f>
        <v/>
      </c>
      <c r="B45" t="str">
        <f>IF(NOT(ISBLANK('[1]Test Cases'!B44)),'[1]Test Cases'!B44,"")</f>
        <v/>
      </c>
    </row>
    <row r="46" spans="1:2" x14ac:dyDescent="0.3">
      <c r="A46" t="str">
        <f>IF(NOT(ISBLANK('[1]Test Cases'!A45)),'[1]Test Cases'!A45,"")</f>
        <v/>
      </c>
      <c r="B46" t="str">
        <f>IF(NOT(ISBLANK('[1]Test Cases'!B45)),'[1]Test Cases'!B45,"")</f>
        <v/>
      </c>
    </row>
    <row r="47" spans="1:2" x14ac:dyDescent="0.3">
      <c r="A47" t="str">
        <f>IF(NOT(ISBLANK('[1]Test Cases'!A46)),'[1]Test Cases'!A46,"")</f>
        <v/>
      </c>
      <c r="B47" t="str">
        <f>IF(NOT(ISBLANK('[1]Test Cases'!B46)),'[1]Test Cases'!B46,"")</f>
        <v/>
      </c>
    </row>
    <row r="48" spans="1:2" x14ac:dyDescent="0.3">
      <c r="A48" t="str">
        <f>IF(NOT(ISBLANK('[1]Test Cases'!A47)),'[1]Test Cases'!A47,"")</f>
        <v/>
      </c>
      <c r="B48" t="str">
        <f>IF(NOT(ISBLANK('[1]Test Cases'!B47)),'[1]Test Cases'!B47,"")</f>
        <v/>
      </c>
    </row>
    <row r="49" spans="1:2" x14ac:dyDescent="0.3">
      <c r="A49" t="str">
        <f>IF(NOT(ISBLANK('[1]Test Cases'!A48)),'[1]Test Cases'!A48,"")</f>
        <v/>
      </c>
      <c r="B49" t="str">
        <f>IF(NOT(ISBLANK('[1]Test Cases'!B48)),'[1]Test Cases'!B48,"")</f>
        <v/>
      </c>
    </row>
    <row r="50" spans="1:2" x14ac:dyDescent="0.3">
      <c r="A50" t="str">
        <f>IF(NOT(ISBLANK('[1]Test Cases'!A49)),'[1]Test Cases'!A49,"")</f>
        <v/>
      </c>
      <c r="B50" t="str">
        <f>IF(NOT(ISBLANK('[1]Test Cases'!B49)),'[1]Test Cases'!B49,"")</f>
        <v/>
      </c>
    </row>
    <row r="51" spans="1:2" x14ac:dyDescent="0.3">
      <c r="A51" t="str">
        <f>IF(NOT(ISBLANK('[1]Test Cases'!A50)),'[1]Test Cases'!A50,"")</f>
        <v/>
      </c>
      <c r="B51" t="str">
        <f>IF(NOT(ISBLANK('[1]Test Cases'!B50)),'[1]Test Cases'!B50,"")</f>
        <v/>
      </c>
    </row>
    <row r="52" spans="1:2" x14ac:dyDescent="0.3">
      <c r="A52" t="str">
        <f>IF(NOT(ISBLANK('[1]Test Cases'!A51)),'[1]Test Cases'!A51,"")</f>
        <v/>
      </c>
      <c r="B52" t="str">
        <f>IF(NOT(ISBLANK('[1]Test Cases'!B51)),'[1]Test Cases'!B51,"")</f>
        <v/>
      </c>
    </row>
    <row r="53" spans="1:2" x14ac:dyDescent="0.3">
      <c r="A53" t="str">
        <f>IF(NOT(ISBLANK('[1]Test Cases'!A52)),'[1]Test Cases'!A52,"")</f>
        <v/>
      </c>
      <c r="B53" t="str">
        <f>IF(NOT(ISBLANK('[1]Test Cases'!B52)),'[1]Test Cases'!B52,"")</f>
        <v/>
      </c>
    </row>
    <row r="54" spans="1:2" x14ac:dyDescent="0.3">
      <c r="A54" t="str">
        <f>IF(NOT(ISBLANK('[1]Test Cases'!A53)),'[1]Test Cases'!A53,"")</f>
        <v/>
      </c>
      <c r="B54" t="str">
        <f>IF(NOT(ISBLANK('[1]Test Cases'!B53)),'[1]Test Cases'!B53,"")</f>
        <v/>
      </c>
    </row>
    <row r="55" spans="1:2" x14ac:dyDescent="0.3">
      <c r="A55" t="str">
        <f>IF(NOT(ISBLANK('[1]Test Cases'!A54)),'[1]Test Cases'!A54,"")</f>
        <v/>
      </c>
      <c r="B55" t="str">
        <f>IF(NOT(ISBLANK('[1]Test Cases'!B54)),'[1]Test Cases'!B54,"")</f>
        <v/>
      </c>
    </row>
    <row r="56" spans="1:2" x14ac:dyDescent="0.3">
      <c r="A56" t="str">
        <f>IF(NOT(ISBLANK('[1]Test Cases'!A55)),'[1]Test Cases'!A55,"")</f>
        <v/>
      </c>
      <c r="B56" t="str">
        <f>IF(NOT(ISBLANK('[1]Test Cases'!B55)),'[1]Test Cases'!B55,"")</f>
        <v/>
      </c>
    </row>
    <row r="57" spans="1:2" x14ac:dyDescent="0.3">
      <c r="A57" t="str">
        <f>IF(NOT(ISBLANK('[1]Test Cases'!A56)),'[1]Test Cases'!A56,"")</f>
        <v/>
      </c>
      <c r="B57" t="str">
        <f>IF(NOT(ISBLANK('[1]Test Cases'!B56)),'[1]Test Cases'!B56,"")</f>
        <v/>
      </c>
    </row>
    <row r="58" spans="1:2" x14ac:dyDescent="0.3">
      <c r="A58" t="str">
        <f>IF(NOT(ISBLANK('[1]Test Cases'!A57)),'[1]Test Cases'!A57,"")</f>
        <v/>
      </c>
      <c r="B58" t="str">
        <f>IF(NOT(ISBLANK('[1]Test Cases'!B57)),'[1]Test Cases'!B57,"")</f>
        <v/>
      </c>
    </row>
    <row r="59" spans="1:2" x14ac:dyDescent="0.3">
      <c r="A59" t="str">
        <f>IF(NOT(ISBLANK('[1]Test Cases'!A58)),'[1]Test Cases'!A58,"")</f>
        <v/>
      </c>
      <c r="B59" t="str">
        <f>IF(NOT(ISBLANK('[1]Test Cases'!B58)),'[1]Test Cases'!B58,"")</f>
        <v/>
      </c>
    </row>
    <row r="60" spans="1:2" x14ac:dyDescent="0.3">
      <c r="A60" t="str">
        <f>IF(NOT(ISBLANK('[1]Test Cases'!A59)),'[1]Test Cases'!A59,"")</f>
        <v/>
      </c>
      <c r="B60" t="str">
        <f>IF(NOT(ISBLANK('[1]Test Cases'!B59)),'[1]Test Cases'!B59,"")</f>
        <v/>
      </c>
    </row>
    <row r="61" spans="1:2" x14ac:dyDescent="0.3">
      <c r="A61" t="str">
        <f>IF(NOT(ISBLANK('[1]Test Cases'!A60)),'[1]Test Cases'!A60,"")</f>
        <v/>
      </c>
      <c r="B61" t="str">
        <f>IF(NOT(ISBLANK('[1]Test Cases'!B60)),'[1]Test Cases'!B60,"")</f>
        <v/>
      </c>
    </row>
    <row r="62" spans="1:2" x14ac:dyDescent="0.3">
      <c r="A62" t="str">
        <f>IF(NOT(ISBLANK('[1]Test Cases'!A61)),'[1]Test Cases'!A61,"")</f>
        <v/>
      </c>
      <c r="B62" t="str">
        <f>IF(NOT(ISBLANK('[1]Test Cases'!B61)),'[1]Test Cases'!B61,"")</f>
        <v/>
      </c>
    </row>
    <row r="63" spans="1:2" x14ac:dyDescent="0.3">
      <c r="A63" t="str">
        <f>IF(NOT(ISBLANK('[1]Test Cases'!A62)),'[1]Test Cases'!A62,"")</f>
        <v/>
      </c>
      <c r="B63" t="str">
        <f>IF(NOT(ISBLANK('[1]Test Cases'!B62)),'[1]Test Cases'!B62,"")</f>
        <v/>
      </c>
    </row>
    <row r="64" spans="1:2" x14ac:dyDescent="0.3">
      <c r="A64" t="str">
        <f>IF(NOT(ISBLANK('[1]Test Cases'!A63)),'[1]Test Cases'!A63,"")</f>
        <v/>
      </c>
      <c r="B64" t="str">
        <f>IF(NOT(ISBLANK('[1]Test Cases'!B63)),'[1]Test Cases'!B63,"")</f>
        <v/>
      </c>
    </row>
    <row r="65" spans="1:2" x14ac:dyDescent="0.3">
      <c r="A65" t="str">
        <f>IF(NOT(ISBLANK('[1]Test Cases'!A64)),'[1]Test Cases'!A64,"")</f>
        <v/>
      </c>
      <c r="B65" t="str">
        <f>IF(NOT(ISBLANK('[1]Test Cases'!B64)),'[1]Test Cases'!B64,"")</f>
        <v/>
      </c>
    </row>
    <row r="66" spans="1:2" x14ac:dyDescent="0.3">
      <c r="A66" t="str">
        <f>IF(NOT(ISBLANK('[1]Test Cases'!A65)),'[1]Test Cases'!A65,"")</f>
        <v/>
      </c>
      <c r="B66" t="str">
        <f>IF(NOT(ISBLANK('[1]Test Cases'!B65)),'[1]Test Cases'!B65,"")</f>
        <v/>
      </c>
    </row>
    <row r="67" spans="1:2" x14ac:dyDescent="0.3">
      <c r="A67" t="str">
        <f>IF(NOT(ISBLANK('[1]Test Cases'!A66)),'[1]Test Cases'!A66,"")</f>
        <v/>
      </c>
      <c r="B67" t="str">
        <f>IF(NOT(ISBLANK('[1]Test Cases'!B66)),'[1]Test Cases'!B66,"")</f>
        <v/>
      </c>
    </row>
    <row r="68" spans="1:2" x14ac:dyDescent="0.3">
      <c r="A68" t="str">
        <f>IF(NOT(ISBLANK('[1]Test Cases'!A67)),'[1]Test Cases'!A67,"")</f>
        <v/>
      </c>
      <c r="B68" t="str">
        <f>IF(NOT(ISBLANK('[1]Test Cases'!B67)),'[1]Test Cases'!B67,"")</f>
        <v/>
      </c>
    </row>
    <row r="69" spans="1:2" x14ac:dyDescent="0.3">
      <c r="A69" t="str">
        <f>IF(NOT(ISBLANK('[1]Test Cases'!A68)),'[1]Test Cases'!A68,"")</f>
        <v/>
      </c>
      <c r="B69" t="str">
        <f>IF(NOT(ISBLANK('[1]Test Cases'!B68)),'[1]Test Cases'!B68,"")</f>
        <v/>
      </c>
    </row>
    <row r="70" spans="1:2" x14ac:dyDescent="0.3">
      <c r="A70" t="str">
        <f>IF(NOT(ISBLANK('[1]Test Cases'!A69)),'[1]Test Cases'!A69,"")</f>
        <v/>
      </c>
      <c r="B70" t="str">
        <f>IF(NOT(ISBLANK('[1]Test Cases'!B69)),'[1]Test Cases'!B69,"")</f>
        <v/>
      </c>
    </row>
    <row r="71" spans="1:2" x14ac:dyDescent="0.3">
      <c r="A71" t="str">
        <f>IF(NOT(ISBLANK('[1]Test Cases'!A70)),'[1]Test Cases'!A70,"")</f>
        <v/>
      </c>
      <c r="B71" t="str">
        <f>IF(NOT(ISBLANK('[1]Test Cases'!B70)),'[1]Test Cases'!B70,"")</f>
        <v/>
      </c>
    </row>
    <row r="72" spans="1:2" x14ac:dyDescent="0.3">
      <c r="A72" t="str">
        <f>IF(NOT(ISBLANK('[1]Test Cases'!A71)),'[1]Test Cases'!A71,"")</f>
        <v/>
      </c>
      <c r="B72" t="str">
        <f>IF(NOT(ISBLANK('[1]Test Cases'!B71)),'[1]Test Cases'!B71,"")</f>
        <v/>
      </c>
    </row>
    <row r="73" spans="1:2" x14ac:dyDescent="0.3">
      <c r="A73" t="str">
        <f>IF(NOT(ISBLANK('[1]Test Cases'!A72)),'[1]Test Cases'!A72,"")</f>
        <v/>
      </c>
      <c r="B73" t="str">
        <f>IF(NOT(ISBLANK('[1]Test Cases'!B72)),'[1]Test Cases'!B72,"")</f>
        <v/>
      </c>
    </row>
    <row r="74" spans="1:2" x14ac:dyDescent="0.3">
      <c r="A74" t="str">
        <f>IF(NOT(ISBLANK('[1]Test Cases'!A73)),'[1]Test Cases'!A73,"")</f>
        <v/>
      </c>
      <c r="B74" t="str">
        <f>IF(NOT(ISBLANK('[1]Test Cases'!B73)),'[1]Test Cases'!B73,"")</f>
        <v/>
      </c>
    </row>
    <row r="75" spans="1:2" x14ac:dyDescent="0.3">
      <c r="A75" t="str">
        <f>IF(NOT(ISBLANK('[1]Test Cases'!A74)),'[1]Test Cases'!A74,"")</f>
        <v/>
      </c>
      <c r="B75" t="str">
        <f>IF(NOT(ISBLANK('[1]Test Cases'!B74)),'[1]Test Cases'!B74,"")</f>
        <v/>
      </c>
    </row>
    <row r="76" spans="1:2" x14ac:dyDescent="0.3">
      <c r="A76" t="str">
        <f>IF(NOT(ISBLANK('[1]Test Cases'!A75)),'[1]Test Cases'!A75,"")</f>
        <v/>
      </c>
      <c r="B76" t="str">
        <f>IF(NOT(ISBLANK('[1]Test Cases'!B75)),'[1]Test Cases'!B75,"")</f>
        <v/>
      </c>
    </row>
    <row r="77" spans="1:2" x14ac:dyDescent="0.3">
      <c r="A77" t="str">
        <f>IF(NOT(ISBLANK('[1]Test Cases'!A76)),'[1]Test Cases'!A76,"")</f>
        <v/>
      </c>
      <c r="B77" t="str">
        <f>IF(NOT(ISBLANK('[1]Test Cases'!B76)),'[1]Test Cases'!B76,"")</f>
        <v/>
      </c>
    </row>
    <row r="78" spans="1:2" x14ac:dyDescent="0.3">
      <c r="A78" t="str">
        <f>IF(NOT(ISBLANK('[1]Test Cases'!A77)),'[1]Test Cases'!A77,"")</f>
        <v/>
      </c>
      <c r="B78" t="str">
        <f>IF(NOT(ISBLANK('[1]Test Cases'!B77)),'[1]Test Cases'!B77,"")</f>
        <v/>
      </c>
    </row>
    <row r="79" spans="1:2" x14ac:dyDescent="0.3">
      <c r="A79" t="str">
        <f>IF(NOT(ISBLANK('[1]Test Cases'!A78)),'[1]Test Cases'!A78,"")</f>
        <v/>
      </c>
      <c r="B79" t="str">
        <f>IF(NOT(ISBLANK('[1]Test Cases'!B78)),'[1]Test Cases'!B78,"")</f>
        <v/>
      </c>
    </row>
    <row r="80" spans="1:2" x14ac:dyDescent="0.3">
      <c r="A80" t="str">
        <f>IF(NOT(ISBLANK('[1]Test Cases'!A79)),'[1]Test Cases'!A79,"")</f>
        <v/>
      </c>
      <c r="B80" t="str">
        <f>IF(NOT(ISBLANK('[1]Test Cases'!B79)),'[1]Test Cases'!B79,"")</f>
        <v/>
      </c>
    </row>
    <row r="81" spans="1:2" x14ac:dyDescent="0.3">
      <c r="A81" t="str">
        <f>IF(NOT(ISBLANK('[1]Test Cases'!A80)),'[1]Test Cases'!A80,"")</f>
        <v/>
      </c>
      <c r="B81" t="str">
        <f>IF(NOT(ISBLANK('[1]Test Cases'!B80)),'[1]Test Cases'!B80,"")</f>
        <v/>
      </c>
    </row>
    <row r="82" spans="1:2" x14ac:dyDescent="0.3">
      <c r="A82" t="str">
        <f>IF(NOT(ISBLANK('[1]Test Cases'!A81)),'[1]Test Cases'!A81,"")</f>
        <v/>
      </c>
      <c r="B82" t="str">
        <f>IF(NOT(ISBLANK('[1]Test Cases'!B81)),'[1]Test Cases'!B81,"")</f>
        <v/>
      </c>
    </row>
    <row r="83" spans="1:2" x14ac:dyDescent="0.3">
      <c r="A83" t="str">
        <f>IF(NOT(ISBLANK('[1]Test Cases'!A82)),'[1]Test Cases'!A82,"")</f>
        <v/>
      </c>
      <c r="B83" t="str">
        <f>IF(NOT(ISBLANK('[1]Test Cases'!B82)),'[1]Test Cases'!B82,"")</f>
        <v/>
      </c>
    </row>
    <row r="84" spans="1:2" x14ac:dyDescent="0.3">
      <c r="A84" t="str">
        <f>IF(NOT(ISBLANK('[1]Test Cases'!A83)),'[1]Test Cases'!A83,"")</f>
        <v/>
      </c>
      <c r="B84" t="str">
        <f>IF(NOT(ISBLANK('[1]Test Cases'!B83)),'[1]Test Cases'!B83,"")</f>
        <v/>
      </c>
    </row>
    <row r="85" spans="1:2" x14ac:dyDescent="0.3">
      <c r="A85" t="str">
        <f>IF(NOT(ISBLANK('[1]Test Cases'!A84)),'[1]Test Cases'!A84,"")</f>
        <v/>
      </c>
      <c r="B85" t="str">
        <f>IF(NOT(ISBLANK('[1]Test Cases'!B84)),'[1]Test Cases'!B84,"")</f>
        <v/>
      </c>
    </row>
    <row r="86" spans="1:2" x14ac:dyDescent="0.3">
      <c r="A86" t="str">
        <f>IF(NOT(ISBLANK('[1]Test Cases'!A85)),'[1]Test Cases'!A85,"")</f>
        <v/>
      </c>
      <c r="B86" t="str">
        <f>IF(NOT(ISBLANK('[1]Test Cases'!B85)),'[1]Test Cases'!B85,"")</f>
        <v/>
      </c>
    </row>
    <row r="87" spans="1:2" x14ac:dyDescent="0.3">
      <c r="A87" t="str">
        <f>IF(NOT(ISBLANK('[1]Test Cases'!A86)),'[1]Test Cases'!A86,"")</f>
        <v/>
      </c>
      <c r="B87" t="str">
        <f>IF(NOT(ISBLANK('[1]Test Cases'!B86)),'[1]Test Cases'!B86,"")</f>
        <v/>
      </c>
    </row>
    <row r="88" spans="1:2" x14ac:dyDescent="0.3">
      <c r="A88" t="str">
        <f>IF(NOT(ISBLANK('[1]Test Cases'!A87)),'[1]Test Cases'!A87,"")</f>
        <v/>
      </c>
      <c r="B88" t="str">
        <f>IF(NOT(ISBLANK('[1]Test Cases'!B87)),'[1]Test Cases'!B87,"")</f>
        <v/>
      </c>
    </row>
    <row r="89" spans="1:2" x14ac:dyDescent="0.3">
      <c r="A89" t="str">
        <f>IF(NOT(ISBLANK('[1]Test Cases'!A88)),'[1]Test Cases'!A88,"")</f>
        <v/>
      </c>
      <c r="B89" t="str">
        <f>IF(NOT(ISBLANK('[1]Test Cases'!B88)),'[1]Test Cases'!B88,"")</f>
        <v/>
      </c>
    </row>
    <row r="90" spans="1:2" x14ac:dyDescent="0.3">
      <c r="A90" t="str">
        <f>IF(NOT(ISBLANK('[1]Test Cases'!A89)),'[1]Test Cases'!A89,"")</f>
        <v/>
      </c>
      <c r="B90" t="str">
        <f>IF(NOT(ISBLANK('[1]Test Cases'!B89)),'[1]Test Cases'!B89,"")</f>
        <v/>
      </c>
    </row>
    <row r="91" spans="1:2" x14ac:dyDescent="0.3">
      <c r="A91" t="str">
        <f>IF(NOT(ISBLANK('[1]Test Cases'!A90)),'[1]Test Cases'!A90,"")</f>
        <v/>
      </c>
      <c r="B91" t="str">
        <f>IF(NOT(ISBLANK('[1]Test Cases'!B90)),'[1]Test Cases'!B90,"")</f>
        <v/>
      </c>
    </row>
    <row r="92" spans="1:2" x14ac:dyDescent="0.3">
      <c r="A92" t="str">
        <f>IF(NOT(ISBLANK('[1]Test Cases'!A91)),'[1]Test Cases'!A91,"")</f>
        <v/>
      </c>
      <c r="B92" t="str">
        <f>IF(NOT(ISBLANK('[1]Test Cases'!B91)),'[1]Test Cases'!B91,"")</f>
        <v/>
      </c>
    </row>
    <row r="93" spans="1:2" x14ac:dyDescent="0.3">
      <c r="A93" t="str">
        <f>IF(NOT(ISBLANK('[1]Test Cases'!A92)),'[1]Test Cases'!A92,"")</f>
        <v/>
      </c>
      <c r="B93" t="str">
        <f>IF(NOT(ISBLANK('[1]Test Cases'!B92)),'[1]Test Cases'!B92,"")</f>
        <v/>
      </c>
    </row>
    <row r="94" spans="1:2" x14ac:dyDescent="0.3">
      <c r="A94" t="str">
        <f>IF(NOT(ISBLANK('[1]Test Cases'!A93)),'[1]Test Cases'!A93,"")</f>
        <v/>
      </c>
      <c r="B94" t="str">
        <f>IF(NOT(ISBLANK('[1]Test Cases'!B93)),'[1]Test Cases'!B93,"")</f>
        <v/>
      </c>
    </row>
    <row r="95" spans="1:2" x14ac:dyDescent="0.3">
      <c r="A95" t="str">
        <f>IF(NOT(ISBLANK('[1]Test Cases'!A94)),'[1]Test Cases'!A94,"")</f>
        <v/>
      </c>
      <c r="B95" t="str">
        <f>IF(NOT(ISBLANK('[1]Test Cases'!B94)),'[1]Test Cases'!B94,"")</f>
        <v/>
      </c>
    </row>
    <row r="96" spans="1:2" x14ac:dyDescent="0.3">
      <c r="A96" t="str">
        <f>IF(NOT(ISBLANK('[1]Test Cases'!A95)),'[1]Test Cases'!A95,"")</f>
        <v/>
      </c>
      <c r="B96" t="str">
        <f>IF(NOT(ISBLANK('[1]Test Cases'!B95)),'[1]Test Cases'!B95,"")</f>
        <v/>
      </c>
    </row>
    <row r="97" spans="1:2" x14ac:dyDescent="0.3">
      <c r="A97" t="str">
        <f>IF(NOT(ISBLANK('[1]Test Cases'!A96)),'[1]Test Cases'!A96,"")</f>
        <v/>
      </c>
      <c r="B97" t="str">
        <f>IF(NOT(ISBLANK('[1]Test Cases'!B96)),'[1]Test Cases'!B96,"")</f>
        <v/>
      </c>
    </row>
    <row r="98" spans="1:2" x14ac:dyDescent="0.3">
      <c r="A98" t="str">
        <f>IF(NOT(ISBLANK('[1]Test Cases'!A97)),'[1]Test Cases'!A97,"")</f>
        <v/>
      </c>
      <c r="B98" t="str">
        <f>IF(NOT(ISBLANK('[1]Test Cases'!B97)),'[1]Test Cases'!B97,"")</f>
        <v/>
      </c>
    </row>
    <row r="99" spans="1:2" x14ac:dyDescent="0.3">
      <c r="A99" t="str">
        <f>IF(NOT(ISBLANK('[1]Test Cases'!A98)),'[1]Test Cases'!A98,"")</f>
        <v/>
      </c>
      <c r="B99" t="str">
        <f>IF(NOT(ISBLANK('[1]Test Cases'!B98)),'[1]Test Cases'!B98,"")</f>
        <v/>
      </c>
    </row>
    <row r="100" spans="1:2" x14ac:dyDescent="0.3">
      <c r="A100" t="str">
        <f>IF(NOT(ISBLANK('[1]Test Cases'!A99)),'[1]Test Cases'!A99,"")</f>
        <v/>
      </c>
      <c r="B100" t="str">
        <f>IF(NOT(ISBLANK('[1]Test Cases'!B99)),'[1]Test Cases'!B99,"")</f>
        <v/>
      </c>
    </row>
    <row r="101" spans="1:2" x14ac:dyDescent="0.3">
      <c r="A101" t="str">
        <f>IF(NOT(ISBLANK('[1]Test Cases'!A100)),'[1]Test Cases'!A100,"")</f>
        <v/>
      </c>
      <c r="B101" t="str">
        <f>IF(NOT(ISBLANK('[1]Test Cases'!B100)),'[1]Test Cases'!B100,"")</f>
        <v/>
      </c>
    </row>
  </sheetData>
  <conditionalFormatting sqref="H3:J19">
    <cfRule type="expression" dxfId="7" priority="1">
      <formula>$J3&lt;&gt;0</formula>
    </cfRule>
  </conditionalFormatting>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11E2D-A9EB-4D30-BFE0-B571A54BA260}">
  <sheetPr>
    <tabColor theme="7" tint="-0.249977111117893"/>
  </sheetPr>
  <dimension ref="A1:Q128"/>
  <sheetViews>
    <sheetView workbookViewId="0">
      <selection activeCell="P8" sqref="P8"/>
    </sheetView>
  </sheetViews>
  <sheetFormatPr defaultRowHeight="14.4" x14ac:dyDescent="0.3"/>
  <cols>
    <col min="8" max="8" width="11.44140625" customWidth="1"/>
    <col min="9" max="9" width="16.21875" customWidth="1"/>
    <col min="10" max="10" width="14.21875" bestFit="1" customWidth="1"/>
    <col min="11" max="11" width="12.33203125" bestFit="1" customWidth="1"/>
    <col min="14" max="14" width="9.21875" customWidth="1"/>
    <col min="16" max="16" width="10.21875" customWidth="1"/>
  </cols>
  <sheetData>
    <row r="1" spans="1:17" ht="15" thickBot="1" x14ac:dyDescent="0.35">
      <c r="A1" t="s">
        <v>193</v>
      </c>
      <c r="B1">
        <f>MAX(A8:A128)</f>
        <v>120</v>
      </c>
    </row>
    <row r="2" spans="1:17" ht="15.6" x14ac:dyDescent="0.3">
      <c r="A2" s="112">
        <v>2012</v>
      </c>
      <c r="B2" s="111" t="s">
        <v>192</v>
      </c>
      <c r="C2" s="110"/>
    </row>
    <row r="3" spans="1:17" ht="21" x14ac:dyDescent="0.4">
      <c r="A3" s="109" t="s">
        <v>191</v>
      </c>
      <c r="B3" s="108" t="s">
        <v>190</v>
      </c>
      <c r="C3" s="107"/>
      <c r="I3" s="116" t="s">
        <v>212</v>
      </c>
      <c r="J3" s="115"/>
      <c r="K3" s="115"/>
      <c r="L3" s="115"/>
      <c r="M3" s="115"/>
      <c r="N3" s="115"/>
      <c r="O3" s="115"/>
      <c r="P3" s="115"/>
      <c r="Q3" s="115"/>
    </row>
    <row r="4" spans="1:17" ht="16.2" thickBot="1" x14ac:dyDescent="0.35">
      <c r="A4" s="106" t="s">
        <v>184</v>
      </c>
      <c r="B4" s="105" t="s">
        <v>189</v>
      </c>
      <c r="C4" s="104" t="s">
        <v>188</v>
      </c>
    </row>
    <row r="5" spans="1:17" x14ac:dyDescent="0.3">
      <c r="B5" s="26" t="s">
        <v>187</v>
      </c>
      <c r="C5" s="26" t="s">
        <v>186</v>
      </c>
      <c r="D5" s="113" t="s">
        <v>187</v>
      </c>
      <c r="E5" s="113" t="s">
        <v>186</v>
      </c>
      <c r="F5" s="113" t="s">
        <v>187</v>
      </c>
      <c r="G5" s="113" t="s">
        <v>186</v>
      </c>
      <c r="H5" s="113"/>
      <c r="I5" s="113"/>
      <c r="J5" s="113" t="s">
        <v>209</v>
      </c>
      <c r="K5" s="113" t="s">
        <v>210</v>
      </c>
    </row>
    <row r="6" spans="1:17" x14ac:dyDescent="0.3">
      <c r="B6" s="26" t="s">
        <v>185</v>
      </c>
      <c r="C6" s="26" t="s">
        <v>185</v>
      </c>
      <c r="D6" s="113" t="s">
        <v>194</v>
      </c>
      <c r="E6" s="113" t="s">
        <v>194</v>
      </c>
      <c r="F6" s="113" t="s">
        <v>195</v>
      </c>
      <c r="G6" s="113" t="s">
        <v>195</v>
      </c>
      <c r="H6" s="113"/>
      <c r="I6" s="113"/>
      <c r="J6">
        <v>55</v>
      </c>
      <c r="K6">
        <v>65</v>
      </c>
      <c r="L6">
        <v>6</v>
      </c>
      <c r="M6">
        <f>L6+1</f>
        <v>7</v>
      </c>
    </row>
    <row r="7" spans="1:17" x14ac:dyDescent="0.3">
      <c r="A7" s="26" t="s">
        <v>184</v>
      </c>
      <c r="B7" s="26" t="s">
        <v>196</v>
      </c>
      <c r="C7" s="26" t="s">
        <v>197</v>
      </c>
      <c r="D7" s="113" t="s">
        <v>198</v>
      </c>
      <c r="E7" s="113" t="s">
        <v>199</v>
      </c>
      <c r="F7" s="113" t="s">
        <v>200</v>
      </c>
      <c r="G7" s="113" t="s">
        <v>201</v>
      </c>
      <c r="H7" s="113"/>
      <c r="I7" s="113" t="s">
        <v>202</v>
      </c>
      <c r="J7" s="26" t="s">
        <v>203</v>
      </c>
      <c r="K7" s="26" t="s">
        <v>211</v>
      </c>
      <c r="L7" s="26" t="s">
        <v>204</v>
      </c>
      <c r="M7" s="26" t="s">
        <v>205</v>
      </c>
      <c r="N7" s="26" t="s">
        <v>206</v>
      </c>
      <c r="O7" s="26" t="s">
        <v>207</v>
      </c>
      <c r="P7" s="26" t="s">
        <v>220</v>
      </c>
      <c r="Q7" s="26" t="s">
        <v>208</v>
      </c>
    </row>
    <row r="8" spans="1:17" x14ac:dyDescent="0.3">
      <c r="A8">
        <v>0</v>
      </c>
      <c r="B8" s="114">
        <v>1.621</v>
      </c>
      <c r="C8">
        <v>1.605</v>
      </c>
      <c r="D8">
        <f>Table2[[#This Row],[Fix]]/MAX(FIx)</f>
        <v>1.621E-3</v>
      </c>
      <c r="E8">
        <f>Table2[[#This Row],[Mix]]/MAX(FIx)</f>
        <v>1.6050000000000001E-3</v>
      </c>
      <c r="F8">
        <f>1-Table2[[#This Row],[Fqx]]</f>
        <v>0.99837900000000002</v>
      </c>
      <c r="G8">
        <f>1-Table2[[#This Row],[Mqx]]</f>
        <v>0.99839500000000003</v>
      </c>
      <c r="I8">
        <v>0</v>
      </c>
      <c r="J8">
        <f>MIN(Qx!MaxAge,Table3[[#This Row],[Survivng t Years]]+$J$6)</f>
        <v>55</v>
      </c>
      <c r="K8">
        <f>MIN(Table3[[#This Row],[Survivng t Years]]+$K$6,Qx!MaxAge)</f>
        <v>65</v>
      </c>
      <c r="L8">
        <f>VLOOKUP(Table3[[#This Row],[To Age]],$A$8:$G$128,L$6,FALSE)</f>
        <v>0.99804999999999999</v>
      </c>
      <c r="M8">
        <f>VLOOKUP(Table3[[#This Row],[To Age2]],$A$8:$G$128,M$6,FALSE)</f>
        <v>0.99189400000000005</v>
      </c>
      <c r="N8" t="str">
        <f>"P"&amp;J8&amp;","&amp;K8</f>
        <v>P55,65</v>
      </c>
      <c r="O8">
        <f>Table3[[#This Row],[Px]]+Table3[[#This Row],[Py]]-Table3[[#This Row],[Px]]*Table3[[#This Row],[Py]]</f>
        <v>0.99998419329999988</v>
      </c>
      <c r="P8" t="str">
        <f>I8+1&amp;" P"&amp;$J$8&amp;","&amp;$K$8</f>
        <v>1 P55,65</v>
      </c>
      <c r="Q8">
        <f>PRODUCT($O$8:$O8)</f>
        <v>0.99998419329999988</v>
      </c>
    </row>
    <row r="9" spans="1:17" x14ac:dyDescent="0.3">
      <c r="A9">
        <v>1</v>
      </c>
      <c r="B9">
        <v>0.40500000000000003</v>
      </c>
      <c r="C9">
        <v>0.40100000000000002</v>
      </c>
      <c r="D9">
        <f>Table2[[#This Row],[Fix]]/MAX(FIx)</f>
        <v>4.0500000000000003E-4</v>
      </c>
      <c r="E9">
        <f>Table2[[#This Row],[Mix]]/MAX(FIx)</f>
        <v>4.0100000000000004E-4</v>
      </c>
      <c r="F9">
        <f>1-Table2[[#This Row],[Fqx]]</f>
        <v>0.99959500000000001</v>
      </c>
      <c r="G9">
        <f>1-Table2[[#This Row],[Mqx]]</f>
        <v>0.99959900000000002</v>
      </c>
      <c r="I9">
        <f>I8+1</f>
        <v>1</v>
      </c>
      <c r="J9">
        <f>MIN(Qx!MaxAge,Table3[[#This Row],[Survivng t Years]]+$J$6)</f>
        <v>56</v>
      </c>
      <c r="K9">
        <f>MIN(Table3[[#This Row],[Survivng t Years]]+$K$6,Qx!MaxAge)</f>
        <v>66</v>
      </c>
      <c r="L9">
        <f>VLOOKUP(Table3[[#This Row],[To Age]],$A$8:$G$128,L$6,FALSE)</f>
        <v>0.99784600000000001</v>
      </c>
      <c r="M9">
        <f>VLOOKUP(Table3[[#This Row],[To Age2]],$A$8:$G$128,M$6,FALSE)</f>
        <v>0.991452</v>
      </c>
      <c r="N9" t="str">
        <f t="shared" ref="N9:N72" si="0">"P"&amp;J9&amp;","&amp;K9</f>
        <v>P56,66</v>
      </c>
      <c r="O9">
        <f>Table3[[#This Row],[Px]]+Table3[[#This Row],[Py]]-Table3[[#This Row],[Px]]*Table3[[#This Row],[Py]]</f>
        <v>0.99998158760800004</v>
      </c>
      <c r="P9" t="str">
        <f t="shared" ref="P9:P72" si="1">I9+1&amp;" P"&amp;$J$8&amp;","&amp;$K$8</f>
        <v>2 P55,65</v>
      </c>
      <c r="Q9">
        <f>PRODUCT($O$8:$O9)</f>
        <v>0.99996578119903912</v>
      </c>
    </row>
    <row r="10" spans="1:17" x14ac:dyDescent="0.3">
      <c r="A10">
        <v>2</v>
      </c>
      <c r="B10">
        <v>0.25900000000000001</v>
      </c>
      <c r="C10">
        <v>0.27500000000000002</v>
      </c>
      <c r="D10">
        <f>Table2[[#This Row],[Fix]]/MAX(FIx)</f>
        <v>2.5900000000000001E-4</v>
      </c>
      <c r="E10">
        <f>Table2[[#This Row],[Mix]]/MAX(FIx)</f>
        <v>2.7500000000000002E-4</v>
      </c>
      <c r="F10">
        <f>1-Table2[[#This Row],[Fqx]]</f>
        <v>0.99974099999999999</v>
      </c>
      <c r="G10">
        <f>1-Table2[[#This Row],[Mqx]]</f>
        <v>0.99972499999999997</v>
      </c>
      <c r="I10">
        <f>I9+1</f>
        <v>2</v>
      </c>
      <c r="J10">
        <f>MIN(Qx!MaxAge,Table3[[#This Row],[Survivng t Years]]+$J$6)</f>
        <v>57</v>
      </c>
      <c r="K10">
        <f>MIN(Table3[[#This Row],[Survivng t Years]]+$K$6,Qx!MaxAge)</f>
        <v>67</v>
      </c>
      <c r="L10">
        <f>VLOOKUP(Table3[[#This Row],[To Age]],$A$8:$G$128,L$6,FALSE)</f>
        <v>0.99760099999999996</v>
      </c>
      <c r="M10">
        <f>VLOOKUP(Table3[[#This Row],[To Age2]],$A$8:$G$128,M$6,FALSE)</f>
        <v>0.99092400000000003</v>
      </c>
      <c r="N10" t="str">
        <f t="shared" si="0"/>
        <v>P57,67</v>
      </c>
      <c r="O10">
        <f>Table3[[#This Row],[Px]]+Table3[[#This Row],[Py]]-Table3[[#This Row],[Px]]*Table3[[#This Row],[Py]]</f>
        <v>0.99997822667600011</v>
      </c>
      <c r="P10" t="str">
        <f t="shared" si="1"/>
        <v>3 P55,65</v>
      </c>
      <c r="Q10">
        <f>PRODUCT($O$8:$O10)</f>
        <v>0.99994400862009625</v>
      </c>
    </row>
    <row r="11" spans="1:17" x14ac:dyDescent="0.3">
      <c r="A11">
        <v>3</v>
      </c>
      <c r="B11">
        <v>0.17899999999999999</v>
      </c>
      <c r="C11">
        <v>0.22900000000000001</v>
      </c>
      <c r="D11">
        <f>Table2[[#This Row],[Fix]]/MAX(FIx)</f>
        <v>1.7899999999999999E-4</v>
      </c>
      <c r="E11">
        <f>Table2[[#This Row],[Mix]]/MAX(FIx)</f>
        <v>2.2900000000000001E-4</v>
      </c>
      <c r="F11">
        <f>1-Table2[[#This Row],[Fqx]]</f>
        <v>0.99982099999999996</v>
      </c>
      <c r="G11">
        <f>1-Table2[[#This Row],[Mqx]]</f>
        <v>0.99977099999999997</v>
      </c>
      <c r="I11">
        <f t="shared" ref="I11:I74" si="2">I10+1</f>
        <v>3</v>
      </c>
      <c r="J11">
        <f>MIN(Qx!MaxAge,Table3[[#This Row],[Survivng t Years]]+$J$6)</f>
        <v>58</v>
      </c>
      <c r="K11">
        <f>MIN(Table3[[#This Row],[Survivng t Years]]+$K$6,Qx!MaxAge)</f>
        <v>68</v>
      </c>
      <c r="L11">
        <f>VLOOKUP(Table3[[#This Row],[To Age]],$A$8:$G$128,L$6,FALSE)</f>
        <v>0.99729999999999996</v>
      </c>
      <c r="M11">
        <f>VLOOKUP(Table3[[#This Row],[To Age2]],$A$8:$G$128,M$6,FALSE)</f>
        <v>0.99029199999999995</v>
      </c>
      <c r="N11" t="str">
        <f t="shared" si="0"/>
        <v>P58,68</v>
      </c>
      <c r="O11">
        <f>Table3[[#This Row],[Px]]+Table3[[#This Row],[Py]]-Table3[[#This Row],[Px]]*Table3[[#This Row],[Py]]</f>
        <v>0.99997378839999984</v>
      </c>
      <c r="P11" t="str">
        <f t="shared" si="1"/>
        <v>4 P55,65</v>
      </c>
      <c r="Q11">
        <f>PRODUCT($O$8:$O11)</f>
        <v>0.99991779848771978</v>
      </c>
    </row>
    <row r="12" spans="1:17" x14ac:dyDescent="0.3">
      <c r="A12">
        <v>4</v>
      </c>
      <c r="B12">
        <v>0.13700000000000001</v>
      </c>
      <c r="C12">
        <v>0.17399999999999999</v>
      </c>
      <c r="D12">
        <f>Table2[[#This Row],[Fix]]/MAX(FIx)</f>
        <v>1.3700000000000002E-4</v>
      </c>
      <c r="E12">
        <f>Table2[[#This Row],[Mix]]/MAX(FIx)</f>
        <v>1.74E-4</v>
      </c>
      <c r="F12">
        <f>1-Table2[[#This Row],[Fqx]]</f>
        <v>0.99986299999999995</v>
      </c>
      <c r="G12">
        <f>1-Table2[[#This Row],[Mqx]]</f>
        <v>0.99982599999999999</v>
      </c>
      <c r="I12">
        <f t="shared" si="2"/>
        <v>4</v>
      </c>
      <c r="J12">
        <f>MIN(Qx!MaxAge,Table3[[#This Row],[Survivng t Years]]+$J$6)</f>
        <v>59</v>
      </c>
      <c r="K12">
        <f>MIN(Table3[[#This Row],[Survivng t Years]]+$K$6,Qx!MaxAge)</f>
        <v>69</v>
      </c>
      <c r="L12">
        <f>VLOOKUP(Table3[[#This Row],[To Age]],$A$8:$G$128,L$6,FALSE)</f>
        <v>0.996946</v>
      </c>
      <c r="M12">
        <f>VLOOKUP(Table3[[#This Row],[To Age2]],$A$8:$G$128,M$6,FALSE)</f>
        <v>0.989537</v>
      </c>
      <c r="N12" t="str">
        <f t="shared" si="0"/>
        <v>P59,69</v>
      </c>
      <c r="O12">
        <f>Table3[[#This Row],[Px]]+Table3[[#This Row],[Py]]-Table3[[#This Row],[Px]]*Table3[[#This Row],[Py]]</f>
        <v>0.99996804599800004</v>
      </c>
      <c r="P12" t="str">
        <f t="shared" si="1"/>
        <v>5 P55,65</v>
      </c>
      <c r="Q12">
        <f>PRODUCT($O$8:$O12)</f>
        <v>0.99988584711238715</v>
      </c>
    </row>
    <row r="13" spans="1:17" x14ac:dyDescent="0.3">
      <c r="A13">
        <v>5</v>
      </c>
      <c r="B13">
        <v>0.125</v>
      </c>
      <c r="C13">
        <v>0.16800000000000001</v>
      </c>
      <c r="D13">
        <f>Table2[[#This Row],[Fix]]/MAX(FIx)</f>
        <v>1.25E-4</v>
      </c>
      <c r="E13">
        <f>Table2[[#This Row],[Mix]]/MAX(FIx)</f>
        <v>1.6800000000000002E-4</v>
      </c>
      <c r="F13">
        <f>1-Table2[[#This Row],[Fqx]]</f>
        <v>0.99987499999999996</v>
      </c>
      <c r="G13">
        <f>1-Table2[[#This Row],[Mqx]]</f>
        <v>0.99983200000000005</v>
      </c>
      <c r="I13">
        <f t="shared" si="2"/>
        <v>5</v>
      </c>
      <c r="J13">
        <f>MIN(Qx!MaxAge,Table3[[#This Row],[Survivng t Years]]+$J$6)</f>
        <v>60</v>
      </c>
      <c r="K13">
        <f>MIN(Table3[[#This Row],[Survivng t Years]]+$K$6,Qx!MaxAge)</f>
        <v>70</v>
      </c>
      <c r="L13">
        <f>VLOOKUP(Table3[[#This Row],[To Age]],$A$8:$G$128,L$6,FALSE)</f>
        <v>0.99653999999999998</v>
      </c>
      <c r="M13">
        <f>VLOOKUP(Table3[[#This Row],[To Age2]],$A$8:$G$128,M$6,FALSE)</f>
        <v>0.98864300000000005</v>
      </c>
      <c r="N13" t="str">
        <f t="shared" si="0"/>
        <v>P60,70</v>
      </c>
      <c r="O13">
        <f>Table3[[#This Row],[Px]]+Table3[[#This Row],[Py]]-Table3[[#This Row],[Px]]*Table3[[#This Row],[Py]]</f>
        <v>0.9999607047800001</v>
      </c>
      <c r="P13" t="str">
        <f t="shared" si="1"/>
        <v>6 P55,65</v>
      </c>
      <c r="Q13">
        <f>PRODUCT($O$8:$O13)</f>
        <v>0.99984655637805009</v>
      </c>
    </row>
    <row r="14" spans="1:17" x14ac:dyDescent="0.3">
      <c r="A14">
        <v>6</v>
      </c>
      <c r="B14">
        <v>0.11700000000000001</v>
      </c>
      <c r="C14">
        <v>0.16500000000000001</v>
      </c>
      <c r="D14">
        <f>Table2[[#This Row],[Fix]]/MAX(FIx)</f>
        <v>1.1700000000000001E-4</v>
      </c>
      <c r="E14">
        <f>Table2[[#This Row],[Mix]]/MAX(FIx)</f>
        <v>1.65E-4</v>
      </c>
      <c r="F14">
        <f>1-Table2[[#This Row],[Fqx]]</f>
        <v>0.99988299999999997</v>
      </c>
      <c r="G14">
        <f>1-Table2[[#This Row],[Mqx]]</f>
        <v>0.99983500000000003</v>
      </c>
      <c r="I14">
        <f t="shared" si="2"/>
        <v>6</v>
      </c>
      <c r="J14">
        <f>MIN(Qx!MaxAge,Table3[[#This Row],[Survivng t Years]]+$J$6)</f>
        <v>61</v>
      </c>
      <c r="K14">
        <f>MIN(Table3[[#This Row],[Survivng t Years]]+$K$6,Qx!MaxAge)</f>
        <v>71</v>
      </c>
      <c r="L14">
        <f>VLOOKUP(Table3[[#This Row],[To Age]],$A$8:$G$128,L$6,FALSE)</f>
        <v>0.99608399999999997</v>
      </c>
      <c r="M14">
        <f>VLOOKUP(Table3[[#This Row],[To Age2]],$A$8:$G$128,M$6,FALSE)</f>
        <v>0.98758199999999996</v>
      </c>
      <c r="N14" t="str">
        <f t="shared" si="0"/>
        <v>P61,71</v>
      </c>
      <c r="O14">
        <f>Table3[[#This Row],[Px]]+Table3[[#This Row],[Py]]-Table3[[#This Row],[Px]]*Table3[[#This Row],[Py]]</f>
        <v>0.99995137111200005</v>
      </c>
      <c r="P14" t="str">
        <f t="shared" si="1"/>
        <v>7 P55,65</v>
      </c>
      <c r="Q14">
        <f>PRODUCT($O$8:$O14)</f>
        <v>0.99979793495184288</v>
      </c>
    </row>
    <row r="15" spans="1:17" x14ac:dyDescent="0.3">
      <c r="A15">
        <v>7</v>
      </c>
      <c r="B15">
        <v>0.11</v>
      </c>
      <c r="C15">
        <v>0.159</v>
      </c>
      <c r="D15">
        <f>Table2[[#This Row],[Fix]]/MAX(FIx)</f>
        <v>1.1E-4</v>
      </c>
      <c r="E15">
        <f>Table2[[#This Row],[Mix]]/MAX(FIx)</f>
        <v>1.5900000000000002E-4</v>
      </c>
      <c r="F15">
        <f>1-Table2[[#This Row],[Fqx]]</f>
        <v>0.99988999999999995</v>
      </c>
      <c r="G15">
        <f>1-Table2[[#This Row],[Mqx]]</f>
        <v>0.99984099999999998</v>
      </c>
      <c r="I15">
        <f t="shared" si="2"/>
        <v>7</v>
      </c>
      <c r="J15">
        <f>MIN(Qx!MaxAge,Table3[[#This Row],[Survivng t Years]]+$J$6)</f>
        <v>62</v>
      </c>
      <c r="K15">
        <f>MIN(Table3[[#This Row],[Survivng t Years]]+$K$6,Qx!MaxAge)</f>
        <v>72</v>
      </c>
      <c r="L15">
        <f>VLOOKUP(Table3[[#This Row],[To Age]],$A$8:$G$128,L$6,FALSE)</f>
        <v>0.995591</v>
      </c>
      <c r="M15">
        <f>VLOOKUP(Table3[[#This Row],[To Age2]],$A$8:$G$128,M$6,FALSE)</f>
        <v>0.98632500000000001</v>
      </c>
      <c r="N15" t="str">
        <f t="shared" si="0"/>
        <v>P62,72</v>
      </c>
      <c r="O15">
        <f>Table3[[#This Row],[Px]]+Table3[[#This Row],[Py]]-Table3[[#This Row],[Px]]*Table3[[#This Row],[Py]]</f>
        <v>0.999939706925</v>
      </c>
      <c r="P15" t="str">
        <f t="shared" si="1"/>
        <v>8 P55,65</v>
      </c>
      <c r="Q15">
        <f>PRODUCT($O$8:$O15)</f>
        <v>0.99973765405996595</v>
      </c>
    </row>
    <row r="16" spans="1:17" x14ac:dyDescent="0.3">
      <c r="A16">
        <v>8</v>
      </c>
      <c r="B16">
        <v>9.5000000000000001E-2</v>
      </c>
      <c r="C16">
        <v>0.14299999999999999</v>
      </c>
      <c r="D16">
        <f>Table2[[#This Row],[Fix]]/MAX(FIx)</f>
        <v>9.5000000000000005E-5</v>
      </c>
      <c r="E16">
        <f>Table2[[#This Row],[Mix]]/MAX(FIx)</f>
        <v>1.4299999999999998E-4</v>
      </c>
      <c r="F16">
        <f>1-Table2[[#This Row],[Fqx]]</f>
        <v>0.99990500000000004</v>
      </c>
      <c r="G16">
        <f>1-Table2[[#This Row],[Mqx]]</f>
        <v>0.999857</v>
      </c>
      <c r="I16">
        <f t="shared" si="2"/>
        <v>8</v>
      </c>
      <c r="J16">
        <f>MIN(Qx!MaxAge,Table3[[#This Row],[Survivng t Years]]+$J$6)</f>
        <v>63</v>
      </c>
      <c r="K16">
        <f>MIN(Table3[[#This Row],[Survivng t Years]]+$K$6,Qx!MaxAge)</f>
        <v>73</v>
      </c>
      <c r="L16">
        <f>VLOOKUP(Table3[[#This Row],[To Age]],$A$8:$G$128,L$6,FALSE)</f>
        <v>0.99506700000000003</v>
      </c>
      <c r="M16">
        <f>VLOOKUP(Table3[[#This Row],[To Age2]],$A$8:$G$128,M$6,FALSE)</f>
        <v>0.98485</v>
      </c>
      <c r="N16" t="str">
        <f t="shared" si="0"/>
        <v>P63,73</v>
      </c>
      <c r="O16">
        <f>Table3[[#This Row],[Px]]+Table3[[#This Row],[Py]]-Table3[[#This Row],[Px]]*Table3[[#This Row],[Py]]</f>
        <v>0.9999252650499999</v>
      </c>
      <c r="P16" t="str">
        <f t="shared" si="1"/>
        <v>9 P55,65</v>
      </c>
      <c r="Q16">
        <f>PRODUCT($O$8:$O16)</f>
        <v>0.99966293871637657</v>
      </c>
    </row>
    <row r="17" spans="1:17" x14ac:dyDescent="0.3">
      <c r="A17">
        <v>9</v>
      </c>
      <c r="B17">
        <v>8.7999999999999995E-2</v>
      </c>
      <c r="C17">
        <v>0.129</v>
      </c>
      <c r="D17">
        <f>Table2[[#This Row],[Fix]]/MAX(FIx)</f>
        <v>8.7999999999999998E-5</v>
      </c>
      <c r="E17">
        <f>Table2[[#This Row],[Mix]]/MAX(FIx)</f>
        <v>1.2899999999999999E-4</v>
      </c>
      <c r="F17">
        <f>1-Table2[[#This Row],[Fqx]]</f>
        <v>0.99991200000000002</v>
      </c>
      <c r="G17">
        <f>1-Table2[[#This Row],[Mqx]]</f>
        <v>0.99987099999999995</v>
      </c>
      <c r="I17">
        <f t="shared" si="2"/>
        <v>9</v>
      </c>
      <c r="J17">
        <f>MIN(Qx!MaxAge,Table3[[#This Row],[Survivng t Years]]+$J$6)</f>
        <v>64</v>
      </c>
      <c r="K17">
        <f>MIN(Table3[[#This Row],[Survivng t Years]]+$K$6,Qx!MaxAge)</f>
        <v>74</v>
      </c>
      <c r="L17">
        <f>VLOOKUP(Table3[[#This Row],[To Age]],$A$8:$G$128,L$6,FALSE)</f>
        <v>0.99449299999999996</v>
      </c>
      <c r="M17">
        <f>VLOOKUP(Table3[[#This Row],[To Age2]],$A$8:$G$128,M$6,FALSE)</f>
        <v>0.98314000000000001</v>
      </c>
      <c r="N17" t="str">
        <f t="shared" si="0"/>
        <v>P64,74</v>
      </c>
      <c r="O17">
        <f>Table3[[#This Row],[Px]]+Table3[[#This Row],[Py]]-Table3[[#This Row],[Px]]*Table3[[#This Row],[Py]]</f>
        <v>0.99990715198000002</v>
      </c>
      <c r="P17" t="str">
        <f t="shared" si="1"/>
        <v>10 P55,65</v>
      </c>
      <c r="Q17">
        <f>PRODUCT($O$8:$O17)</f>
        <v>0.99957012199184936</v>
      </c>
    </row>
    <row r="18" spans="1:17" x14ac:dyDescent="0.3">
      <c r="A18">
        <v>10</v>
      </c>
      <c r="B18">
        <v>8.5000000000000006E-2</v>
      </c>
      <c r="C18">
        <v>0.113</v>
      </c>
      <c r="D18">
        <f>Table2[[#This Row],[Fix]]/MAX(FIx)</f>
        <v>8.5000000000000006E-5</v>
      </c>
      <c r="E18">
        <f>Table2[[#This Row],[Mix]]/MAX(FIx)</f>
        <v>1.1300000000000001E-4</v>
      </c>
      <c r="F18">
        <f>1-Table2[[#This Row],[Fqx]]</f>
        <v>0.999915</v>
      </c>
      <c r="G18">
        <f>1-Table2[[#This Row],[Mqx]]</f>
        <v>0.99988699999999997</v>
      </c>
      <c r="I18">
        <f t="shared" si="2"/>
        <v>10</v>
      </c>
      <c r="J18">
        <f>MIN(Qx!MaxAge,Table3[[#This Row],[Survivng t Years]]+$J$6)</f>
        <v>65</v>
      </c>
      <c r="K18">
        <f>MIN(Table3[[#This Row],[Survivng t Years]]+$K$6,Qx!MaxAge)</f>
        <v>75</v>
      </c>
      <c r="L18">
        <f>VLOOKUP(Table3[[#This Row],[To Age]],$A$8:$G$128,L$6,FALSE)</f>
        <v>0.99385400000000002</v>
      </c>
      <c r="M18">
        <f>VLOOKUP(Table3[[#This Row],[To Age2]],$A$8:$G$128,M$6,FALSE)</f>
        <v>0.98118499999999997</v>
      </c>
      <c r="N18" t="str">
        <f t="shared" si="0"/>
        <v>P65,75</v>
      </c>
      <c r="O18">
        <f>Table3[[#This Row],[Px]]+Table3[[#This Row],[Py]]-Table3[[#This Row],[Px]]*Table3[[#This Row],[Py]]</f>
        <v>0.99988436301000005</v>
      </c>
      <c r="P18" t="str">
        <f t="shared" si="1"/>
        <v>11 P55,65</v>
      </c>
      <c r="Q18">
        <f>PRODUCT($O$8:$O18)</f>
        <v>0.99945453471164836</v>
      </c>
    </row>
    <row r="19" spans="1:17" x14ac:dyDescent="0.3">
      <c r="A19">
        <v>11</v>
      </c>
      <c r="B19">
        <v>8.5999999999999993E-2</v>
      </c>
      <c r="C19">
        <v>0.111</v>
      </c>
      <c r="D19">
        <f>Table2[[#This Row],[Fix]]/MAX(FIx)</f>
        <v>8.599999999999999E-5</v>
      </c>
      <c r="E19">
        <f>Table2[[#This Row],[Mix]]/MAX(FIx)</f>
        <v>1.11E-4</v>
      </c>
      <c r="F19">
        <f>1-Table2[[#This Row],[Fqx]]</f>
        <v>0.99991399999999997</v>
      </c>
      <c r="G19">
        <f>1-Table2[[#This Row],[Mqx]]</f>
        <v>0.99988900000000003</v>
      </c>
      <c r="I19">
        <f t="shared" si="2"/>
        <v>11</v>
      </c>
      <c r="J19">
        <f>MIN(Qx!MaxAge,Table3[[#This Row],[Survivng t Years]]+$J$6)</f>
        <v>66</v>
      </c>
      <c r="K19">
        <f>MIN(Table3[[#This Row],[Survivng t Years]]+$K$6,Qx!MaxAge)</f>
        <v>76</v>
      </c>
      <c r="L19">
        <f>VLOOKUP(Table3[[#This Row],[To Age]],$A$8:$G$128,L$6,FALSE)</f>
        <v>0.99344900000000003</v>
      </c>
      <c r="M19">
        <f>VLOOKUP(Table3[[#This Row],[To Age2]],$A$8:$G$128,M$6,FALSE)</f>
        <v>0.97896899999999998</v>
      </c>
      <c r="N19" t="str">
        <f t="shared" si="0"/>
        <v>P66,76</v>
      </c>
      <c r="O19">
        <f>Table3[[#This Row],[Px]]+Table3[[#This Row],[Py]]-Table3[[#This Row],[Px]]*Table3[[#This Row],[Py]]</f>
        <v>0.99986222591899998</v>
      </c>
      <c r="P19" t="str">
        <f t="shared" si="1"/>
        <v>12 P55,65</v>
      </c>
      <c r="Q19">
        <f>PRODUCT($O$8:$O19)</f>
        <v>0.99931683578162711</v>
      </c>
    </row>
    <row r="20" spans="1:17" x14ac:dyDescent="0.3">
      <c r="A20">
        <v>12</v>
      </c>
      <c r="B20">
        <v>9.4E-2</v>
      </c>
      <c r="C20">
        <v>0.13200000000000001</v>
      </c>
      <c r="D20">
        <f>Table2[[#This Row],[Fix]]/MAX(FIx)</f>
        <v>9.3999999999999994E-5</v>
      </c>
      <c r="E20">
        <f>Table2[[#This Row],[Mix]]/MAX(FIx)</f>
        <v>1.3200000000000001E-4</v>
      </c>
      <c r="F20">
        <f>1-Table2[[#This Row],[Fqx]]</f>
        <v>0.99990599999999996</v>
      </c>
      <c r="G20">
        <f>1-Table2[[#This Row],[Mqx]]</f>
        <v>0.99986799999999998</v>
      </c>
      <c r="I20">
        <f t="shared" si="2"/>
        <v>12</v>
      </c>
      <c r="J20">
        <f>MIN(Qx!MaxAge,Table3[[#This Row],[Survivng t Years]]+$J$6)</f>
        <v>67</v>
      </c>
      <c r="K20">
        <f>MIN(Table3[[#This Row],[Survivng t Years]]+$K$6,Qx!MaxAge)</f>
        <v>77</v>
      </c>
      <c r="L20">
        <f>VLOOKUP(Table3[[#This Row],[To Age]],$A$8:$G$128,L$6,FALSE)</f>
        <v>0.99296099999999998</v>
      </c>
      <c r="M20">
        <f>VLOOKUP(Table3[[#This Row],[To Age2]],$A$8:$G$128,M$6,FALSE)</f>
        <v>0.97645999999999999</v>
      </c>
      <c r="N20" t="str">
        <f t="shared" si="0"/>
        <v>P67,77</v>
      </c>
      <c r="O20">
        <f>Table3[[#This Row],[Px]]+Table3[[#This Row],[Py]]-Table3[[#This Row],[Px]]*Table3[[#This Row],[Py]]</f>
        <v>0.99983430194000011</v>
      </c>
      <c r="P20" t="str">
        <f t="shared" si="1"/>
        <v>13 P55,65</v>
      </c>
      <c r="Q20">
        <f>PRODUCT($O$8:$O20)</f>
        <v>0.99915125092061285</v>
      </c>
    </row>
    <row r="21" spans="1:17" x14ac:dyDescent="0.3">
      <c r="A21">
        <v>13</v>
      </c>
      <c r="B21">
        <v>0.108</v>
      </c>
      <c r="C21">
        <v>0.16900000000000001</v>
      </c>
      <c r="D21">
        <f>Table2[[#This Row],[Fix]]/MAX(FIx)</f>
        <v>1.08E-4</v>
      </c>
      <c r="E21">
        <f>Table2[[#This Row],[Mix]]/MAX(FIx)</f>
        <v>1.6900000000000002E-4</v>
      </c>
      <c r="F21">
        <f>1-Table2[[#This Row],[Fqx]]</f>
        <v>0.999892</v>
      </c>
      <c r="G21">
        <f>1-Table2[[#This Row],[Mqx]]</f>
        <v>0.99983100000000003</v>
      </c>
      <c r="I21">
        <f t="shared" si="2"/>
        <v>13</v>
      </c>
      <c r="J21">
        <f>MIN(Qx!MaxAge,Table3[[#This Row],[Survivng t Years]]+$J$6)</f>
        <v>68</v>
      </c>
      <c r="K21">
        <f>MIN(Table3[[#This Row],[Survivng t Years]]+$K$6,Qx!MaxAge)</f>
        <v>78</v>
      </c>
      <c r="L21">
        <f>VLOOKUP(Table3[[#This Row],[To Age]],$A$8:$G$128,L$6,FALSE)</f>
        <v>0.99237200000000003</v>
      </c>
      <c r="M21">
        <f>VLOOKUP(Table3[[#This Row],[To Age2]],$A$8:$G$128,M$6,FALSE)</f>
        <v>0.97362499999999996</v>
      </c>
      <c r="N21" t="str">
        <f t="shared" si="0"/>
        <v>P68,78</v>
      </c>
      <c r="O21">
        <f>Table3[[#This Row],[Px]]+Table3[[#This Row],[Py]]-Table3[[#This Row],[Px]]*Table3[[#This Row],[Py]]</f>
        <v>0.99979881150000005</v>
      </c>
      <c r="P21" t="str">
        <f t="shared" si="1"/>
        <v>14 P55,65</v>
      </c>
      <c r="Q21">
        <f>PRODUCT($O$8:$O21)</f>
        <v>0.99895023317916709</v>
      </c>
    </row>
    <row r="22" spans="1:17" x14ac:dyDescent="0.3">
      <c r="A22">
        <v>14</v>
      </c>
      <c r="B22">
        <v>0.13100000000000001</v>
      </c>
      <c r="C22">
        <v>0.21299999999999999</v>
      </c>
      <c r="D22">
        <f>Table2[[#This Row],[Fix]]/MAX(FIx)</f>
        <v>1.3100000000000001E-4</v>
      </c>
      <c r="E22">
        <f>Table2[[#This Row],[Mix]]/MAX(FIx)</f>
        <v>2.13E-4</v>
      </c>
      <c r="F22">
        <f>1-Table2[[#This Row],[Fqx]]</f>
        <v>0.99986900000000001</v>
      </c>
      <c r="G22">
        <f>1-Table2[[#This Row],[Mqx]]</f>
        <v>0.99978699999999998</v>
      </c>
      <c r="I22">
        <f t="shared" si="2"/>
        <v>14</v>
      </c>
      <c r="J22">
        <f>MIN(Qx!MaxAge,Table3[[#This Row],[Survivng t Years]]+$J$6)</f>
        <v>69</v>
      </c>
      <c r="K22">
        <f>MIN(Table3[[#This Row],[Survivng t Years]]+$K$6,Qx!MaxAge)</f>
        <v>79</v>
      </c>
      <c r="L22">
        <f>VLOOKUP(Table3[[#This Row],[To Age]],$A$8:$G$128,L$6,FALSE)</f>
        <v>0.99168900000000004</v>
      </c>
      <c r="M22">
        <f>VLOOKUP(Table3[[#This Row],[To Age2]],$A$8:$G$128,M$6,FALSE)</f>
        <v>0.97042799999999996</v>
      </c>
      <c r="N22" t="str">
        <f t="shared" si="0"/>
        <v>P69,79</v>
      </c>
      <c r="O22">
        <f>Table3[[#This Row],[Px]]+Table3[[#This Row],[Py]]-Table3[[#This Row],[Px]]*Table3[[#This Row],[Py]]</f>
        <v>0.9997542271080001</v>
      </c>
      <c r="P22" t="str">
        <f t="shared" si="1"/>
        <v>15 P55,65</v>
      </c>
      <c r="Q22">
        <f>PRODUCT($O$8:$O22)</f>
        <v>0.99870471829139462</v>
      </c>
    </row>
    <row r="23" spans="1:17" x14ac:dyDescent="0.3">
      <c r="A23">
        <v>15</v>
      </c>
      <c r="B23">
        <v>0.156</v>
      </c>
      <c r="C23">
        <v>0.254</v>
      </c>
      <c r="D23">
        <f>Table2[[#This Row],[Fix]]/MAX(FIx)</f>
        <v>1.56E-4</v>
      </c>
      <c r="E23">
        <f>Table2[[#This Row],[Mix]]/MAX(FIx)</f>
        <v>2.5399999999999999E-4</v>
      </c>
      <c r="F23">
        <f>1-Table2[[#This Row],[Fqx]]</f>
        <v>0.99984399999999996</v>
      </c>
      <c r="G23">
        <f>1-Table2[[#This Row],[Mqx]]</f>
        <v>0.99974600000000002</v>
      </c>
      <c r="I23">
        <f t="shared" si="2"/>
        <v>15</v>
      </c>
      <c r="J23">
        <f>MIN(Qx!MaxAge,Table3[[#This Row],[Survivng t Years]]+$J$6)</f>
        <v>70</v>
      </c>
      <c r="K23">
        <f>MIN(Table3[[#This Row],[Survivng t Years]]+$K$6,Qx!MaxAge)</f>
        <v>80</v>
      </c>
      <c r="L23">
        <f>VLOOKUP(Table3[[#This Row],[To Age]],$A$8:$G$128,L$6,FALSE)</f>
        <v>0.99092599999999997</v>
      </c>
      <c r="M23">
        <f>VLOOKUP(Table3[[#This Row],[To Age2]],$A$8:$G$128,M$6,FALSE)</f>
        <v>0.96676600000000001</v>
      </c>
      <c r="N23" t="str">
        <f t="shared" si="0"/>
        <v>P70,80</v>
      </c>
      <c r="O23">
        <f>Table3[[#This Row],[Px]]+Table3[[#This Row],[Py]]-Table3[[#This Row],[Px]]*Table3[[#This Row],[Py]]</f>
        <v>0.99969843468399999</v>
      </c>
      <c r="P23" t="str">
        <f t="shared" si="1"/>
        <v>16 P55,65</v>
      </c>
      <c r="Q23">
        <f>PRODUCT($O$8:$O23)</f>
        <v>0.99840354358743233</v>
      </c>
    </row>
    <row r="24" spans="1:17" x14ac:dyDescent="0.3">
      <c r="A24">
        <v>16</v>
      </c>
      <c r="B24">
        <v>0.17899999999999999</v>
      </c>
      <c r="C24">
        <v>0.29299999999999998</v>
      </c>
      <c r="D24">
        <f>Table2[[#This Row],[Fix]]/MAX(FIx)</f>
        <v>1.7899999999999999E-4</v>
      </c>
      <c r="E24">
        <f>Table2[[#This Row],[Mix]]/MAX(FIx)</f>
        <v>2.9299999999999997E-4</v>
      </c>
      <c r="F24">
        <f>1-Table2[[#This Row],[Fqx]]</f>
        <v>0.99982099999999996</v>
      </c>
      <c r="G24">
        <f>1-Table2[[#This Row],[Mqx]]</f>
        <v>0.99970700000000001</v>
      </c>
      <c r="I24">
        <f t="shared" si="2"/>
        <v>16</v>
      </c>
      <c r="J24">
        <f>MIN(Qx!MaxAge,Table3[[#This Row],[Survivng t Years]]+$J$6)</f>
        <v>71</v>
      </c>
      <c r="K24">
        <f>MIN(Table3[[#This Row],[Survivng t Years]]+$K$6,Qx!MaxAge)</f>
        <v>81</v>
      </c>
      <c r="L24">
        <f>VLOOKUP(Table3[[#This Row],[To Age]],$A$8:$G$128,L$6,FALSE)</f>
        <v>0.99009000000000003</v>
      </c>
      <c r="M24">
        <f>VLOOKUP(Table3[[#This Row],[To Age2]],$A$8:$G$128,M$6,FALSE)</f>
        <v>0.96246699999999996</v>
      </c>
      <c r="N24" t="str">
        <f t="shared" si="0"/>
        <v>P71,81</v>
      </c>
      <c r="O24">
        <f>Table3[[#This Row],[Px]]+Table3[[#This Row],[Py]]-Table3[[#This Row],[Px]]*Table3[[#This Row],[Py]]</f>
        <v>0.99962804797000016</v>
      </c>
      <c r="P24" t="str">
        <f t="shared" si="1"/>
        <v>17 P55,65</v>
      </c>
      <c r="Q24">
        <f>PRODUCT($O$8:$O24)</f>
        <v>0.99803218536263594</v>
      </c>
    </row>
    <row r="25" spans="1:17" x14ac:dyDescent="0.3">
      <c r="A25">
        <v>17</v>
      </c>
      <c r="B25">
        <v>0.19800000000000001</v>
      </c>
      <c r="C25">
        <v>0.32800000000000001</v>
      </c>
      <c r="D25">
        <f>Table2[[#This Row],[Fix]]/MAX(FIx)</f>
        <v>1.9800000000000002E-4</v>
      </c>
      <c r="E25">
        <f>Table2[[#This Row],[Mix]]/MAX(FIx)</f>
        <v>3.28E-4</v>
      </c>
      <c r="F25">
        <f>1-Table2[[#This Row],[Fqx]]</f>
        <v>0.99980199999999997</v>
      </c>
      <c r="G25">
        <f>1-Table2[[#This Row],[Mqx]]</f>
        <v>0.99967200000000001</v>
      </c>
      <c r="I25">
        <f t="shared" si="2"/>
        <v>17</v>
      </c>
      <c r="J25">
        <f>MIN(Qx!MaxAge,Table3[[#This Row],[Survivng t Years]]+$J$6)</f>
        <v>72</v>
      </c>
      <c r="K25">
        <f>MIN(Table3[[#This Row],[Survivng t Years]]+$K$6,Qx!MaxAge)</f>
        <v>82</v>
      </c>
      <c r="L25">
        <f>VLOOKUP(Table3[[#This Row],[To Age]],$A$8:$G$128,L$6,FALSE)</f>
        <v>0.98917299999999997</v>
      </c>
      <c r="M25">
        <f>VLOOKUP(Table3[[#This Row],[To Age2]],$A$8:$G$128,M$6,FALSE)</f>
        <v>0.95773900000000001</v>
      </c>
      <c r="N25" t="str">
        <f t="shared" si="0"/>
        <v>P72,82</v>
      </c>
      <c r="O25">
        <f>Table3[[#This Row],[Px]]+Table3[[#This Row],[Py]]-Table3[[#This Row],[Px]]*Table3[[#This Row],[Py]]</f>
        <v>0.99954244015299998</v>
      </c>
      <c r="P25" t="str">
        <f t="shared" si="1"/>
        <v>18 P55,65</v>
      </c>
      <c r="Q25">
        <f>PRODUCT($O$8:$O25)</f>
        <v>0.99757552590860032</v>
      </c>
    </row>
    <row r="26" spans="1:17" x14ac:dyDescent="0.3">
      <c r="A26">
        <v>18</v>
      </c>
      <c r="B26">
        <v>0.21099999999999999</v>
      </c>
      <c r="C26">
        <v>0.35899999999999999</v>
      </c>
      <c r="D26">
        <f>Table2[[#This Row],[Fix]]/MAX(FIx)</f>
        <v>2.1100000000000001E-4</v>
      </c>
      <c r="E26">
        <f>Table2[[#This Row],[Mix]]/MAX(FIx)</f>
        <v>3.59E-4</v>
      </c>
      <c r="F26">
        <f>1-Table2[[#This Row],[Fqx]]</f>
        <v>0.99978900000000004</v>
      </c>
      <c r="G26">
        <f>1-Table2[[#This Row],[Mqx]]</f>
        <v>0.999641</v>
      </c>
      <c r="I26">
        <f t="shared" si="2"/>
        <v>18</v>
      </c>
      <c r="J26">
        <f>MIN(Qx!MaxAge,Table3[[#This Row],[Survivng t Years]]+$J$6)</f>
        <v>73</v>
      </c>
      <c r="K26">
        <f>MIN(Table3[[#This Row],[Survivng t Years]]+$K$6,Qx!MaxAge)</f>
        <v>83</v>
      </c>
      <c r="L26">
        <f>VLOOKUP(Table3[[#This Row],[To Age]],$A$8:$G$128,L$6,FALSE)</f>
        <v>0.98816099999999996</v>
      </c>
      <c r="M26">
        <f>VLOOKUP(Table3[[#This Row],[To Age2]],$A$8:$G$128,M$6,FALSE)</f>
        <v>0.95255900000000004</v>
      </c>
      <c r="N26" t="str">
        <f t="shared" si="0"/>
        <v>P73,83</v>
      </c>
      <c r="O26">
        <f>Table3[[#This Row],[Px]]+Table3[[#This Row],[Py]]-Table3[[#This Row],[Px]]*Table3[[#This Row],[Py]]</f>
        <v>0.99943834600100001</v>
      </c>
      <c r="P26" t="str">
        <f t="shared" si="1"/>
        <v>19 P55,65</v>
      </c>
      <c r="Q26">
        <f>PRODUCT($O$8:$O26)</f>
        <v>0.99701523362516919</v>
      </c>
    </row>
    <row r="27" spans="1:17" x14ac:dyDescent="0.3">
      <c r="A27">
        <v>19</v>
      </c>
      <c r="B27">
        <v>0.221</v>
      </c>
      <c r="C27">
        <v>0.38700000000000001</v>
      </c>
      <c r="D27">
        <f>Table2[[#This Row],[Fix]]/MAX(FIx)</f>
        <v>2.2100000000000001E-4</v>
      </c>
      <c r="E27">
        <f>Table2[[#This Row],[Mix]]/MAX(FIx)</f>
        <v>3.8700000000000003E-4</v>
      </c>
      <c r="F27">
        <f>1-Table2[[#This Row],[Fqx]]</f>
        <v>0.99977899999999997</v>
      </c>
      <c r="G27">
        <f>1-Table2[[#This Row],[Mqx]]</f>
        <v>0.99961299999999997</v>
      </c>
      <c r="I27">
        <f t="shared" si="2"/>
        <v>19</v>
      </c>
      <c r="J27">
        <f>MIN(Qx!MaxAge,Table3[[#This Row],[Survivng t Years]]+$J$6)</f>
        <v>74</v>
      </c>
      <c r="K27">
        <f>MIN(Table3[[#This Row],[Survivng t Years]]+$K$6,Qx!MaxAge)</f>
        <v>84</v>
      </c>
      <c r="L27">
        <f>VLOOKUP(Table3[[#This Row],[To Age]],$A$8:$G$128,L$6,FALSE)</f>
        <v>0.98702599999999996</v>
      </c>
      <c r="M27">
        <f>VLOOKUP(Table3[[#This Row],[To Age2]],$A$8:$G$128,M$6,FALSE)</f>
        <v>0.94676700000000003</v>
      </c>
      <c r="N27" t="str">
        <f t="shared" si="0"/>
        <v>P74,84</v>
      </c>
      <c r="O27">
        <f>Table3[[#This Row],[Px]]+Table3[[#This Row],[Py]]-Table3[[#This Row],[Px]]*Table3[[#This Row],[Py]]</f>
        <v>0.99930935505800011</v>
      </c>
      <c r="P27" t="str">
        <f t="shared" si="1"/>
        <v>20 P55,65</v>
      </c>
      <c r="Q27">
        <f>PRODUCT($O$8:$O27)</f>
        <v>0.99632665009696919</v>
      </c>
    </row>
    <row r="28" spans="1:17" x14ac:dyDescent="0.3">
      <c r="A28">
        <v>20</v>
      </c>
      <c r="B28">
        <v>0.22800000000000001</v>
      </c>
      <c r="C28">
        <v>0.41399999999999998</v>
      </c>
      <c r="D28">
        <f>Table2[[#This Row],[Fix]]/MAX(FIx)</f>
        <v>2.2800000000000001E-4</v>
      </c>
      <c r="E28">
        <f>Table2[[#This Row],[Mix]]/MAX(FIx)</f>
        <v>4.1399999999999998E-4</v>
      </c>
      <c r="F28">
        <f>1-Table2[[#This Row],[Fqx]]</f>
        <v>0.99977199999999999</v>
      </c>
      <c r="G28">
        <f>1-Table2[[#This Row],[Mqx]]</f>
        <v>0.99958599999999997</v>
      </c>
      <c r="I28">
        <f t="shared" si="2"/>
        <v>20</v>
      </c>
      <c r="J28">
        <f>MIN(Qx!MaxAge,Table3[[#This Row],[Survivng t Years]]+$J$6)</f>
        <v>75</v>
      </c>
      <c r="K28">
        <f>MIN(Table3[[#This Row],[Survivng t Years]]+$K$6,Qx!MaxAge)</f>
        <v>85</v>
      </c>
      <c r="L28">
        <f>VLOOKUP(Table3[[#This Row],[To Age]],$A$8:$G$128,L$6,FALSE)</f>
        <v>0.98571799999999998</v>
      </c>
      <c r="M28">
        <f>VLOOKUP(Table3[[#This Row],[To Age2]],$A$8:$G$128,M$6,FALSE)</f>
        <v>0.94014500000000001</v>
      </c>
      <c r="N28" t="str">
        <f t="shared" si="0"/>
        <v>P75,85</v>
      </c>
      <c r="O28">
        <f>Table3[[#This Row],[Px]]+Table3[[#This Row],[Py]]-Table3[[#This Row],[Px]]*Table3[[#This Row],[Py]]</f>
        <v>0.99914515089000011</v>
      </c>
      <c r="P28" t="str">
        <f t="shared" si="1"/>
        <v>21 P55,65</v>
      </c>
      <c r="Q28">
        <f>PRODUCT($O$8:$O28)</f>
        <v>0.99547494114686463</v>
      </c>
    </row>
    <row r="29" spans="1:17" x14ac:dyDescent="0.3">
      <c r="A29">
        <v>21</v>
      </c>
      <c r="B29">
        <v>0.23400000000000001</v>
      </c>
      <c r="C29">
        <v>0.443</v>
      </c>
      <c r="D29">
        <f>Table2[[#This Row],[Fix]]/MAX(FIx)</f>
        <v>2.3400000000000002E-4</v>
      </c>
      <c r="E29">
        <f>Table2[[#This Row],[Mix]]/MAX(FIx)</f>
        <v>4.4299999999999998E-4</v>
      </c>
      <c r="F29">
        <f>1-Table2[[#This Row],[Fqx]]</f>
        <v>0.99976600000000004</v>
      </c>
      <c r="G29">
        <f>1-Table2[[#This Row],[Mqx]]</f>
        <v>0.99955700000000003</v>
      </c>
      <c r="I29">
        <f t="shared" si="2"/>
        <v>21</v>
      </c>
      <c r="J29">
        <f>MIN(Qx!MaxAge,Table3[[#This Row],[Survivng t Years]]+$J$6)</f>
        <v>76</v>
      </c>
      <c r="K29">
        <f>MIN(Table3[[#This Row],[Survivng t Years]]+$K$6,Qx!MaxAge)</f>
        <v>86</v>
      </c>
      <c r="L29">
        <f>VLOOKUP(Table3[[#This Row],[To Age]],$A$8:$G$128,L$6,FALSE)</f>
        <v>0.98420099999999999</v>
      </c>
      <c r="M29">
        <f>VLOOKUP(Table3[[#This Row],[To Age2]],$A$8:$G$128,M$6,FALSE)</f>
        <v>0.93248600000000004</v>
      </c>
      <c r="N29" t="str">
        <f t="shared" si="0"/>
        <v>P76,86</v>
      </c>
      <c r="O29">
        <f>Table3[[#This Row],[Px]]+Table3[[#This Row],[Py]]-Table3[[#This Row],[Px]]*Table3[[#This Row],[Py]]</f>
        <v>0.99893334631399999</v>
      </c>
      <c r="P29" t="str">
        <f t="shared" si="1"/>
        <v>22 P55,65</v>
      </c>
      <c r="Q29">
        <f>PRODUCT($O$8:$O29)</f>
        <v>0.99441311413156974</v>
      </c>
    </row>
    <row r="30" spans="1:17" x14ac:dyDescent="0.3">
      <c r="A30">
        <v>22</v>
      </c>
      <c r="B30">
        <v>0.24</v>
      </c>
      <c r="C30">
        <v>0.47299999999999998</v>
      </c>
      <c r="D30">
        <f>Table2[[#This Row],[Fix]]/MAX(FIx)</f>
        <v>2.3999999999999998E-4</v>
      </c>
      <c r="E30">
        <f>Table2[[#This Row],[Mix]]/MAX(FIx)</f>
        <v>4.7299999999999995E-4</v>
      </c>
      <c r="F30">
        <f>1-Table2[[#This Row],[Fqx]]</f>
        <v>0.99975999999999998</v>
      </c>
      <c r="G30">
        <f>1-Table2[[#This Row],[Mqx]]</f>
        <v>0.99952700000000005</v>
      </c>
      <c r="I30">
        <f t="shared" si="2"/>
        <v>22</v>
      </c>
      <c r="J30">
        <f>MIN(Qx!MaxAge,Table3[[#This Row],[Survivng t Years]]+$J$6)</f>
        <v>77</v>
      </c>
      <c r="K30">
        <f>MIN(Table3[[#This Row],[Survivng t Years]]+$K$6,Qx!MaxAge)</f>
        <v>87</v>
      </c>
      <c r="L30">
        <f>VLOOKUP(Table3[[#This Row],[To Age]],$A$8:$G$128,L$6,FALSE)</f>
        <v>0.98245000000000005</v>
      </c>
      <c r="M30">
        <f>VLOOKUP(Table3[[#This Row],[To Age2]],$A$8:$G$128,M$6,FALSE)</f>
        <v>0.92366000000000004</v>
      </c>
      <c r="N30" t="str">
        <f t="shared" si="0"/>
        <v>P77,87</v>
      </c>
      <c r="O30">
        <f>Table3[[#This Row],[Px]]+Table3[[#This Row],[Py]]-Table3[[#This Row],[Px]]*Table3[[#This Row],[Py]]</f>
        <v>0.99866023299999984</v>
      </c>
      <c r="P30" t="str">
        <f t="shared" si="1"/>
        <v>23 P55,65</v>
      </c>
      <c r="Q30">
        <f>PRODUCT($O$8:$O30)</f>
        <v>0.99308083225688892</v>
      </c>
    </row>
    <row r="31" spans="1:17" x14ac:dyDescent="0.3">
      <c r="A31">
        <v>23</v>
      </c>
      <c r="B31">
        <v>0.245</v>
      </c>
      <c r="C31">
        <v>0.51300000000000001</v>
      </c>
      <c r="D31">
        <f>Table2[[#This Row],[Fix]]/MAX(FIx)</f>
        <v>2.4499999999999999E-4</v>
      </c>
      <c r="E31">
        <f>Table2[[#This Row],[Mix]]/MAX(FIx)</f>
        <v>5.13E-4</v>
      </c>
      <c r="F31">
        <f>1-Table2[[#This Row],[Fqx]]</f>
        <v>0.99975499999999995</v>
      </c>
      <c r="G31">
        <f>1-Table2[[#This Row],[Mqx]]</f>
        <v>0.99948700000000001</v>
      </c>
      <c r="I31">
        <f t="shared" si="2"/>
        <v>23</v>
      </c>
      <c r="J31">
        <f>MIN(Qx!MaxAge,Table3[[#This Row],[Survivng t Years]]+$J$6)</f>
        <v>78</v>
      </c>
      <c r="K31">
        <f>MIN(Table3[[#This Row],[Survivng t Years]]+$K$6,Qx!MaxAge)</f>
        <v>88</v>
      </c>
      <c r="L31">
        <f>VLOOKUP(Table3[[#This Row],[To Age]],$A$8:$G$128,L$6,FALSE)</f>
        <v>0.98041800000000001</v>
      </c>
      <c r="M31">
        <f>VLOOKUP(Table3[[#This Row],[To Age2]],$A$8:$G$128,M$6,FALSE)</f>
        <v>0.91361199999999998</v>
      </c>
      <c r="N31" t="str">
        <f t="shared" si="0"/>
        <v>P78,88</v>
      </c>
      <c r="O31">
        <f>Table3[[#This Row],[Px]]+Table3[[#This Row],[Py]]-Table3[[#This Row],[Px]]*Table3[[#This Row],[Py]]</f>
        <v>0.99830835018399988</v>
      </c>
      <c r="P31" t="str">
        <f t="shared" si="1"/>
        <v>24 P55,65</v>
      </c>
      <c r="Q31">
        <f>PRODUCT($O$8:$O31)</f>
        <v>0.9914008872497283</v>
      </c>
    </row>
    <row r="32" spans="1:17" x14ac:dyDescent="0.3">
      <c r="A32">
        <v>24</v>
      </c>
      <c r="B32">
        <v>0.247</v>
      </c>
      <c r="C32">
        <v>0.55400000000000005</v>
      </c>
      <c r="D32">
        <f>Table2[[#This Row],[Fix]]/MAX(FIx)</f>
        <v>2.4699999999999999E-4</v>
      </c>
      <c r="E32">
        <f>Table2[[#This Row],[Mix]]/MAX(FIx)</f>
        <v>5.5400000000000002E-4</v>
      </c>
      <c r="F32">
        <f>1-Table2[[#This Row],[Fqx]]</f>
        <v>0.999753</v>
      </c>
      <c r="G32">
        <f>1-Table2[[#This Row],[Mqx]]</f>
        <v>0.99944599999999995</v>
      </c>
      <c r="I32">
        <f t="shared" si="2"/>
        <v>24</v>
      </c>
      <c r="J32">
        <f>MIN(Qx!MaxAge,Table3[[#This Row],[Survivng t Years]]+$J$6)</f>
        <v>79</v>
      </c>
      <c r="K32">
        <f>MIN(Table3[[#This Row],[Survivng t Years]]+$K$6,Qx!MaxAge)</f>
        <v>89</v>
      </c>
      <c r="L32">
        <f>VLOOKUP(Table3[[#This Row],[To Age]],$A$8:$G$128,L$6,FALSE)</f>
        <v>0.97802999999999995</v>
      </c>
      <c r="M32">
        <f>VLOOKUP(Table3[[#This Row],[To Age2]],$A$8:$G$128,M$6,FALSE)</f>
        <v>0.902366</v>
      </c>
      <c r="N32" t="str">
        <f t="shared" si="0"/>
        <v>P79,89</v>
      </c>
      <c r="O32">
        <f>Table3[[#This Row],[Px]]+Table3[[#This Row],[Py]]-Table3[[#This Row],[Px]]*Table3[[#This Row],[Py]]</f>
        <v>0.99785498102000003</v>
      </c>
      <c r="P32" t="str">
        <f t="shared" si="1"/>
        <v>25 P55,65</v>
      </c>
      <c r="Q32">
        <f>PRODUCT($O$8:$O32)</f>
        <v>0.98927431352978878</v>
      </c>
    </row>
    <row r="33" spans="1:17" x14ac:dyDescent="0.3">
      <c r="A33">
        <v>25</v>
      </c>
      <c r="B33">
        <v>0.25</v>
      </c>
      <c r="C33">
        <v>0.60199999999999998</v>
      </c>
      <c r="D33">
        <f>Table2[[#This Row],[Fix]]/MAX(FIx)</f>
        <v>2.5000000000000001E-4</v>
      </c>
      <c r="E33">
        <f>Table2[[#This Row],[Mix]]/MAX(FIx)</f>
        <v>6.02E-4</v>
      </c>
      <c r="F33">
        <f>1-Table2[[#This Row],[Fqx]]</f>
        <v>0.99975000000000003</v>
      </c>
      <c r="G33">
        <f>1-Table2[[#This Row],[Mqx]]</f>
        <v>0.99939800000000001</v>
      </c>
      <c r="I33">
        <f t="shared" si="2"/>
        <v>25</v>
      </c>
      <c r="J33">
        <f>MIN(Qx!MaxAge,Table3[[#This Row],[Survivng t Years]]+$J$6)</f>
        <v>80</v>
      </c>
      <c r="K33">
        <f>MIN(Table3[[#This Row],[Survivng t Years]]+$K$6,Qx!MaxAge)</f>
        <v>90</v>
      </c>
      <c r="L33">
        <f>VLOOKUP(Table3[[#This Row],[To Age]],$A$8:$G$128,L$6,FALSE)</f>
        <v>0.97517900000000002</v>
      </c>
      <c r="M33">
        <f>VLOOKUP(Table3[[#This Row],[To Age2]],$A$8:$G$128,M$6,FALSE)</f>
        <v>0.89000699999999999</v>
      </c>
      <c r="N33" t="str">
        <f t="shared" si="0"/>
        <v>P80,90</v>
      </c>
      <c r="O33">
        <f>Table3[[#This Row],[Px]]+Table3[[#This Row],[Py]]-Table3[[#This Row],[Px]]*Table3[[#This Row],[Py]]</f>
        <v>0.997269863747</v>
      </c>
      <c r="P33" t="str">
        <f t="shared" si="1"/>
        <v>26 P55,65</v>
      </c>
      <c r="Q33">
        <f>PRODUCT($O$8:$O33)</f>
        <v>0.98657345986225942</v>
      </c>
    </row>
    <row r="34" spans="1:17" x14ac:dyDescent="0.3">
      <c r="A34">
        <v>26</v>
      </c>
      <c r="B34">
        <v>0.25600000000000001</v>
      </c>
      <c r="C34">
        <v>0.65500000000000003</v>
      </c>
      <c r="D34">
        <f>Table2[[#This Row],[Fix]]/MAX(FIx)</f>
        <v>2.5599999999999999E-4</v>
      </c>
      <c r="E34">
        <f>Table2[[#This Row],[Mix]]/MAX(FIx)</f>
        <v>6.5499999999999998E-4</v>
      </c>
      <c r="F34">
        <f>1-Table2[[#This Row],[Fqx]]</f>
        <v>0.99974399999999997</v>
      </c>
      <c r="G34">
        <f>1-Table2[[#This Row],[Mqx]]</f>
        <v>0.99934500000000004</v>
      </c>
      <c r="I34">
        <f t="shared" si="2"/>
        <v>26</v>
      </c>
      <c r="J34">
        <f>MIN(Qx!MaxAge,Table3[[#This Row],[Survivng t Years]]+$J$6)</f>
        <v>81</v>
      </c>
      <c r="K34">
        <f>MIN(Table3[[#This Row],[Survivng t Years]]+$K$6,Qx!MaxAge)</f>
        <v>91</v>
      </c>
      <c r="L34">
        <f>VLOOKUP(Table3[[#This Row],[To Age]],$A$8:$G$128,L$6,FALSE)</f>
        <v>0.97164899999999998</v>
      </c>
      <c r="M34">
        <f>VLOOKUP(Table3[[#This Row],[To Age2]],$A$8:$G$128,M$6,FALSE)</f>
        <v>0.87688100000000002</v>
      </c>
      <c r="N34" t="str">
        <f t="shared" si="0"/>
        <v>P81,91</v>
      </c>
      <c r="O34">
        <f>Table3[[#This Row],[Px]]+Table3[[#This Row],[Py]]-Table3[[#This Row],[Px]]*Table3[[#This Row],[Py]]</f>
        <v>0.99650945323100004</v>
      </c>
      <c r="P34" t="str">
        <f t="shared" si="1"/>
        <v>27 P55,65</v>
      </c>
      <c r="Q34">
        <f>PRODUCT($O$8:$O34)</f>
        <v>0.98312977905955612</v>
      </c>
    </row>
    <row r="35" spans="1:17" x14ac:dyDescent="0.3">
      <c r="A35">
        <v>27</v>
      </c>
      <c r="B35">
        <v>0.26100000000000001</v>
      </c>
      <c r="C35">
        <v>0.68799999999999994</v>
      </c>
      <c r="D35">
        <f>Table2[[#This Row],[Fix]]/MAX(FIx)</f>
        <v>2.61E-4</v>
      </c>
      <c r="E35">
        <f>Table2[[#This Row],[Mix]]/MAX(FIx)</f>
        <v>6.8799999999999992E-4</v>
      </c>
      <c r="F35">
        <f>1-Table2[[#This Row],[Fqx]]</f>
        <v>0.99973900000000004</v>
      </c>
      <c r="G35">
        <f>1-Table2[[#This Row],[Mqx]]</f>
        <v>0.99931199999999998</v>
      </c>
      <c r="I35">
        <f t="shared" si="2"/>
        <v>27</v>
      </c>
      <c r="J35">
        <f>MIN(Qx!MaxAge,Table3[[#This Row],[Survivng t Years]]+$J$6)</f>
        <v>82</v>
      </c>
      <c r="K35">
        <f>MIN(Table3[[#This Row],[Survivng t Years]]+$K$6,Qx!MaxAge)</f>
        <v>92</v>
      </c>
      <c r="L35">
        <f>VLOOKUP(Table3[[#This Row],[To Age]],$A$8:$G$128,L$6,FALSE)</f>
        <v>0.96749099999999999</v>
      </c>
      <c r="M35">
        <f>VLOOKUP(Table3[[#This Row],[To Age2]],$A$8:$G$128,M$6,FALSE)</f>
        <v>0.86283200000000004</v>
      </c>
      <c r="N35" t="str">
        <f t="shared" si="0"/>
        <v>P82,92</v>
      </c>
      <c r="O35">
        <f>Table3[[#This Row],[Px]]+Table3[[#This Row],[Py]]-Table3[[#This Row],[Px]]*Table3[[#This Row],[Py]]</f>
        <v>0.99554080548799984</v>
      </c>
      <c r="P35" t="str">
        <f t="shared" si="1"/>
        <v>28 P55,65</v>
      </c>
      <c r="Q35">
        <f>PRODUCT($O$8:$O35)</f>
        <v>0.97874581214418976</v>
      </c>
    </row>
    <row r="36" spans="1:17" x14ac:dyDescent="0.3">
      <c r="A36">
        <v>28</v>
      </c>
      <c r="B36">
        <v>0.27</v>
      </c>
      <c r="C36">
        <v>0.71</v>
      </c>
      <c r="D36">
        <f>Table2[[#This Row],[Fix]]/MAX(FIx)</f>
        <v>2.7E-4</v>
      </c>
      <c r="E36">
        <f>Table2[[#This Row],[Mix]]/MAX(FIx)</f>
        <v>7.0999999999999991E-4</v>
      </c>
      <c r="F36">
        <f>1-Table2[[#This Row],[Fqx]]</f>
        <v>0.99973000000000001</v>
      </c>
      <c r="G36">
        <f>1-Table2[[#This Row],[Mqx]]</f>
        <v>0.99929000000000001</v>
      </c>
      <c r="I36">
        <f t="shared" si="2"/>
        <v>28</v>
      </c>
      <c r="J36">
        <f>MIN(Qx!MaxAge,Table3[[#This Row],[Survivng t Years]]+$J$6)</f>
        <v>83</v>
      </c>
      <c r="K36">
        <f>MIN(Table3[[#This Row],[Survivng t Years]]+$K$6,Qx!MaxAge)</f>
        <v>93</v>
      </c>
      <c r="L36">
        <f>VLOOKUP(Table3[[#This Row],[To Age]],$A$8:$G$128,L$6,FALSE)</f>
        <v>0.96267100000000005</v>
      </c>
      <c r="M36">
        <f>VLOOKUP(Table3[[#This Row],[To Age2]],$A$8:$G$128,M$6,FALSE)</f>
        <v>0.84782899999999994</v>
      </c>
      <c r="N36" t="str">
        <f t="shared" si="0"/>
        <v>P83,93</v>
      </c>
      <c r="O36">
        <f>Table3[[#This Row],[Px]]+Table3[[#This Row],[Py]]-Table3[[#This Row],[Px]]*Table3[[#This Row],[Py]]</f>
        <v>0.99431960874100001</v>
      </c>
      <c r="P36" t="str">
        <f t="shared" si="1"/>
        <v>29 P55,65</v>
      </c>
      <c r="Q36">
        <f>PRODUCT($O$8:$O36)</f>
        <v>0.97318615298810307</v>
      </c>
    </row>
    <row r="37" spans="1:17" x14ac:dyDescent="0.3">
      <c r="A37">
        <v>29</v>
      </c>
      <c r="B37">
        <v>0.28100000000000003</v>
      </c>
      <c r="C37">
        <v>0.72699999999999998</v>
      </c>
      <c r="D37">
        <f>Table2[[#This Row],[Fix]]/MAX(FIx)</f>
        <v>2.8100000000000005E-4</v>
      </c>
      <c r="E37">
        <f>Table2[[#This Row],[Mix]]/MAX(FIx)</f>
        <v>7.27E-4</v>
      </c>
      <c r="F37">
        <f>1-Table2[[#This Row],[Fqx]]</f>
        <v>0.99971900000000002</v>
      </c>
      <c r="G37">
        <f>1-Table2[[#This Row],[Mqx]]</f>
        <v>0.99927299999999997</v>
      </c>
      <c r="I37">
        <f t="shared" si="2"/>
        <v>29</v>
      </c>
      <c r="J37">
        <f>MIN(Qx!MaxAge,Table3[[#This Row],[Survivng t Years]]+$J$6)</f>
        <v>84</v>
      </c>
      <c r="K37">
        <f>MIN(Table3[[#This Row],[Survivng t Years]]+$K$6,Qx!MaxAge)</f>
        <v>94</v>
      </c>
      <c r="L37">
        <f>VLOOKUP(Table3[[#This Row],[To Age]],$A$8:$G$128,L$6,FALSE)</f>
        <v>0.95716999999999997</v>
      </c>
      <c r="M37">
        <f>VLOOKUP(Table3[[#This Row],[To Age2]],$A$8:$G$128,M$6,FALSE)</f>
        <v>0.83180600000000005</v>
      </c>
      <c r="N37" t="str">
        <f t="shared" si="0"/>
        <v>P84,94</v>
      </c>
      <c r="O37">
        <f>Table3[[#This Row],[Px]]+Table3[[#This Row],[Py]]-Table3[[#This Row],[Px]]*Table3[[#This Row],[Py]]</f>
        <v>0.99279625097999991</v>
      </c>
      <c r="P37" t="str">
        <f t="shared" si="1"/>
        <v>30 P55,65</v>
      </c>
      <c r="Q37">
        <f>PRODUCT($O$8:$O37)</f>
        <v>0.96617556419223738</v>
      </c>
    </row>
    <row r="38" spans="1:17" x14ac:dyDescent="0.3">
      <c r="A38">
        <v>30</v>
      </c>
      <c r="B38">
        <v>0.3</v>
      </c>
      <c r="C38">
        <v>0.74099999999999999</v>
      </c>
      <c r="D38">
        <f>Table2[[#This Row],[Fix]]/MAX(FIx)</f>
        <v>2.9999999999999997E-4</v>
      </c>
      <c r="E38">
        <f>Table2[[#This Row],[Mix]]/MAX(FIx)</f>
        <v>7.4100000000000001E-4</v>
      </c>
      <c r="F38">
        <f>1-Table2[[#This Row],[Fqx]]</f>
        <v>0.99970000000000003</v>
      </c>
      <c r="G38">
        <f>1-Table2[[#This Row],[Mqx]]</f>
        <v>0.99925900000000001</v>
      </c>
      <c r="I38">
        <f t="shared" si="2"/>
        <v>30</v>
      </c>
      <c r="J38">
        <f>MIN(Qx!MaxAge,Table3[[#This Row],[Survivng t Years]]+$J$6)</f>
        <v>85</v>
      </c>
      <c r="K38">
        <f>MIN(Table3[[#This Row],[Survivng t Years]]+$K$6,Qx!MaxAge)</f>
        <v>95</v>
      </c>
      <c r="L38">
        <f>VLOOKUP(Table3[[#This Row],[To Age]],$A$8:$G$128,L$6,FALSE)</f>
        <v>0.95100300000000004</v>
      </c>
      <c r="M38">
        <f>VLOOKUP(Table3[[#This Row],[To Age2]],$A$8:$G$128,M$6,FALSE)</f>
        <v>0.81474000000000002</v>
      </c>
      <c r="N38" t="str">
        <f t="shared" si="0"/>
        <v>P85,95</v>
      </c>
      <c r="O38">
        <f>Table3[[#This Row],[Px]]+Table3[[#This Row],[Py]]-Table3[[#This Row],[Px]]*Table3[[#This Row],[Py]]</f>
        <v>0.99092281577999997</v>
      </c>
      <c r="P38" t="str">
        <f t="shared" si="1"/>
        <v>31 P55,65</v>
      </c>
      <c r="Q38">
        <f>PRODUCT($O$8:$O38)</f>
        <v>0.95740541060720197</v>
      </c>
    </row>
    <row r="39" spans="1:17" x14ac:dyDescent="0.3">
      <c r="A39">
        <v>31</v>
      </c>
      <c r="B39">
        <v>0.32100000000000001</v>
      </c>
      <c r="C39">
        <v>0.751</v>
      </c>
      <c r="D39">
        <f>Table2[[#This Row],[Fix]]/MAX(FIx)</f>
        <v>3.21E-4</v>
      </c>
      <c r="E39">
        <f>Table2[[#This Row],[Mix]]/MAX(FIx)</f>
        <v>7.5100000000000004E-4</v>
      </c>
      <c r="F39">
        <f>1-Table2[[#This Row],[Fqx]]</f>
        <v>0.99967899999999998</v>
      </c>
      <c r="G39">
        <f>1-Table2[[#This Row],[Mqx]]</f>
        <v>0.99924900000000005</v>
      </c>
      <c r="I39">
        <f t="shared" si="2"/>
        <v>31</v>
      </c>
      <c r="J39">
        <f>MIN(Qx!MaxAge,Table3[[#This Row],[Survivng t Years]]+$J$6)</f>
        <v>86</v>
      </c>
      <c r="K39">
        <f>MIN(Table3[[#This Row],[Survivng t Years]]+$K$6,Qx!MaxAge)</f>
        <v>96</v>
      </c>
      <c r="L39">
        <f>VLOOKUP(Table3[[#This Row],[To Age]],$A$8:$G$128,L$6,FALSE)</f>
        <v>0.94422600000000001</v>
      </c>
      <c r="M39">
        <f>VLOOKUP(Table3[[#This Row],[To Age2]],$A$8:$G$128,M$6,FALSE)</f>
        <v>0.802678</v>
      </c>
      <c r="N39" t="str">
        <f t="shared" si="0"/>
        <v>P86,96</v>
      </c>
      <c r="O39">
        <f>Table3[[#This Row],[Px]]+Table3[[#This Row],[Py]]-Table3[[#This Row],[Px]]*Table3[[#This Row],[Py]]</f>
        <v>0.98899456277200004</v>
      </c>
      <c r="P39" t="str">
        <f t="shared" si="1"/>
        <v>32 P55,65</v>
      </c>
      <c r="Q39">
        <f>PRODUCT($O$8:$O39)</f>
        <v>0.94686874545901689</v>
      </c>
    </row>
    <row r="40" spans="1:17" x14ac:dyDescent="0.3">
      <c r="A40">
        <v>32</v>
      </c>
      <c r="B40">
        <v>0.33800000000000002</v>
      </c>
      <c r="C40">
        <v>0.754</v>
      </c>
      <c r="D40">
        <f>Table2[[#This Row],[Fix]]/MAX(FIx)</f>
        <v>3.3800000000000003E-4</v>
      </c>
      <c r="E40">
        <f>Table2[[#This Row],[Mix]]/MAX(FIx)</f>
        <v>7.54E-4</v>
      </c>
      <c r="F40">
        <f>1-Table2[[#This Row],[Fqx]]</f>
        <v>0.99966200000000005</v>
      </c>
      <c r="G40">
        <f>1-Table2[[#This Row],[Mqx]]</f>
        <v>0.99924599999999997</v>
      </c>
      <c r="I40">
        <f t="shared" si="2"/>
        <v>32</v>
      </c>
      <c r="J40">
        <f>MIN(Qx!MaxAge,Table3[[#This Row],[Survivng t Years]]+$J$6)</f>
        <v>87</v>
      </c>
      <c r="K40">
        <f>MIN(Table3[[#This Row],[Survivng t Years]]+$K$6,Qx!MaxAge)</f>
        <v>97</v>
      </c>
      <c r="L40">
        <f>VLOOKUP(Table3[[#This Row],[To Age]],$A$8:$G$128,L$6,FALSE)</f>
        <v>0.93686000000000003</v>
      </c>
      <c r="M40">
        <f>VLOOKUP(Table3[[#This Row],[To Age2]],$A$8:$G$128,M$6,FALSE)</f>
        <v>0.78524899999999997</v>
      </c>
      <c r="N40" t="str">
        <f t="shared" si="0"/>
        <v>P87,97</v>
      </c>
      <c r="O40">
        <f>Table3[[#This Row],[Px]]+Table3[[#This Row],[Py]]-Table3[[#This Row],[Px]]*Table3[[#This Row],[Py]]</f>
        <v>0.98644062186000014</v>
      </c>
      <c r="P40" t="str">
        <f t="shared" si="1"/>
        <v>33 P55,65</v>
      </c>
      <c r="Q40">
        <f>PRODUCT($O$8:$O40)</f>
        <v>0.93402979409039077</v>
      </c>
    </row>
    <row r="41" spans="1:17" x14ac:dyDescent="0.3">
      <c r="A41">
        <v>33</v>
      </c>
      <c r="B41">
        <v>0.35099999999999998</v>
      </c>
      <c r="C41">
        <v>0.75600000000000001</v>
      </c>
      <c r="D41">
        <f>Table2[[#This Row],[Fix]]/MAX(FIx)</f>
        <v>3.5099999999999997E-4</v>
      </c>
      <c r="E41">
        <f>Table2[[#This Row],[Mix]]/MAX(FIx)</f>
        <v>7.5600000000000005E-4</v>
      </c>
      <c r="F41">
        <f>1-Table2[[#This Row],[Fqx]]</f>
        <v>0.99964900000000001</v>
      </c>
      <c r="G41">
        <f>1-Table2[[#This Row],[Mqx]]</f>
        <v>0.99924400000000002</v>
      </c>
      <c r="I41">
        <f t="shared" si="2"/>
        <v>33</v>
      </c>
      <c r="J41">
        <f>MIN(Qx!MaxAge,Table3[[#This Row],[Survivng t Years]]+$J$6)</f>
        <v>88</v>
      </c>
      <c r="K41">
        <f>MIN(Table3[[#This Row],[Survivng t Years]]+$K$6,Qx!MaxAge)</f>
        <v>98</v>
      </c>
      <c r="L41">
        <f>VLOOKUP(Table3[[#This Row],[To Age]],$A$8:$G$128,L$6,FALSE)</f>
        <v>0.92893400000000004</v>
      </c>
      <c r="M41">
        <f>VLOOKUP(Table3[[#This Row],[To Age2]],$A$8:$G$128,M$6,FALSE)</f>
        <v>0.76749299999999998</v>
      </c>
      <c r="N41" t="str">
        <f t="shared" si="0"/>
        <v>P88,98</v>
      </c>
      <c r="O41">
        <f>Table3[[#This Row],[Px]]+Table3[[#This Row],[Py]]-Table3[[#This Row],[Px]]*Table3[[#This Row],[Py]]</f>
        <v>0.98347665753799984</v>
      </c>
      <c r="P41" t="str">
        <f t="shared" si="1"/>
        <v>34 P55,65</v>
      </c>
      <c r="Q41">
        <f>PRODUCT($O$8:$O41)</f>
        <v>0.9185964999329238</v>
      </c>
    </row>
    <row r="42" spans="1:17" x14ac:dyDescent="0.3">
      <c r="A42">
        <v>34</v>
      </c>
      <c r="B42">
        <v>0.36499999999999999</v>
      </c>
      <c r="C42">
        <v>0.75600000000000001</v>
      </c>
      <c r="D42">
        <f>Table2[[#This Row],[Fix]]/MAX(FIx)</f>
        <v>3.6499999999999998E-4</v>
      </c>
      <c r="E42">
        <f>Table2[[#This Row],[Mix]]/MAX(FIx)</f>
        <v>7.5600000000000005E-4</v>
      </c>
      <c r="F42">
        <f>1-Table2[[#This Row],[Fqx]]</f>
        <v>0.99963500000000005</v>
      </c>
      <c r="G42">
        <f>1-Table2[[#This Row],[Mqx]]</f>
        <v>0.99924400000000002</v>
      </c>
      <c r="I42">
        <f t="shared" si="2"/>
        <v>34</v>
      </c>
      <c r="J42">
        <f>MIN(Qx!MaxAge,Table3[[#This Row],[Survivng t Years]]+$J$6)</f>
        <v>89</v>
      </c>
      <c r="K42">
        <f>MIN(Table3[[#This Row],[Survivng t Years]]+$K$6,Qx!MaxAge)</f>
        <v>99</v>
      </c>
      <c r="L42">
        <f>VLOOKUP(Table3[[#This Row],[To Age]],$A$8:$G$128,L$6,FALSE)</f>
        <v>0.92049800000000004</v>
      </c>
      <c r="M42">
        <f>VLOOKUP(Table3[[#This Row],[To Age2]],$A$8:$G$128,M$6,FALSE)</f>
        <v>0.74960300000000002</v>
      </c>
      <c r="N42" t="str">
        <f t="shared" si="0"/>
        <v>P89,99</v>
      </c>
      <c r="O42">
        <f>Table3[[#This Row],[Px]]+Table3[[#This Row],[Py]]-Table3[[#This Row],[Px]]*Table3[[#This Row],[Py]]</f>
        <v>0.98009293770600003</v>
      </c>
      <c r="P42" t="str">
        <f t="shared" si="1"/>
        <v>35 P55,65</v>
      </c>
      <c r="Q42">
        <f>PRODUCT($O$8:$O42)</f>
        <v>0.9003099421857087</v>
      </c>
    </row>
    <row r="43" spans="1:17" x14ac:dyDescent="0.3">
      <c r="A43">
        <v>35</v>
      </c>
      <c r="B43">
        <v>0.38100000000000001</v>
      </c>
      <c r="C43">
        <v>0.75600000000000001</v>
      </c>
      <c r="D43">
        <f>Table2[[#This Row],[Fix]]/MAX(FIx)</f>
        <v>3.8099999999999999E-4</v>
      </c>
      <c r="E43">
        <f>Table2[[#This Row],[Mix]]/MAX(FIx)</f>
        <v>7.5600000000000005E-4</v>
      </c>
      <c r="F43">
        <f>1-Table2[[#This Row],[Fqx]]</f>
        <v>0.99961900000000004</v>
      </c>
      <c r="G43">
        <f>1-Table2[[#This Row],[Mqx]]</f>
        <v>0.99924400000000002</v>
      </c>
      <c r="I43">
        <f t="shared" si="2"/>
        <v>35</v>
      </c>
      <c r="J43">
        <f>MIN(Qx!MaxAge,Table3[[#This Row],[Survivng t Years]]+$J$6)</f>
        <v>90</v>
      </c>
      <c r="K43">
        <f>MIN(Table3[[#This Row],[Survivng t Years]]+$K$6,Qx!MaxAge)</f>
        <v>100</v>
      </c>
      <c r="L43">
        <f>VLOOKUP(Table3[[#This Row],[To Age]],$A$8:$G$128,L$6,FALSE)</f>
        <v>0.91162299999999996</v>
      </c>
      <c r="M43">
        <f>VLOOKUP(Table3[[#This Row],[To Age2]],$A$8:$G$128,M$6,FALSE)</f>
        <v>0.73139299999999996</v>
      </c>
      <c r="N43" t="str">
        <f t="shared" si="0"/>
        <v>P90,100</v>
      </c>
      <c r="O43">
        <f>Table3[[#This Row],[Px]]+Table3[[#This Row],[Py]]-Table3[[#This Row],[Px]]*Table3[[#This Row],[Py]]</f>
        <v>0.9762613191609999</v>
      </c>
      <c r="P43" t="str">
        <f t="shared" si="1"/>
        <v>36 P55,65</v>
      </c>
      <c r="Q43">
        <f>PRODUCT($O$8:$O43)</f>
        <v>0.87893777181198351</v>
      </c>
    </row>
    <row r="44" spans="1:17" x14ac:dyDescent="0.3">
      <c r="A44">
        <v>36</v>
      </c>
      <c r="B44">
        <v>0.40200000000000002</v>
      </c>
      <c r="C44">
        <v>0.75600000000000001</v>
      </c>
      <c r="D44">
        <f>Table2[[#This Row],[Fix]]/MAX(FIx)</f>
        <v>4.0200000000000001E-4</v>
      </c>
      <c r="E44">
        <f>Table2[[#This Row],[Mix]]/MAX(FIx)</f>
        <v>7.5600000000000005E-4</v>
      </c>
      <c r="F44">
        <f>1-Table2[[#This Row],[Fqx]]</f>
        <v>0.99959799999999999</v>
      </c>
      <c r="G44">
        <f>1-Table2[[#This Row],[Mqx]]</f>
        <v>0.99924400000000002</v>
      </c>
      <c r="I44">
        <f t="shared" si="2"/>
        <v>36</v>
      </c>
      <c r="J44">
        <f>MIN(Qx!MaxAge,Table3[[#This Row],[Survivng t Years]]+$J$6)</f>
        <v>91</v>
      </c>
      <c r="K44">
        <f>MIN(Table3[[#This Row],[Survivng t Years]]+$K$6,Qx!MaxAge)</f>
        <v>101</v>
      </c>
      <c r="L44">
        <f>VLOOKUP(Table3[[#This Row],[To Age]],$A$8:$G$128,L$6,FALSE)</f>
        <v>0.90250900000000001</v>
      </c>
      <c r="M44">
        <f>VLOOKUP(Table3[[#This Row],[To Age2]],$A$8:$G$128,M$6,FALSE)</f>
        <v>0.70998399999999995</v>
      </c>
      <c r="N44" t="str">
        <f t="shared" si="0"/>
        <v>P91,101</v>
      </c>
      <c r="O44">
        <f>Table3[[#This Row],[Px]]+Table3[[#This Row],[Py]]-Table3[[#This Row],[Px]]*Table3[[#This Row],[Py]]</f>
        <v>0.97172605014400004</v>
      </c>
      <c r="P44" t="str">
        <f t="shared" si="1"/>
        <v>37 P55,65</v>
      </c>
      <c r="Q44">
        <f>PRODUCT($O$8:$O44)</f>
        <v>0.85408672932522711</v>
      </c>
    </row>
    <row r="45" spans="1:17" x14ac:dyDescent="0.3">
      <c r="A45">
        <v>37</v>
      </c>
      <c r="B45">
        <v>0.42899999999999999</v>
      </c>
      <c r="C45">
        <v>0.75600000000000001</v>
      </c>
      <c r="D45">
        <f>Table2[[#This Row],[Fix]]/MAX(FIx)</f>
        <v>4.2900000000000002E-4</v>
      </c>
      <c r="E45">
        <f>Table2[[#This Row],[Mix]]/MAX(FIx)</f>
        <v>7.5600000000000005E-4</v>
      </c>
      <c r="F45">
        <f>1-Table2[[#This Row],[Fqx]]</f>
        <v>0.99957099999999999</v>
      </c>
      <c r="G45">
        <f>1-Table2[[#This Row],[Mqx]]</f>
        <v>0.99924400000000002</v>
      </c>
      <c r="I45">
        <f t="shared" si="2"/>
        <v>37</v>
      </c>
      <c r="J45">
        <f>MIN(Qx!MaxAge,Table3[[#This Row],[Survivng t Years]]+$J$6)</f>
        <v>92</v>
      </c>
      <c r="K45">
        <f>MIN(Table3[[#This Row],[Survivng t Years]]+$K$6,Qx!MaxAge)</f>
        <v>102</v>
      </c>
      <c r="L45">
        <f>VLOOKUP(Table3[[#This Row],[To Age]],$A$8:$G$128,L$6,FALSE)</f>
        <v>0.89273099999999994</v>
      </c>
      <c r="M45">
        <f>VLOOKUP(Table3[[#This Row],[To Age2]],$A$8:$G$128,M$6,FALSE)</f>
        <v>0.68815099999999996</v>
      </c>
      <c r="N45" t="str">
        <f t="shared" si="0"/>
        <v>P92,102</v>
      </c>
      <c r="O45">
        <f>Table3[[#This Row],[Px]]+Table3[[#This Row],[Py]]-Table3[[#This Row],[Px]]*Table3[[#This Row],[Py]]</f>
        <v>0.96654826961899998</v>
      </c>
      <c r="P45" t="str">
        <f t="shared" si="1"/>
        <v>38 P55,65</v>
      </c>
      <c r="Q45">
        <f>PRODUCT($O$8:$O45)</f>
        <v>0.82551605033384945</v>
      </c>
    </row>
    <row r="46" spans="1:17" x14ac:dyDescent="0.3">
      <c r="A46">
        <v>38</v>
      </c>
      <c r="B46">
        <v>0.46300000000000002</v>
      </c>
      <c r="C46">
        <v>0.75600000000000001</v>
      </c>
      <c r="D46">
        <f>Table2[[#This Row],[Fix]]/MAX(FIx)</f>
        <v>4.6300000000000003E-4</v>
      </c>
      <c r="E46">
        <f>Table2[[#This Row],[Mix]]/MAX(FIx)</f>
        <v>7.5600000000000005E-4</v>
      </c>
      <c r="F46">
        <f>1-Table2[[#This Row],[Fqx]]</f>
        <v>0.99953700000000001</v>
      </c>
      <c r="G46">
        <f>1-Table2[[#This Row],[Mqx]]</f>
        <v>0.99924400000000002</v>
      </c>
      <c r="I46">
        <f t="shared" si="2"/>
        <v>38</v>
      </c>
      <c r="J46">
        <f>MIN(Qx!MaxAge,Table3[[#This Row],[Survivng t Years]]+$J$6)</f>
        <v>93</v>
      </c>
      <c r="K46">
        <f>MIN(Table3[[#This Row],[Survivng t Years]]+$K$6,Qx!MaxAge)</f>
        <v>103</v>
      </c>
      <c r="L46">
        <f>VLOOKUP(Table3[[#This Row],[To Age]],$A$8:$G$128,L$6,FALSE)</f>
        <v>0.881799</v>
      </c>
      <c r="M46">
        <f>VLOOKUP(Table3[[#This Row],[To Age2]],$A$8:$G$128,M$6,FALSE)</f>
        <v>0.66603800000000002</v>
      </c>
      <c r="N46" t="str">
        <f t="shared" si="0"/>
        <v>P93,103</v>
      </c>
      <c r="O46">
        <f>Table3[[#This Row],[Px]]+Table3[[#This Row],[Py]]-Table3[[#This Row],[Px]]*Table3[[#This Row],[Py]]</f>
        <v>0.96052535763799984</v>
      </c>
      <c r="P46" t="str">
        <f t="shared" si="1"/>
        <v>39 P55,65</v>
      </c>
      <c r="Q46">
        <f>PRODUCT($O$8:$O46)</f>
        <v>0.79292909948282986</v>
      </c>
    </row>
    <row r="47" spans="1:17" x14ac:dyDescent="0.3">
      <c r="A47">
        <v>39</v>
      </c>
      <c r="B47">
        <v>0.504</v>
      </c>
      <c r="C47">
        <v>0.8</v>
      </c>
      <c r="D47">
        <f>Table2[[#This Row],[Fix]]/MAX(FIx)</f>
        <v>5.04E-4</v>
      </c>
      <c r="E47">
        <f>Table2[[#This Row],[Mix]]/MAX(FIx)</f>
        <v>8.0000000000000004E-4</v>
      </c>
      <c r="F47">
        <f>1-Table2[[#This Row],[Fqx]]</f>
        <v>0.99949600000000005</v>
      </c>
      <c r="G47">
        <f>1-Table2[[#This Row],[Mqx]]</f>
        <v>0.99919999999999998</v>
      </c>
      <c r="I47">
        <f t="shared" si="2"/>
        <v>39</v>
      </c>
      <c r="J47">
        <f>MIN(Qx!MaxAge,Table3[[#This Row],[Survivng t Years]]+$J$6)</f>
        <v>94</v>
      </c>
      <c r="K47">
        <f>MIN(Table3[[#This Row],[Survivng t Years]]+$K$6,Qx!MaxAge)</f>
        <v>104</v>
      </c>
      <c r="L47">
        <f>VLOOKUP(Table3[[#This Row],[To Age]],$A$8:$G$128,L$6,FALSE)</f>
        <v>0.869031</v>
      </c>
      <c r="M47">
        <f>VLOOKUP(Table3[[#This Row],[To Age2]],$A$8:$G$128,M$6,FALSE)</f>
        <v>0.64379300000000006</v>
      </c>
      <c r="N47" t="str">
        <f t="shared" si="0"/>
        <v>P94,104</v>
      </c>
      <c r="O47">
        <f>Table3[[#This Row],[Px]]+Table3[[#This Row],[Py]]-Table3[[#This Row],[Px]]*Table3[[#This Row],[Py]]</f>
        <v>0.95334792541700009</v>
      </c>
      <c r="P47" t="str">
        <f t="shared" si="1"/>
        <v>40 P55,65</v>
      </c>
      <c r="Q47">
        <f>PRODUCT($O$8:$O47)</f>
        <v>0.75593731199472591</v>
      </c>
    </row>
    <row r="48" spans="1:17" x14ac:dyDescent="0.3">
      <c r="A48">
        <v>40</v>
      </c>
      <c r="B48">
        <v>0.55200000000000005</v>
      </c>
      <c r="C48">
        <v>0.85899999999999999</v>
      </c>
      <c r="D48">
        <f>Table2[[#This Row],[Fix]]/MAX(FIx)</f>
        <v>5.5200000000000008E-4</v>
      </c>
      <c r="E48">
        <f>Table2[[#This Row],[Mix]]/MAX(FIx)</f>
        <v>8.5899999999999995E-4</v>
      </c>
      <c r="F48">
        <f>1-Table2[[#This Row],[Fqx]]</f>
        <v>0.999448</v>
      </c>
      <c r="G48">
        <f>1-Table2[[#This Row],[Mqx]]</f>
        <v>0.99914099999999995</v>
      </c>
      <c r="I48">
        <f t="shared" si="2"/>
        <v>40</v>
      </c>
      <c r="J48">
        <f>MIN(Qx!MaxAge,Table3[[#This Row],[Survivng t Years]]+$J$6)</f>
        <v>95</v>
      </c>
      <c r="K48">
        <f>MIN(Table3[[#This Row],[Survivng t Years]]+$K$6,Qx!MaxAge)</f>
        <v>105</v>
      </c>
      <c r="L48">
        <f>VLOOKUP(Table3[[#This Row],[To Age]],$A$8:$G$128,L$6,FALSE)</f>
        <v>0.85355099999999995</v>
      </c>
      <c r="M48">
        <f>VLOOKUP(Table3[[#This Row],[To Age2]],$A$8:$G$128,M$6,FALSE)</f>
        <v>0.62</v>
      </c>
      <c r="N48" t="str">
        <f t="shared" si="0"/>
        <v>P95,105</v>
      </c>
      <c r="O48">
        <f>Table3[[#This Row],[Px]]+Table3[[#This Row],[Py]]-Table3[[#This Row],[Px]]*Table3[[#This Row],[Py]]</f>
        <v>0.94434938000000013</v>
      </c>
      <c r="P48" t="str">
        <f t="shared" si="1"/>
        <v>41 P55,65</v>
      </c>
      <c r="Q48">
        <f>PRODUCT($O$8:$O48)</f>
        <v>0.71386893190108602</v>
      </c>
    </row>
    <row r="49" spans="1:17" x14ac:dyDescent="0.3">
      <c r="A49">
        <v>41</v>
      </c>
      <c r="B49">
        <v>0.6</v>
      </c>
      <c r="C49">
        <v>0.92600000000000005</v>
      </c>
      <c r="D49">
        <f>Table2[[#This Row],[Fix]]/MAX(FIx)</f>
        <v>5.9999999999999995E-4</v>
      </c>
      <c r="E49">
        <f>Table2[[#This Row],[Mix]]/MAX(FIx)</f>
        <v>9.2600000000000007E-4</v>
      </c>
      <c r="F49">
        <f>1-Table2[[#This Row],[Fqx]]</f>
        <v>0.99939999999999996</v>
      </c>
      <c r="G49">
        <f>1-Table2[[#This Row],[Mqx]]</f>
        <v>0.99907400000000002</v>
      </c>
      <c r="I49">
        <f t="shared" si="2"/>
        <v>41</v>
      </c>
      <c r="J49">
        <f>MIN(Qx!MaxAge,Table3[[#This Row],[Survivng t Years]]+$J$6)</f>
        <v>96</v>
      </c>
      <c r="K49">
        <f>MIN(Table3[[#This Row],[Survivng t Years]]+$K$6,Qx!MaxAge)</f>
        <v>106</v>
      </c>
      <c r="L49">
        <f>VLOOKUP(Table3[[#This Row],[To Age]],$A$8:$G$128,L$6,FALSE)</f>
        <v>0.83609200000000006</v>
      </c>
      <c r="M49">
        <f>VLOOKUP(Table3[[#This Row],[To Age2]],$A$8:$G$128,M$6,FALSE)</f>
        <v>0.6</v>
      </c>
      <c r="N49" t="str">
        <f t="shared" si="0"/>
        <v>P96,106</v>
      </c>
      <c r="O49">
        <f>Table3[[#This Row],[Px]]+Table3[[#This Row],[Py]]-Table3[[#This Row],[Px]]*Table3[[#This Row],[Py]]</f>
        <v>0.93443679999999996</v>
      </c>
      <c r="P49" t="str">
        <f t="shared" si="1"/>
        <v>42 P55,65</v>
      </c>
      <c r="Q49">
        <f>PRODUCT($O$8:$O49)</f>
        <v>0.66706540034506867</v>
      </c>
    </row>
    <row r="50" spans="1:17" x14ac:dyDescent="0.3">
      <c r="A50">
        <v>42</v>
      </c>
      <c r="B50">
        <v>0.65</v>
      </c>
      <c r="C50">
        <v>0.999</v>
      </c>
      <c r="D50">
        <f>Table2[[#This Row],[Fix]]/MAX(FIx)</f>
        <v>6.4999999999999997E-4</v>
      </c>
      <c r="E50">
        <f>Table2[[#This Row],[Mix]]/MAX(FIx)</f>
        <v>9.990000000000001E-4</v>
      </c>
      <c r="F50">
        <f>1-Table2[[#This Row],[Fqx]]</f>
        <v>0.99934999999999996</v>
      </c>
      <c r="G50">
        <f>1-Table2[[#This Row],[Mqx]]</f>
        <v>0.99900100000000003</v>
      </c>
      <c r="I50">
        <f t="shared" si="2"/>
        <v>42</v>
      </c>
      <c r="J50">
        <f>MIN(Qx!MaxAge,Table3[[#This Row],[Survivng t Years]]+$J$6)</f>
        <v>97</v>
      </c>
      <c r="K50">
        <f>MIN(Table3[[#This Row],[Survivng t Years]]+$K$6,Qx!MaxAge)</f>
        <v>107</v>
      </c>
      <c r="L50">
        <f>VLOOKUP(Table3[[#This Row],[To Age]],$A$8:$G$128,L$6,FALSE)</f>
        <v>0.82030500000000006</v>
      </c>
      <c r="M50">
        <f>VLOOKUP(Table3[[#This Row],[To Age2]],$A$8:$G$128,M$6,FALSE)</f>
        <v>0.6</v>
      </c>
      <c r="N50" t="str">
        <f t="shared" si="0"/>
        <v>P97,107</v>
      </c>
      <c r="O50">
        <f>Table3[[#This Row],[Px]]+Table3[[#This Row],[Py]]-Table3[[#This Row],[Px]]*Table3[[#This Row],[Py]]</f>
        <v>0.92812199999999989</v>
      </c>
      <c r="P50" t="str">
        <f t="shared" si="1"/>
        <v>43 P55,65</v>
      </c>
      <c r="Q50">
        <f>PRODUCT($O$8:$O50)</f>
        <v>0.61911807349906578</v>
      </c>
    </row>
    <row r="51" spans="1:17" x14ac:dyDescent="0.3">
      <c r="A51">
        <v>43</v>
      </c>
      <c r="B51">
        <v>0.69699999999999995</v>
      </c>
      <c r="C51">
        <v>1.069</v>
      </c>
      <c r="D51">
        <f>Table2[[#This Row],[Fix]]/MAX(FIx)</f>
        <v>6.9699999999999992E-4</v>
      </c>
      <c r="E51">
        <f>Table2[[#This Row],[Mix]]/MAX(FIx)</f>
        <v>1.0689999999999999E-3</v>
      </c>
      <c r="F51">
        <f>1-Table2[[#This Row],[Fqx]]</f>
        <v>0.99930300000000005</v>
      </c>
      <c r="G51">
        <f>1-Table2[[#This Row],[Mqx]]</f>
        <v>0.99893100000000001</v>
      </c>
      <c r="I51">
        <f t="shared" si="2"/>
        <v>43</v>
      </c>
      <c r="J51">
        <f>MIN(Qx!MaxAge,Table3[[#This Row],[Survivng t Years]]+$J$6)</f>
        <v>98</v>
      </c>
      <c r="K51">
        <f>MIN(Table3[[#This Row],[Survivng t Years]]+$K$6,Qx!MaxAge)</f>
        <v>108</v>
      </c>
      <c r="L51">
        <f>VLOOKUP(Table3[[#This Row],[To Age]],$A$8:$G$128,L$6,FALSE)</f>
        <v>0.80384900000000004</v>
      </c>
      <c r="M51">
        <f>VLOOKUP(Table3[[#This Row],[To Age2]],$A$8:$G$128,M$6,FALSE)</f>
        <v>0.6</v>
      </c>
      <c r="N51" t="str">
        <f t="shared" si="0"/>
        <v>P98,108</v>
      </c>
      <c r="O51">
        <f>Table3[[#This Row],[Px]]+Table3[[#This Row],[Py]]-Table3[[#This Row],[Px]]*Table3[[#This Row],[Py]]</f>
        <v>0.92153960000000013</v>
      </c>
      <c r="P51" t="str">
        <f t="shared" si="1"/>
        <v>44 P55,65</v>
      </c>
      <c r="Q51">
        <f>PRODUCT($O$8:$O51)</f>
        <v>0.57054182180509971</v>
      </c>
    </row>
    <row r="52" spans="1:17" x14ac:dyDescent="0.3">
      <c r="A52">
        <v>44</v>
      </c>
      <c r="B52">
        <v>0.74</v>
      </c>
      <c r="C52">
        <v>1.1419999999999999</v>
      </c>
      <c r="D52">
        <f>Table2[[#This Row],[Fix]]/MAX(FIx)</f>
        <v>7.3999999999999999E-4</v>
      </c>
      <c r="E52">
        <f>Table2[[#This Row],[Mix]]/MAX(FIx)</f>
        <v>1.142E-3</v>
      </c>
      <c r="F52">
        <f>1-Table2[[#This Row],[Fqx]]</f>
        <v>0.99926000000000004</v>
      </c>
      <c r="G52">
        <f>1-Table2[[#This Row],[Mqx]]</f>
        <v>0.99885800000000002</v>
      </c>
      <c r="I52">
        <f t="shared" si="2"/>
        <v>44</v>
      </c>
      <c r="J52">
        <f>MIN(Qx!MaxAge,Table3[[#This Row],[Survivng t Years]]+$J$6)</f>
        <v>99</v>
      </c>
      <c r="K52">
        <f>MIN(Table3[[#This Row],[Survivng t Years]]+$K$6,Qx!MaxAge)</f>
        <v>109</v>
      </c>
      <c r="L52">
        <f>VLOOKUP(Table3[[#This Row],[To Age]],$A$8:$G$128,L$6,FALSE)</f>
        <v>0.78685000000000005</v>
      </c>
      <c r="M52">
        <f>VLOOKUP(Table3[[#This Row],[To Age2]],$A$8:$G$128,M$6,FALSE)</f>
        <v>0.6</v>
      </c>
      <c r="N52" t="str">
        <f t="shared" si="0"/>
        <v>P99,109</v>
      </c>
      <c r="O52">
        <f>Table3[[#This Row],[Px]]+Table3[[#This Row],[Py]]-Table3[[#This Row],[Px]]*Table3[[#This Row],[Py]]</f>
        <v>0.91473999999999989</v>
      </c>
      <c r="P52" t="str">
        <f t="shared" si="1"/>
        <v>45 P55,65</v>
      </c>
      <c r="Q52">
        <f>PRODUCT($O$8:$O52)</f>
        <v>0.52189742607799683</v>
      </c>
    </row>
    <row r="53" spans="1:17" x14ac:dyDescent="0.3">
      <c r="A53">
        <v>45</v>
      </c>
      <c r="B53">
        <v>0.78</v>
      </c>
      <c r="C53">
        <v>1.2190000000000001</v>
      </c>
      <c r="D53">
        <f>Table2[[#This Row],[Fix]]/MAX(FIx)</f>
        <v>7.7999999999999999E-4</v>
      </c>
      <c r="E53">
        <f>Table2[[#This Row],[Mix]]/MAX(FIx)</f>
        <v>1.219E-3</v>
      </c>
      <c r="F53">
        <f>1-Table2[[#This Row],[Fqx]]</f>
        <v>0.99922</v>
      </c>
      <c r="G53">
        <f>1-Table2[[#This Row],[Mqx]]</f>
        <v>0.99878100000000003</v>
      </c>
      <c r="I53">
        <f t="shared" si="2"/>
        <v>45</v>
      </c>
      <c r="J53">
        <f>MIN(Qx!MaxAge,Table3[[#This Row],[Survivng t Years]]+$J$6)</f>
        <v>100</v>
      </c>
      <c r="K53">
        <f>MIN(Table3[[#This Row],[Survivng t Years]]+$K$6,Qx!MaxAge)</f>
        <v>110</v>
      </c>
      <c r="L53">
        <f>VLOOKUP(Table3[[#This Row],[To Age]],$A$8:$G$128,L$6,FALSE)</f>
        <v>0.76927800000000002</v>
      </c>
      <c r="M53">
        <f>VLOOKUP(Table3[[#This Row],[To Age2]],$A$8:$G$128,M$6,FALSE)</f>
        <v>0.6</v>
      </c>
      <c r="N53" t="str">
        <f t="shared" si="0"/>
        <v>P100,110</v>
      </c>
      <c r="O53">
        <f>Table3[[#This Row],[Px]]+Table3[[#This Row],[Py]]-Table3[[#This Row],[Px]]*Table3[[#This Row],[Py]]</f>
        <v>0.90771120000000005</v>
      </c>
      <c r="P53" t="str">
        <f t="shared" si="1"/>
        <v>46 P55,65</v>
      </c>
      <c r="Q53">
        <f>PRODUCT($O$8:$O53)</f>
        <v>0.47373213890216981</v>
      </c>
    </row>
    <row r="54" spans="1:17" x14ac:dyDescent="0.3">
      <c r="A54">
        <v>46</v>
      </c>
      <c r="B54">
        <v>0.82499999999999996</v>
      </c>
      <c r="C54">
        <v>1.3180000000000001</v>
      </c>
      <c r="D54">
        <f>Table2[[#This Row],[Fix]]/MAX(FIx)</f>
        <v>8.25E-4</v>
      </c>
      <c r="E54">
        <f>Table2[[#This Row],[Mix]]/MAX(FIx)</f>
        <v>1.3180000000000002E-3</v>
      </c>
      <c r="F54">
        <f>1-Table2[[#This Row],[Fqx]]</f>
        <v>0.99917500000000004</v>
      </c>
      <c r="G54">
        <f>1-Table2[[#This Row],[Mqx]]</f>
        <v>0.99868199999999996</v>
      </c>
      <c r="I54">
        <f t="shared" si="2"/>
        <v>46</v>
      </c>
      <c r="J54">
        <f>MIN(Qx!MaxAge,Table3[[#This Row],[Survivng t Years]]+$J$6)</f>
        <v>101</v>
      </c>
      <c r="K54">
        <f>MIN(Table3[[#This Row],[Survivng t Years]]+$K$6,Qx!MaxAge)</f>
        <v>111</v>
      </c>
      <c r="L54">
        <f>VLOOKUP(Table3[[#This Row],[To Age]],$A$8:$G$128,L$6,FALSE)</f>
        <v>0.74849500000000002</v>
      </c>
      <c r="M54">
        <f>VLOOKUP(Table3[[#This Row],[To Age2]],$A$8:$G$128,M$6,FALSE)</f>
        <v>0.6</v>
      </c>
      <c r="N54" t="str">
        <f t="shared" si="0"/>
        <v>P101,111</v>
      </c>
      <c r="O54">
        <f>Table3[[#This Row],[Px]]+Table3[[#This Row],[Py]]-Table3[[#This Row],[Px]]*Table3[[#This Row],[Py]]</f>
        <v>0.89939799999999992</v>
      </c>
      <c r="P54" t="str">
        <f t="shared" si="1"/>
        <v>47 P55,65</v>
      </c>
      <c r="Q54">
        <f>PRODUCT($O$8:$O54)</f>
        <v>0.4260737382643337</v>
      </c>
    </row>
    <row r="55" spans="1:17" x14ac:dyDescent="0.3">
      <c r="A55">
        <v>47</v>
      </c>
      <c r="B55">
        <v>0.88500000000000001</v>
      </c>
      <c r="C55">
        <v>1.454</v>
      </c>
      <c r="D55">
        <f>Table2[[#This Row],[Fix]]/MAX(FIx)</f>
        <v>8.8500000000000004E-4</v>
      </c>
      <c r="E55">
        <f>Table2[[#This Row],[Mix]]/MAX(FIx)</f>
        <v>1.454E-3</v>
      </c>
      <c r="F55">
        <f>1-Table2[[#This Row],[Fqx]]</f>
        <v>0.99911499999999998</v>
      </c>
      <c r="G55">
        <f>1-Table2[[#This Row],[Mqx]]</f>
        <v>0.99854600000000004</v>
      </c>
      <c r="I55">
        <f t="shared" si="2"/>
        <v>47</v>
      </c>
      <c r="J55">
        <f>MIN(Qx!MaxAge,Table3[[#This Row],[Survivng t Years]]+$J$6)</f>
        <v>102</v>
      </c>
      <c r="K55">
        <f>MIN(Table3[[#This Row],[Survivng t Years]]+$K$6,Qx!MaxAge)</f>
        <v>112</v>
      </c>
      <c r="L55">
        <f>VLOOKUP(Table3[[#This Row],[To Age]],$A$8:$G$128,L$6,FALSE)</f>
        <v>0.726993</v>
      </c>
      <c r="M55">
        <f>VLOOKUP(Table3[[#This Row],[To Age2]],$A$8:$G$128,M$6,FALSE)</f>
        <v>0.6</v>
      </c>
      <c r="N55" t="str">
        <f t="shared" si="0"/>
        <v>P102,112</v>
      </c>
      <c r="O55">
        <f>Table3[[#This Row],[Px]]+Table3[[#This Row],[Py]]-Table3[[#This Row],[Px]]*Table3[[#This Row],[Py]]</f>
        <v>0.89079719999999996</v>
      </c>
      <c r="P55" t="str">
        <f t="shared" si="1"/>
        <v>48 P55,65</v>
      </c>
      <c r="Q55">
        <f>PRODUCT($O$8:$O55)</f>
        <v>0.37954529303940132</v>
      </c>
    </row>
    <row r="56" spans="1:17" x14ac:dyDescent="0.3">
      <c r="A56">
        <v>48</v>
      </c>
      <c r="B56">
        <v>0.96399999999999997</v>
      </c>
      <c r="C56">
        <v>1.627</v>
      </c>
      <c r="D56">
        <f>Table2[[#This Row],[Fix]]/MAX(FIx)</f>
        <v>9.6400000000000001E-4</v>
      </c>
      <c r="E56">
        <f>Table2[[#This Row],[Mix]]/MAX(FIx)</f>
        <v>1.627E-3</v>
      </c>
      <c r="F56">
        <f>1-Table2[[#This Row],[Fqx]]</f>
        <v>0.99903600000000004</v>
      </c>
      <c r="G56">
        <f>1-Table2[[#This Row],[Mqx]]</f>
        <v>0.99837299999999995</v>
      </c>
      <c r="I56">
        <f t="shared" si="2"/>
        <v>48</v>
      </c>
      <c r="J56">
        <f>MIN(Qx!MaxAge,Table3[[#This Row],[Survivng t Years]]+$J$6)</f>
        <v>103</v>
      </c>
      <c r="K56">
        <f>MIN(Table3[[#This Row],[Survivng t Years]]+$K$6,Qx!MaxAge)</f>
        <v>113</v>
      </c>
      <c r="L56">
        <f>VLOOKUP(Table3[[#This Row],[To Age]],$A$8:$G$128,L$6,FALSE)</f>
        <v>0.70491400000000004</v>
      </c>
      <c r="M56">
        <f>VLOOKUP(Table3[[#This Row],[To Age2]],$A$8:$G$128,M$6,FALSE)</f>
        <v>0.6</v>
      </c>
      <c r="N56" t="str">
        <f t="shared" si="0"/>
        <v>P103,113</v>
      </c>
      <c r="O56">
        <f>Table3[[#This Row],[Px]]+Table3[[#This Row],[Py]]-Table3[[#This Row],[Px]]*Table3[[#This Row],[Py]]</f>
        <v>0.88196560000000013</v>
      </c>
      <c r="P56" t="str">
        <f t="shared" si="1"/>
        <v>49 P55,65</v>
      </c>
      <c r="Q56">
        <f>PRODUCT($O$8:$O56)</f>
        <v>0.33474589210267147</v>
      </c>
    </row>
    <row r="57" spans="1:17" x14ac:dyDescent="0.3">
      <c r="A57">
        <v>49</v>
      </c>
      <c r="B57">
        <v>1.0509999999999999</v>
      </c>
      <c r="C57">
        <v>1.829</v>
      </c>
      <c r="D57">
        <f>Table2[[#This Row],[Fix]]/MAX(FIx)</f>
        <v>1.0509999999999999E-3</v>
      </c>
      <c r="E57">
        <f>Table2[[#This Row],[Mix]]/MAX(FIx)</f>
        <v>1.8289999999999999E-3</v>
      </c>
      <c r="F57">
        <f>1-Table2[[#This Row],[Fqx]]</f>
        <v>0.99894899999999998</v>
      </c>
      <c r="G57">
        <f>1-Table2[[#This Row],[Mqx]]</f>
        <v>0.99817100000000003</v>
      </c>
      <c r="I57">
        <f t="shared" si="2"/>
        <v>49</v>
      </c>
      <c r="J57">
        <f>MIN(Qx!MaxAge,Table3[[#This Row],[Survivng t Years]]+$J$6)</f>
        <v>104</v>
      </c>
      <c r="K57">
        <f>MIN(Table3[[#This Row],[Survivng t Years]]+$K$6,Qx!MaxAge)</f>
        <v>114</v>
      </c>
      <c r="L57">
        <f>VLOOKUP(Table3[[#This Row],[To Age]],$A$8:$G$128,L$6,FALSE)</f>
        <v>0.68240900000000004</v>
      </c>
      <c r="M57">
        <f>VLOOKUP(Table3[[#This Row],[To Age2]],$A$8:$G$128,M$6,FALSE)</f>
        <v>0.6</v>
      </c>
      <c r="N57" t="str">
        <f t="shared" si="0"/>
        <v>P104,114</v>
      </c>
      <c r="O57">
        <f>Table3[[#This Row],[Px]]+Table3[[#This Row],[Py]]-Table3[[#This Row],[Px]]*Table3[[#This Row],[Py]]</f>
        <v>0.87296359999999984</v>
      </c>
      <c r="P57" t="str">
        <f t="shared" si="1"/>
        <v>50 P55,65</v>
      </c>
      <c r="Q57">
        <f>PRODUCT($O$8:$O57)</f>
        <v>0.29222097905515959</v>
      </c>
    </row>
    <row r="58" spans="1:17" x14ac:dyDescent="0.3">
      <c r="A58">
        <v>50</v>
      </c>
      <c r="B58">
        <v>1.161</v>
      </c>
      <c r="C58">
        <v>2.0569999999999999</v>
      </c>
      <c r="D58">
        <f>Table2[[#This Row],[Fix]]/MAX(FIx)</f>
        <v>1.1610000000000001E-3</v>
      </c>
      <c r="E58">
        <f>Table2[[#This Row],[Mix]]/MAX(FIx)</f>
        <v>2.0569999999999998E-3</v>
      </c>
      <c r="F58">
        <f>1-Table2[[#This Row],[Fqx]]</f>
        <v>0.99883900000000003</v>
      </c>
      <c r="G58">
        <f>1-Table2[[#This Row],[Mqx]]</f>
        <v>0.99794300000000002</v>
      </c>
      <c r="I58">
        <f t="shared" si="2"/>
        <v>50</v>
      </c>
      <c r="J58">
        <f>MIN(Qx!MaxAge,Table3[[#This Row],[Survivng t Years]]+$J$6)</f>
        <v>105</v>
      </c>
      <c r="K58">
        <f>MIN(Table3[[#This Row],[Survivng t Years]]+$K$6,Qx!MaxAge)</f>
        <v>115</v>
      </c>
      <c r="L58">
        <f>VLOOKUP(Table3[[#This Row],[To Age]],$A$8:$G$128,L$6,FALSE)</f>
        <v>0.65963799999999995</v>
      </c>
      <c r="M58">
        <f>VLOOKUP(Table3[[#This Row],[To Age2]],$A$8:$G$128,M$6,FALSE)</f>
        <v>0.6</v>
      </c>
      <c r="N58" t="str">
        <f t="shared" si="0"/>
        <v>P105,115</v>
      </c>
      <c r="O58">
        <f>Table3[[#This Row],[Px]]+Table3[[#This Row],[Py]]-Table3[[#This Row],[Px]]*Table3[[#This Row],[Py]]</f>
        <v>0.86385519999999993</v>
      </c>
      <c r="P58" t="str">
        <f t="shared" si="1"/>
        <v>51 P55,65</v>
      </c>
      <c r="Q58">
        <f>PRODUCT($O$8:$O58)</f>
        <v>0.25243661230589071</v>
      </c>
    </row>
    <row r="59" spans="1:17" x14ac:dyDescent="0.3">
      <c r="A59">
        <v>51</v>
      </c>
      <c r="B59">
        <v>1.3080000000000001</v>
      </c>
      <c r="C59">
        <v>2.302</v>
      </c>
      <c r="D59">
        <f>Table2[[#This Row],[Fix]]/MAX(FIx)</f>
        <v>1.3080000000000001E-3</v>
      </c>
      <c r="E59">
        <f>Table2[[#This Row],[Mix]]/MAX(FIx)</f>
        <v>2.3020000000000002E-3</v>
      </c>
      <c r="F59">
        <f>1-Table2[[#This Row],[Fqx]]</f>
        <v>0.99869200000000002</v>
      </c>
      <c r="G59">
        <f>1-Table2[[#This Row],[Mqx]]</f>
        <v>0.99769799999999997</v>
      </c>
      <c r="I59">
        <f t="shared" si="2"/>
        <v>51</v>
      </c>
      <c r="J59">
        <f>MIN(Qx!MaxAge,Table3[[#This Row],[Survivng t Years]]+$J$6)</f>
        <v>106</v>
      </c>
      <c r="K59">
        <f>MIN(Table3[[#This Row],[Survivng t Years]]+$K$6,Qx!MaxAge)</f>
        <v>116</v>
      </c>
      <c r="L59">
        <f>VLOOKUP(Table3[[#This Row],[To Age]],$A$8:$G$128,L$6,FALSE)</f>
        <v>0.637629</v>
      </c>
      <c r="M59">
        <f>VLOOKUP(Table3[[#This Row],[To Age2]],$A$8:$G$128,M$6,FALSE)</f>
        <v>0.6</v>
      </c>
      <c r="N59" t="str">
        <f t="shared" si="0"/>
        <v>P106,116</v>
      </c>
      <c r="O59">
        <f>Table3[[#This Row],[Px]]+Table3[[#This Row],[Py]]-Table3[[#This Row],[Px]]*Table3[[#This Row],[Py]]</f>
        <v>0.85505160000000013</v>
      </c>
      <c r="P59" t="str">
        <f t="shared" si="1"/>
        <v>52 P55,65</v>
      </c>
      <c r="Q59">
        <f>PRODUCT($O$8:$O59)</f>
        <v>0.21584632925073158</v>
      </c>
    </row>
    <row r="60" spans="1:17" x14ac:dyDescent="0.3">
      <c r="A60">
        <v>52</v>
      </c>
      <c r="B60">
        <v>1.46</v>
      </c>
      <c r="C60">
        <v>2.5449999999999999</v>
      </c>
      <c r="D60">
        <f>Table2[[#This Row],[Fix]]/MAX(FIx)</f>
        <v>1.4599999999999999E-3</v>
      </c>
      <c r="E60">
        <f>Table2[[#This Row],[Mix]]/MAX(FIx)</f>
        <v>2.545E-3</v>
      </c>
      <c r="F60">
        <f>1-Table2[[#This Row],[Fqx]]</f>
        <v>0.99853999999999998</v>
      </c>
      <c r="G60">
        <f>1-Table2[[#This Row],[Mqx]]</f>
        <v>0.99745499999999998</v>
      </c>
      <c r="I60">
        <f t="shared" si="2"/>
        <v>52</v>
      </c>
      <c r="J60">
        <f>MIN(Qx!MaxAge,Table3[[#This Row],[Survivng t Years]]+$J$6)</f>
        <v>107</v>
      </c>
      <c r="K60">
        <f>MIN(Table3[[#This Row],[Survivng t Years]]+$K$6,Qx!MaxAge)</f>
        <v>117</v>
      </c>
      <c r="L60">
        <f>VLOOKUP(Table3[[#This Row],[To Age]],$A$8:$G$128,L$6,FALSE)</f>
        <v>0.61588700000000007</v>
      </c>
      <c r="M60">
        <f>VLOOKUP(Table3[[#This Row],[To Age2]],$A$8:$G$128,M$6,FALSE)</f>
        <v>0.6</v>
      </c>
      <c r="N60" t="str">
        <f t="shared" si="0"/>
        <v>P107,117</v>
      </c>
      <c r="O60">
        <f>Table3[[#This Row],[Px]]+Table3[[#This Row],[Py]]-Table3[[#This Row],[Px]]*Table3[[#This Row],[Py]]</f>
        <v>0.84635479999999985</v>
      </c>
      <c r="P60" t="str">
        <f t="shared" si="1"/>
        <v>53 P55,65</v>
      </c>
      <c r="Q60">
        <f>PRODUCT($O$8:$O60)</f>
        <v>0.18268257682373704</v>
      </c>
    </row>
    <row r="61" spans="1:17" x14ac:dyDescent="0.3">
      <c r="A61">
        <v>53</v>
      </c>
      <c r="B61">
        <v>1.613</v>
      </c>
      <c r="C61">
        <v>2.7789999999999999</v>
      </c>
      <c r="D61">
        <f>Table2[[#This Row],[Fix]]/MAX(FIx)</f>
        <v>1.6130000000000001E-3</v>
      </c>
      <c r="E61">
        <f>Table2[[#This Row],[Mix]]/MAX(FIx)</f>
        <v>2.7789999999999998E-3</v>
      </c>
      <c r="F61">
        <f>1-Table2[[#This Row],[Fqx]]</f>
        <v>0.99838700000000002</v>
      </c>
      <c r="G61">
        <f>1-Table2[[#This Row],[Mqx]]</f>
        <v>0.99722100000000002</v>
      </c>
      <c r="I61">
        <f t="shared" si="2"/>
        <v>53</v>
      </c>
      <c r="J61">
        <f>MIN(Qx!MaxAge,Table3[[#This Row],[Survivng t Years]]+$J$6)</f>
        <v>108</v>
      </c>
      <c r="K61">
        <f>MIN(Table3[[#This Row],[Survivng t Years]]+$K$6,Qx!MaxAge)</f>
        <v>118</v>
      </c>
      <c r="L61">
        <f>VLOOKUP(Table3[[#This Row],[To Age]],$A$8:$G$128,L$6,FALSE)</f>
        <v>0.6</v>
      </c>
      <c r="M61">
        <f>VLOOKUP(Table3[[#This Row],[To Age2]],$A$8:$G$128,M$6,FALSE)</f>
        <v>0.6</v>
      </c>
      <c r="N61" t="str">
        <f t="shared" si="0"/>
        <v>P108,118</v>
      </c>
      <c r="O61">
        <f>Table3[[#This Row],[Px]]+Table3[[#This Row],[Py]]-Table3[[#This Row],[Px]]*Table3[[#This Row],[Py]]</f>
        <v>0.84</v>
      </c>
      <c r="P61" t="str">
        <f t="shared" si="1"/>
        <v>54 P55,65</v>
      </c>
      <c r="Q61">
        <f>PRODUCT($O$8:$O61)</f>
        <v>0.15345336453193911</v>
      </c>
    </row>
    <row r="62" spans="1:17" x14ac:dyDescent="0.3">
      <c r="A62">
        <v>54</v>
      </c>
      <c r="B62">
        <v>1.774</v>
      </c>
      <c r="C62">
        <v>3.0110000000000001</v>
      </c>
      <c r="D62">
        <f>Table2[[#This Row],[Fix]]/MAX(FIx)</f>
        <v>1.774E-3</v>
      </c>
      <c r="E62">
        <f>Table2[[#This Row],[Mix]]/MAX(FIx)</f>
        <v>3.0110000000000002E-3</v>
      </c>
      <c r="F62">
        <f>1-Table2[[#This Row],[Fqx]]</f>
        <v>0.99822599999999995</v>
      </c>
      <c r="G62">
        <f>1-Table2[[#This Row],[Mqx]]</f>
        <v>0.99698900000000001</v>
      </c>
      <c r="I62">
        <f t="shared" si="2"/>
        <v>54</v>
      </c>
      <c r="J62">
        <f>MIN(Qx!MaxAge,Table3[[#This Row],[Survivng t Years]]+$J$6)</f>
        <v>109</v>
      </c>
      <c r="K62">
        <f>MIN(Table3[[#This Row],[Survivng t Years]]+$K$6,Qx!MaxAge)</f>
        <v>119</v>
      </c>
      <c r="L62">
        <f>VLOOKUP(Table3[[#This Row],[To Age]],$A$8:$G$128,L$6,FALSE)</f>
        <v>0.6</v>
      </c>
      <c r="M62">
        <f>VLOOKUP(Table3[[#This Row],[To Age2]],$A$8:$G$128,M$6,FALSE)</f>
        <v>0.6</v>
      </c>
      <c r="N62" t="str">
        <f t="shared" si="0"/>
        <v>P109,119</v>
      </c>
      <c r="O62">
        <f>Table3[[#This Row],[Px]]+Table3[[#This Row],[Py]]-Table3[[#This Row],[Px]]*Table3[[#This Row],[Py]]</f>
        <v>0.84</v>
      </c>
      <c r="P62" t="str">
        <f t="shared" si="1"/>
        <v>55 P55,65</v>
      </c>
      <c r="Q62">
        <f>PRODUCT($O$8:$O62)</f>
        <v>0.12890082620682886</v>
      </c>
    </row>
    <row r="63" spans="1:17" x14ac:dyDescent="0.3">
      <c r="A63">
        <v>55</v>
      </c>
      <c r="B63">
        <v>1.95</v>
      </c>
      <c r="C63">
        <v>3.254</v>
      </c>
      <c r="D63">
        <f>Table2[[#This Row],[Fix]]/MAX(FIx)</f>
        <v>1.9499999999999999E-3</v>
      </c>
      <c r="E63">
        <f>Table2[[#This Row],[Mix]]/MAX(FIx)</f>
        <v>3.2539999999999999E-3</v>
      </c>
      <c r="F63">
        <f>1-Table2[[#This Row],[Fqx]]</f>
        <v>0.99804999999999999</v>
      </c>
      <c r="G63">
        <f>1-Table2[[#This Row],[Mqx]]</f>
        <v>0.99674600000000002</v>
      </c>
      <c r="I63">
        <f t="shared" si="2"/>
        <v>55</v>
      </c>
      <c r="J63">
        <f>MIN(Qx!MaxAge,Table3[[#This Row],[Survivng t Years]]+$J$6)</f>
        <v>110</v>
      </c>
      <c r="K63">
        <f>MIN(Table3[[#This Row],[Survivng t Years]]+$K$6,Qx!MaxAge)</f>
        <v>120</v>
      </c>
      <c r="L63">
        <f>VLOOKUP(Table3[[#This Row],[To Age]],$A$8:$G$128,L$6,FALSE)</f>
        <v>0.6</v>
      </c>
      <c r="M63">
        <f>VLOOKUP(Table3[[#This Row],[To Age2]],$A$8:$G$128,M$6,FALSE)</f>
        <v>0</v>
      </c>
      <c r="N63" t="str">
        <f t="shared" si="0"/>
        <v>P110,120</v>
      </c>
      <c r="O63">
        <f>Table3[[#This Row],[Px]]+Table3[[#This Row],[Py]]-Table3[[#This Row],[Px]]*Table3[[#This Row],[Py]]</f>
        <v>0.6</v>
      </c>
      <c r="P63" t="str">
        <f t="shared" si="1"/>
        <v>56 P55,65</v>
      </c>
      <c r="Q63">
        <f>PRODUCT($O$8:$O63)</f>
        <v>7.7340495724097305E-2</v>
      </c>
    </row>
    <row r="64" spans="1:17" x14ac:dyDescent="0.3">
      <c r="A64">
        <v>56</v>
      </c>
      <c r="B64">
        <v>2.1539999999999999</v>
      </c>
      <c r="C64">
        <v>3.5289999999999999</v>
      </c>
      <c r="D64">
        <f>Table2[[#This Row],[Fix]]/MAX(FIx)</f>
        <v>2.1540000000000001E-3</v>
      </c>
      <c r="E64">
        <f>Table2[[#This Row],[Mix]]/MAX(FIx)</f>
        <v>3.529E-3</v>
      </c>
      <c r="F64">
        <f>1-Table2[[#This Row],[Fqx]]</f>
        <v>0.99784600000000001</v>
      </c>
      <c r="G64">
        <f>1-Table2[[#This Row],[Mqx]]</f>
        <v>0.996471</v>
      </c>
      <c r="I64">
        <f t="shared" si="2"/>
        <v>56</v>
      </c>
      <c r="J64">
        <f>MIN(Qx!MaxAge,Table3[[#This Row],[Survivng t Years]]+$J$6)</f>
        <v>111</v>
      </c>
      <c r="K64">
        <f>MIN(Table3[[#This Row],[Survivng t Years]]+$K$6,Qx!MaxAge)</f>
        <v>120</v>
      </c>
      <c r="L64">
        <f>VLOOKUP(Table3[[#This Row],[To Age]],$A$8:$G$128,L$6,FALSE)</f>
        <v>0.6</v>
      </c>
      <c r="M64">
        <f>VLOOKUP(Table3[[#This Row],[To Age2]],$A$8:$G$128,M$6,FALSE)</f>
        <v>0</v>
      </c>
      <c r="N64" t="str">
        <f t="shared" si="0"/>
        <v>P111,120</v>
      </c>
      <c r="O64">
        <f>Table3[[#This Row],[Px]]+Table3[[#This Row],[Py]]-Table3[[#This Row],[Px]]*Table3[[#This Row],[Py]]</f>
        <v>0.6</v>
      </c>
      <c r="P64" t="str">
        <f t="shared" si="1"/>
        <v>57 P55,65</v>
      </c>
      <c r="Q64">
        <f>PRODUCT($O$8:$O64)</f>
        <v>4.6404297434458383E-2</v>
      </c>
    </row>
    <row r="65" spans="1:17" x14ac:dyDescent="0.3">
      <c r="A65">
        <v>57</v>
      </c>
      <c r="B65">
        <v>2.399</v>
      </c>
      <c r="C65">
        <v>3.8450000000000002</v>
      </c>
      <c r="D65">
        <f>Table2[[#This Row],[Fix]]/MAX(FIx)</f>
        <v>2.3990000000000001E-3</v>
      </c>
      <c r="E65">
        <f>Table2[[#This Row],[Mix]]/MAX(FIx)</f>
        <v>3.8450000000000003E-3</v>
      </c>
      <c r="F65">
        <f>1-Table2[[#This Row],[Fqx]]</f>
        <v>0.99760099999999996</v>
      </c>
      <c r="G65">
        <f>1-Table2[[#This Row],[Mqx]]</f>
        <v>0.99615500000000001</v>
      </c>
      <c r="I65">
        <f t="shared" si="2"/>
        <v>57</v>
      </c>
      <c r="J65">
        <f>MIN(Qx!MaxAge,Table3[[#This Row],[Survivng t Years]]+$J$6)</f>
        <v>112</v>
      </c>
      <c r="K65">
        <f>MIN(Table3[[#This Row],[Survivng t Years]]+$K$6,Qx!MaxAge)</f>
        <v>120</v>
      </c>
      <c r="L65">
        <f>VLOOKUP(Table3[[#This Row],[To Age]],$A$8:$G$128,L$6,FALSE)</f>
        <v>0.6</v>
      </c>
      <c r="M65">
        <f>VLOOKUP(Table3[[#This Row],[To Age2]],$A$8:$G$128,M$6,FALSE)</f>
        <v>0</v>
      </c>
      <c r="N65" t="str">
        <f t="shared" si="0"/>
        <v>P112,120</v>
      </c>
      <c r="O65">
        <f>Table3[[#This Row],[Px]]+Table3[[#This Row],[Py]]-Table3[[#This Row],[Px]]*Table3[[#This Row],[Py]]</f>
        <v>0.6</v>
      </c>
      <c r="P65" t="str">
        <f t="shared" si="1"/>
        <v>58 P55,65</v>
      </c>
      <c r="Q65">
        <f>PRODUCT($O$8:$O65)</f>
        <v>2.7842578460675029E-2</v>
      </c>
    </row>
    <row r="66" spans="1:17" x14ac:dyDescent="0.3">
      <c r="A66">
        <v>58</v>
      </c>
      <c r="B66">
        <v>2.7</v>
      </c>
      <c r="C66">
        <v>4.2130000000000001</v>
      </c>
      <c r="D66">
        <f>Table2[[#This Row],[Fix]]/MAX(FIx)</f>
        <v>2.7000000000000001E-3</v>
      </c>
      <c r="E66">
        <f>Table2[[#This Row],[Mix]]/MAX(FIx)</f>
        <v>4.2129999999999997E-3</v>
      </c>
      <c r="F66">
        <f>1-Table2[[#This Row],[Fqx]]</f>
        <v>0.99729999999999996</v>
      </c>
      <c r="G66">
        <f>1-Table2[[#This Row],[Mqx]]</f>
        <v>0.99578699999999998</v>
      </c>
      <c r="I66">
        <f t="shared" si="2"/>
        <v>58</v>
      </c>
      <c r="J66">
        <f>MIN(Qx!MaxAge,Table3[[#This Row],[Survivng t Years]]+$J$6)</f>
        <v>113</v>
      </c>
      <c r="K66">
        <f>MIN(Table3[[#This Row],[Survivng t Years]]+$K$6,Qx!MaxAge)</f>
        <v>120</v>
      </c>
      <c r="L66">
        <f>VLOOKUP(Table3[[#This Row],[To Age]],$A$8:$G$128,L$6,FALSE)</f>
        <v>0.6</v>
      </c>
      <c r="M66">
        <f>VLOOKUP(Table3[[#This Row],[To Age2]],$A$8:$G$128,M$6,FALSE)</f>
        <v>0</v>
      </c>
      <c r="N66" t="str">
        <f t="shared" si="0"/>
        <v>P113,120</v>
      </c>
      <c r="O66">
        <f>Table3[[#This Row],[Px]]+Table3[[#This Row],[Py]]-Table3[[#This Row],[Px]]*Table3[[#This Row],[Py]]</f>
        <v>0.6</v>
      </c>
      <c r="P66" t="str">
        <f t="shared" si="1"/>
        <v>59 P55,65</v>
      </c>
      <c r="Q66">
        <f>PRODUCT($O$8:$O66)</f>
        <v>1.6705547076405015E-2</v>
      </c>
    </row>
    <row r="67" spans="1:17" x14ac:dyDescent="0.3">
      <c r="A67">
        <v>59</v>
      </c>
      <c r="B67">
        <v>3.0539999999999998</v>
      </c>
      <c r="C67">
        <v>4.6310000000000002</v>
      </c>
      <c r="D67">
        <f>Table2[[#This Row],[Fix]]/MAX(FIx)</f>
        <v>3.0539999999999999E-3</v>
      </c>
      <c r="E67">
        <f>Table2[[#This Row],[Mix]]/MAX(FIx)</f>
        <v>4.6310000000000006E-3</v>
      </c>
      <c r="F67">
        <f>1-Table2[[#This Row],[Fqx]]</f>
        <v>0.996946</v>
      </c>
      <c r="G67">
        <f>1-Table2[[#This Row],[Mqx]]</f>
        <v>0.99536899999999995</v>
      </c>
      <c r="I67">
        <f t="shared" si="2"/>
        <v>59</v>
      </c>
      <c r="J67">
        <f>MIN(Qx!MaxAge,Table3[[#This Row],[Survivng t Years]]+$J$6)</f>
        <v>114</v>
      </c>
      <c r="K67">
        <f>MIN(Table3[[#This Row],[Survivng t Years]]+$K$6,Qx!MaxAge)</f>
        <v>120</v>
      </c>
      <c r="L67">
        <f>VLOOKUP(Table3[[#This Row],[To Age]],$A$8:$G$128,L$6,FALSE)</f>
        <v>0.6</v>
      </c>
      <c r="M67">
        <f>VLOOKUP(Table3[[#This Row],[To Age2]],$A$8:$G$128,M$6,FALSE)</f>
        <v>0</v>
      </c>
      <c r="N67" t="str">
        <f t="shared" si="0"/>
        <v>P114,120</v>
      </c>
      <c r="O67">
        <f>Table3[[#This Row],[Px]]+Table3[[#This Row],[Py]]-Table3[[#This Row],[Px]]*Table3[[#This Row],[Py]]</f>
        <v>0.6</v>
      </c>
      <c r="P67" t="str">
        <f t="shared" si="1"/>
        <v>60 P55,65</v>
      </c>
      <c r="Q67">
        <f>PRODUCT($O$8:$O67)</f>
        <v>1.0023328245843009E-2</v>
      </c>
    </row>
    <row r="68" spans="1:17" x14ac:dyDescent="0.3">
      <c r="A68">
        <v>60</v>
      </c>
      <c r="B68">
        <v>3.46</v>
      </c>
      <c r="C68">
        <v>5.0960000000000001</v>
      </c>
      <c r="D68">
        <f>Table2[[#This Row],[Fix]]/MAX(FIx)</f>
        <v>3.46E-3</v>
      </c>
      <c r="E68">
        <f>Table2[[#This Row],[Mix]]/MAX(FIx)</f>
        <v>5.0959999999999998E-3</v>
      </c>
      <c r="F68">
        <f>1-Table2[[#This Row],[Fqx]]</f>
        <v>0.99653999999999998</v>
      </c>
      <c r="G68">
        <f>1-Table2[[#This Row],[Mqx]]</f>
        <v>0.99490400000000001</v>
      </c>
      <c r="I68">
        <f t="shared" si="2"/>
        <v>60</v>
      </c>
      <c r="J68">
        <f>MIN(Qx!MaxAge,Table3[[#This Row],[Survivng t Years]]+$J$6)</f>
        <v>115</v>
      </c>
      <c r="K68">
        <f>MIN(Table3[[#This Row],[Survivng t Years]]+$K$6,Qx!MaxAge)</f>
        <v>120</v>
      </c>
      <c r="L68">
        <f>VLOOKUP(Table3[[#This Row],[To Age]],$A$8:$G$128,L$6,FALSE)</f>
        <v>0.6</v>
      </c>
      <c r="M68">
        <f>VLOOKUP(Table3[[#This Row],[To Age2]],$A$8:$G$128,M$6,FALSE)</f>
        <v>0</v>
      </c>
      <c r="N68" t="str">
        <f t="shared" si="0"/>
        <v>P115,120</v>
      </c>
      <c r="O68">
        <f>Table3[[#This Row],[Px]]+Table3[[#This Row],[Py]]-Table3[[#This Row],[Px]]*Table3[[#This Row],[Py]]</f>
        <v>0.6</v>
      </c>
      <c r="P68" t="str">
        <f t="shared" si="1"/>
        <v>61 P55,65</v>
      </c>
      <c r="Q68">
        <f>PRODUCT($O$8:$O68)</f>
        <v>6.0139969475058053E-3</v>
      </c>
    </row>
    <row r="69" spans="1:17" x14ac:dyDescent="0.3">
      <c r="A69">
        <v>61</v>
      </c>
      <c r="B69">
        <v>3.9159999999999999</v>
      </c>
      <c r="C69">
        <v>5.6139999999999999</v>
      </c>
      <c r="D69">
        <f>Table2[[#This Row],[Fix]]/MAX(FIx)</f>
        <v>3.9160000000000002E-3</v>
      </c>
      <c r="E69">
        <f>Table2[[#This Row],[Mix]]/MAX(FIx)</f>
        <v>5.6140000000000001E-3</v>
      </c>
      <c r="F69">
        <f>1-Table2[[#This Row],[Fqx]]</f>
        <v>0.99608399999999997</v>
      </c>
      <c r="G69">
        <f>1-Table2[[#This Row],[Mqx]]</f>
        <v>0.99438599999999999</v>
      </c>
      <c r="I69">
        <f t="shared" si="2"/>
        <v>61</v>
      </c>
      <c r="J69">
        <f>MIN(Qx!MaxAge,Table3[[#This Row],[Survivng t Years]]+$J$6)</f>
        <v>116</v>
      </c>
      <c r="K69">
        <f>MIN(Table3[[#This Row],[Survivng t Years]]+$K$6,Qx!MaxAge)</f>
        <v>120</v>
      </c>
      <c r="L69">
        <f>VLOOKUP(Table3[[#This Row],[To Age]],$A$8:$G$128,L$6,FALSE)</f>
        <v>0.6</v>
      </c>
      <c r="M69">
        <f>VLOOKUP(Table3[[#This Row],[To Age2]],$A$8:$G$128,M$6,FALSE)</f>
        <v>0</v>
      </c>
      <c r="N69" t="str">
        <f t="shared" si="0"/>
        <v>P116,120</v>
      </c>
      <c r="O69">
        <f>Table3[[#This Row],[Px]]+Table3[[#This Row],[Py]]-Table3[[#This Row],[Px]]*Table3[[#This Row],[Py]]</f>
        <v>0.6</v>
      </c>
      <c r="P69" t="str">
        <f t="shared" si="1"/>
        <v>62 P55,65</v>
      </c>
      <c r="Q69">
        <f>PRODUCT($O$8:$O69)</f>
        <v>3.6083981685034829E-3</v>
      </c>
    </row>
    <row r="70" spans="1:17" x14ac:dyDescent="0.3">
      <c r="A70">
        <v>62</v>
      </c>
      <c r="B70">
        <v>4.4089999999999998</v>
      </c>
      <c r="C70">
        <v>6.1689999999999996</v>
      </c>
      <c r="D70">
        <f>Table2[[#This Row],[Fix]]/MAX(FIx)</f>
        <v>4.4089999999999997E-3</v>
      </c>
      <c r="E70">
        <f>Table2[[#This Row],[Mix]]/MAX(FIx)</f>
        <v>6.169E-3</v>
      </c>
      <c r="F70">
        <f>1-Table2[[#This Row],[Fqx]]</f>
        <v>0.995591</v>
      </c>
      <c r="G70">
        <f>1-Table2[[#This Row],[Mqx]]</f>
        <v>0.99383100000000002</v>
      </c>
      <c r="I70">
        <f t="shared" si="2"/>
        <v>62</v>
      </c>
      <c r="J70">
        <f>MIN(Qx!MaxAge,Table3[[#This Row],[Survivng t Years]]+$J$6)</f>
        <v>117</v>
      </c>
      <c r="K70">
        <f>MIN(Table3[[#This Row],[Survivng t Years]]+$K$6,Qx!MaxAge)</f>
        <v>120</v>
      </c>
      <c r="L70">
        <f>VLOOKUP(Table3[[#This Row],[To Age]],$A$8:$G$128,L$6,FALSE)</f>
        <v>0.6</v>
      </c>
      <c r="M70">
        <f>VLOOKUP(Table3[[#This Row],[To Age2]],$A$8:$G$128,M$6,FALSE)</f>
        <v>0</v>
      </c>
      <c r="N70" t="str">
        <f t="shared" si="0"/>
        <v>P117,120</v>
      </c>
      <c r="O70">
        <f>Table3[[#This Row],[Px]]+Table3[[#This Row],[Py]]-Table3[[#This Row],[Px]]*Table3[[#This Row],[Py]]</f>
        <v>0.6</v>
      </c>
      <c r="P70" t="str">
        <f t="shared" si="1"/>
        <v>63 P55,65</v>
      </c>
      <c r="Q70">
        <f>PRODUCT($O$8:$O70)</f>
        <v>2.1650389011020899E-3</v>
      </c>
    </row>
    <row r="71" spans="1:17" x14ac:dyDescent="0.3">
      <c r="A71">
        <v>63</v>
      </c>
      <c r="B71">
        <v>4.9329999999999998</v>
      </c>
      <c r="C71">
        <v>6.7590000000000003</v>
      </c>
      <c r="D71">
        <f>Table2[[#This Row],[Fix]]/MAX(FIx)</f>
        <v>4.9329999999999999E-3</v>
      </c>
      <c r="E71">
        <f>Table2[[#This Row],[Mix]]/MAX(FIx)</f>
        <v>6.7590000000000003E-3</v>
      </c>
      <c r="F71">
        <f>1-Table2[[#This Row],[Fqx]]</f>
        <v>0.99506700000000003</v>
      </c>
      <c r="G71">
        <f>1-Table2[[#This Row],[Mqx]]</f>
        <v>0.99324100000000004</v>
      </c>
      <c r="I71">
        <f t="shared" si="2"/>
        <v>63</v>
      </c>
      <c r="J71">
        <f>MIN(Qx!MaxAge,Table3[[#This Row],[Survivng t Years]]+$J$6)</f>
        <v>118</v>
      </c>
      <c r="K71">
        <f>MIN(Table3[[#This Row],[Survivng t Years]]+$K$6,Qx!MaxAge)</f>
        <v>120</v>
      </c>
      <c r="L71">
        <f>VLOOKUP(Table3[[#This Row],[To Age]],$A$8:$G$128,L$6,FALSE)</f>
        <v>0.6</v>
      </c>
      <c r="M71">
        <f>VLOOKUP(Table3[[#This Row],[To Age2]],$A$8:$G$128,M$6,FALSE)</f>
        <v>0</v>
      </c>
      <c r="N71" t="str">
        <f t="shared" si="0"/>
        <v>P118,120</v>
      </c>
      <c r="O71">
        <f>Table3[[#This Row],[Px]]+Table3[[#This Row],[Py]]-Table3[[#This Row],[Px]]*Table3[[#This Row],[Py]]</f>
        <v>0.6</v>
      </c>
      <c r="P71" t="str">
        <f t="shared" si="1"/>
        <v>64 P55,65</v>
      </c>
      <c r="Q71">
        <f>PRODUCT($O$8:$O71)</f>
        <v>1.2990233406612538E-3</v>
      </c>
    </row>
    <row r="72" spans="1:17" x14ac:dyDescent="0.3">
      <c r="A72">
        <v>64</v>
      </c>
      <c r="B72">
        <v>5.5069999999999997</v>
      </c>
      <c r="C72">
        <v>7.3979999999999997</v>
      </c>
      <c r="D72">
        <f>Table2[[#This Row],[Fix]]/MAX(FIx)</f>
        <v>5.5069999999999997E-3</v>
      </c>
      <c r="E72">
        <f>Table2[[#This Row],[Mix]]/MAX(FIx)</f>
        <v>7.3980000000000001E-3</v>
      </c>
      <c r="F72">
        <f>1-Table2[[#This Row],[Fqx]]</f>
        <v>0.99449299999999996</v>
      </c>
      <c r="G72">
        <f>1-Table2[[#This Row],[Mqx]]</f>
        <v>0.99260199999999998</v>
      </c>
      <c r="I72">
        <f t="shared" si="2"/>
        <v>64</v>
      </c>
      <c r="J72">
        <f>MIN(Qx!MaxAge,Table3[[#This Row],[Survivng t Years]]+$J$6)</f>
        <v>119</v>
      </c>
      <c r="K72">
        <f>MIN(Table3[[#This Row],[Survivng t Years]]+$K$6,Qx!MaxAge)</f>
        <v>120</v>
      </c>
      <c r="L72">
        <f>VLOOKUP(Table3[[#This Row],[To Age]],$A$8:$G$128,L$6,FALSE)</f>
        <v>0.6</v>
      </c>
      <c r="M72">
        <f>VLOOKUP(Table3[[#This Row],[To Age2]],$A$8:$G$128,M$6,FALSE)</f>
        <v>0</v>
      </c>
      <c r="N72" t="str">
        <f t="shared" si="0"/>
        <v>P119,120</v>
      </c>
      <c r="O72">
        <f>Table3[[#This Row],[Px]]+Table3[[#This Row],[Py]]-Table3[[#This Row],[Px]]*Table3[[#This Row],[Py]]</f>
        <v>0.6</v>
      </c>
      <c r="P72" t="str">
        <f t="shared" si="1"/>
        <v>65 P55,65</v>
      </c>
      <c r="Q72">
        <f>PRODUCT($O$8:$O72)</f>
        <v>7.7941400439675225E-4</v>
      </c>
    </row>
    <row r="73" spans="1:17" x14ac:dyDescent="0.3">
      <c r="A73">
        <v>65</v>
      </c>
      <c r="B73">
        <v>6.1459999999999999</v>
      </c>
      <c r="C73">
        <v>8.1059999999999999</v>
      </c>
      <c r="D73">
        <f>Table2[[#This Row],[Fix]]/MAX(FIx)</f>
        <v>6.1459999999999996E-3</v>
      </c>
      <c r="E73">
        <f>Table2[[#This Row],[Mix]]/MAX(FIx)</f>
        <v>8.1060000000000004E-3</v>
      </c>
      <c r="F73">
        <f>1-Table2[[#This Row],[Fqx]]</f>
        <v>0.99385400000000002</v>
      </c>
      <c r="G73">
        <f>1-Table2[[#This Row],[Mqx]]</f>
        <v>0.99189400000000005</v>
      </c>
      <c r="I73">
        <f t="shared" si="2"/>
        <v>65</v>
      </c>
      <c r="J73">
        <f>MIN(Qx!MaxAge,Table3[[#This Row],[Survivng t Years]]+$J$6)</f>
        <v>120</v>
      </c>
      <c r="K73">
        <f>MIN(Table3[[#This Row],[Survivng t Years]]+$K$6,Qx!MaxAge)</f>
        <v>120</v>
      </c>
      <c r="L73">
        <f>VLOOKUP(Table3[[#This Row],[To Age]],$A$8:$G$128,L$6,FALSE)</f>
        <v>0</v>
      </c>
      <c r="M73">
        <f>VLOOKUP(Table3[[#This Row],[To Age2]],$A$8:$G$128,M$6,FALSE)</f>
        <v>0</v>
      </c>
      <c r="N73" t="str">
        <f t="shared" ref="N73:N78" si="3">"P"&amp;J73&amp;","&amp;K73</f>
        <v>P120,120</v>
      </c>
      <c r="O73">
        <f>Table3[[#This Row],[Px]]+Table3[[#This Row],[Py]]-Table3[[#This Row],[Px]]*Table3[[#This Row],[Py]]</f>
        <v>0</v>
      </c>
      <c r="P73" t="str">
        <f t="shared" ref="P73:P78" si="4">I73+1&amp;" P"&amp;$J$8&amp;","&amp;$K$8</f>
        <v>66 P55,65</v>
      </c>
      <c r="Q73">
        <f>PRODUCT($O$8:$O73)</f>
        <v>0</v>
      </c>
    </row>
    <row r="74" spans="1:17" x14ac:dyDescent="0.3">
      <c r="A74">
        <v>66</v>
      </c>
      <c r="B74">
        <v>6.5510000000000002</v>
      </c>
      <c r="C74">
        <v>8.548</v>
      </c>
      <c r="D74">
        <f>Table2[[#This Row],[Fix]]/MAX(FIx)</f>
        <v>6.5510000000000004E-3</v>
      </c>
      <c r="E74">
        <f>Table2[[#This Row],[Mix]]/MAX(FIx)</f>
        <v>8.548E-3</v>
      </c>
      <c r="F74">
        <f>1-Table2[[#This Row],[Fqx]]</f>
        <v>0.99344900000000003</v>
      </c>
      <c r="G74">
        <f>1-Table2[[#This Row],[Mqx]]</f>
        <v>0.991452</v>
      </c>
      <c r="I74">
        <f t="shared" si="2"/>
        <v>66</v>
      </c>
      <c r="J74">
        <f>MIN(Qx!MaxAge,Table3[[#This Row],[Survivng t Years]]+$J$6)</f>
        <v>120</v>
      </c>
      <c r="K74">
        <f>MIN(Table3[[#This Row],[Survivng t Years]]+$K$6,Qx!MaxAge)</f>
        <v>120</v>
      </c>
      <c r="L74">
        <f>VLOOKUP(Table3[[#This Row],[To Age]],$A$8:$G$128,L$6,FALSE)</f>
        <v>0</v>
      </c>
      <c r="M74">
        <f>VLOOKUP(Table3[[#This Row],[To Age2]],$A$8:$G$128,M$6,FALSE)</f>
        <v>0</v>
      </c>
      <c r="N74" t="str">
        <f t="shared" si="3"/>
        <v>P120,120</v>
      </c>
      <c r="O74">
        <f>Table3[[#This Row],[Px]]+Table3[[#This Row],[Py]]-Table3[[#This Row],[Px]]*Table3[[#This Row],[Py]]</f>
        <v>0</v>
      </c>
      <c r="P74" t="str">
        <f t="shared" si="4"/>
        <v>67 P55,65</v>
      </c>
      <c r="Q74">
        <f>PRODUCT($O$8:$O74)</f>
        <v>0</v>
      </c>
    </row>
    <row r="75" spans="1:17" x14ac:dyDescent="0.3">
      <c r="A75">
        <v>67</v>
      </c>
      <c r="B75">
        <v>7.0389999999999997</v>
      </c>
      <c r="C75">
        <v>9.0760000000000005</v>
      </c>
      <c r="D75">
        <f>Table2[[#This Row],[Fix]]/MAX(FIx)</f>
        <v>7.0390000000000001E-3</v>
      </c>
      <c r="E75">
        <f>Table2[[#This Row],[Mix]]/MAX(FIx)</f>
        <v>9.0760000000000007E-3</v>
      </c>
      <c r="F75">
        <f>1-Table2[[#This Row],[Fqx]]</f>
        <v>0.99296099999999998</v>
      </c>
      <c r="G75">
        <f>1-Table2[[#This Row],[Mqx]]</f>
        <v>0.99092400000000003</v>
      </c>
      <c r="I75">
        <f t="shared" ref="I75:I92" si="5">I74+1</f>
        <v>67</v>
      </c>
      <c r="J75">
        <f>MIN(Qx!MaxAge,Table3[[#This Row],[Survivng t Years]]+$J$6)</f>
        <v>120</v>
      </c>
      <c r="K75">
        <f>MIN(Table3[[#This Row],[Survivng t Years]]+$K$6,Qx!MaxAge)</f>
        <v>120</v>
      </c>
      <c r="L75">
        <f>VLOOKUP(Table3[[#This Row],[To Age]],$A$8:$G$128,L$6,FALSE)</f>
        <v>0</v>
      </c>
      <c r="M75">
        <f>VLOOKUP(Table3[[#This Row],[To Age2]],$A$8:$G$128,M$6,FALSE)</f>
        <v>0</v>
      </c>
      <c r="N75" t="str">
        <f t="shared" si="3"/>
        <v>P120,120</v>
      </c>
      <c r="O75">
        <f>Table3[[#This Row],[Px]]+Table3[[#This Row],[Py]]-Table3[[#This Row],[Px]]*Table3[[#This Row],[Py]]</f>
        <v>0</v>
      </c>
      <c r="P75" t="str">
        <f t="shared" si="4"/>
        <v>68 P55,65</v>
      </c>
      <c r="Q75">
        <f>PRODUCT($O$8:$O75)</f>
        <v>0</v>
      </c>
    </row>
    <row r="76" spans="1:17" x14ac:dyDescent="0.3">
      <c r="A76">
        <v>68</v>
      </c>
      <c r="B76">
        <v>7.6280000000000001</v>
      </c>
      <c r="C76">
        <v>9.7080000000000002</v>
      </c>
      <c r="D76">
        <f>Table2[[#This Row],[Fix]]/MAX(FIx)</f>
        <v>7.6280000000000002E-3</v>
      </c>
      <c r="E76">
        <f>Table2[[#This Row],[Mix]]/MAX(FIx)</f>
        <v>9.7079999999999996E-3</v>
      </c>
      <c r="F76">
        <f>1-Table2[[#This Row],[Fqx]]</f>
        <v>0.99237200000000003</v>
      </c>
      <c r="G76">
        <f>1-Table2[[#This Row],[Mqx]]</f>
        <v>0.99029199999999995</v>
      </c>
      <c r="I76">
        <f t="shared" si="5"/>
        <v>68</v>
      </c>
      <c r="J76">
        <f>MIN(Qx!MaxAge,Table3[[#This Row],[Survivng t Years]]+$J$6)</f>
        <v>120</v>
      </c>
      <c r="K76">
        <f>MIN(Table3[[#This Row],[Survivng t Years]]+$K$6,Qx!MaxAge)</f>
        <v>120</v>
      </c>
      <c r="L76">
        <f>VLOOKUP(Table3[[#This Row],[To Age]],$A$8:$G$128,L$6,FALSE)</f>
        <v>0</v>
      </c>
      <c r="M76">
        <f>VLOOKUP(Table3[[#This Row],[To Age2]],$A$8:$G$128,M$6,FALSE)</f>
        <v>0</v>
      </c>
      <c r="N76" t="str">
        <f t="shared" si="3"/>
        <v>P120,120</v>
      </c>
      <c r="O76">
        <f>Table3[[#This Row],[Px]]+Table3[[#This Row],[Py]]-Table3[[#This Row],[Px]]*Table3[[#This Row],[Py]]</f>
        <v>0</v>
      </c>
      <c r="P76" t="str">
        <f t="shared" si="4"/>
        <v>69 P55,65</v>
      </c>
      <c r="Q76">
        <f>PRODUCT($O$8:$O76)</f>
        <v>0</v>
      </c>
    </row>
    <row r="77" spans="1:17" x14ac:dyDescent="0.3">
      <c r="A77">
        <v>69</v>
      </c>
      <c r="B77">
        <v>8.3109999999999999</v>
      </c>
      <c r="C77">
        <v>10.462999999999999</v>
      </c>
      <c r="D77">
        <f>Table2[[#This Row],[Fix]]/MAX(FIx)</f>
        <v>8.3110000000000007E-3</v>
      </c>
      <c r="E77">
        <f>Table2[[#This Row],[Mix]]/MAX(FIx)</f>
        <v>1.0462999999999998E-2</v>
      </c>
      <c r="F77">
        <f>1-Table2[[#This Row],[Fqx]]</f>
        <v>0.99168900000000004</v>
      </c>
      <c r="G77">
        <f>1-Table2[[#This Row],[Mqx]]</f>
        <v>0.989537</v>
      </c>
      <c r="I77">
        <f t="shared" si="5"/>
        <v>69</v>
      </c>
      <c r="J77">
        <f>MIN(Qx!MaxAge,Table3[[#This Row],[Survivng t Years]]+$J$6)</f>
        <v>120</v>
      </c>
      <c r="K77">
        <f>MIN(Table3[[#This Row],[Survivng t Years]]+$K$6,Qx!MaxAge)</f>
        <v>120</v>
      </c>
      <c r="L77">
        <f>VLOOKUP(Table3[[#This Row],[To Age]],$A$8:$G$128,L$6,FALSE)</f>
        <v>0</v>
      </c>
      <c r="M77">
        <f>VLOOKUP(Table3[[#This Row],[To Age2]],$A$8:$G$128,M$6,FALSE)</f>
        <v>0</v>
      </c>
      <c r="N77" t="str">
        <f t="shared" si="3"/>
        <v>P120,120</v>
      </c>
      <c r="O77">
        <f>Table3[[#This Row],[Px]]+Table3[[#This Row],[Py]]-Table3[[#This Row],[Px]]*Table3[[#This Row],[Py]]</f>
        <v>0</v>
      </c>
      <c r="P77" t="str">
        <f t="shared" si="4"/>
        <v>70 P55,65</v>
      </c>
      <c r="Q77">
        <f>PRODUCT($O$8:$O77)</f>
        <v>0</v>
      </c>
    </row>
    <row r="78" spans="1:17" x14ac:dyDescent="0.3">
      <c r="A78">
        <v>70</v>
      </c>
      <c r="B78">
        <v>9.0739999999999998</v>
      </c>
      <c r="C78">
        <v>11.356999999999999</v>
      </c>
      <c r="D78">
        <f>Table2[[#This Row],[Fix]]/MAX(FIx)</f>
        <v>9.0740000000000005E-3</v>
      </c>
      <c r="E78">
        <f>Table2[[#This Row],[Mix]]/MAX(FIx)</f>
        <v>1.1356999999999999E-2</v>
      </c>
      <c r="F78">
        <f>1-Table2[[#This Row],[Fqx]]</f>
        <v>0.99092599999999997</v>
      </c>
      <c r="G78">
        <f>1-Table2[[#This Row],[Mqx]]</f>
        <v>0.98864300000000005</v>
      </c>
      <c r="I78">
        <f t="shared" si="5"/>
        <v>70</v>
      </c>
      <c r="J78">
        <f>MIN(Qx!MaxAge,Table3[[#This Row],[Survivng t Years]]+$J$6)</f>
        <v>120</v>
      </c>
      <c r="K78">
        <f>MIN(Table3[[#This Row],[Survivng t Years]]+$K$6,Qx!MaxAge)</f>
        <v>120</v>
      </c>
      <c r="L78">
        <f>VLOOKUP(Table3[[#This Row],[To Age]],$A$8:$G$128,L$6,FALSE)</f>
        <v>0</v>
      </c>
      <c r="M78">
        <f>VLOOKUP(Table3[[#This Row],[To Age2]],$A$8:$G$128,M$6,FALSE)</f>
        <v>0</v>
      </c>
      <c r="N78" t="str">
        <f t="shared" si="3"/>
        <v>P120,120</v>
      </c>
      <c r="O78">
        <f>Table3[[#This Row],[Px]]+Table3[[#This Row],[Py]]-Table3[[#This Row],[Px]]*Table3[[#This Row],[Py]]</f>
        <v>0</v>
      </c>
      <c r="P78" t="str">
        <f t="shared" si="4"/>
        <v>71 P55,65</v>
      </c>
      <c r="Q78">
        <f>PRODUCT($O$8:$O78)</f>
        <v>0</v>
      </c>
    </row>
    <row r="79" spans="1:17" x14ac:dyDescent="0.3">
      <c r="A79">
        <v>71</v>
      </c>
      <c r="B79">
        <v>9.91</v>
      </c>
      <c r="C79">
        <v>12.417999999999999</v>
      </c>
      <c r="D79">
        <f>Table2[[#This Row],[Fix]]/MAX(FIx)</f>
        <v>9.9100000000000004E-3</v>
      </c>
      <c r="E79">
        <f>Table2[[#This Row],[Mix]]/MAX(FIx)</f>
        <v>1.2417999999999998E-2</v>
      </c>
      <c r="F79">
        <f>1-Table2[[#This Row],[Fqx]]</f>
        <v>0.99009000000000003</v>
      </c>
      <c r="G79">
        <f>1-Table2[[#This Row],[Mqx]]</f>
        <v>0.98758199999999996</v>
      </c>
    </row>
    <row r="80" spans="1:17" x14ac:dyDescent="0.3">
      <c r="A80">
        <v>72</v>
      </c>
      <c r="B80">
        <v>10.827</v>
      </c>
      <c r="C80">
        <v>13.675000000000001</v>
      </c>
      <c r="D80">
        <f>Table2[[#This Row],[Fix]]/MAX(FIx)</f>
        <v>1.0827E-2</v>
      </c>
      <c r="E80">
        <f>Table2[[#This Row],[Mix]]/MAX(FIx)</f>
        <v>1.3675000000000001E-2</v>
      </c>
      <c r="F80">
        <f>1-Table2[[#This Row],[Fqx]]</f>
        <v>0.98917299999999997</v>
      </c>
      <c r="G80">
        <f>1-Table2[[#This Row],[Mqx]]</f>
        <v>0.98632500000000001</v>
      </c>
    </row>
    <row r="81" spans="1:7" x14ac:dyDescent="0.3">
      <c r="A81">
        <v>73</v>
      </c>
      <c r="B81">
        <v>11.839</v>
      </c>
      <c r="C81">
        <v>15.15</v>
      </c>
      <c r="D81">
        <f>Table2[[#This Row],[Fix]]/MAX(FIx)</f>
        <v>1.1839000000000001E-2</v>
      </c>
      <c r="E81">
        <f>Table2[[#This Row],[Mix]]/MAX(FIx)</f>
        <v>1.515E-2</v>
      </c>
      <c r="F81">
        <f>1-Table2[[#This Row],[Fqx]]</f>
        <v>0.98816099999999996</v>
      </c>
      <c r="G81">
        <f>1-Table2[[#This Row],[Mqx]]</f>
        <v>0.98485</v>
      </c>
    </row>
    <row r="82" spans="1:7" x14ac:dyDescent="0.3">
      <c r="A82">
        <v>74</v>
      </c>
      <c r="B82">
        <v>12.974</v>
      </c>
      <c r="C82">
        <v>16.86</v>
      </c>
      <c r="D82">
        <f>Table2[[#This Row],[Fix]]/MAX(FIx)</f>
        <v>1.2973999999999999E-2</v>
      </c>
      <c r="E82">
        <f>Table2[[#This Row],[Mix]]/MAX(FIx)</f>
        <v>1.686E-2</v>
      </c>
      <c r="F82">
        <f>1-Table2[[#This Row],[Fqx]]</f>
        <v>0.98702599999999996</v>
      </c>
      <c r="G82">
        <f>1-Table2[[#This Row],[Mqx]]</f>
        <v>0.98314000000000001</v>
      </c>
    </row>
    <row r="83" spans="1:7" x14ac:dyDescent="0.3">
      <c r="A83">
        <v>75</v>
      </c>
      <c r="B83">
        <v>14.282</v>
      </c>
      <c r="C83">
        <v>18.815000000000001</v>
      </c>
      <c r="D83">
        <f>Table2[[#This Row],[Fix]]/MAX(FIx)</f>
        <v>1.4282E-2</v>
      </c>
      <c r="E83">
        <f>Table2[[#This Row],[Mix]]/MAX(FIx)</f>
        <v>1.8815000000000002E-2</v>
      </c>
      <c r="F83">
        <f>1-Table2[[#This Row],[Fqx]]</f>
        <v>0.98571799999999998</v>
      </c>
      <c r="G83">
        <f>1-Table2[[#This Row],[Mqx]]</f>
        <v>0.98118499999999997</v>
      </c>
    </row>
    <row r="84" spans="1:7" x14ac:dyDescent="0.3">
      <c r="A84">
        <v>76</v>
      </c>
      <c r="B84">
        <v>15.798999999999999</v>
      </c>
      <c r="C84">
        <v>21.030999999999999</v>
      </c>
      <c r="D84">
        <f>Table2[[#This Row],[Fix]]/MAX(FIx)</f>
        <v>1.5799000000000001E-2</v>
      </c>
      <c r="E84">
        <f>Table2[[#This Row],[Mix]]/MAX(FIx)</f>
        <v>2.1030999999999998E-2</v>
      </c>
      <c r="F84">
        <f>1-Table2[[#This Row],[Fqx]]</f>
        <v>0.98420099999999999</v>
      </c>
      <c r="G84">
        <f>1-Table2[[#This Row],[Mqx]]</f>
        <v>0.97896899999999998</v>
      </c>
    </row>
    <row r="85" spans="1:7" x14ac:dyDescent="0.3">
      <c r="A85">
        <v>77</v>
      </c>
      <c r="B85">
        <v>17.55</v>
      </c>
      <c r="C85">
        <v>23.54</v>
      </c>
      <c r="D85">
        <f>Table2[[#This Row],[Fix]]/MAX(FIx)</f>
        <v>1.755E-2</v>
      </c>
      <c r="E85">
        <f>Table2[[#This Row],[Mix]]/MAX(FIx)</f>
        <v>2.3539999999999998E-2</v>
      </c>
      <c r="F85">
        <f>1-Table2[[#This Row],[Fqx]]</f>
        <v>0.98245000000000005</v>
      </c>
      <c r="G85">
        <f>1-Table2[[#This Row],[Mqx]]</f>
        <v>0.97645999999999999</v>
      </c>
    </row>
    <row r="86" spans="1:7" x14ac:dyDescent="0.3">
      <c r="A86">
        <v>78</v>
      </c>
      <c r="B86">
        <v>19.582000000000001</v>
      </c>
      <c r="C86">
        <v>26.375</v>
      </c>
      <c r="D86">
        <f>Table2[[#This Row],[Fix]]/MAX(FIx)</f>
        <v>1.9582000000000002E-2</v>
      </c>
      <c r="E86">
        <f>Table2[[#This Row],[Mix]]/MAX(FIx)</f>
        <v>2.6374999999999999E-2</v>
      </c>
      <c r="F86">
        <f>1-Table2[[#This Row],[Fqx]]</f>
        <v>0.98041800000000001</v>
      </c>
      <c r="G86">
        <f>1-Table2[[#This Row],[Mqx]]</f>
        <v>0.97362499999999996</v>
      </c>
    </row>
    <row r="87" spans="1:7" x14ac:dyDescent="0.3">
      <c r="A87">
        <v>79</v>
      </c>
      <c r="B87">
        <v>21.97</v>
      </c>
      <c r="C87">
        <v>29.571999999999999</v>
      </c>
      <c r="D87">
        <f>Table2[[#This Row],[Fix]]/MAX(FIx)</f>
        <v>2.197E-2</v>
      </c>
      <c r="E87">
        <f>Table2[[#This Row],[Mix]]/MAX(FIx)</f>
        <v>2.9571999999999998E-2</v>
      </c>
      <c r="F87">
        <f>1-Table2[[#This Row],[Fqx]]</f>
        <v>0.97802999999999995</v>
      </c>
      <c r="G87">
        <f>1-Table2[[#This Row],[Mqx]]</f>
        <v>0.97042799999999996</v>
      </c>
    </row>
    <row r="88" spans="1:7" x14ac:dyDescent="0.3">
      <c r="A88">
        <v>80</v>
      </c>
      <c r="B88">
        <v>24.821000000000002</v>
      </c>
      <c r="C88">
        <v>33.234000000000002</v>
      </c>
      <c r="D88">
        <f>Table2[[#This Row],[Fix]]/MAX(FIx)</f>
        <v>2.4821000000000003E-2</v>
      </c>
      <c r="E88">
        <f>Table2[[#This Row],[Mix]]/MAX(FIx)</f>
        <v>3.3234E-2</v>
      </c>
      <c r="F88">
        <f>1-Table2[[#This Row],[Fqx]]</f>
        <v>0.97517900000000002</v>
      </c>
      <c r="G88">
        <f>1-Table2[[#This Row],[Mqx]]</f>
        <v>0.96676600000000001</v>
      </c>
    </row>
    <row r="89" spans="1:7" x14ac:dyDescent="0.3">
      <c r="A89">
        <v>81</v>
      </c>
      <c r="B89">
        <v>28.350999999999999</v>
      </c>
      <c r="C89">
        <v>37.533000000000001</v>
      </c>
      <c r="D89">
        <f>Table2[[#This Row],[Fix]]/MAX(FIx)</f>
        <v>2.8350999999999998E-2</v>
      </c>
      <c r="E89">
        <f>Table2[[#This Row],[Mix]]/MAX(FIx)</f>
        <v>3.7533000000000004E-2</v>
      </c>
      <c r="F89">
        <f>1-Table2[[#This Row],[Fqx]]</f>
        <v>0.97164899999999998</v>
      </c>
      <c r="G89">
        <f>1-Table2[[#This Row],[Mqx]]</f>
        <v>0.96246699999999996</v>
      </c>
    </row>
    <row r="90" spans="1:7" x14ac:dyDescent="0.3">
      <c r="A90">
        <v>82</v>
      </c>
      <c r="B90">
        <v>32.509</v>
      </c>
      <c r="C90">
        <v>42.261000000000003</v>
      </c>
      <c r="D90">
        <f>Table2[[#This Row],[Fix]]/MAX(FIx)</f>
        <v>3.2509000000000003E-2</v>
      </c>
      <c r="E90">
        <f>Table2[[#This Row],[Mix]]/MAX(FIx)</f>
        <v>4.2261E-2</v>
      </c>
      <c r="F90">
        <f>1-Table2[[#This Row],[Fqx]]</f>
        <v>0.96749099999999999</v>
      </c>
      <c r="G90">
        <f>1-Table2[[#This Row],[Mqx]]</f>
        <v>0.95773900000000001</v>
      </c>
    </row>
    <row r="91" spans="1:7" x14ac:dyDescent="0.3">
      <c r="A91">
        <v>83</v>
      </c>
      <c r="B91">
        <v>37.329000000000001</v>
      </c>
      <c r="C91">
        <v>47.441000000000003</v>
      </c>
      <c r="D91">
        <f>Table2[[#This Row],[Fix]]/MAX(FIx)</f>
        <v>3.7329000000000001E-2</v>
      </c>
      <c r="E91">
        <f>Table2[[#This Row],[Mix]]/MAX(FIx)</f>
        <v>4.7441000000000004E-2</v>
      </c>
      <c r="F91">
        <f>1-Table2[[#This Row],[Fqx]]</f>
        <v>0.96267100000000005</v>
      </c>
      <c r="G91">
        <f>1-Table2[[#This Row],[Mqx]]</f>
        <v>0.95255900000000004</v>
      </c>
    </row>
    <row r="92" spans="1:7" x14ac:dyDescent="0.3">
      <c r="A92">
        <v>84</v>
      </c>
      <c r="B92">
        <v>42.83</v>
      </c>
      <c r="C92">
        <v>53.232999999999997</v>
      </c>
      <c r="D92">
        <f>Table2[[#This Row],[Fix]]/MAX(FIx)</f>
        <v>4.283E-2</v>
      </c>
      <c r="E92">
        <f>Table2[[#This Row],[Mix]]/MAX(FIx)</f>
        <v>5.3232999999999996E-2</v>
      </c>
      <c r="F92">
        <f>1-Table2[[#This Row],[Fqx]]</f>
        <v>0.95716999999999997</v>
      </c>
      <c r="G92">
        <f>1-Table2[[#This Row],[Mqx]]</f>
        <v>0.94676700000000003</v>
      </c>
    </row>
    <row r="93" spans="1:7" x14ac:dyDescent="0.3">
      <c r="A93">
        <v>85</v>
      </c>
      <c r="B93">
        <v>48.997</v>
      </c>
      <c r="C93">
        <v>59.854999999999997</v>
      </c>
      <c r="D93">
        <f>Table2[[#This Row],[Fix]]/MAX(FIx)</f>
        <v>4.8996999999999999E-2</v>
      </c>
      <c r="E93">
        <f>Table2[[#This Row],[Mix]]/MAX(FIx)</f>
        <v>5.9854999999999998E-2</v>
      </c>
      <c r="F93">
        <f>1-Table2[[#This Row],[Fqx]]</f>
        <v>0.95100300000000004</v>
      </c>
      <c r="G93">
        <f>1-Table2[[#This Row],[Mqx]]</f>
        <v>0.94014500000000001</v>
      </c>
    </row>
    <row r="94" spans="1:7" x14ac:dyDescent="0.3">
      <c r="A94">
        <v>86</v>
      </c>
      <c r="B94">
        <v>55.774000000000001</v>
      </c>
      <c r="C94">
        <v>67.513999999999996</v>
      </c>
      <c r="D94">
        <f>Table2[[#This Row],[Fix]]/MAX(FIx)</f>
        <v>5.5774000000000004E-2</v>
      </c>
      <c r="E94">
        <f>Table2[[#This Row],[Mix]]/MAX(FIx)</f>
        <v>6.7513999999999991E-2</v>
      </c>
      <c r="F94">
        <f>1-Table2[[#This Row],[Fqx]]</f>
        <v>0.94422600000000001</v>
      </c>
      <c r="G94">
        <f>1-Table2[[#This Row],[Mqx]]</f>
        <v>0.93248600000000004</v>
      </c>
    </row>
    <row r="95" spans="1:7" x14ac:dyDescent="0.3">
      <c r="A95">
        <v>87</v>
      </c>
      <c r="B95">
        <v>63.14</v>
      </c>
      <c r="C95">
        <v>76.34</v>
      </c>
      <c r="D95">
        <f>Table2[[#This Row],[Fix]]/MAX(FIx)</f>
        <v>6.3140000000000002E-2</v>
      </c>
      <c r="E95">
        <f>Table2[[#This Row],[Mix]]/MAX(FIx)</f>
        <v>7.6340000000000005E-2</v>
      </c>
      <c r="F95">
        <f>1-Table2[[#This Row],[Fqx]]</f>
        <v>0.93686000000000003</v>
      </c>
      <c r="G95">
        <f>1-Table2[[#This Row],[Mqx]]</f>
        <v>0.92366000000000004</v>
      </c>
    </row>
    <row r="96" spans="1:7" x14ac:dyDescent="0.3">
      <c r="A96">
        <v>88</v>
      </c>
      <c r="B96">
        <v>71.066000000000003</v>
      </c>
      <c r="C96">
        <v>86.388000000000005</v>
      </c>
      <c r="D96">
        <f>Table2[[#This Row],[Fix]]/MAX(FIx)</f>
        <v>7.1066000000000004E-2</v>
      </c>
      <c r="E96">
        <f>Table2[[#This Row],[Mix]]/MAX(FIx)</f>
        <v>8.6388000000000006E-2</v>
      </c>
      <c r="F96">
        <f>1-Table2[[#This Row],[Fqx]]</f>
        <v>0.92893400000000004</v>
      </c>
      <c r="G96">
        <f>1-Table2[[#This Row],[Mqx]]</f>
        <v>0.91361199999999998</v>
      </c>
    </row>
    <row r="97" spans="1:7" x14ac:dyDescent="0.3">
      <c r="A97">
        <v>89</v>
      </c>
      <c r="B97">
        <v>79.501999999999995</v>
      </c>
      <c r="C97">
        <v>97.634</v>
      </c>
      <c r="D97">
        <f>Table2[[#This Row],[Fix]]/MAX(FIx)</f>
        <v>7.9501999999999989E-2</v>
      </c>
      <c r="E97">
        <f>Table2[[#This Row],[Mix]]/MAX(FIx)</f>
        <v>9.7633999999999999E-2</v>
      </c>
      <c r="F97">
        <f>1-Table2[[#This Row],[Fqx]]</f>
        <v>0.92049800000000004</v>
      </c>
      <c r="G97">
        <f>1-Table2[[#This Row],[Mqx]]</f>
        <v>0.902366</v>
      </c>
    </row>
    <row r="98" spans="1:7" x14ac:dyDescent="0.3">
      <c r="A98">
        <v>90</v>
      </c>
      <c r="B98">
        <v>88.376999999999995</v>
      </c>
      <c r="C98">
        <v>109.99299999999999</v>
      </c>
      <c r="D98">
        <f>Table2[[#This Row],[Fix]]/MAX(FIx)</f>
        <v>8.8376999999999997E-2</v>
      </c>
      <c r="E98">
        <f>Table2[[#This Row],[Mix]]/MAX(FIx)</f>
        <v>0.10999299999999999</v>
      </c>
      <c r="F98">
        <f>1-Table2[[#This Row],[Fqx]]</f>
        <v>0.91162299999999996</v>
      </c>
      <c r="G98">
        <f>1-Table2[[#This Row],[Mqx]]</f>
        <v>0.89000699999999999</v>
      </c>
    </row>
    <row r="99" spans="1:7" x14ac:dyDescent="0.3">
      <c r="A99">
        <v>91</v>
      </c>
      <c r="B99">
        <v>97.491</v>
      </c>
      <c r="C99">
        <v>123.119</v>
      </c>
      <c r="D99">
        <f>Table2[[#This Row],[Fix]]/MAX(FIx)</f>
        <v>9.7490999999999994E-2</v>
      </c>
      <c r="E99">
        <f>Table2[[#This Row],[Mix]]/MAX(FIx)</f>
        <v>0.12311900000000001</v>
      </c>
      <c r="F99">
        <f>1-Table2[[#This Row],[Fqx]]</f>
        <v>0.90250900000000001</v>
      </c>
      <c r="G99">
        <f>1-Table2[[#This Row],[Mqx]]</f>
        <v>0.87688100000000002</v>
      </c>
    </row>
    <row r="100" spans="1:7" x14ac:dyDescent="0.3">
      <c r="A100">
        <v>92</v>
      </c>
      <c r="B100">
        <v>107.26900000000001</v>
      </c>
      <c r="C100">
        <v>137.16800000000001</v>
      </c>
      <c r="D100">
        <f>Table2[[#This Row],[Fix]]/MAX(FIx)</f>
        <v>0.107269</v>
      </c>
      <c r="E100">
        <f>Table2[[#This Row],[Mix]]/MAX(FIx)</f>
        <v>0.13716800000000001</v>
      </c>
      <c r="F100">
        <f>1-Table2[[#This Row],[Fqx]]</f>
        <v>0.89273099999999994</v>
      </c>
      <c r="G100">
        <f>1-Table2[[#This Row],[Mqx]]</f>
        <v>0.86283200000000004</v>
      </c>
    </row>
    <row r="101" spans="1:7" x14ac:dyDescent="0.3">
      <c r="A101">
        <v>93</v>
      </c>
      <c r="B101">
        <v>118.20099999999999</v>
      </c>
      <c r="C101">
        <v>152.17099999999999</v>
      </c>
      <c r="D101">
        <f>Table2[[#This Row],[Fix]]/MAX(FIx)</f>
        <v>0.11820099999999999</v>
      </c>
      <c r="E101">
        <f>Table2[[#This Row],[Mix]]/MAX(FIx)</f>
        <v>0.152171</v>
      </c>
      <c r="F101">
        <f>1-Table2[[#This Row],[Fqx]]</f>
        <v>0.881799</v>
      </c>
      <c r="G101">
        <f>1-Table2[[#This Row],[Mqx]]</f>
        <v>0.84782899999999994</v>
      </c>
    </row>
    <row r="102" spans="1:7" x14ac:dyDescent="0.3">
      <c r="A102">
        <v>94</v>
      </c>
      <c r="B102">
        <v>130.96899999999999</v>
      </c>
      <c r="C102">
        <v>168.19399999999999</v>
      </c>
      <c r="D102">
        <f>Table2[[#This Row],[Fix]]/MAX(FIx)</f>
        <v>0.130969</v>
      </c>
      <c r="E102">
        <f>Table2[[#This Row],[Mix]]/MAX(FIx)</f>
        <v>0.16819399999999998</v>
      </c>
      <c r="F102">
        <f>1-Table2[[#This Row],[Fqx]]</f>
        <v>0.869031</v>
      </c>
      <c r="G102">
        <f>1-Table2[[#This Row],[Mqx]]</f>
        <v>0.83180600000000005</v>
      </c>
    </row>
    <row r="103" spans="1:7" x14ac:dyDescent="0.3">
      <c r="A103">
        <v>95</v>
      </c>
      <c r="B103">
        <v>146.44900000000001</v>
      </c>
      <c r="C103">
        <v>185.26</v>
      </c>
      <c r="D103">
        <f>Table2[[#This Row],[Fix]]/MAX(FIx)</f>
        <v>0.14644900000000002</v>
      </c>
      <c r="E103">
        <f>Table2[[#This Row],[Mix]]/MAX(FIx)</f>
        <v>0.18525999999999998</v>
      </c>
      <c r="F103">
        <f>1-Table2[[#This Row],[Fqx]]</f>
        <v>0.85355099999999995</v>
      </c>
      <c r="G103">
        <f>1-Table2[[#This Row],[Mqx]]</f>
        <v>0.81474000000000002</v>
      </c>
    </row>
    <row r="104" spans="1:7" x14ac:dyDescent="0.3">
      <c r="A104">
        <v>96</v>
      </c>
      <c r="B104">
        <v>163.90799999999999</v>
      </c>
      <c r="C104">
        <v>197.322</v>
      </c>
      <c r="D104">
        <f>Table2[[#This Row],[Fix]]/MAX(FIx)</f>
        <v>0.163908</v>
      </c>
      <c r="E104">
        <f>Table2[[#This Row],[Mix]]/MAX(FIx)</f>
        <v>0.197322</v>
      </c>
      <c r="F104">
        <f>1-Table2[[#This Row],[Fqx]]</f>
        <v>0.83609200000000006</v>
      </c>
      <c r="G104">
        <f>1-Table2[[#This Row],[Mqx]]</f>
        <v>0.802678</v>
      </c>
    </row>
    <row r="105" spans="1:7" x14ac:dyDescent="0.3">
      <c r="A105">
        <v>97</v>
      </c>
      <c r="B105">
        <v>179.69499999999999</v>
      </c>
      <c r="C105">
        <v>214.751</v>
      </c>
      <c r="D105">
        <f>Table2[[#This Row],[Fix]]/MAX(FIx)</f>
        <v>0.17969499999999999</v>
      </c>
      <c r="E105">
        <f>Table2[[#This Row],[Mix]]/MAX(FIx)</f>
        <v>0.214751</v>
      </c>
      <c r="F105">
        <f>1-Table2[[#This Row],[Fqx]]</f>
        <v>0.82030500000000006</v>
      </c>
      <c r="G105">
        <f>1-Table2[[#This Row],[Mqx]]</f>
        <v>0.78524899999999997</v>
      </c>
    </row>
    <row r="106" spans="1:7" x14ac:dyDescent="0.3">
      <c r="A106">
        <v>98</v>
      </c>
      <c r="B106">
        <v>196.15100000000001</v>
      </c>
      <c r="C106">
        <v>232.50700000000001</v>
      </c>
      <c r="D106">
        <f>Table2[[#This Row],[Fix]]/MAX(FIx)</f>
        <v>0.19615100000000002</v>
      </c>
      <c r="E106">
        <f>Table2[[#This Row],[Mix]]/MAX(FIx)</f>
        <v>0.23250699999999999</v>
      </c>
      <c r="F106">
        <f>1-Table2[[#This Row],[Fqx]]</f>
        <v>0.80384900000000004</v>
      </c>
      <c r="G106">
        <f>1-Table2[[#This Row],[Mqx]]</f>
        <v>0.76749299999999998</v>
      </c>
    </row>
    <row r="107" spans="1:7" x14ac:dyDescent="0.3">
      <c r="A107">
        <v>99</v>
      </c>
      <c r="B107">
        <v>213.15</v>
      </c>
      <c r="C107">
        <v>250.39699999999999</v>
      </c>
      <c r="D107">
        <f>Table2[[#This Row],[Fix]]/MAX(FIx)</f>
        <v>0.21315000000000001</v>
      </c>
      <c r="E107">
        <f>Table2[[#This Row],[Mix]]/MAX(FIx)</f>
        <v>0.25039699999999998</v>
      </c>
      <c r="F107">
        <f>1-Table2[[#This Row],[Fqx]]</f>
        <v>0.78685000000000005</v>
      </c>
      <c r="G107">
        <f>1-Table2[[#This Row],[Mqx]]</f>
        <v>0.74960300000000002</v>
      </c>
    </row>
    <row r="108" spans="1:7" x14ac:dyDescent="0.3">
      <c r="A108">
        <v>100</v>
      </c>
      <c r="B108">
        <v>230.72200000000001</v>
      </c>
      <c r="C108">
        <v>268.60700000000003</v>
      </c>
      <c r="D108">
        <f>Table2[[#This Row],[Fix]]/MAX(FIx)</f>
        <v>0.23072200000000001</v>
      </c>
      <c r="E108">
        <f>Table2[[#This Row],[Mix]]/MAX(FIx)</f>
        <v>0.26860700000000004</v>
      </c>
      <c r="F108">
        <f>1-Table2[[#This Row],[Fqx]]</f>
        <v>0.76927800000000002</v>
      </c>
      <c r="G108">
        <f>1-Table2[[#This Row],[Mqx]]</f>
        <v>0.73139299999999996</v>
      </c>
    </row>
    <row r="109" spans="1:7" x14ac:dyDescent="0.3">
      <c r="A109">
        <v>101</v>
      </c>
      <c r="B109">
        <v>251.505</v>
      </c>
      <c r="C109">
        <v>290.01600000000002</v>
      </c>
      <c r="D109">
        <f>Table2[[#This Row],[Fix]]/MAX(FIx)</f>
        <v>0.25150499999999998</v>
      </c>
      <c r="E109">
        <f>Table2[[#This Row],[Mix]]/MAX(FIx)</f>
        <v>0.290016</v>
      </c>
      <c r="F109">
        <f>1-Table2[[#This Row],[Fqx]]</f>
        <v>0.74849500000000002</v>
      </c>
      <c r="G109">
        <f>1-Table2[[#This Row],[Mqx]]</f>
        <v>0.70998399999999995</v>
      </c>
    </row>
    <row r="110" spans="1:7" x14ac:dyDescent="0.3">
      <c r="A110">
        <v>102</v>
      </c>
      <c r="B110">
        <v>273.00700000000001</v>
      </c>
      <c r="C110">
        <v>311.84899999999999</v>
      </c>
      <c r="D110">
        <f>Table2[[#This Row],[Fix]]/MAX(FIx)</f>
        <v>0.273007</v>
      </c>
      <c r="E110">
        <f>Table2[[#This Row],[Mix]]/MAX(FIx)</f>
        <v>0.31184899999999999</v>
      </c>
      <c r="F110">
        <f>1-Table2[[#This Row],[Fqx]]</f>
        <v>0.726993</v>
      </c>
      <c r="G110">
        <f>1-Table2[[#This Row],[Mqx]]</f>
        <v>0.68815099999999996</v>
      </c>
    </row>
    <row r="111" spans="1:7" x14ac:dyDescent="0.3">
      <c r="A111">
        <v>103</v>
      </c>
      <c r="B111">
        <v>295.08600000000001</v>
      </c>
      <c r="C111">
        <v>333.96199999999999</v>
      </c>
      <c r="D111">
        <f>Table2[[#This Row],[Fix]]/MAX(FIx)</f>
        <v>0.29508600000000001</v>
      </c>
      <c r="E111">
        <f>Table2[[#This Row],[Mix]]/MAX(FIx)</f>
        <v>0.33396199999999998</v>
      </c>
      <c r="F111">
        <f>1-Table2[[#This Row],[Fqx]]</f>
        <v>0.70491400000000004</v>
      </c>
      <c r="G111">
        <f>1-Table2[[#This Row],[Mqx]]</f>
        <v>0.66603800000000002</v>
      </c>
    </row>
    <row r="112" spans="1:7" x14ac:dyDescent="0.3">
      <c r="A112">
        <v>104</v>
      </c>
      <c r="B112">
        <v>317.59100000000001</v>
      </c>
      <c r="C112">
        <v>356.20699999999999</v>
      </c>
      <c r="D112">
        <f>Table2[[#This Row],[Fix]]/MAX(FIx)</f>
        <v>0.31759100000000001</v>
      </c>
      <c r="E112">
        <f>Table2[[#This Row],[Mix]]/MAX(FIx)</f>
        <v>0.356207</v>
      </c>
      <c r="F112">
        <f>1-Table2[[#This Row],[Fqx]]</f>
        <v>0.68240900000000004</v>
      </c>
      <c r="G112">
        <f>1-Table2[[#This Row],[Mqx]]</f>
        <v>0.64379300000000006</v>
      </c>
    </row>
    <row r="113" spans="1:7" x14ac:dyDescent="0.3">
      <c r="A113">
        <v>105</v>
      </c>
      <c r="B113">
        <v>340.36200000000002</v>
      </c>
      <c r="C113">
        <v>380</v>
      </c>
      <c r="D113">
        <f>Table2[[#This Row],[Fix]]/MAX(FIx)</f>
        <v>0.340362</v>
      </c>
      <c r="E113">
        <f>Table2[[#This Row],[Mix]]/MAX(FIx)</f>
        <v>0.38</v>
      </c>
      <c r="F113">
        <f>1-Table2[[#This Row],[Fqx]]</f>
        <v>0.65963799999999995</v>
      </c>
      <c r="G113">
        <f>1-Table2[[#This Row],[Mqx]]</f>
        <v>0.62</v>
      </c>
    </row>
    <row r="114" spans="1:7" x14ac:dyDescent="0.3">
      <c r="A114">
        <v>106</v>
      </c>
      <c r="B114">
        <v>362.37099999999998</v>
      </c>
      <c r="C114">
        <v>400</v>
      </c>
      <c r="D114">
        <f>Table2[[#This Row],[Fix]]/MAX(FIx)</f>
        <v>0.362371</v>
      </c>
      <c r="E114">
        <f>Table2[[#This Row],[Mix]]/MAX(FIx)</f>
        <v>0.4</v>
      </c>
      <c r="F114">
        <f>1-Table2[[#This Row],[Fqx]]</f>
        <v>0.637629</v>
      </c>
      <c r="G114">
        <f>1-Table2[[#This Row],[Mqx]]</f>
        <v>0.6</v>
      </c>
    </row>
    <row r="115" spans="1:7" x14ac:dyDescent="0.3">
      <c r="A115">
        <v>107</v>
      </c>
      <c r="B115">
        <v>384.113</v>
      </c>
      <c r="C115">
        <v>400</v>
      </c>
      <c r="D115">
        <f>Table2[[#This Row],[Fix]]/MAX(FIx)</f>
        <v>0.38411299999999998</v>
      </c>
      <c r="E115">
        <f>Table2[[#This Row],[Mix]]/MAX(FIx)</f>
        <v>0.4</v>
      </c>
      <c r="F115">
        <f>1-Table2[[#This Row],[Fqx]]</f>
        <v>0.61588700000000007</v>
      </c>
      <c r="G115">
        <f>1-Table2[[#This Row],[Mqx]]</f>
        <v>0.6</v>
      </c>
    </row>
    <row r="116" spans="1:7" x14ac:dyDescent="0.3">
      <c r="A116">
        <v>108</v>
      </c>
      <c r="B116">
        <v>400</v>
      </c>
      <c r="C116">
        <v>400</v>
      </c>
      <c r="D116">
        <f>Table2[[#This Row],[Fix]]/MAX(FIx)</f>
        <v>0.4</v>
      </c>
      <c r="E116">
        <f>Table2[[#This Row],[Mix]]/MAX(FIx)</f>
        <v>0.4</v>
      </c>
      <c r="F116">
        <f>1-Table2[[#This Row],[Fqx]]</f>
        <v>0.6</v>
      </c>
      <c r="G116">
        <f>1-Table2[[#This Row],[Mqx]]</f>
        <v>0.6</v>
      </c>
    </row>
    <row r="117" spans="1:7" x14ac:dyDescent="0.3">
      <c r="A117">
        <v>109</v>
      </c>
      <c r="B117">
        <v>400</v>
      </c>
      <c r="C117">
        <v>400</v>
      </c>
      <c r="D117">
        <f>Table2[[#This Row],[Fix]]/MAX(FIx)</f>
        <v>0.4</v>
      </c>
      <c r="E117">
        <f>Table2[[#This Row],[Mix]]/MAX(FIx)</f>
        <v>0.4</v>
      </c>
      <c r="F117">
        <f>1-Table2[[#This Row],[Fqx]]</f>
        <v>0.6</v>
      </c>
      <c r="G117">
        <f>1-Table2[[#This Row],[Mqx]]</f>
        <v>0.6</v>
      </c>
    </row>
    <row r="118" spans="1:7" x14ac:dyDescent="0.3">
      <c r="A118">
        <v>110</v>
      </c>
      <c r="B118">
        <v>400</v>
      </c>
      <c r="C118">
        <v>400</v>
      </c>
      <c r="D118">
        <f>Table2[[#This Row],[Fix]]/MAX(FIx)</f>
        <v>0.4</v>
      </c>
      <c r="E118">
        <f>Table2[[#This Row],[Mix]]/MAX(FIx)</f>
        <v>0.4</v>
      </c>
      <c r="F118">
        <f>1-Table2[[#This Row],[Fqx]]</f>
        <v>0.6</v>
      </c>
      <c r="G118">
        <f>1-Table2[[#This Row],[Mqx]]</f>
        <v>0.6</v>
      </c>
    </row>
    <row r="119" spans="1:7" x14ac:dyDescent="0.3">
      <c r="A119">
        <v>111</v>
      </c>
      <c r="B119">
        <v>400</v>
      </c>
      <c r="C119">
        <v>400</v>
      </c>
      <c r="D119">
        <f>Table2[[#This Row],[Fix]]/MAX(FIx)</f>
        <v>0.4</v>
      </c>
      <c r="E119">
        <f>Table2[[#This Row],[Mix]]/MAX(FIx)</f>
        <v>0.4</v>
      </c>
      <c r="F119">
        <f>1-Table2[[#This Row],[Fqx]]</f>
        <v>0.6</v>
      </c>
      <c r="G119">
        <f>1-Table2[[#This Row],[Mqx]]</f>
        <v>0.6</v>
      </c>
    </row>
    <row r="120" spans="1:7" x14ac:dyDescent="0.3">
      <c r="A120">
        <v>112</v>
      </c>
      <c r="B120">
        <v>400</v>
      </c>
      <c r="C120">
        <v>400</v>
      </c>
      <c r="D120">
        <f>Table2[[#This Row],[Fix]]/MAX(FIx)</f>
        <v>0.4</v>
      </c>
      <c r="E120">
        <f>Table2[[#This Row],[Mix]]/MAX(FIx)</f>
        <v>0.4</v>
      </c>
      <c r="F120">
        <f>1-Table2[[#This Row],[Fqx]]</f>
        <v>0.6</v>
      </c>
      <c r="G120">
        <f>1-Table2[[#This Row],[Mqx]]</f>
        <v>0.6</v>
      </c>
    </row>
    <row r="121" spans="1:7" x14ac:dyDescent="0.3">
      <c r="A121">
        <v>113</v>
      </c>
      <c r="B121">
        <v>400</v>
      </c>
      <c r="C121">
        <v>400</v>
      </c>
      <c r="D121">
        <f>Table2[[#This Row],[Fix]]/MAX(FIx)</f>
        <v>0.4</v>
      </c>
      <c r="E121">
        <f>Table2[[#This Row],[Mix]]/MAX(FIx)</f>
        <v>0.4</v>
      </c>
      <c r="F121">
        <f>1-Table2[[#This Row],[Fqx]]</f>
        <v>0.6</v>
      </c>
      <c r="G121">
        <f>1-Table2[[#This Row],[Mqx]]</f>
        <v>0.6</v>
      </c>
    </row>
    <row r="122" spans="1:7" x14ac:dyDescent="0.3">
      <c r="A122">
        <v>114</v>
      </c>
      <c r="B122">
        <v>400</v>
      </c>
      <c r="C122">
        <v>400</v>
      </c>
      <c r="D122">
        <f>Table2[[#This Row],[Fix]]/MAX(FIx)</f>
        <v>0.4</v>
      </c>
      <c r="E122">
        <f>Table2[[#This Row],[Mix]]/MAX(FIx)</f>
        <v>0.4</v>
      </c>
      <c r="F122">
        <f>1-Table2[[#This Row],[Fqx]]</f>
        <v>0.6</v>
      </c>
      <c r="G122">
        <f>1-Table2[[#This Row],[Mqx]]</f>
        <v>0.6</v>
      </c>
    </row>
    <row r="123" spans="1:7" x14ac:dyDescent="0.3">
      <c r="A123">
        <v>115</v>
      </c>
      <c r="B123">
        <v>400</v>
      </c>
      <c r="C123">
        <v>400</v>
      </c>
      <c r="D123">
        <f>Table2[[#This Row],[Fix]]/MAX(FIx)</f>
        <v>0.4</v>
      </c>
      <c r="E123">
        <f>Table2[[#This Row],[Mix]]/MAX(FIx)</f>
        <v>0.4</v>
      </c>
      <c r="F123">
        <f>1-Table2[[#This Row],[Fqx]]</f>
        <v>0.6</v>
      </c>
      <c r="G123">
        <f>1-Table2[[#This Row],[Mqx]]</f>
        <v>0.6</v>
      </c>
    </row>
    <row r="124" spans="1:7" x14ac:dyDescent="0.3">
      <c r="A124">
        <v>116</v>
      </c>
      <c r="B124">
        <v>400</v>
      </c>
      <c r="C124">
        <v>400</v>
      </c>
      <c r="D124">
        <f>Table2[[#This Row],[Fix]]/MAX(FIx)</f>
        <v>0.4</v>
      </c>
      <c r="E124">
        <f>Table2[[#This Row],[Mix]]/MAX(FIx)</f>
        <v>0.4</v>
      </c>
      <c r="F124">
        <f>1-Table2[[#This Row],[Fqx]]</f>
        <v>0.6</v>
      </c>
      <c r="G124">
        <f>1-Table2[[#This Row],[Mqx]]</f>
        <v>0.6</v>
      </c>
    </row>
    <row r="125" spans="1:7" x14ac:dyDescent="0.3">
      <c r="A125">
        <v>117</v>
      </c>
      <c r="B125">
        <v>400</v>
      </c>
      <c r="C125">
        <v>400</v>
      </c>
      <c r="D125">
        <f>Table2[[#This Row],[Fix]]/MAX(FIx)</f>
        <v>0.4</v>
      </c>
      <c r="E125">
        <f>Table2[[#This Row],[Mix]]/MAX(FIx)</f>
        <v>0.4</v>
      </c>
      <c r="F125">
        <f>1-Table2[[#This Row],[Fqx]]</f>
        <v>0.6</v>
      </c>
      <c r="G125">
        <f>1-Table2[[#This Row],[Mqx]]</f>
        <v>0.6</v>
      </c>
    </row>
    <row r="126" spans="1:7" x14ac:dyDescent="0.3">
      <c r="A126">
        <v>118</v>
      </c>
      <c r="B126">
        <v>400</v>
      </c>
      <c r="C126">
        <v>400</v>
      </c>
      <c r="D126">
        <f>Table2[[#This Row],[Fix]]/MAX(FIx)</f>
        <v>0.4</v>
      </c>
      <c r="E126">
        <f>Table2[[#This Row],[Mix]]/MAX(FIx)</f>
        <v>0.4</v>
      </c>
      <c r="F126">
        <f>1-Table2[[#This Row],[Fqx]]</f>
        <v>0.6</v>
      </c>
      <c r="G126">
        <f>1-Table2[[#This Row],[Mqx]]</f>
        <v>0.6</v>
      </c>
    </row>
    <row r="127" spans="1:7" x14ac:dyDescent="0.3">
      <c r="A127">
        <v>119</v>
      </c>
      <c r="B127">
        <v>400</v>
      </c>
      <c r="C127">
        <v>400</v>
      </c>
      <c r="D127">
        <f>Table2[[#This Row],[Fix]]/MAX(FIx)</f>
        <v>0.4</v>
      </c>
      <c r="E127">
        <f>Table2[[#This Row],[Mix]]/MAX(FIx)</f>
        <v>0.4</v>
      </c>
      <c r="F127">
        <f>1-Table2[[#This Row],[Fqx]]</f>
        <v>0.6</v>
      </c>
      <c r="G127">
        <f>1-Table2[[#This Row],[Mqx]]</f>
        <v>0.6</v>
      </c>
    </row>
    <row r="128" spans="1:7" x14ac:dyDescent="0.3">
      <c r="A128">
        <v>120</v>
      </c>
      <c r="B128">
        <v>1000</v>
      </c>
      <c r="C128">
        <v>1000</v>
      </c>
      <c r="D128">
        <f>Table2[[#This Row],[Fix]]/MAX(FIx)</f>
        <v>1</v>
      </c>
      <c r="E128">
        <f>Table2[[#This Row],[Mix]]/MAX(FIx)</f>
        <v>1</v>
      </c>
      <c r="F128">
        <f>1-Table2[[#This Row],[Fqx]]</f>
        <v>0</v>
      </c>
      <c r="G128">
        <f>1-Table2[[#This Row],[Mqx]]</f>
        <v>0</v>
      </c>
    </row>
  </sheetData>
  <mergeCells count="1">
    <mergeCell ref="I3:Q3"/>
  </mergeCells>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49</vt:i4>
      </vt:variant>
    </vt:vector>
  </HeadingPairs>
  <TitlesOfParts>
    <vt:vector size="59" baseType="lpstr">
      <vt:lpstr>Glossary</vt:lpstr>
      <vt:lpstr>Calculation D</vt:lpstr>
      <vt:lpstr>Controls</vt:lpstr>
      <vt:lpstr>Example Doc</vt:lpstr>
      <vt:lpstr>How It Works</vt:lpstr>
      <vt:lpstr>Orders of Operation</vt:lpstr>
      <vt:lpstr>Test Cases</vt:lpstr>
      <vt:lpstr>WdAges</vt:lpstr>
      <vt:lpstr>TestCaseExplinations</vt:lpstr>
      <vt:lpstr>Qx</vt:lpstr>
      <vt:lpstr>Activation_Time</vt:lpstr>
      <vt:lpstr>Actual</vt:lpstr>
      <vt:lpstr>Age</vt:lpstr>
      <vt:lpstr>Anniversery_Value</vt:lpstr>
      <vt:lpstr>Assumed_Contract_Value</vt:lpstr>
      <vt:lpstr>Assumed_Contract_Value2</vt:lpstr>
      <vt:lpstr>Benefit_Effective_Date</vt:lpstr>
      <vt:lpstr>Covered_Person</vt:lpstr>
      <vt:lpstr>Current_Contract</vt:lpstr>
      <vt:lpstr>Current_IBC</vt:lpstr>
      <vt:lpstr>Current_Income_Base</vt:lpstr>
      <vt:lpstr>Current_Income_Credit_Base</vt:lpstr>
      <vt:lpstr>Dash</vt:lpstr>
      <vt:lpstr>Expected</vt:lpstr>
      <vt:lpstr>FIx</vt:lpstr>
      <vt:lpstr>ICP</vt:lpstr>
      <vt:lpstr>Income_Credit_Base</vt:lpstr>
      <vt:lpstr>Initial_Purchase_Payment</vt:lpstr>
      <vt:lpstr>InterestRate</vt:lpstr>
      <vt:lpstr>IPP</vt:lpstr>
      <vt:lpstr>Is_Activation</vt:lpstr>
      <vt:lpstr>Is_Anniversery</vt:lpstr>
      <vt:lpstr>Issue_Date</vt:lpstr>
      <vt:lpstr>LB_Age1</vt:lpstr>
      <vt:lpstr>LB_Ages2</vt:lpstr>
      <vt:lpstr>Lifetime_Income</vt:lpstr>
      <vt:lpstr>MAW</vt:lpstr>
      <vt:lpstr>MAW_1</vt:lpstr>
      <vt:lpstr>MAWAA</vt:lpstr>
      <vt:lpstr>Max_Withdrawal</vt:lpstr>
      <vt:lpstr>Qx!MaxAge</vt:lpstr>
      <vt:lpstr>Maximum_Withdrawal_Amount</vt:lpstr>
      <vt:lpstr>MaxWithdrawal_PIP</vt:lpstr>
      <vt:lpstr>Minimum_Withdrawal_Age</vt:lpstr>
      <vt:lpstr>MIx</vt:lpstr>
      <vt:lpstr>Number_Of_Annuitants</vt:lpstr>
      <vt:lpstr>PIP</vt:lpstr>
      <vt:lpstr>PIP_2</vt:lpstr>
      <vt:lpstr>Primary_Issue_Age</vt:lpstr>
      <vt:lpstr>Protected_Income_Payment</vt:lpstr>
      <vt:lpstr>Protected_Income_Payment2</vt:lpstr>
      <vt:lpstr>Purchase_Payments</vt:lpstr>
      <vt:lpstr>Secondary_Issue_Age</vt:lpstr>
      <vt:lpstr>Time_From_Valuation</vt:lpstr>
      <vt:lpstr>UB_AGE1</vt:lpstr>
      <vt:lpstr>UB_Ages2</vt:lpstr>
      <vt:lpstr>Valuation_Date</vt:lpstr>
      <vt:lpstr>Withdrawal</vt:lpstr>
      <vt:lpstr>Withdrawal_Activation_Date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Bryon Robidoux</dc:creator>
  <cp:lastModifiedBy>Alissa Whitlock</cp:lastModifiedBy>
  <dcterms:created xsi:type="dcterms:W3CDTF">2020-11-27T19:30:22Z</dcterms:created>
  <dcterms:modified xsi:type="dcterms:W3CDTF">2023-04-09T00:56:48Z</dcterms:modified>
</cp:coreProperties>
</file>