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4711e9dc8cfa85/Desktop/Maryville/"/>
    </mc:Choice>
  </mc:AlternateContent>
  <xr:revisionPtr revIDLastSave="113" documentId="8_{F435E819-B7B1-4119-A8C1-E8DA1FEEAD84}" xr6:coauthVersionLast="47" xr6:coauthVersionMax="47" xr10:uidLastSave="{EBC33AD9-511B-4FBE-AEA6-8C1232804590}"/>
  <bookViews>
    <workbookView xWindow="-108" yWindow="-108" windowWidth="23256" windowHeight="12456" tabRatio="536" firstSheet="2" activeTab="2" xr2:uid="{CEBF006A-A518-4AB7-9A76-15366DBD2099}"/>
  </bookViews>
  <sheets>
    <sheet name="Glossary" sheetId="14" r:id="rId1"/>
    <sheet name="Calculation D" sheetId="13" r:id="rId2"/>
    <sheet name="Controls" sheetId="18" r:id="rId3"/>
    <sheet name="Example Doc" sheetId="17" r:id="rId4"/>
    <sheet name="How It Works" sheetId="15" r:id="rId5"/>
    <sheet name="Orders of Operation" sheetId="16" r:id="rId6"/>
    <sheet name="Test Cases" sheetId="20" r:id="rId7"/>
    <sheet name="WdAges" sheetId="21" r:id="rId8"/>
  </sheets>
  <externalReferences>
    <externalReference r:id="rId9"/>
  </externalReferences>
  <definedNames>
    <definedName name="Activation_Time">'Calculation D'!$C$2</definedName>
    <definedName name="Actual">Controls!$S$37:$S$54</definedName>
    <definedName name="Anniversery_Value">'Calculation D'!$H$9:$H$30</definedName>
    <definedName name="Assumed_Contract_Value">'Calculation D'!$F$8:$F$29</definedName>
    <definedName name="Assumed_Contract_Value2">'Calculation D'!$F$8:$F$30</definedName>
    <definedName name="Benefit_Effective_Date">TestCases[[Benefit Effective Date ]]</definedName>
    <definedName name="Covered_Person">'Calculation D'!$C$4</definedName>
    <definedName name="Dash">'Calculation D'!$F$8</definedName>
    <definedName name="Expected">Controls!$U$37:$U$54</definedName>
    <definedName name="ICP">'Calculation D'!$C$3</definedName>
    <definedName name="Income_Base">'Calculation D'!#REF!</definedName>
    <definedName name="Income_Credit_Base">'Calculation D'!$I$8:$I$30</definedName>
    <definedName name="Initial_Purchase_Payment">'Calculation D'!$F$1</definedName>
    <definedName name="InitialPurchasePayment">[1]Homework!$B$2</definedName>
    <definedName name="invest1">[1]Homework!$B$21</definedName>
    <definedName name="invest2">[1]Homework!$B$22</definedName>
    <definedName name="IPP">Controls!$D$81</definedName>
    <definedName name="Is_Activation">'Calculation D'!$E$8:$E$30</definedName>
    <definedName name="Is_Anniversery">'Calculation D'!$G$8:$G$30</definedName>
    <definedName name="Issue_Date">'Calculation D'!$C$1</definedName>
    <definedName name="LB_Age1">WdAges!$B$11:$B$14</definedName>
    <definedName name="LB_Ages2">WdAges!$B$15:$B$18</definedName>
    <definedName name="Lifetime_Income">'Calculation D'!$P$8:$P$30</definedName>
    <definedName name="MAW">Controls!$A$85</definedName>
    <definedName name="MAW_1">Controls!$G$38:$G$54</definedName>
    <definedName name="MAWAA">'Calculation D'!$N$8:$N$30</definedName>
    <definedName name="Max_Withdrawal">Table17[Maximum Annual Withdrawal Amount upon Activation]</definedName>
    <definedName name="Maximum_Withdrawal_Amount">Table17[Maximum Annual Withdrawal Amount upon Activation]</definedName>
    <definedName name="MaxWithdrawal_PIP">Controls!$A$3</definedName>
    <definedName name="Minimum_Withdrawal_Age">Controls!$F$38:$F$54</definedName>
    <definedName name="Number_Of_Annuitants">Controls!$B$38:$B$54</definedName>
    <definedName name="PIP">'Calculation D'!$C$6</definedName>
    <definedName name="PIP_2">Controls!$A$86</definedName>
    <definedName name="Primary_Issue_Age">Controls!$D$38:$D$54</definedName>
    <definedName name="Protected_Income_Payment">'Calculation D'!$O$8:$O$30</definedName>
    <definedName name="Protected_Income_Payment2">Table17[Protected Income Payment]</definedName>
    <definedName name="Purchase_Payments">'Calculation D'!$C$8:$C$30</definedName>
    <definedName name="Secondary_Issue_Age">Controls!$E$38:$E$54</definedName>
    <definedName name="Time_From_Valuation">'Calculation D'!$B$8:$B$30</definedName>
    <definedName name="UB_AGE1">WdAges!$C$11:$C$14</definedName>
    <definedName name="UB_Ages2">WdAges!$C$15:$C$18</definedName>
    <definedName name="Valuation_Date">TestCases[Valuation Date]</definedName>
    <definedName name="Withdrawal">'Calculation D'!$D$8:$D$30</definedName>
    <definedName name="Withdrawal_Activation_Date">TestCases[Withdrawal Activation Date]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7" i="18" l="1" a="1"/>
  <c r="V37" i="18" s="1"/>
  <c r="P79" i="18"/>
  <c r="N79" i="18" s="1"/>
  <c r="N8" i="13"/>
  <c r="D79" i="18"/>
  <c r="C79" i="18"/>
  <c r="F78" i="18"/>
  <c r="P78" i="18" s="1"/>
  <c r="D78" i="18"/>
  <c r="C78" i="18"/>
  <c r="F77" i="18"/>
  <c r="P77" i="18" s="1"/>
  <c r="D77" i="18"/>
  <c r="C77" i="18"/>
  <c r="F76" i="18"/>
  <c r="P76" i="18" s="1"/>
  <c r="D76" i="18"/>
  <c r="C76" i="18"/>
  <c r="F75" i="18"/>
  <c r="P75" i="18" s="1"/>
  <c r="D75" i="18"/>
  <c r="C75" i="18"/>
  <c r="F74" i="18"/>
  <c r="P74" i="18" s="1"/>
  <c r="D74" i="18"/>
  <c r="C74" i="18"/>
  <c r="F73" i="18"/>
  <c r="P73" i="18" s="1"/>
  <c r="D73" i="18"/>
  <c r="C73" i="18"/>
  <c r="F72" i="18"/>
  <c r="P72" i="18" s="1"/>
  <c r="D72" i="18"/>
  <c r="C72" i="18"/>
  <c r="F71" i="18"/>
  <c r="P71" i="18" s="1"/>
  <c r="D71" i="18"/>
  <c r="C71" i="18"/>
  <c r="F70" i="18"/>
  <c r="P70" i="18" s="1"/>
  <c r="D70" i="18"/>
  <c r="C70" i="18"/>
  <c r="F69" i="18"/>
  <c r="P69" i="18" s="1"/>
  <c r="D69" i="18"/>
  <c r="C69" i="18"/>
  <c r="F68" i="18"/>
  <c r="P68" i="18" s="1"/>
  <c r="D68" i="18"/>
  <c r="C68" i="18"/>
  <c r="F67" i="18"/>
  <c r="P67" i="18" s="1"/>
  <c r="D67" i="18"/>
  <c r="C67" i="18"/>
  <c r="F66" i="18"/>
  <c r="P66" i="18" s="1"/>
  <c r="D66" i="18"/>
  <c r="C66" i="18"/>
  <c r="F65" i="18"/>
  <c r="P65" i="18" s="1"/>
  <c r="D65" i="18"/>
  <c r="C65" i="18"/>
  <c r="F64" i="18"/>
  <c r="P64" i="18" s="1"/>
  <c r="D64" i="18"/>
  <c r="C64" i="18"/>
  <c r="F63" i="18"/>
  <c r="P63" i="18" s="1"/>
  <c r="D63" i="18"/>
  <c r="C63" i="18"/>
  <c r="F62" i="18"/>
  <c r="P62" i="18" s="1"/>
  <c r="D62" i="18"/>
  <c r="C62" i="18"/>
  <c r="F61" i="18"/>
  <c r="P61" i="18" s="1"/>
  <c r="D61" i="18"/>
  <c r="C61" i="18"/>
  <c r="F60" i="18"/>
  <c r="P60" i="18" s="1"/>
  <c r="D60" i="18"/>
  <c r="C60" i="18"/>
  <c r="F59" i="18"/>
  <c r="P59" i="18" s="1"/>
  <c r="D59" i="18"/>
  <c r="C59" i="18"/>
  <c r="R58" i="18"/>
  <c r="R59" i="18" s="1"/>
  <c r="F58" i="18"/>
  <c r="P58" i="18" s="1"/>
  <c r="D58" i="18"/>
  <c r="C58" i="18"/>
  <c r="A58" i="18"/>
  <c r="A59" i="18" s="1"/>
  <c r="A60" i="18" s="1"/>
  <c r="A61" i="18" s="1"/>
  <c r="A62" i="18" s="1"/>
  <c r="A63" i="18" s="1"/>
  <c r="A64" i="18" s="1"/>
  <c r="A65" i="18" s="1"/>
  <c r="A66" i="18" s="1"/>
  <c r="A67" i="18" s="1"/>
  <c r="A68" i="18" s="1"/>
  <c r="A69" i="18" s="1"/>
  <c r="A70" i="18" s="1"/>
  <c r="A71" i="18" s="1"/>
  <c r="A72" i="18" s="1"/>
  <c r="A73" i="18" s="1"/>
  <c r="A74" i="18" s="1"/>
  <c r="A75" i="18" s="1"/>
  <c r="A76" i="18" s="1"/>
  <c r="A77" i="18" s="1"/>
  <c r="A78" i="18" s="1"/>
  <c r="A79" i="18" s="1"/>
  <c r="K57" i="18"/>
  <c r="I57" i="18"/>
  <c r="F57" i="18"/>
  <c r="P57" i="18" s="1"/>
  <c r="D57" i="18"/>
  <c r="C57" i="18"/>
  <c r="B57" i="18"/>
  <c r="G57" i="18" s="1"/>
  <c r="O38" i="18" a="1"/>
  <c r="O38" i="18" s="1"/>
  <c r="M38" i="18" a="1"/>
  <c r="M38" i="18" s="1"/>
  <c r="E38" i="18" a="1"/>
  <c r="E38" i="18" s="1"/>
  <c r="D38" i="18" a="1"/>
  <c r="D38" i="18" s="1"/>
  <c r="B38" i="18" a="1"/>
  <c r="B38" i="18" s="1"/>
  <c r="C38" i="18" s="1" a="1"/>
  <c r="C38" i="18" s="1"/>
  <c r="N57" i="18" l="1"/>
  <c r="O57" i="18"/>
  <c r="E57" i="18"/>
  <c r="L57" i="18" s="1"/>
  <c r="B58" i="18"/>
  <c r="B59" i="18"/>
  <c r="R60" i="18"/>
  <c r="F49" i="18"/>
  <c r="F43" i="18"/>
  <c r="F54" i="18"/>
  <c r="F48" i="18"/>
  <c r="F42" i="18"/>
  <c r="F53" i="18"/>
  <c r="F47" i="18"/>
  <c r="F41" i="18"/>
  <c r="F52" i="18"/>
  <c r="F46" i="18"/>
  <c r="F40" i="18"/>
  <c r="F51" i="18"/>
  <c r="F45" i="18"/>
  <c r="F39" i="18"/>
  <c r="F50" i="18"/>
  <c r="F44" i="18"/>
  <c r="F38" i="18"/>
  <c r="A3" i="18" l="1"/>
  <c r="M57" i="18"/>
  <c r="K40" i="18" a="1"/>
  <c r="K40" i="18" s="1"/>
  <c r="L39" i="18" a="1"/>
  <c r="L39" i="18" s="1"/>
  <c r="L43" i="18" a="1"/>
  <c r="L43" i="18" s="1"/>
  <c r="K53" i="18" a="1"/>
  <c r="K53" i="18" s="1"/>
  <c r="L50" i="18" a="1"/>
  <c r="L50" i="18" s="1"/>
  <c r="J43" i="18" a="1"/>
  <c r="J43" i="18" s="1"/>
  <c r="J47" i="18" a="1"/>
  <c r="J47" i="18" s="1"/>
  <c r="J48" i="18" a="1"/>
  <c r="J48" i="18" s="1"/>
  <c r="J54" i="18" a="1"/>
  <c r="J54" i="18" s="1"/>
  <c r="G46" i="18" a="1"/>
  <c r="G46" i="18" s="1"/>
  <c r="L46" i="18" a="1"/>
  <c r="L46" i="18" s="1"/>
  <c r="K42" i="18" a="1"/>
  <c r="K42" i="18" s="1"/>
  <c r="L44" i="18" a="1"/>
  <c r="L44" i="18" s="1"/>
  <c r="L49" i="18" a="1"/>
  <c r="L49" i="18" s="1"/>
  <c r="J53" i="18" a="1"/>
  <c r="J53" i="18" s="1"/>
  <c r="K51" i="18" a="1"/>
  <c r="K51" i="18" s="1"/>
  <c r="E58" i="18"/>
  <c r="G58" i="18"/>
  <c r="O58" i="18" s="1"/>
  <c r="K52" i="18" a="1"/>
  <c r="K52" i="18" s="1"/>
  <c r="K54" i="18" a="1"/>
  <c r="K54" i="18" s="1"/>
  <c r="K41" i="18" a="1"/>
  <c r="K41" i="18" s="1"/>
  <c r="J41" i="18" a="1"/>
  <c r="J41" i="18" s="1"/>
  <c r="J42" i="18" a="1"/>
  <c r="J42" i="18" s="1"/>
  <c r="J50" i="18" a="1"/>
  <c r="J50" i="18" s="1"/>
  <c r="K47" i="18" a="1"/>
  <c r="K47" i="18" s="1"/>
  <c r="G51" i="18" a="1"/>
  <c r="G51" i="18" s="1"/>
  <c r="L47" i="18" a="1"/>
  <c r="L47" i="18" s="1"/>
  <c r="J39" i="18" a="1"/>
  <c r="J39" i="18" s="1"/>
  <c r="J38" i="18" a="1"/>
  <c r="J38" i="18" s="1"/>
  <c r="K50" i="18" a="1"/>
  <c r="K50" i="18" s="1"/>
  <c r="J52" i="18" a="1"/>
  <c r="J52" i="18" s="1"/>
  <c r="L41" i="18" a="1"/>
  <c r="L41" i="18" s="1"/>
  <c r="K43" i="18" a="1"/>
  <c r="K43" i="18" s="1"/>
  <c r="J51" i="18" a="1"/>
  <c r="J51" i="18" s="1"/>
  <c r="L48" i="18" a="1"/>
  <c r="L48" i="18" s="1"/>
  <c r="K44" i="18" a="1"/>
  <c r="K44" i="18" s="1"/>
  <c r="J46" i="18" a="1"/>
  <c r="J46" i="18" s="1"/>
  <c r="L53" i="18" a="1"/>
  <c r="L53" i="18" s="1"/>
  <c r="K49" i="18" a="1"/>
  <c r="K49" i="18" s="1"/>
  <c r="J45" i="18" a="1"/>
  <c r="J45" i="18" s="1"/>
  <c r="L42" i="18" a="1"/>
  <c r="L42" i="18" s="1"/>
  <c r="L54" i="18" a="1"/>
  <c r="L54" i="18" s="1"/>
  <c r="J40" i="18" a="1"/>
  <c r="J40" i="18" s="1"/>
  <c r="K39" i="18" a="1"/>
  <c r="K39" i="18" s="1"/>
  <c r="K48" i="18" a="1"/>
  <c r="K48" i="18" s="1"/>
  <c r="L40" i="18" a="1"/>
  <c r="L40" i="18" s="1"/>
  <c r="L45" i="18" a="1"/>
  <c r="L45" i="18" s="1"/>
  <c r="J49" i="18" a="1"/>
  <c r="J49" i="18" s="1"/>
  <c r="J44" i="18" a="1"/>
  <c r="J44" i="18" s="1"/>
  <c r="K45" i="18" a="1"/>
  <c r="K45" i="18" s="1"/>
  <c r="K38" i="18" a="1"/>
  <c r="K38" i="18" s="1"/>
  <c r="K46" i="18" a="1"/>
  <c r="K46" i="18" s="1"/>
  <c r="L52" i="18" a="1"/>
  <c r="L52" i="18" s="1"/>
  <c r="L51" i="18" a="1"/>
  <c r="L51" i="18" s="1"/>
  <c r="L38" i="18" a="1"/>
  <c r="L38" i="18" s="1"/>
  <c r="B60" i="18"/>
  <c r="R61" i="18"/>
  <c r="G59" i="18"/>
  <c r="O59" i="18" s="1"/>
  <c r="E59" i="18"/>
  <c r="I45" i="18" a="1"/>
  <c r="I45" i="18" s="1"/>
  <c r="H46" i="18" a="1"/>
  <c r="H46" i="18" s="1"/>
  <c r="I50" i="18" a="1"/>
  <c r="I50" i="18" s="1"/>
  <c r="I47" i="18" a="1"/>
  <c r="I47" i="18" s="1"/>
  <c r="I40" i="18" a="1"/>
  <c r="I40" i="18" s="1"/>
  <c r="G41" i="18" a="1"/>
  <c r="G41" i="18" s="1"/>
  <c r="I52" i="18" a="1"/>
  <c r="I52" i="18" s="1"/>
  <c r="G54" i="18" a="1"/>
  <c r="G54" i="18" s="1"/>
  <c r="G43" i="18" a="1"/>
  <c r="G43" i="18" s="1"/>
  <c r="H43" i="18" a="1"/>
  <c r="H43" i="18" s="1"/>
  <c r="I49" i="18" a="1"/>
  <c r="I49" i="18" s="1"/>
  <c r="H45" i="18" a="1"/>
  <c r="H45" i="18" s="1"/>
  <c r="I46" i="18" a="1"/>
  <c r="I46" i="18" s="1"/>
  <c r="G47" i="18" a="1"/>
  <c r="G47" i="18" s="1"/>
  <c r="H41" i="18" a="1"/>
  <c r="H41" i="18" s="1"/>
  <c r="I42" i="18" a="1"/>
  <c r="I42" i="18" s="1"/>
  <c r="G49" i="18" a="1"/>
  <c r="G49" i="18" s="1"/>
  <c r="H49" i="18" a="1"/>
  <c r="H49" i="18" s="1"/>
  <c r="I38" i="18" a="1"/>
  <c r="I38" i="18" s="1"/>
  <c r="H51" i="18" a="1"/>
  <c r="H51" i="18" s="1"/>
  <c r="I53" i="18" a="1"/>
  <c r="I53" i="18" s="1"/>
  <c r="H38" i="18" a="1"/>
  <c r="H38" i="18" s="1"/>
  <c r="H44" i="18" a="1"/>
  <c r="H44" i="18" s="1"/>
  <c r="G52" i="18" a="1"/>
  <c r="G52" i="18" s="1"/>
  <c r="H52" i="18" a="1"/>
  <c r="H52" i="18" s="1"/>
  <c r="H39" i="18" a="1"/>
  <c r="H39" i="18" s="1"/>
  <c r="I51" i="18" a="1"/>
  <c r="I51" i="18" s="1"/>
  <c r="G53" i="18" a="1"/>
  <c r="G53" i="18" s="1"/>
  <c r="H47" i="18" a="1"/>
  <c r="H47" i="18" s="1"/>
  <c r="G38" i="18" a="1"/>
  <c r="G38" i="18" s="1"/>
  <c r="I39" i="18" a="1"/>
  <c r="I39" i="18" s="1"/>
  <c r="G40" i="18" a="1"/>
  <c r="G40" i="18" s="1"/>
  <c r="H40" i="18" a="1"/>
  <c r="H40" i="18" s="1"/>
  <c r="G45" i="18" a="1"/>
  <c r="G45" i="18" s="1"/>
  <c r="H53" i="18" a="1"/>
  <c r="H53" i="18" s="1"/>
  <c r="H42" i="18" a="1"/>
  <c r="H42" i="18" s="1"/>
  <c r="I43" i="18" a="1"/>
  <c r="I43" i="18" s="1"/>
  <c r="G44" i="18" a="1"/>
  <c r="G44" i="18" s="1"/>
  <c r="H50" i="18" a="1"/>
  <c r="H50" i="18" s="1"/>
  <c r="I41" i="18" a="1"/>
  <c r="I41" i="18" s="1"/>
  <c r="G42" i="18" a="1"/>
  <c r="G42" i="18" s="1"/>
  <c r="H48" i="18" a="1"/>
  <c r="H48" i="18" s="1"/>
  <c r="I48" i="18" a="1"/>
  <c r="I48" i="18" s="1"/>
  <c r="G50" i="18" a="1"/>
  <c r="G50" i="18" s="1"/>
  <c r="G39" i="18" a="1"/>
  <c r="G39" i="18" s="1"/>
  <c r="G48" i="18" a="1"/>
  <c r="G48" i="18" s="1"/>
  <c r="H54" i="18" a="1"/>
  <c r="H54" i="18" s="1"/>
  <c r="I54" i="18" a="1"/>
  <c r="I54" i="18" s="1"/>
  <c r="I44" i="18" a="1"/>
  <c r="I44" i="18" s="1"/>
  <c r="N38" i="18" a="1"/>
  <c r="N38" i="18" s="1"/>
  <c r="H58" i="18" l="1"/>
  <c r="L58" i="18"/>
  <c r="K58" i="18" s="1"/>
  <c r="N58" i="18" s="1"/>
  <c r="A4" i="18" s="1"/>
  <c r="J58" i="18"/>
  <c r="I58" i="18" s="1"/>
  <c r="J59" i="18" s="1"/>
  <c r="I59" i="18" s="1"/>
  <c r="H59" i="18"/>
  <c r="R62" i="18"/>
  <c r="B61" i="18"/>
  <c r="G60" i="18"/>
  <c r="E60" i="18"/>
  <c r="L59" i="18"/>
  <c r="H60" i="18" l="1"/>
  <c r="O60" i="18"/>
  <c r="M58" i="18"/>
  <c r="K59" i="18"/>
  <c r="N59" i="18" s="1"/>
  <c r="A5" i="18" s="1"/>
  <c r="G61" i="18"/>
  <c r="E61" i="18"/>
  <c r="L60" i="18"/>
  <c r="J60" i="18"/>
  <c r="I60" i="18" s="1"/>
  <c r="R63" i="18"/>
  <c r="B62" i="18"/>
  <c r="A38" i="18" a="1"/>
  <c r="A38" i="18" s="1"/>
  <c r="B13" i="13"/>
  <c r="A30" i="18"/>
  <c r="K8" i="13"/>
  <c r="H61" i="18" l="1"/>
  <c r="O61" i="18"/>
  <c r="K60" i="18"/>
  <c r="B63" i="18"/>
  <c r="R64" i="18"/>
  <c r="J61" i="18"/>
  <c r="I61" i="18" s="1"/>
  <c r="L61" i="18"/>
  <c r="E62" i="18"/>
  <c r="G62" i="18"/>
  <c r="P30" i="13"/>
  <c r="N30" i="13" s="1"/>
  <c r="F29" i="13"/>
  <c r="P29" i="13" s="1"/>
  <c r="F9" i="13"/>
  <c r="P9" i="13" s="1"/>
  <c r="H62" i="18" l="1"/>
  <c r="O62" i="18"/>
  <c r="N60" i="18"/>
  <c r="A6" i="18" s="1"/>
  <c r="M59" i="18"/>
  <c r="K61" i="18"/>
  <c r="J62" i="18"/>
  <c r="I62" i="18" s="1"/>
  <c r="L62" i="18"/>
  <c r="R65" i="18"/>
  <c r="B64" i="18"/>
  <c r="E63" i="18"/>
  <c r="G63" i="18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D24" i="13"/>
  <c r="D25" i="13"/>
  <c r="D26" i="13"/>
  <c r="D27" i="13"/>
  <c r="D28" i="13"/>
  <c r="D29" i="13"/>
  <c r="D30" i="13"/>
  <c r="H63" i="18" l="1"/>
  <c r="O63" i="18"/>
  <c r="M60" i="18"/>
  <c r="N61" i="18"/>
  <c r="K62" i="18"/>
  <c r="G64" i="18"/>
  <c r="E64" i="18"/>
  <c r="B65" i="18"/>
  <c r="R66" i="18"/>
  <c r="L63" i="18"/>
  <c r="J63" i="18"/>
  <c r="I63" i="18" s="1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I8" i="13"/>
  <c r="M61" i="18" l="1"/>
  <c r="A7" i="18"/>
  <c r="H64" i="18"/>
  <c r="O64" i="18"/>
  <c r="N62" i="18"/>
  <c r="K63" i="18"/>
  <c r="B66" i="18"/>
  <c r="R67" i="18"/>
  <c r="G65" i="18"/>
  <c r="E65" i="18"/>
  <c r="L64" i="18"/>
  <c r="J64" i="18"/>
  <c r="I64" i="18" s="1"/>
  <c r="C8" i="13"/>
  <c r="D8" i="13"/>
  <c r="M62" i="18" l="1"/>
  <c r="A8" i="18"/>
  <c r="H65" i="18"/>
  <c r="O65" i="18"/>
  <c r="N63" i="18"/>
  <c r="K64" i="18"/>
  <c r="G66" i="18"/>
  <c r="E66" i="18"/>
  <c r="L65" i="18"/>
  <c r="J65" i="18"/>
  <c r="I65" i="18" s="1"/>
  <c r="R68" i="18"/>
  <c r="B67" i="18"/>
  <c r="A9" i="13"/>
  <c r="A10" i="13" s="1"/>
  <c r="A11" i="13" s="1"/>
  <c r="A12" i="13" s="1"/>
  <c r="A13" i="13" s="1"/>
  <c r="A14" i="13" s="1"/>
  <c r="A15" i="13" s="1"/>
  <c r="A16" i="13" s="1"/>
  <c r="A17" i="13" s="1"/>
  <c r="A18" i="13" s="1"/>
  <c r="A19" i="13" s="1"/>
  <c r="A20" i="13" s="1"/>
  <c r="A21" i="13" s="1"/>
  <c r="A22" i="13" s="1"/>
  <c r="A23" i="13" s="1"/>
  <c r="A24" i="13" s="1"/>
  <c r="A25" i="13" s="1"/>
  <c r="A26" i="13" s="1"/>
  <c r="A27" i="13" s="1"/>
  <c r="A28" i="13" s="1"/>
  <c r="A29" i="13" s="1"/>
  <c r="A30" i="13" s="1"/>
  <c r="M63" i="18" l="1"/>
  <c r="A9" i="18"/>
  <c r="H66" i="18"/>
  <c r="O66" i="18"/>
  <c r="N64" i="18"/>
  <c r="K65" i="18"/>
  <c r="I66" i="18"/>
  <c r="J66" i="18"/>
  <c r="L66" i="18"/>
  <c r="G67" i="18"/>
  <c r="E67" i="18"/>
  <c r="R69" i="18"/>
  <c r="B68" i="18"/>
  <c r="B8" i="13"/>
  <c r="F8" i="13"/>
  <c r="F10" i="13"/>
  <c r="P10" i="13" s="1"/>
  <c r="F11" i="13"/>
  <c r="F12" i="13"/>
  <c r="P12" i="13" s="1"/>
  <c r="F13" i="13"/>
  <c r="F14" i="13"/>
  <c r="P14" i="13" s="1"/>
  <c r="F15" i="13"/>
  <c r="F16" i="13"/>
  <c r="P16" i="13" s="1"/>
  <c r="F17" i="13"/>
  <c r="F18" i="13"/>
  <c r="P18" i="13" s="1"/>
  <c r="F19" i="13"/>
  <c r="F20" i="13"/>
  <c r="P20" i="13" s="1"/>
  <c r="F21" i="13"/>
  <c r="P21" i="13" s="1"/>
  <c r="F22" i="13"/>
  <c r="P22" i="13" s="1"/>
  <c r="F23" i="13"/>
  <c r="P23" i="13" s="1"/>
  <c r="F24" i="13"/>
  <c r="P24" i="13" s="1"/>
  <c r="F25" i="13"/>
  <c r="P25" i="13" s="1"/>
  <c r="F26" i="13"/>
  <c r="P26" i="13" s="1"/>
  <c r="F27" i="13"/>
  <c r="P27" i="13" s="1"/>
  <c r="F28" i="13"/>
  <c r="P28" i="13" s="1"/>
  <c r="R9" i="13"/>
  <c r="M64" i="18" l="1"/>
  <c r="A10" i="18"/>
  <c r="H67" i="18"/>
  <c r="O67" i="18"/>
  <c r="N65" i="18"/>
  <c r="K66" i="18"/>
  <c r="J67" i="18"/>
  <c r="I67" i="18"/>
  <c r="L67" i="18"/>
  <c r="E68" i="18"/>
  <c r="G68" i="18"/>
  <c r="B69" i="18"/>
  <c r="R70" i="18"/>
  <c r="P8" i="13"/>
  <c r="P17" i="13"/>
  <c r="P11" i="13"/>
  <c r="P19" i="13"/>
  <c r="P13" i="13"/>
  <c r="P15" i="13"/>
  <c r="G8" i="13"/>
  <c r="E8" i="13"/>
  <c r="R10" i="13"/>
  <c r="B9" i="13"/>
  <c r="AM28" i="13"/>
  <c r="AL28" i="13"/>
  <c r="AK28" i="13"/>
  <c r="AJ28" i="13"/>
  <c r="AI28" i="13"/>
  <c r="AM26" i="13"/>
  <c r="AL26" i="13"/>
  <c r="AK26" i="13"/>
  <c r="AJ26" i="13"/>
  <c r="AI26" i="13"/>
  <c r="AM24" i="13"/>
  <c r="AL24" i="13"/>
  <c r="AK24" i="13"/>
  <c r="AJ24" i="13"/>
  <c r="AI24" i="13"/>
  <c r="AM13" i="13"/>
  <c r="AL13" i="13"/>
  <c r="AK13" i="13"/>
  <c r="AJ13" i="13"/>
  <c r="AI13" i="13"/>
  <c r="M65" i="18" l="1"/>
  <c r="A11" i="18"/>
  <c r="H68" i="18"/>
  <c r="O68" i="18"/>
  <c r="N66" i="18"/>
  <c r="K67" i="18"/>
  <c r="B70" i="18"/>
  <c r="R71" i="18"/>
  <c r="E69" i="18"/>
  <c r="G69" i="18"/>
  <c r="J68" i="18"/>
  <c r="L68" i="18"/>
  <c r="I68" i="18"/>
  <c r="O8" i="13"/>
  <c r="M8" i="13"/>
  <c r="L8" i="13"/>
  <c r="G9" i="13"/>
  <c r="O9" i="13" s="1"/>
  <c r="E9" i="13"/>
  <c r="R11" i="13"/>
  <c r="B10" i="13"/>
  <c r="M66" i="18" l="1"/>
  <c r="A12" i="18"/>
  <c r="H69" i="18"/>
  <c r="O69" i="18"/>
  <c r="N67" i="18"/>
  <c r="K68" i="18"/>
  <c r="L69" i="18"/>
  <c r="J69" i="18"/>
  <c r="I69" i="18"/>
  <c r="B71" i="18"/>
  <c r="R72" i="18"/>
  <c r="G70" i="18"/>
  <c r="E70" i="18"/>
  <c r="H9" i="13"/>
  <c r="K9" i="13"/>
  <c r="L9" i="13"/>
  <c r="J9" i="13"/>
  <c r="I9" i="13" s="1"/>
  <c r="E10" i="13"/>
  <c r="G10" i="13"/>
  <c r="O10" i="13" s="1"/>
  <c r="R12" i="13"/>
  <c r="B11" i="13"/>
  <c r="M67" i="18" l="1"/>
  <c r="A13" i="18"/>
  <c r="H70" i="18"/>
  <c r="O70" i="18"/>
  <c r="N68" i="18"/>
  <c r="K69" i="18"/>
  <c r="B72" i="18"/>
  <c r="R73" i="18"/>
  <c r="G71" i="18"/>
  <c r="E71" i="18"/>
  <c r="L70" i="18"/>
  <c r="I70" i="18"/>
  <c r="J70" i="18"/>
  <c r="N9" i="13"/>
  <c r="M9" i="13" s="1"/>
  <c r="L10" i="13"/>
  <c r="K10" i="13" s="1"/>
  <c r="N10" i="13" s="1"/>
  <c r="H10" i="13"/>
  <c r="J10" i="13"/>
  <c r="I10" i="13" s="1"/>
  <c r="E11" i="13"/>
  <c r="J11" i="13" s="1"/>
  <c r="G11" i="13"/>
  <c r="R13" i="13"/>
  <c r="B12" i="13"/>
  <c r="M68" i="18" l="1"/>
  <c r="A14" i="18"/>
  <c r="H71" i="18"/>
  <c r="O71" i="18"/>
  <c r="N69" i="18"/>
  <c r="K70" i="18"/>
  <c r="L71" i="18"/>
  <c r="J71" i="18"/>
  <c r="I71" i="18"/>
  <c r="R74" i="18"/>
  <c r="B73" i="18"/>
  <c r="E72" i="18"/>
  <c r="G72" i="18"/>
  <c r="H11" i="13"/>
  <c r="O11" i="13"/>
  <c r="K11" i="13"/>
  <c r="N11" i="13" s="1"/>
  <c r="L11" i="13"/>
  <c r="I11" i="13"/>
  <c r="G12" i="13"/>
  <c r="O12" i="13" s="1"/>
  <c r="E12" i="13"/>
  <c r="R14" i="13"/>
  <c r="M69" i="18" l="1"/>
  <c r="A15" i="18"/>
  <c r="H72" i="18"/>
  <c r="O72" i="18"/>
  <c r="N70" i="18"/>
  <c r="K71" i="18"/>
  <c r="I72" i="18"/>
  <c r="L72" i="18"/>
  <c r="J72" i="18"/>
  <c r="E73" i="18"/>
  <c r="G73" i="18"/>
  <c r="R75" i="18"/>
  <c r="B74" i="18"/>
  <c r="J12" i="13"/>
  <c r="L12" i="13"/>
  <c r="K12" i="13" s="1"/>
  <c r="N12" i="13" s="1"/>
  <c r="M10" i="13"/>
  <c r="H12" i="13"/>
  <c r="G13" i="13"/>
  <c r="E13" i="13"/>
  <c r="J13" i="13" s="1"/>
  <c r="R15" i="13"/>
  <c r="B14" i="13"/>
  <c r="M70" i="18" l="1"/>
  <c r="A16" i="18"/>
  <c r="H73" i="18"/>
  <c r="O73" i="18"/>
  <c r="N71" i="18"/>
  <c r="K72" i="18"/>
  <c r="J73" i="18"/>
  <c r="I73" i="18"/>
  <c r="L73" i="18"/>
  <c r="B75" i="18"/>
  <c r="R76" i="18"/>
  <c r="E74" i="18"/>
  <c r="G74" i="18"/>
  <c r="H13" i="13"/>
  <c r="O13" i="13"/>
  <c r="L13" i="13"/>
  <c r="M11" i="13"/>
  <c r="G14" i="13"/>
  <c r="O14" i="13" s="1"/>
  <c r="E14" i="13"/>
  <c r="R16" i="13"/>
  <c r="B15" i="13"/>
  <c r="M71" i="18" l="1"/>
  <c r="A17" i="18"/>
  <c r="H74" i="18"/>
  <c r="O74" i="18"/>
  <c r="N72" i="18"/>
  <c r="K73" i="18"/>
  <c r="J74" i="18"/>
  <c r="I74" i="18"/>
  <c r="L74" i="18"/>
  <c r="E75" i="18"/>
  <c r="G75" i="18"/>
  <c r="B76" i="18"/>
  <c r="R77" i="18"/>
  <c r="L14" i="13"/>
  <c r="H14" i="13"/>
  <c r="M12" i="13"/>
  <c r="G15" i="13"/>
  <c r="E15" i="13"/>
  <c r="R17" i="13"/>
  <c r="B16" i="13"/>
  <c r="M72" i="18" l="1"/>
  <c r="A18" i="18"/>
  <c r="H75" i="18"/>
  <c r="O75" i="18"/>
  <c r="N73" i="18"/>
  <c r="K74" i="18"/>
  <c r="G76" i="18"/>
  <c r="E76" i="18"/>
  <c r="L75" i="18"/>
  <c r="J75" i="18"/>
  <c r="I75" i="18"/>
  <c r="B77" i="18"/>
  <c r="R78" i="18"/>
  <c r="L15" i="13"/>
  <c r="J15" i="13"/>
  <c r="H15" i="13"/>
  <c r="O15" i="13"/>
  <c r="E16" i="13"/>
  <c r="G16" i="13"/>
  <c r="O16" i="13" s="1"/>
  <c r="R18" i="13"/>
  <c r="B17" i="13"/>
  <c r="M73" i="18" l="1"/>
  <c r="A19" i="18"/>
  <c r="H76" i="18"/>
  <c r="O76" i="18"/>
  <c r="N74" i="18"/>
  <c r="K75" i="18"/>
  <c r="G77" i="18"/>
  <c r="E77" i="18"/>
  <c r="L76" i="18"/>
  <c r="I76" i="18"/>
  <c r="J76" i="18"/>
  <c r="R79" i="18"/>
  <c r="B79" i="18" s="1"/>
  <c r="B78" i="18"/>
  <c r="L16" i="13"/>
  <c r="H16" i="13"/>
  <c r="E17" i="13"/>
  <c r="G17" i="13"/>
  <c r="R19" i="13"/>
  <c r="B18" i="13"/>
  <c r="M74" i="18" l="1"/>
  <c r="A20" i="18"/>
  <c r="H77" i="18"/>
  <c r="O77" i="18"/>
  <c r="N75" i="18"/>
  <c r="K76" i="18"/>
  <c r="G79" i="18"/>
  <c r="H79" i="18" s="1"/>
  <c r="E79" i="18"/>
  <c r="M79" i="18" s="1"/>
  <c r="E78" i="18"/>
  <c r="G78" i="18"/>
  <c r="J77" i="18"/>
  <c r="L77" i="18"/>
  <c r="I77" i="18"/>
  <c r="L17" i="13"/>
  <c r="I17" i="13"/>
  <c r="H17" i="13"/>
  <c r="O17" i="13"/>
  <c r="G18" i="13"/>
  <c r="O18" i="13" s="1"/>
  <c r="E18" i="13"/>
  <c r="I18" i="13" s="1"/>
  <c r="J17" i="13"/>
  <c r="R20" i="13"/>
  <c r="B19" i="13"/>
  <c r="M75" i="18" l="1"/>
  <c r="A21" i="18"/>
  <c r="H78" i="18"/>
  <c r="O78" i="18"/>
  <c r="N76" i="18"/>
  <c r="K77" i="18"/>
  <c r="I78" i="18"/>
  <c r="L78" i="18"/>
  <c r="J78" i="18"/>
  <c r="J79" i="18"/>
  <c r="I79" i="18"/>
  <c r="L79" i="18"/>
  <c r="J18" i="13"/>
  <c r="L18" i="13"/>
  <c r="H18" i="13"/>
  <c r="G19" i="13"/>
  <c r="E19" i="13"/>
  <c r="I19" i="13" s="1"/>
  <c r="R21" i="13"/>
  <c r="B20" i="13"/>
  <c r="M76" i="18" l="1"/>
  <c r="A22" i="18"/>
  <c r="N77" i="18"/>
  <c r="K78" i="18"/>
  <c r="N78" i="18" s="1"/>
  <c r="A24" i="18" s="1"/>
  <c r="H19" i="13"/>
  <c r="O19" i="13"/>
  <c r="J19" i="13"/>
  <c r="L19" i="13"/>
  <c r="G20" i="13"/>
  <c r="O20" i="13" s="1"/>
  <c r="E20" i="13"/>
  <c r="I20" i="13" s="1"/>
  <c r="R22" i="13"/>
  <c r="R23" i="13" s="1"/>
  <c r="B21" i="13"/>
  <c r="M77" i="18" l="1"/>
  <c r="A23" i="18"/>
  <c r="K79" i="18"/>
  <c r="O79" i="18" s="1"/>
  <c r="A25" i="18" s="1"/>
  <c r="J20" i="13"/>
  <c r="L20" i="13"/>
  <c r="H20" i="13"/>
  <c r="G21" i="13"/>
  <c r="O21" i="13" s="1"/>
  <c r="E21" i="13"/>
  <c r="B22" i="13"/>
  <c r="M78" i="18" l="1"/>
  <c r="L21" i="13"/>
  <c r="I21" i="13"/>
  <c r="H21" i="13"/>
  <c r="J21" i="13"/>
  <c r="E22" i="13"/>
  <c r="G22" i="13"/>
  <c r="R24" i="13"/>
  <c r="B23" i="13"/>
  <c r="L22" i="13" l="1"/>
  <c r="I22" i="13"/>
  <c r="H22" i="13"/>
  <c r="O22" i="13"/>
  <c r="E23" i="13"/>
  <c r="G23" i="13"/>
  <c r="O23" i="13" s="1"/>
  <c r="J22" i="13"/>
  <c r="R25" i="13"/>
  <c r="B24" i="13"/>
  <c r="L23" i="13" l="1"/>
  <c r="I23" i="13"/>
  <c r="J23" i="13"/>
  <c r="H23" i="13"/>
  <c r="G24" i="13"/>
  <c r="E24" i="13"/>
  <c r="I24" i="13" s="1"/>
  <c r="R26" i="13"/>
  <c r="B25" i="13"/>
  <c r="H24" i="13" l="1"/>
  <c r="O24" i="13"/>
  <c r="J24" i="13"/>
  <c r="L24" i="13"/>
  <c r="G25" i="13"/>
  <c r="E25" i="13"/>
  <c r="I25" i="13" s="1"/>
  <c r="R27" i="13"/>
  <c r="B26" i="13"/>
  <c r="H25" i="13" l="1"/>
  <c r="O25" i="13"/>
  <c r="J25" i="13"/>
  <c r="L25" i="13"/>
  <c r="G26" i="13"/>
  <c r="O26" i="13" s="1"/>
  <c r="E26" i="13"/>
  <c r="R28" i="13"/>
  <c r="B27" i="13"/>
  <c r="L26" i="13" l="1"/>
  <c r="I26" i="13"/>
  <c r="H26" i="13"/>
  <c r="J26" i="13"/>
  <c r="G27" i="13"/>
  <c r="E27" i="13"/>
  <c r="R29" i="13"/>
  <c r="B28" i="13"/>
  <c r="L27" i="13" l="1"/>
  <c r="I27" i="13"/>
  <c r="H27" i="13"/>
  <c r="O27" i="13"/>
  <c r="J27" i="13"/>
  <c r="E28" i="13"/>
  <c r="G28" i="13"/>
  <c r="O28" i="13" s="1"/>
  <c r="R30" i="13"/>
  <c r="B30" i="13" s="1"/>
  <c r="B29" i="13"/>
  <c r="L28" i="13" l="1"/>
  <c r="I28" i="13"/>
  <c r="H28" i="13"/>
  <c r="G30" i="13"/>
  <c r="H30" i="13" s="1"/>
  <c r="E30" i="13"/>
  <c r="E29" i="13"/>
  <c r="G29" i="13"/>
  <c r="J28" i="13"/>
  <c r="L29" i="13" l="1"/>
  <c r="I29" i="13"/>
  <c r="M30" i="13"/>
  <c r="I30" i="13"/>
  <c r="H29" i="13"/>
  <c r="O29" i="13"/>
  <c r="L30" i="13"/>
  <c r="J29" i="13"/>
  <c r="J30" i="13"/>
  <c r="I12" i="13"/>
  <c r="I13" i="13" s="1"/>
  <c r="J14" i="13" s="1"/>
  <c r="K13" i="13"/>
  <c r="N13" i="13" s="1"/>
  <c r="M13" i="13" s="1"/>
  <c r="K14" i="13" l="1"/>
  <c r="N14" i="13" s="1"/>
  <c r="M14" i="13" s="1"/>
  <c r="I14" i="13"/>
  <c r="I15" i="13" s="1"/>
  <c r="K15" i="13" l="1"/>
  <c r="J16" i="13"/>
  <c r="I16" i="13" s="1"/>
  <c r="N15" i="13" l="1"/>
  <c r="M15" i="13" s="1"/>
  <c r="K16" i="13"/>
  <c r="N16" i="13" l="1"/>
  <c r="M16" i="13" s="1"/>
  <c r="K17" i="13"/>
  <c r="K18" i="13" l="1"/>
  <c r="N17" i="13"/>
  <c r="M17" i="13" s="1"/>
  <c r="K19" i="13" l="1"/>
  <c r="N18" i="13"/>
  <c r="M18" i="13" s="1"/>
  <c r="N19" i="13" l="1"/>
  <c r="M19" i="13" s="1"/>
  <c r="K20" i="13"/>
  <c r="K21" i="13" l="1"/>
  <c r="N20" i="13"/>
  <c r="M20" i="13" s="1"/>
  <c r="N21" i="13" l="1"/>
  <c r="M21" i="13" s="1"/>
  <c r="K22" i="13"/>
  <c r="N22" i="13" l="1"/>
  <c r="M22" i="13" s="1"/>
  <c r="K23" i="13"/>
  <c r="N23" i="13" l="1"/>
  <c r="M23" i="13" s="1"/>
  <c r="K24" i="13"/>
  <c r="N24" i="13" l="1"/>
  <c r="M24" i="13" s="1"/>
  <c r="K25" i="13"/>
  <c r="N25" i="13" l="1"/>
  <c r="M25" i="13" s="1"/>
  <c r="K26" i="13"/>
  <c r="N26" i="13" l="1"/>
  <c r="M26" i="13" s="1"/>
  <c r="K27" i="13"/>
  <c r="N27" i="13" l="1"/>
  <c r="M27" i="13" s="1"/>
  <c r="K28" i="13"/>
  <c r="K29" i="13" l="1"/>
  <c r="N28" i="13"/>
  <c r="M28" i="13" s="1"/>
  <c r="N29" i="13" l="1"/>
  <c r="M29" i="13" s="1"/>
  <c r="K30" i="13"/>
  <c r="O30" i="1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tc={EC4F5A77-39B2-486F-A5C7-9CD410C05C70}</author>
    <author>tc={822B5339-6A40-4948-A347-1E1CC3CDB763}</author>
    <author>tc={8A572544-7F3D-409C-BB99-96F1461DA251}</author>
    <author>tc={24E4D7FF-50C7-4156-8B13-0AD38B7C843F}</author>
    <author>tc={C20710E4-E65F-4DA4-8079-944C0D3E5014}</author>
    <author>tc={E1438B1A-208C-4AE8-8827-451A453B4213}</author>
    <author>tc={15A483A8-E232-42E2-9DD8-1A6EDD1DA730}</author>
    <author>tc={B785FA58-9277-4E20-9F2D-9CF625E351C4}</author>
  </authors>
  <commentList>
    <comment ref="E11" authorId="0" shapeId="0" xr:uid="{EC4F5A77-39B2-486F-A5C7-9CD410C05C70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G11" authorId="1" shapeId="0" xr:uid="{822B5339-6A40-4948-A347-1E1CC3CDB763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E12" authorId="2" shapeId="0" xr:uid="{8A572544-7F3D-409C-BB99-96F1461DA251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G12" authorId="3" shapeId="0" xr:uid="{24E4D7FF-50C7-4156-8B13-0AD38B7C843F}">
      <text>
        <t>[Threaded comment]
Your version of Excel allows you to read this threaded comment; however, any edits to it will get removed if the file is opened in a newer version of Excel. Learn more: https://go.microsoft.com/fwlink/?linkid=870924
Comment:
    2</t>
      </text>
    </comment>
    <comment ref="E15" authorId="4" shapeId="0" xr:uid="{C20710E4-E65F-4DA4-8079-944C0D3E5014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G15" authorId="5" shapeId="0" xr:uid="{E1438B1A-208C-4AE8-8827-451A453B4213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E16" authorId="6" shapeId="0" xr:uid="{15A483A8-E232-42E2-9DD8-1A6EDD1DA730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  <comment ref="G16" authorId="7" shapeId="0" xr:uid="{B785FA58-9277-4E20-9F2D-9CF625E351C4}">
      <text>
        <t>[Threaded comment]
Your version of Excel allows you to read this threaded comment; however, any edits to it will get removed if the file is opened in a newer version of Excel. Learn more: https://go.microsoft.com/fwlink/?linkid=870924
Comment:
    3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<sst xmlns="http://schemas.openxmlformats.org/spreadsheetml/2006/main" count="237" uniqueCount="119">
  <si>
    <t>Income Base</t>
  </si>
  <si>
    <t>Income Credit</t>
  </si>
  <si>
    <t>—</t>
  </si>
  <si>
    <t xml:space="preserve"> contract issue date</t>
  </si>
  <si>
    <t>Maximum Annual Withdrawal Amount upon Activation</t>
  </si>
  <si>
    <t xml:space="preserve">Income Credit Base  </t>
  </si>
  <si>
    <t xml:space="preserve">Income Credit    </t>
  </si>
  <si>
    <t xml:space="preserve">Withdrawal Taken  </t>
  </si>
  <si>
    <t xml:space="preserve">Assumed Contract Value </t>
  </si>
  <si>
    <t xml:space="preserve">Anniversary Value  </t>
  </si>
  <si>
    <t xml:space="preserve">Income Base  </t>
  </si>
  <si>
    <t>Protected Income Payment</t>
  </si>
  <si>
    <t>Purchase Payments</t>
  </si>
  <si>
    <t>Activation Time</t>
  </si>
  <si>
    <t>Income Credit Base</t>
  </si>
  <si>
    <t>Check</t>
  </si>
  <si>
    <t>APPENDIX D TABLE</t>
  </si>
  <si>
    <t xml:space="preserve"> Income Credit Percentage </t>
  </si>
  <si>
    <t xml:space="preserve"> Covered Person </t>
  </si>
  <si>
    <t xml:space="preserve"> Maximum Annual Withdrawal Percentage </t>
  </si>
  <si>
    <t xml:space="preserve">Benefit Effective Date </t>
  </si>
  <si>
    <t>Index</t>
  </si>
  <si>
    <t>Time From Valuation</t>
  </si>
  <si>
    <t>Initial Purchase Payement</t>
  </si>
  <si>
    <t>Is Activation</t>
  </si>
  <si>
    <t>Is Anniversery</t>
  </si>
  <si>
    <t>Has Lifetime Income Started</t>
  </si>
  <si>
    <t>Withdrawal Penalty Before Activation</t>
  </si>
  <si>
    <t>Withdrawal Penalty After Activation</t>
  </si>
  <si>
    <t>Inputs</t>
  </si>
  <si>
    <t>Test Cases</t>
  </si>
  <si>
    <t>F</t>
  </si>
  <si>
    <t>Joint Same Sex Female</t>
  </si>
  <si>
    <t>M</t>
  </si>
  <si>
    <t>Joint Same Sex</t>
  </si>
  <si>
    <t>Joint Diff Age</t>
  </si>
  <si>
    <t>Wda 7.5</t>
  </si>
  <si>
    <t>Wda 6.5</t>
  </si>
  <si>
    <t>Wda 5.5</t>
  </si>
  <si>
    <t>Wda 3.5</t>
  </si>
  <si>
    <t>Wda 2.5</t>
  </si>
  <si>
    <t>Wda 1.5</t>
  </si>
  <si>
    <t>Option 3</t>
  </si>
  <si>
    <t>Option 2</t>
  </si>
  <si>
    <t>Age 85</t>
  </si>
  <si>
    <t>Age 75</t>
  </si>
  <si>
    <t>Age 55</t>
  </si>
  <si>
    <t>Age 45</t>
  </si>
  <si>
    <t>Elevated Income %</t>
  </si>
  <si>
    <t>Base</t>
  </si>
  <si>
    <t>Current Contract Value</t>
  </si>
  <si>
    <t>Withdrawal Amount</t>
  </si>
  <si>
    <t>Current Income Base Credit</t>
  </si>
  <si>
    <t>Current Income Base</t>
  </si>
  <si>
    <t xml:space="preserve">Income Credit Percentage </t>
  </si>
  <si>
    <t>Annuity Income Option</t>
  </si>
  <si>
    <t>Withdrawal Activation Date</t>
  </si>
  <si>
    <t xml:space="preserve">Initial Purchase Payment </t>
  </si>
  <si>
    <t>Secondary Gender</t>
  </si>
  <si>
    <t>Secondary Birthdate</t>
  </si>
  <si>
    <t>Primary Gender</t>
  </si>
  <si>
    <t>Primary Birthdate</t>
  </si>
  <si>
    <t>Valuation Date</t>
  </si>
  <si>
    <t>Use Base Case</t>
  </si>
  <si>
    <t>Test Name</t>
  </si>
  <si>
    <t>Test</t>
  </si>
  <si>
    <t>Policy Inputs</t>
  </si>
  <si>
    <t>Current Period</t>
  </si>
  <si>
    <t>Number of Annuitants</t>
  </si>
  <si>
    <t>IsJoint</t>
  </si>
  <si>
    <t>Primary Issue Age</t>
  </si>
  <si>
    <t>Secondary Issue Age</t>
  </si>
  <si>
    <t>Minimum Withdrawal Age</t>
  </si>
  <si>
    <t>Years Left</t>
  </si>
  <si>
    <t>Is Issued</t>
  </si>
  <si>
    <t xml:space="preserve"> </t>
  </si>
  <si>
    <r>
      <t>(3)</t>
    </r>
    <r>
      <rPr>
        <sz val="7"/>
        <color rgb="FF000000"/>
        <rFont val="Times New Roman"/>
        <family val="1"/>
      </rPr>
      <t xml:space="preserve">      </t>
    </r>
    <r>
      <rPr>
        <sz val="8.5"/>
        <color rgb="FF000000"/>
        <rFont val="Times New Roman"/>
        <family val="1"/>
      </rPr>
      <t>If Two Covered Persons are elected, the Protected Income Payment Percentage is 4.00% if the Income Base is increased to a new Higher Anniversary Value on or after the younger Covered Person’s 65</t>
    </r>
    <r>
      <rPr>
        <vertAlign val="superscript"/>
        <sz val="8.5"/>
        <color rgb="FF000000"/>
        <rFont val="Times New Roman"/>
        <family val="1"/>
      </rPr>
      <t>th</t>
    </r>
    <r>
      <rPr>
        <sz val="8.5"/>
        <color rgb="FF000000"/>
        <rFont val="Times New Roman"/>
        <family val="1"/>
      </rPr>
      <t xml:space="preserve"> birthday. </t>
    </r>
  </si>
  <si>
    <r>
      <t>(2)</t>
    </r>
    <r>
      <rPr>
        <sz val="7"/>
        <color rgb="FF000000"/>
        <rFont val="Times New Roman"/>
        <family val="1"/>
      </rPr>
      <t xml:space="preserve">      </t>
    </r>
    <r>
      <rPr>
        <sz val="8.5"/>
        <color rgb="FF000000"/>
        <rFont val="Times New Roman"/>
        <family val="1"/>
      </rPr>
      <t>If One Covered Person is elected, the Protected Income Payment Percentage is 4.00% if the Income Base is increased to a new Higher Anniversary Value on or after the Covered Person’s 65</t>
    </r>
    <r>
      <rPr>
        <vertAlign val="superscript"/>
        <sz val="8.5"/>
        <color rgb="FF000000"/>
        <rFont val="Times New Roman"/>
        <family val="1"/>
      </rPr>
      <t>th</t>
    </r>
    <r>
      <rPr>
        <sz val="8.5"/>
        <color rgb="FF000000"/>
        <rFont val="Times New Roman"/>
        <family val="1"/>
      </rPr>
      <t xml:space="preserve"> birthday. </t>
    </r>
  </si>
  <si>
    <r>
      <t>(1)</t>
    </r>
    <r>
      <rPr>
        <sz val="7"/>
        <color rgb="FF000000"/>
        <rFont val="Times New Roman"/>
        <family val="1"/>
      </rPr>
      <t xml:space="preserve">      </t>
    </r>
    <r>
      <rPr>
        <sz val="8.5"/>
        <color rgb="FF000000"/>
        <rFont val="Times New Roman"/>
        <family val="1"/>
      </rPr>
      <t xml:space="preserve">If there are Two Covered Persons, the age on the Activation Date is based on the age of the younger of the Two Covered Persons. </t>
    </r>
  </si>
  <si>
    <t xml:space="preserve">Two Covered Persons (Age 72 and Older)  </t>
  </si>
  <si>
    <t xml:space="preserve">Two Covered Persons (Age 65 - 71) </t>
  </si>
  <si>
    <t xml:space="preserve">Two Covered Persons (Age 60 - 64) </t>
  </si>
  <si>
    <t xml:space="preserve">Two Covered Persons (Age 50 - 59) </t>
  </si>
  <si>
    <t xml:space="preserve">One Covered Person (Age 72 and Older) </t>
  </si>
  <si>
    <t xml:space="preserve">One Covered Person (Age 65 - 71) </t>
  </si>
  <si>
    <t xml:space="preserve">One Covered Person (Age 60 - 64) </t>
  </si>
  <si>
    <t xml:space="preserve">One Covered Person (Age 50 - 59) </t>
  </si>
  <si>
    <t xml:space="preserve">Percentage </t>
  </si>
  <si>
    <t>UB Age</t>
  </si>
  <si>
    <t>LB Age</t>
  </si>
  <si>
    <t xml:space="preserve">Payment </t>
  </si>
  <si>
    <t xml:space="preserve">Withdrawal </t>
  </si>
  <si>
    <t xml:space="preserve">Income </t>
  </si>
  <si>
    <t xml:space="preserve">Annual </t>
  </si>
  <si>
    <t xml:space="preserve">Protected </t>
  </si>
  <si>
    <t xml:space="preserve">Maximum </t>
  </si>
  <si>
    <t xml:space="preserve">Polaris Income Max Income Option 3 </t>
  </si>
  <si>
    <t xml:space="preserve">Polaris Income Max Income Option 2 </t>
  </si>
  <si>
    <t xml:space="preserve">Polaris Income Max Income Option 1 </t>
  </si>
  <si>
    <r>
      <t>Number of Covered Persons and Age of Covered Person(s) on the Activation Date</t>
    </r>
    <r>
      <rPr>
        <b/>
        <vertAlign val="superscript"/>
        <sz val="9"/>
        <color rgb="FF000000"/>
        <rFont val="Times New Roman"/>
        <family val="1"/>
      </rPr>
      <t>(1)</t>
    </r>
    <r>
      <rPr>
        <b/>
        <sz val="9"/>
        <color rgb="FF000000"/>
        <rFont val="Times New Roman"/>
        <family val="1"/>
      </rPr>
      <t xml:space="preserve"> </t>
    </r>
  </si>
  <si>
    <r>
      <t>The first percentage represents the Maximum Annual Withdrawal Percentage (as defined in the Glossary of Living Benefit Terms in the prospectus)</t>
    </r>
    <r>
      <rPr>
        <sz val="7.5"/>
        <color rgb="FF000000"/>
        <rFont val="Times New Roman"/>
        <family val="1"/>
      </rPr>
      <t xml:space="preserve"> </t>
    </r>
    <r>
      <rPr>
        <sz val="9.5"/>
        <color rgb="FF000000"/>
        <rFont val="Times New Roman"/>
        <family val="1"/>
      </rPr>
      <t xml:space="preserve">and the second percentage represents the Protected Income Payment Percentage (as defined in the Glossary of Living Benefit Terms in the prospectus) for each of the options shown:  </t>
    </r>
  </si>
  <si>
    <r>
      <t>Maximum Annual Withdrawal Percentage and Protected Income Payment Percentage Table</t>
    </r>
    <r>
      <rPr>
        <b/>
        <sz val="14"/>
        <color rgb="FF000000"/>
        <rFont val="Times New Roman"/>
        <family val="1"/>
      </rPr>
      <t xml:space="preserve"> </t>
    </r>
  </si>
  <si>
    <r>
      <t xml:space="preserve">The Income Credit Percentage is </t>
    </r>
    <r>
      <rPr>
        <b/>
        <sz val="14"/>
        <color rgb="FF000000"/>
        <rFont val="Times New Roman"/>
        <family val="1"/>
      </rPr>
      <t>5.25%</t>
    </r>
    <r>
      <rPr>
        <sz val="14"/>
        <color rgb="FF000000"/>
        <rFont val="Times New Roman"/>
        <family val="1"/>
      </rPr>
      <t xml:space="preserve"> (as a percentage of the Income Credit Base). </t>
    </r>
  </si>
  <si>
    <r>
      <t>Income Credit Percentage</t>
    </r>
    <r>
      <rPr>
        <b/>
        <sz val="14"/>
        <color rgb="FF000000"/>
        <rFont val="Times New Roman"/>
        <family val="1"/>
      </rPr>
      <t xml:space="preserve"> </t>
    </r>
  </si>
  <si>
    <t xml:space="preserve">POLARIS INCOME MAX </t>
  </si>
  <si>
    <t>Maximum Annual Withdrawal (MAW) percentage 1</t>
  </si>
  <si>
    <t>Maximum Annual Withdrawal (MAW) percentage 2</t>
  </si>
  <si>
    <t>Maximum Annual Withdrawal (MAW) percentage 3</t>
  </si>
  <si>
    <t>Protected Income Payment 1</t>
  </si>
  <si>
    <t>Protected Income Payment 2</t>
  </si>
  <si>
    <t>Protected Income Payment 3</t>
  </si>
  <si>
    <t>Sum of Cashflow</t>
  </si>
  <si>
    <t>Testing</t>
  </si>
  <si>
    <t>Test Case Names</t>
  </si>
  <si>
    <t>Max Withdrawal+PIP</t>
  </si>
  <si>
    <t>Actual</t>
  </si>
  <si>
    <t>Results</t>
  </si>
  <si>
    <t>Expected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</si>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</sst>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000%"/>
    <numFmt numFmtId="166" formatCode="_(* #,##0.0000_);_(* \(#,##0.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81717"/>
      <name val="Times New Roman"/>
      <family val="1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8.5"/>
      <color rgb="FF000000"/>
      <name val="Times New Roman"/>
      <family val="1"/>
    </font>
    <font>
      <sz val="7"/>
      <color rgb="FF000000"/>
      <name val="Times New Roman"/>
      <family val="1"/>
    </font>
    <font>
      <vertAlign val="superscript"/>
      <sz val="8.5"/>
      <color rgb="FF000000"/>
      <name val="Times New Roman"/>
      <family val="1"/>
    </font>
    <font>
      <sz val="9.5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0"/>
      <color rgb="FF181717"/>
      <name val="Times New Roman"/>
      <family val="1"/>
    </font>
    <font>
      <b/>
      <vertAlign val="superscript"/>
      <sz val="9"/>
      <color rgb="FF000000"/>
      <name val="Times New Roman"/>
      <family val="1"/>
    </font>
    <font>
      <sz val="7.5"/>
      <color rgb="FF000000"/>
      <name val="Times New Roman"/>
      <family val="1"/>
    </font>
    <font>
      <b/>
      <u/>
      <sz val="1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4" tint="0.39997558519241921"/>
      </left>
      <right style="thin">
        <color theme="9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9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9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4">
    <xf numFmtId="0" fontId="0" fillId="0" borderId="0" xfId="0"/>
    <xf numFmtId="10" fontId="0" fillId="0" borderId="0" xfId="0" applyNumberFormat="1"/>
    <xf numFmtId="43" fontId="0" fillId="0" borderId="0" xfId="1" applyFont="1" applyFill="1" applyBorder="1"/>
    <xf numFmtId="0" fontId="0" fillId="0" borderId="0" xfId="0" applyAlignment="1">
      <alignment wrapText="1"/>
    </xf>
    <xf numFmtId="164" fontId="0" fillId="0" borderId="0" xfId="1" applyNumberFormat="1" applyFont="1"/>
    <xf numFmtId="164" fontId="0" fillId="0" borderId="1" xfId="1" applyNumberFormat="1" applyFont="1" applyBorder="1"/>
    <xf numFmtId="164" fontId="0" fillId="0" borderId="0" xfId="0" applyNumberFormat="1"/>
    <xf numFmtId="164" fontId="0" fillId="0" borderId="1" xfId="0" applyNumberFormat="1" applyBorder="1"/>
    <xf numFmtId="9" fontId="0" fillId="0" borderId="0" xfId="2" applyFont="1"/>
    <xf numFmtId="43" fontId="0" fillId="0" borderId="1" xfId="1" applyFont="1" applyBorder="1"/>
    <xf numFmtId="43" fontId="0" fillId="0" borderId="0" xfId="1" applyFont="1" applyBorder="1"/>
    <xf numFmtId="164" fontId="3" fillId="0" borderId="1" xfId="1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right" vertical="center" wrapText="1"/>
    </xf>
    <xf numFmtId="164" fontId="0" fillId="0" borderId="1" xfId="1" applyNumberFormat="1" applyFont="1" applyBorder="1" applyAlignment="1">
      <alignment horizontal="right"/>
    </xf>
    <xf numFmtId="164" fontId="0" fillId="0" borderId="3" xfId="1" applyNumberFormat="1" applyFont="1" applyBorder="1"/>
    <xf numFmtId="164" fontId="3" fillId="0" borderId="5" xfId="1" applyNumberFormat="1" applyFont="1" applyBorder="1" applyAlignment="1">
      <alignment horizontal="center" vertical="center" wrapText="1"/>
    </xf>
    <xf numFmtId="164" fontId="0" fillId="0" borderId="5" xfId="1" applyNumberFormat="1" applyFont="1" applyBorder="1"/>
    <xf numFmtId="164" fontId="0" fillId="0" borderId="5" xfId="1" applyNumberFormat="1" applyFont="1" applyBorder="1" applyAlignment="1">
      <alignment horizontal="right"/>
    </xf>
    <xf numFmtId="164" fontId="3" fillId="0" borderId="4" xfId="1" applyNumberFormat="1" applyFont="1" applyBorder="1" applyAlignment="1">
      <alignment horizontal="center" vertical="center" wrapText="1"/>
    </xf>
    <xf numFmtId="0" fontId="2" fillId="2" borderId="6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164" fontId="0" fillId="3" borderId="1" xfId="0" applyNumberFormat="1" applyFill="1" applyBorder="1"/>
    <xf numFmtId="0" fontId="0" fillId="3" borderId="8" xfId="0" applyFill="1" applyBorder="1"/>
    <xf numFmtId="164" fontId="3" fillId="3" borderId="1" xfId="1" applyNumberFormat="1" applyFont="1" applyFill="1" applyBorder="1" applyAlignment="1">
      <alignment horizontal="center" vertical="center" wrapText="1"/>
    </xf>
    <xf numFmtId="0" fontId="0" fillId="3" borderId="9" xfId="0" applyFill="1" applyBorder="1"/>
    <xf numFmtId="164" fontId="3" fillId="3" borderId="5" xfId="1" applyNumberFormat="1" applyFont="1" applyFill="1" applyBorder="1" applyAlignment="1">
      <alignment horizontal="center" vertical="center" wrapText="1"/>
    </xf>
    <xf numFmtId="0" fontId="2" fillId="0" borderId="0" xfId="0" applyFont="1"/>
    <xf numFmtId="0" fontId="4" fillId="0" borderId="0" xfId="0" applyFont="1"/>
    <xf numFmtId="0" fontId="5" fillId="4" borderId="0" xfId="0" applyFont="1" applyFill="1" applyAlignment="1">
      <alignment wrapText="1"/>
    </xf>
    <xf numFmtId="0" fontId="0" fillId="0" borderId="1" xfId="0" applyBorder="1"/>
    <xf numFmtId="0" fontId="2" fillId="2" borderId="2" xfId="0" applyFont="1" applyFill="1" applyBorder="1" applyAlignment="1">
      <alignment wrapText="1"/>
    </xf>
    <xf numFmtId="3" fontId="0" fillId="0" borderId="0" xfId="0" applyNumberFormat="1"/>
    <xf numFmtId="0" fontId="0" fillId="0" borderId="14" xfId="0" applyBorder="1"/>
    <xf numFmtId="43" fontId="0" fillId="0" borderId="15" xfId="1" applyFont="1" applyBorder="1"/>
    <xf numFmtId="0" fontId="0" fillId="0" borderId="18" xfId="0" applyBorder="1"/>
    <xf numFmtId="0" fontId="0" fillId="0" borderId="19" xfId="0" applyBorder="1"/>
    <xf numFmtId="164" fontId="0" fillId="3" borderId="19" xfId="0" applyNumberFormat="1" applyFill="1" applyBorder="1"/>
    <xf numFmtId="43" fontId="0" fillId="0" borderId="20" xfId="1" applyFont="1" applyBorder="1"/>
    <xf numFmtId="0" fontId="2" fillId="6" borderId="16" xfId="0" applyFont="1" applyFill="1" applyBorder="1"/>
    <xf numFmtId="0" fontId="2" fillId="6" borderId="17" xfId="0" applyFont="1" applyFill="1" applyBorder="1"/>
    <xf numFmtId="0" fontId="2" fillId="6" borderId="17" xfId="0" applyFont="1" applyFill="1" applyBorder="1" applyAlignment="1">
      <alignment wrapText="1"/>
    </xf>
    <xf numFmtId="0" fontId="2" fillId="6" borderId="13" xfId="0" applyFont="1" applyFill="1" applyBorder="1" applyAlignment="1">
      <alignment wrapText="1"/>
    </xf>
    <xf numFmtId="165" fontId="0" fillId="0" borderId="1" xfId="2" applyNumberFormat="1" applyFont="1" applyBorder="1"/>
    <xf numFmtId="166" fontId="0" fillId="0" borderId="1" xfId="0" applyNumberFormat="1" applyBorder="1"/>
    <xf numFmtId="0" fontId="6" fillId="0" borderId="0" xfId="0" applyFont="1"/>
    <xf numFmtId="2" fontId="0" fillId="0" borderId="21" xfId="0" applyNumberFormat="1" applyBorder="1"/>
    <xf numFmtId="2" fontId="0" fillId="0" borderId="22" xfId="0" applyNumberFormat="1" applyBorder="1"/>
    <xf numFmtId="0" fontId="0" fillId="0" borderId="22" xfId="0" applyBorder="1"/>
    <xf numFmtId="14" fontId="0" fillId="0" borderId="22" xfId="0" applyNumberFormat="1" applyBorder="1"/>
    <xf numFmtId="0" fontId="0" fillId="0" borderId="23" xfId="0" applyBorder="1"/>
    <xf numFmtId="0" fontId="0" fillId="0" borderId="21" xfId="0" applyBorder="1"/>
    <xf numFmtId="0" fontId="2" fillId="2" borderId="0" xfId="0" applyFont="1" applyFill="1" applyAlignment="1">
      <alignment wrapText="1"/>
    </xf>
    <xf numFmtId="0" fontId="0" fillId="0" borderId="24" xfId="0" applyBorder="1"/>
    <xf numFmtId="0" fontId="0" fillId="0" borderId="25" xfId="0" applyBorder="1"/>
    <xf numFmtId="14" fontId="0" fillId="0" borderId="25" xfId="0" applyNumberFormat="1" applyBorder="1"/>
    <xf numFmtId="2" fontId="0" fillId="0" borderId="25" xfId="0" applyNumberFormat="1" applyBorder="1"/>
    <xf numFmtId="2" fontId="0" fillId="0" borderId="26" xfId="0" applyNumberFormat="1" applyBorder="1"/>
    <xf numFmtId="0" fontId="2" fillId="2" borderId="27" xfId="0" applyFont="1" applyFill="1" applyBorder="1" applyAlignment="1">
      <alignment wrapText="1"/>
    </xf>
    <xf numFmtId="0" fontId="0" fillId="0" borderId="28" xfId="0" applyBorder="1"/>
    <xf numFmtId="0" fontId="0" fillId="0" borderId="29" xfId="0" applyBorder="1"/>
    <xf numFmtId="14" fontId="0" fillId="0" borderId="29" xfId="0" applyNumberFormat="1" applyBorder="1"/>
    <xf numFmtId="2" fontId="0" fillId="0" borderId="29" xfId="0" applyNumberFormat="1" applyBorder="1"/>
    <xf numFmtId="0" fontId="0" fillId="0" borderId="30" xfId="0" applyBorder="1"/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 indent="2"/>
    </xf>
    <xf numFmtId="166" fontId="11" fillId="7" borderId="31" xfId="1" applyNumberFormat="1" applyFont="1" applyFill="1" applyBorder="1" applyAlignment="1">
      <alignment horizontal="center" vertical="center" wrapText="1"/>
    </xf>
    <xf numFmtId="0" fontId="11" fillId="7" borderId="31" xfId="0" applyFont="1" applyFill="1" applyBorder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166" fontId="11" fillId="8" borderId="31" xfId="1" applyNumberFormat="1" applyFont="1" applyFill="1" applyBorder="1" applyAlignment="1">
      <alignment horizontal="center" vertical="center" wrapText="1"/>
    </xf>
    <xf numFmtId="0" fontId="11" fillId="8" borderId="31" xfId="0" applyFont="1" applyFill="1" applyBorder="1" applyAlignment="1">
      <alignment vertical="center" wrapText="1"/>
    </xf>
    <xf numFmtId="0" fontId="12" fillId="0" borderId="31" xfId="0" applyFont="1" applyBorder="1" applyAlignment="1">
      <alignment horizontal="center" vertical="center" wrapText="1"/>
    </xf>
    <xf numFmtId="0" fontId="13" fillId="0" borderId="31" xfId="0" applyFont="1" applyBorder="1" applyAlignment="1">
      <alignment vertical="center" wrapText="1"/>
    </xf>
    <xf numFmtId="0" fontId="12" fillId="0" borderId="33" xfId="0" applyFont="1" applyBorder="1" applyAlignment="1">
      <alignment horizontal="center" vertical="center" wrapText="1"/>
    </xf>
    <xf numFmtId="0" fontId="12" fillId="0" borderId="33" xfId="0" applyFont="1" applyBorder="1" applyAlignment="1">
      <alignment vertical="center" wrapText="1"/>
    </xf>
    <xf numFmtId="0" fontId="12" fillId="0" borderId="36" xfId="0" applyFont="1" applyBorder="1" applyAlignment="1">
      <alignment horizontal="center" vertical="center" wrapText="1"/>
    </xf>
    <xf numFmtId="0" fontId="0" fillId="0" borderId="0" xfId="0" quotePrefix="1"/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17" fillId="0" borderId="44" xfId="0" applyFont="1" applyBorder="1" applyAlignment="1">
      <alignment horizontal="center" vertical="center"/>
    </xf>
    <xf numFmtId="0" fontId="17" fillId="0" borderId="43" xfId="0" applyFont="1" applyBorder="1" applyAlignment="1">
      <alignment horizontal="center" vertical="center"/>
    </xf>
    <xf numFmtId="0" fontId="17" fillId="0" borderId="42" xfId="0" applyFont="1" applyBorder="1" applyAlignment="1">
      <alignment horizontal="center" vertical="center"/>
    </xf>
    <xf numFmtId="0" fontId="16" fillId="0" borderId="41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40" xfId="0" applyFont="1" applyBorder="1" applyAlignment="1">
      <alignment horizontal="center" vertical="center"/>
    </xf>
    <xf numFmtId="0" fontId="18" fillId="0" borderId="41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1" fillId="0" borderId="10" xfId="0" applyFont="1" applyBorder="1" applyAlignment="1">
      <alignment horizontal="justify" vertical="center"/>
    </xf>
    <xf numFmtId="0" fontId="11" fillId="0" borderId="11" xfId="0" applyFont="1" applyBorder="1" applyAlignment="1">
      <alignment horizontal="justify" vertical="center"/>
    </xf>
    <xf numFmtId="0" fontId="0" fillId="0" borderId="11" xfId="0" applyBorder="1"/>
    <xf numFmtId="0" fontId="0" fillId="0" borderId="12" xfId="0" applyBorder="1"/>
    <xf numFmtId="0" fontId="12" fillId="0" borderId="34" xfId="0" applyFont="1" applyBorder="1" applyAlignment="1">
      <alignment horizontal="center" vertical="center" wrapText="1"/>
    </xf>
    <xf numFmtId="0" fontId="12" fillId="0" borderId="32" xfId="0" applyFont="1" applyBorder="1" applyAlignment="1">
      <alignment horizontal="center" vertical="center" wrapText="1"/>
    </xf>
    <xf numFmtId="0" fontId="12" fillId="0" borderId="35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43" fontId="0" fillId="0" borderId="1" xfId="1" applyNumberFormat="1" applyFont="1" applyBorder="1"/>
    <xf numFmtId="0" fontId="0" fillId="9" borderId="29" xfId="0" applyFont="1" applyFill="1" applyBorder="1"/>
    <xf numFmtId="0" fontId="0" fillId="0" borderId="29" xfId="0" applyFont="1" applyBorder="1"/>
    <xf numFmtId="0" fontId="0" fillId="9" borderId="28" xfId="0" applyFont="1" applyFill="1" applyBorder="1"/>
    <xf numFmtId="0" fontId="0" fillId="0" borderId="28" xfId="0" applyFont="1" applyBorder="1"/>
  </cellXfs>
  <cellStyles count="3">
    <cellStyle name="Comma" xfId="1" builtinId="3"/>
    <cellStyle name="Normal" xfId="0" builtinId="0"/>
    <cellStyle name="Percent" xfId="2" builtinId="5"/>
  </cellStyles>
  <dxfs count="64">
    <dxf>
      <fill>
        <patternFill>
          <bgColor theme="7" tint="0.3999450666829432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5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" formatCode="0.0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9" formatCode="m/d/yyyy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general" vertical="bottom" textRotation="0" wrapText="1" indent="0" justifyLastLine="0" shrinkToFit="0" readingOrder="0"/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0.000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(* #,##0_);_(* \(#,##0\);_(* &quot;-&quot;??_);_(@_)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3999755851924192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7" Type="http://schemas.openxmlformats.org/officeDocument/2006/relationships/image" Target="../media/image8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6" Type="http://schemas.openxmlformats.org/officeDocument/2006/relationships/image" Target="../media/image7.emf"/><Relationship Id="rId5" Type="http://schemas.openxmlformats.org/officeDocument/2006/relationships/image" Target="../media/image6.emf"/><Relationship Id="rId4" Type="http://schemas.openxmlformats.org/officeDocument/2006/relationships/image" Target="../media/image5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579120</xdr:colOff>
          <xdr:row>1</xdr:row>
          <xdr:rowOff>60960</xdr:rowOff>
        </xdr:from>
        <xdr:to>
          <xdr:col>18</xdr:col>
          <xdr:colOff>114300</xdr:colOff>
          <xdr:row>46</xdr:row>
          <xdr:rowOff>175260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525780</xdr:colOff>
          <xdr:row>1</xdr:row>
          <xdr:rowOff>68580</xdr:rowOff>
        </xdr:from>
        <xdr:to>
          <xdr:col>11</xdr:col>
          <xdr:colOff>373380</xdr:colOff>
          <xdr:row>17</xdr:row>
          <xdr:rowOff>175260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3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381000</xdr:colOff>
          <xdr:row>18</xdr:row>
          <xdr:rowOff>99060</xdr:rowOff>
        </xdr:from>
        <xdr:to>
          <xdr:col>11</xdr:col>
          <xdr:colOff>228600</xdr:colOff>
          <xdr:row>47</xdr:row>
          <xdr:rowOff>60960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3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403860</xdr:colOff>
          <xdr:row>48</xdr:row>
          <xdr:rowOff>144780</xdr:rowOff>
        </xdr:from>
        <xdr:to>
          <xdr:col>11</xdr:col>
          <xdr:colOff>251460</xdr:colOff>
          <xdr:row>59</xdr:row>
          <xdr:rowOff>45720</xdr:rowOff>
        </xdr:to>
        <xdr:sp macro="" textlink="">
          <xdr:nvSpPr>
            <xdr:cNvPr id="5123" name="Object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3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449580</xdr:colOff>
          <xdr:row>63</xdr:row>
          <xdr:rowOff>160020</xdr:rowOff>
        </xdr:from>
        <xdr:to>
          <xdr:col>11</xdr:col>
          <xdr:colOff>297180</xdr:colOff>
          <xdr:row>75</xdr:row>
          <xdr:rowOff>144780</xdr:rowOff>
        </xdr:to>
        <xdr:sp macro="" textlink="">
          <xdr:nvSpPr>
            <xdr:cNvPr id="5124" name="Object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3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541020</xdr:colOff>
          <xdr:row>79</xdr:row>
          <xdr:rowOff>160020</xdr:rowOff>
        </xdr:from>
        <xdr:to>
          <xdr:col>11</xdr:col>
          <xdr:colOff>388620</xdr:colOff>
          <xdr:row>91</xdr:row>
          <xdr:rowOff>76200</xdr:rowOff>
        </xdr:to>
        <xdr:sp macro="" textlink="">
          <xdr:nvSpPr>
            <xdr:cNvPr id="5125" name="Object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3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579120</xdr:colOff>
          <xdr:row>94</xdr:row>
          <xdr:rowOff>144780</xdr:rowOff>
        </xdr:from>
        <xdr:to>
          <xdr:col>11</xdr:col>
          <xdr:colOff>426720</xdr:colOff>
          <xdr:row>112</xdr:row>
          <xdr:rowOff>30480</xdr:rowOff>
        </xdr:to>
        <xdr:sp macro="" textlink="">
          <xdr:nvSpPr>
            <xdr:cNvPr id="5126" name="Object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3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594360</xdr:colOff>
          <xdr:row>116</xdr:row>
          <xdr:rowOff>30480</xdr:rowOff>
        </xdr:from>
        <xdr:to>
          <xdr:col>11</xdr:col>
          <xdr:colOff>441960</xdr:colOff>
          <xdr:row>124</xdr:row>
          <xdr:rowOff>83820</xdr:rowOff>
        </xdr:to>
        <xdr:sp macro="" textlink="">
          <xdr:nvSpPr>
            <xdr:cNvPr id="5127" name="Object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3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17</xdr:col>
          <xdr:colOff>60960</xdr:colOff>
          <xdr:row>36</xdr:row>
          <xdr:rowOff>121920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4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556260</xdr:colOff>
          <xdr:row>1</xdr:row>
          <xdr:rowOff>0</xdr:rowOff>
        </xdr:from>
        <xdr:to>
          <xdr:col>15</xdr:col>
          <xdr:colOff>480060</xdr:colOff>
          <xdr:row>36</xdr:row>
          <xdr:rowOff>76200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5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19132\Google%20Drive\ExcelAnswerKeys\ExcelRedo\Tweak\Week1\TheModelW1withAdditionalInf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lossary"/>
      <sheetName val="Homework"/>
      <sheetName val="How It Works"/>
      <sheetName val="Orders of Operation"/>
    </sheetNames>
    <sheetDataSet>
      <sheetData sheetId="0" refreshError="1"/>
      <sheetData sheetId="1" refreshError="1">
        <row r="2">
          <cell r="B2">
            <v>100000</v>
          </cell>
        </row>
        <row r="21">
          <cell r="B21">
            <v>60000</v>
          </cell>
        </row>
        <row r="22">
          <cell r="B22" t="str">
            <v>—</v>
          </cell>
        </row>
      </sheetData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Bryon Robidoux" id="{90F233BC-85A6-4760-A7AF-3F0A27835E7D}" userId="c06de2f38d2dffe6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89FFE7-031C-4BB8-BD7B-73EC8E8379A9}" name="Table1" displayName="Table1" ref="A7:P30" totalsRowShown="0" headerRowDxfId="63" headerRowBorderDxfId="62" tableBorderDxfId="61" totalsRowBorderDxfId="60">
  <autoFilter ref="A7:P30" xr:uid="{E989FFE7-031C-4BB8-BD7B-73EC8E8379A9}"/>
  <tableColumns count="16">
    <tableColumn id="1" xr3:uid="{8746CBD2-352C-4FB2-B735-3C80A9101E03}" name="Index" dataDxfId="59">
      <calculatedColumnFormula>A7+1</calculatedColumnFormula>
    </tableColumn>
    <tableColumn id="2" xr3:uid="{CCBA0368-DDE3-4C18-B157-6489467469AA}" name="Time From Valuation" dataDxfId="58">
      <calculatedColumnFormula>R8</calculatedColumnFormula>
    </tableColumn>
    <tableColumn id="3" xr3:uid="{B42F0FC7-F313-4AD9-B988-372B9E5AF33E}" name="Purchase Payments" dataDxfId="57">
      <calculatedColumnFormula>S8</calculatedColumnFormula>
    </tableColumn>
    <tableColumn id="4" xr3:uid="{D8804332-74C8-4281-B927-B99A4100E1D5}" name="Withdrawal Taken  " dataDxfId="56">
      <calculatedColumnFormula>T8</calculatedColumnFormula>
    </tableColumn>
    <tableColumn id="5" xr3:uid="{5FDE0844-F4FD-4B8B-8E26-42228527CCC9}" name="Is Activation" dataDxfId="55">
      <calculatedColumnFormula>Table1[[#This Row],[Time From Valuation]]&gt;=Activation_Time</calculatedColumnFormula>
    </tableColumn>
    <tableColumn id="6" xr3:uid="{1F676914-9877-41DF-B29B-4C75641FE730}" name="Assumed Contract Value " dataDxfId="54"/>
    <tableColumn id="7" xr3:uid="{01F39826-2714-4B4F-8018-72AA0BF8D1D7}" name="Is Anniversery" dataDxfId="53">
      <calculatedColumnFormula>Table1[[#This Row],[Time From Valuation]]=INT(Table1[[#This Row],[Time From Valuation]])</calculatedColumnFormula>
    </tableColumn>
    <tableColumn id="8" xr3:uid="{ACF76B9B-E69F-4064-A959-CC2FB8100E58}" name="Anniversary Value  " dataDxfId="52">
      <calculatedColumnFormula>_xlfn.LET(_xlpm.Anniversery_Value,,Assumed_Contract_Value),IF(Is_Anniversery,Anniversery_Value=Assumed_Contract_Value,0)</calculatedColumnFormula>
    </tableColumn>
    <tableColumn id="9" xr3:uid="{BE425962-5996-433A-88E0-0EB2D8C237DE}" name="Income Credit Base" dataDxfId="51"/>
    <tableColumn id="10" xr3:uid="{911F8F8A-CF2A-4D88-A316-ED5B6C0A80E9}" name="Income Credit" dataDxfId="50">
      <calculatedColumnFormula>IF(AND(Table1[[#This Row],[Is Activation]]=FALSE,Table1[[#This Row],[Is Anniversery]]=TRUE),Table1[[#This Row],[Income Credit Base]]*ICP,0)</calculatedColumnFormula>
    </tableColumn>
    <tableColumn id="16" xr3:uid="{BB723885-944A-42A8-BE54-B6301EF239B5}" name="Income Base" dataDxfId="49">
      <calculatedColumnFormula>OFFSET(Table1[[#This Row],[Income Base]],-1,0)+Table1[[#This Row],[Purchase Payments]]+OFFSET(Table1[[#This Row],[Income Credit]],-1,0)</calculatedColumnFormula>
    </tableColumn>
    <tableColumn id="17" xr3:uid="{A70BDF7B-DD67-4531-9AC1-2E47C9715339}" name="Withdrawal Penalty Before Activation" dataDxfId="48">
      <calculatedColumnFormula>IF(NOT(Table1[[#This Row],[Is Activation]]),(Table1[[#This Row],[Withdrawal Taken  ]]/Table1[[#This Row],[Assumed Contract Value ]]),0)</calculatedColumnFormula>
    </tableColumn>
    <tableColumn id="15" xr3:uid="{2753BF05-3610-405A-A38D-53DAEE0D08E8}" name="Withdrawal Penalty After Activation" dataDxfId="47">
      <calculatedColumnFormula>IF(Table1[[#This Row],[Is Activation]],ABS(Table1[[#This Row],[Withdrawal Taken  ]]-Table1[[#This Row],[Maximum Annual Withdrawal Amount upon Activation]]),0)</calculatedColumnFormula>
    </tableColumn>
    <tableColumn id="12" xr3:uid="{E65F505B-4E1C-4D3C-93F4-2423DA4885B9}" name="Maximum Annual Withdrawal Amount upon Activation" dataDxfId="46" dataCellStyle="Comma">
      <calculatedColumnFormula>IF(NOT(Table1[[#This Row],[Has Lifetime Income Started]]),Table1[[#This Row],[Income Base]]*MAW,0)</calculatedColumnFormula>
    </tableColumn>
    <tableColumn id="13" xr3:uid="{F7A49EF0-54FC-4B84-B3D1-6732DB8CFD1E}" name="Protected Income Payment" dataDxfId="45" dataCellStyle="Comma">
      <calculatedColumnFormula>IF(AND(Table1[[#This Row],[Has Lifetime Income Started]],Table1[[#This Row],[Is Anniversery]]),Table1[[#This Row],[Income Base]]*PIP,0)</calculatedColumnFormula>
    </tableColumn>
    <tableColumn id="14" xr3:uid="{646C85AC-84AD-40CF-9719-E6F2178FFF14}" name="Has Lifetime Income Started" dataDxfId="44" dataCellStyle="Comma">
      <calculatedColumnFormula>Assumed_Contract_Value2&lt;0.1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B6FE7A1-A493-43F8-BE82-F34FFE4E34D1}" name="Table17" displayName="Table17" ref="A56:P79" totalsRowShown="0" headerRowDxfId="43" headerRowBorderDxfId="42" tableBorderDxfId="41" totalsRowBorderDxfId="40">
  <autoFilter ref="A56:P79" xr:uid="{9B6FE7A1-A493-43F8-BE82-F34FFE4E34D1}"/>
  <tableColumns count="16">
    <tableColumn id="1" xr3:uid="{D777F4AF-2E4B-4A6D-A9F4-FAFA94B1B9ED}" name="Index" dataDxfId="39">
      <calculatedColumnFormula>A56+1</calculatedColumnFormula>
    </tableColumn>
    <tableColumn id="2" xr3:uid="{00CE05DB-B72A-4742-9A94-88FAA05EBCC6}" name="Time From Valuation" dataDxfId="38">
      <calculatedColumnFormula>R57</calculatedColumnFormula>
    </tableColumn>
    <tableColumn id="3" xr3:uid="{B1129A5A-079A-459E-90A4-3A029500F7E1}" name="Purchase Payments" dataDxfId="37">
      <calculatedColumnFormula>S57</calculatedColumnFormula>
    </tableColumn>
    <tableColumn id="4" xr3:uid="{F503E352-6A6E-4652-87B8-C7182BC18081}" name="Withdrawal Taken  " dataDxfId="36">
      <calculatedColumnFormula>T57</calculatedColumnFormula>
    </tableColumn>
    <tableColumn id="5" xr3:uid="{6AAB57DE-57BD-4227-981E-2DE7E50D2A39}" name="Is Activation" dataDxfId="35">
      <calculatedColumnFormula>Table17[[#This Row],[Time From Valuation]]&gt;=Activation_Time</calculatedColumnFormula>
    </tableColumn>
    <tableColumn id="6" xr3:uid="{14303F1F-8B53-4728-9697-C64CFA31A5F0}" name="Assumed Contract Value " dataDxfId="34"/>
    <tableColumn id="7" xr3:uid="{7AF56481-D8DE-4B6F-9E63-1A9B738230A0}" name="Is Anniversery" dataDxfId="33">
      <calculatedColumnFormula>Table17[[#This Row],[Time From Valuation]]=INT(Table17[[#This Row],[Time From Valuation]])</calculatedColumnFormula>
    </tableColumn>
    <tableColumn id="8" xr3:uid="{EB1FF057-32EC-4E23-B084-E83219764F4A}" name="Anniversary Value  " dataDxfId="32">
      <calculatedColumnFormula>_xlfn.LET(_xlpm.Anniversery_Value,,Assumed_Contract_Value),IF(Is_Anniversery,Anniversery_Value=Assumed_Contract_Value,0)</calculatedColumnFormula>
    </tableColumn>
    <tableColumn id="9" xr3:uid="{3B0A4327-2993-4040-92BD-724C5405A981}" name="Income Credit Base" dataDxfId="31"/>
    <tableColumn id="10" xr3:uid="{B4D5A58B-6042-4AEA-B2B9-7ABC7B04F417}" name="Income Credit" dataDxfId="30">
      <calculatedColumnFormula>IF(AND(Table17[[#This Row],[Is Activation]]=FALSE,Table17[[#This Row],[Is Anniversery]]=TRUE),Table17[[#This Row],[Income Credit Base]]*ICP,0)</calculatedColumnFormula>
    </tableColumn>
    <tableColumn id="16" xr3:uid="{D694C5A9-3FDB-4819-869D-FAF7DDA45251}" name="Income Base" dataDxfId="29">
      <calculatedColumnFormula>OFFSET(Table17[[#This Row],[Income Base]],-1,0)+Table17[[#This Row],[Purchase Payments]]+OFFSET(Table17[[#This Row],[Income Credit]],-1,0)</calculatedColumnFormula>
    </tableColumn>
    <tableColumn id="17" xr3:uid="{4C51DF31-CDF4-4BA6-BD61-D6D4B110080B}" name="Withdrawal Penalty Before Activation" dataDxfId="28">
      <calculatedColumnFormula>IF(NOT(Table17[[#This Row],[Is Activation]]),(Table17[[#This Row],[Withdrawal Taken  ]]/Table17[[#This Row],[Assumed Contract Value ]]),0)</calculatedColumnFormula>
    </tableColumn>
    <tableColumn id="15" xr3:uid="{19C5C1C9-5DEE-40DB-AB80-13BA0D23FC34}" name="Withdrawal Penalty After Activation" dataDxfId="27">
      <calculatedColumnFormula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calculatedColumnFormula>
    </tableColumn>
    <tableColumn id="12" xr3:uid="{4A97D961-191F-4426-B182-F8FA73BC26F0}" name="Maximum Annual Withdrawal Amount upon Activation" dataDxfId="7" dataCellStyle="Comma">
      <calculatedColumnFormula>IF(NOT(Table17[[#This Row],[Has Lifetime Income Started]]),Table17[[#This Row],[Income Base]]*MAW,0)</calculatedColumnFormula>
    </tableColumn>
    <tableColumn id="13" xr3:uid="{642BCBF9-9F36-4F05-9099-EE436B89ADB8}" name="Protected Income Payment" dataDxfId="5" dataCellStyle="Comma">
      <calculatedColumnFormula>IF(AND(Table17[[#This Row],[Has Lifetime Income Started]],Table17[[#This Row],[Is Anniversery]]),Table17[[#This Row],[Income Base]]*PIP_2,0)</calculatedColumnFormula>
    </tableColumn>
    <tableColumn id="14" xr3:uid="{58E94891-5F64-4491-B07D-20B89DE873A9}" name="Has Lifetime Income Started" dataDxfId="6" dataCellStyle="Comma">
      <calculatedColumnFormula>Table17[[#This Row],[Assumed Contract Value ]]&lt;0.1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FA28F0-407A-4DA8-A159-C9E98EC280BA}" name="TestCases" displayName="TestCases" ref="A1:Q18" totalsRowShown="0" headerRowDxfId="26" tableBorderDxfId="25">
  <autoFilter ref="A1:Q18" xr:uid="{BDFA28F0-407A-4DA8-A159-C9E98EC280BA}"/>
  <tableColumns count="17">
    <tableColumn id="1" xr3:uid="{3C5BCC01-7B15-432D-922A-72E4E8B0F22B}" name="Test" dataDxfId="24"/>
    <tableColumn id="2" xr3:uid="{2698880F-B7BB-4B7E-BFA5-B32A2164B6A7}" name="Test Name" dataDxfId="23"/>
    <tableColumn id="3" xr3:uid="{EBED3377-CFC2-4921-BE73-D69615CCAF9F}" name="Use Base Case" dataDxfId="22"/>
    <tableColumn id="4" xr3:uid="{6EA5DDC6-4E83-4FFA-834B-9D05577DE14B}" name="Valuation Date" dataDxfId="21"/>
    <tableColumn id="5" xr3:uid="{1BF24AF1-6996-4A1A-9CCA-25CAFCFEF34C}" name="Primary Birthdate" dataDxfId="20"/>
    <tableColumn id="6" xr3:uid="{E07AA4A8-87AA-4489-A2EC-B3FA67B99A3A}" name="Primary Gender" dataDxfId="19"/>
    <tableColumn id="7" xr3:uid="{BF50F656-9AA4-45B7-83AF-9AE4ECEC0719}" name="Secondary Birthdate" dataDxfId="18"/>
    <tableColumn id="8" xr3:uid="{CDC8A9F8-7415-4424-9DC7-819994B64A97}" name="Secondary Gender" dataDxfId="17"/>
    <tableColumn id="9" xr3:uid="{BC8BC33A-33FB-4546-A5D2-E39963F580D9}" name="Benefit Effective Date " dataDxfId="16"/>
    <tableColumn id="10" xr3:uid="{68188D4F-D924-4817-9119-A3BA775BD804}" name="Initial Purchase Payment " dataDxfId="15"/>
    <tableColumn id="11" xr3:uid="{35415BB9-6C7D-4EE5-8BDA-6727385A34AC}" name="Withdrawal Activation Date" dataDxfId="14"/>
    <tableColumn id="12" xr3:uid="{AC693910-58B8-46BD-97D2-1E66950819A9}" name="Annuity Income Option" dataDxfId="13"/>
    <tableColumn id="13" xr3:uid="{B9FB4E06-331D-428A-9F46-D7A2B9B5E6E6}" name="Income Credit Percentage " dataDxfId="12"/>
    <tableColumn id="14" xr3:uid="{42BA1DAA-1293-48BA-90CA-561BBC60AA20}" name="Current Income Base" dataDxfId="11"/>
    <tableColumn id="15" xr3:uid="{B816D909-FB67-494D-BA96-9BE5E151A068}" name="Current Income Base Credit" dataDxfId="10"/>
    <tableColumn id="16" xr3:uid="{2DE0EA46-1071-448D-9DE4-5FBF15F7EA0B}" name="Withdrawal Amount" dataDxfId="9"/>
    <tableColumn id="17" xr3:uid="{EACB5392-3CC7-45A7-A45A-3CFE3D54D7A2}" name="Current Contract Value" dataDxfId="8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1" dT="2020-12-19T22:29:29.51" personId="{90F233BC-85A6-4760-A7AF-3F0A27835E7D}" id="{EC4F5A77-39B2-486F-A5C7-9CD410C05C70}">
    <text>2</text>
  </threadedComment>
  <threadedComment ref="G11" dT="2020-12-19T22:29:29.51" personId="{90F233BC-85A6-4760-A7AF-3F0A27835E7D}" id="{822B5339-6A40-4948-A347-1E1CC3CDB763}">
    <text>2</text>
  </threadedComment>
  <threadedComment ref="E12" dT="2020-12-19T22:29:29.51" personId="{90F233BC-85A6-4760-A7AF-3F0A27835E7D}" id="{8A572544-7F3D-409C-BB99-96F1461DA251}">
    <text>2</text>
  </threadedComment>
  <threadedComment ref="G12" dT="2020-12-19T22:29:29.51" personId="{90F233BC-85A6-4760-A7AF-3F0A27835E7D}" id="{24E4D7FF-50C7-4156-8B13-0AD38B7C843F}">
    <text>2</text>
  </threadedComment>
  <threadedComment ref="E15" dT="2020-12-19T22:31:23.93" personId="{90F233BC-85A6-4760-A7AF-3F0A27835E7D}" id="{C20710E4-E65F-4DA4-8079-944C0D3E5014}">
    <text>3</text>
  </threadedComment>
  <threadedComment ref="G15" dT="2020-12-19T22:31:23.93" personId="{90F233BC-85A6-4760-A7AF-3F0A27835E7D}" id="{E1438B1A-208C-4AE8-8827-451A453B4213}">
    <text>3</text>
  </threadedComment>
  <threadedComment ref="E16" dT="2020-12-19T22:31:23.93" personId="{90F233BC-85A6-4760-A7AF-3F0A27835E7D}" id="{15A483A8-E232-42E2-9DD8-1A6EDD1DA730}">
    <text>3</text>
  </threadedComment>
  <threadedComment ref="G16" dT="2020-12-19T22:31:23.93" personId="{90F233BC-85A6-4760-A7AF-3F0A27835E7D}" id="{B785FA58-9277-4E20-9F2D-9CF625E351C4}">
    <text>3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ackage" Target="../embeddings/Microsoft_Word_Document3.docx"/><Relationship Id="rId13" Type="http://schemas.openxmlformats.org/officeDocument/2006/relationships/image" Target="../media/image6.emf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emf"/><Relationship Id="rId12" Type="http://schemas.openxmlformats.org/officeDocument/2006/relationships/package" Target="../embeddings/Microsoft_Word_Document5.docx"/><Relationship Id="rId17" Type="http://schemas.openxmlformats.org/officeDocument/2006/relationships/image" Target="../media/image8.emf"/><Relationship Id="rId2" Type="http://schemas.openxmlformats.org/officeDocument/2006/relationships/drawing" Target="../drawings/drawing2.xml"/><Relationship Id="rId16" Type="http://schemas.openxmlformats.org/officeDocument/2006/relationships/package" Target="../embeddings/Microsoft_Word_Document7.docx"/><Relationship Id="rId1" Type="http://schemas.openxmlformats.org/officeDocument/2006/relationships/printerSettings" Target="../printerSettings/printerSettings4.bin"/><Relationship Id="rId6" Type="http://schemas.openxmlformats.org/officeDocument/2006/relationships/package" Target="../embeddings/Microsoft_Word_Document2.docx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5" Type="http://schemas.openxmlformats.org/officeDocument/2006/relationships/image" Target="../media/image7.emf"/><Relationship Id="rId10" Type="http://schemas.openxmlformats.org/officeDocument/2006/relationships/package" Target="../embeddings/Microsoft_Word_Document4.docx"/><Relationship Id="rId4" Type="http://schemas.openxmlformats.org/officeDocument/2006/relationships/package" Target="../embeddings/Microsoft_Word_Document1.docx"/><Relationship Id="rId9" Type="http://schemas.openxmlformats.org/officeDocument/2006/relationships/image" Target="../media/image4.emf"/><Relationship Id="rId14" Type="http://schemas.openxmlformats.org/officeDocument/2006/relationships/package" Target="../embeddings/Microsoft_Word_Document6.docx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9.emf"/><Relationship Id="rId4" Type="http://schemas.openxmlformats.org/officeDocument/2006/relationships/package" Target="../embeddings/Microsoft_Word_Document8.docx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0.emf"/><Relationship Id="rId4" Type="http://schemas.openxmlformats.org/officeDocument/2006/relationships/package" Target="../embeddings/Microsoft_Word_Document9.docx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2302F-7D29-42AA-B5FE-A74E5682621C}">
  <sheetPr>
    <tabColor theme="5" tint="0.79998168889431442"/>
  </sheetPr>
  <dimension ref="A1"/>
  <sheetViews>
    <sheetView workbookViewId="0">
      <selection activeCell="S25" sqref="S25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r:id="rId5">
            <anchor moveWithCells="1">
              <from>
                <xdr:col>0</xdr:col>
                <xdr:colOff>579120</xdr:colOff>
                <xdr:row>1</xdr:row>
                <xdr:rowOff>60960</xdr:rowOff>
              </from>
              <to>
                <xdr:col>18</xdr:col>
                <xdr:colOff>114300</xdr:colOff>
                <xdr:row>46</xdr:row>
                <xdr:rowOff>175260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514F5-B572-4B40-A28E-1EE9F560A0DB}">
  <dimension ref="A1:AN30"/>
  <sheetViews>
    <sheetView topLeftCell="C8" workbookViewId="0">
      <selection activeCell="O8" sqref="O8:O30"/>
    </sheetView>
  </sheetViews>
  <sheetFormatPr defaultRowHeight="14.4" x14ac:dyDescent="0.3"/>
  <cols>
    <col min="2" max="2" width="36.109375" customWidth="1"/>
    <col min="3" max="3" width="13.109375" customWidth="1"/>
    <col min="4" max="4" width="18.109375" customWidth="1"/>
    <col min="5" max="5" width="12.88671875" customWidth="1"/>
    <col min="6" max="6" width="13.109375" customWidth="1"/>
    <col min="7" max="7" width="11.6640625" customWidth="1"/>
    <col min="8" max="8" width="14.5546875" customWidth="1"/>
    <col min="9" max="9" width="11.88671875" customWidth="1"/>
    <col min="10" max="10" width="14.6640625" customWidth="1"/>
    <col min="11" max="11" width="13.5546875" customWidth="1"/>
    <col min="12" max="12" width="17.6640625" customWidth="1"/>
    <col min="13" max="13" width="19.77734375" customWidth="1"/>
    <col min="14" max="14" width="12.33203125" bestFit="1" customWidth="1"/>
    <col min="15" max="15" width="10.5546875" bestFit="1" customWidth="1"/>
    <col min="16" max="18" width="10.5546875" customWidth="1"/>
    <col min="19" max="19" width="12" customWidth="1"/>
    <col min="20" max="20" width="10.5546875" customWidth="1"/>
    <col min="21" max="21" width="12" customWidth="1"/>
    <col min="22" max="24" width="10.5546875" customWidth="1"/>
    <col min="25" max="25" width="11.88671875" customWidth="1"/>
    <col min="26" max="26" width="11.5546875" bestFit="1" customWidth="1"/>
    <col min="27" max="32" width="10.5546875" customWidth="1"/>
    <col min="33" max="33" width="12.88671875" customWidth="1"/>
    <col min="34" max="35" width="11.5546875" bestFit="1" customWidth="1"/>
    <col min="36" max="36" width="10.5546875" bestFit="1" customWidth="1"/>
    <col min="37" max="37" width="13.6640625" customWidth="1"/>
    <col min="38" max="38" width="11.88671875" customWidth="1"/>
  </cols>
  <sheetData>
    <row r="1" spans="1:40" x14ac:dyDescent="0.3">
      <c r="B1" s="26" t="s">
        <v>20</v>
      </c>
      <c r="C1" t="s">
        <v>3</v>
      </c>
      <c r="D1" s="26" t="s">
        <v>23</v>
      </c>
      <c r="E1" s="26"/>
      <c r="F1" s="31">
        <v>100000</v>
      </c>
      <c r="G1" s="31"/>
    </row>
    <row r="2" spans="1:40" ht="18" x14ac:dyDescent="0.35">
      <c r="B2" s="26" t="s">
        <v>13</v>
      </c>
      <c r="C2" s="27">
        <v>4.5</v>
      </c>
    </row>
    <row r="3" spans="1:40" x14ac:dyDescent="0.3">
      <c r="B3" s="26" t="s">
        <v>17</v>
      </c>
      <c r="C3" s="1">
        <v>5.2499999999999998E-2</v>
      </c>
    </row>
    <row r="4" spans="1:40" x14ac:dyDescent="0.3">
      <c r="B4" s="26" t="s">
        <v>18</v>
      </c>
      <c r="C4">
        <v>65</v>
      </c>
    </row>
    <row r="5" spans="1:40" ht="15" thickBot="1" x14ac:dyDescent="0.35">
      <c r="B5" s="26" t="s">
        <v>19</v>
      </c>
      <c r="C5" s="1">
        <v>6.25E-2</v>
      </c>
    </row>
    <row r="6" spans="1:40" ht="15" thickBot="1" x14ac:dyDescent="0.35">
      <c r="B6" s="26" t="s">
        <v>11</v>
      </c>
      <c r="C6" s="8">
        <v>0.04</v>
      </c>
      <c r="O6" s="76" t="s">
        <v>16</v>
      </c>
      <c r="P6" s="77"/>
      <c r="Q6" s="77"/>
      <c r="R6" s="77"/>
      <c r="S6" s="77"/>
      <c r="T6" s="77"/>
      <c r="U6" s="77"/>
      <c r="V6" s="77"/>
      <c r="W6" s="77"/>
      <c r="X6" s="78"/>
    </row>
    <row r="7" spans="1:40" ht="71.25" customHeight="1" x14ac:dyDescent="0.3">
      <c r="A7" s="38" t="s">
        <v>21</v>
      </c>
      <c r="B7" s="39" t="s">
        <v>22</v>
      </c>
      <c r="C7" s="40" t="s">
        <v>12</v>
      </c>
      <c r="D7" s="40" t="s">
        <v>7</v>
      </c>
      <c r="E7" s="40" t="s">
        <v>24</v>
      </c>
      <c r="F7" s="40" t="s">
        <v>8</v>
      </c>
      <c r="G7" s="40" t="s">
        <v>25</v>
      </c>
      <c r="H7" s="40" t="s">
        <v>9</v>
      </c>
      <c r="I7" s="40" t="s">
        <v>14</v>
      </c>
      <c r="J7" s="40" t="s">
        <v>1</v>
      </c>
      <c r="K7" s="40" t="s">
        <v>0</v>
      </c>
      <c r="L7" s="40" t="s">
        <v>27</v>
      </c>
      <c r="M7" s="40" t="s">
        <v>28</v>
      </c>
      <c r="N7" s="40" t="s">
        <v>4</v>
      </c>
      <c r="O7" s="40" t="s">
        <v>11</v>
      </c>
      <c r="P7" s="41" t="s">
        <v>26</v>
      </c>
      <c r="Q7" s="28" t="s">
        <v>15</v>
      </c>
      <c r="R7" s="30" t="s">
        <v>22</v>
      </c>
      <c r="S7" s="19" t="s">
        <v>12</v>
      </c>
      <c r="T7" s="19" t="s">
        <v>7</v>
      </c>
      <c r="U7" s="19" t="s">
        <v>8</v>
      </c>
      <c r="V7" s="19" t="s">
        <v>9</v>
      </c>
      <c r="W7" s="19" t="s">
        <v>10</v>
      </c>
      <c r="X7" s="19" t="s">
        <v>5</v>
      </c>
      <c r="Y7" s="19" t="s">
        <v>6</v>
      </c>
      <c r="Z7" s="19" t="s">
        <v>4</v>
      </c>
      <c r="AA7" s="20" t="s">
        <v>11</v>
      </c>
      <c r="AB7" s="3"/>
      <c r="AC7" s="3"/>
      <c r="AD7" s="3"/>
      <c r="AE7" s="3"/>
      <c r="AF7" s="3"/>
      <c r="AG7" s="3"/>
      <c r="AI7" s="3" t="s">
        <v>9</v>
      </c>
      <c r="AJ7" s="3" t="s">
        <v>10</v>
      </c>
      <c r="AK7" s="3" t="s">
        <v>5</v>
      </c>
      <c r="AL7" s="3" t="s">
        <v>6</v>
      </c>
      <c r="AM7" s="3" t="s">
        <v>4</v>
      </c>
      <c r="AN7" s="3" t="s">
        <v>11</v>
      </c>
    </row>
    <row r="8" spans="1:40" x14ac:dyDescent="0.3">
      <c r="A8" s="32">
        <v>0</v>
      </c>
      <c r="B8" s="29">
        <f t="shared" ref="B8:B30" si="0">R8</f>
        <v>0</v>
      </c>
      <c r="C8" s="21">
        <f>S8</f>
        <v>100000</v>
      </c>
      <c r="D8" s="21">
        <f>T8</f>
        <v>0</v>
      </c>
      <c r="E8" s="21" t="b">
        <f>Table1[[#This Row],[Time From Valuation]]&gt;=Activation_Time</f>
        <v>0</v>
      </c>
      <c r="F8" s="21">
        <f t="shared" ref="F8:F28" si="1">U8</f>
        <v>100000</v>
      </c>
      <c r="G8" s="21" t="b">
        <f>Table1[[#This Row],[Time From Valuation]]=INT(Table1[[#This Row],[Time From Valuation]])</f>
        <v>1</v>
      </c>
      <c r="H8" s="7">
        <v>0</v>
      </c>
      <c r="I8" s="7">
        <f>Initial_Purchase_Payment</f>
        <v>100000</v>
      </c>
      <c r="J8" s="7">
        <v>0</v>
      </c>
      <c r="K8" s="7">
        <f>Initial_Purchase_Payment</f>
        <v>100000</v>
      </c>
      <c r="L8" s="42">
        <f>IF(NOT(Table1[[#This Row],[Is Activation]]),(Table1[[#This Row],[Withdrawal Taken  ]]/Table1[[#This Row],[Assumed Contract Value ]]),0)</f>
        <v>0</v>
      </c>
      <c r="M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8" s="5">
        <f>IF(NOT(Table1[[#This Row],[Has Lifetime Income Started]]),Table1[[#This Row],[Income Base]]*MAW,0)</f>
        <v>6250</v>
      </c>
      <c r="O8" s="9">
        <f>IF(AND(Table1[[#This Row],[Has Lifetime Income Started]],Table1[[#This Row],[Is Anniversery]]),Table1[[#This Row],[Income Base]]*PIP,0)</f>
        <v>0</v>
      </c>
      <c r="P8" s="33" t="b">
        <f t="shared" ref="P8:P30" si="2">Assumed_Contract_Value2&lt;0.1</f>
        <v>0</v>
      </c>
      <c r="Q8" s="2"/>
      <c r="R8" s="22">
        <v>0</v>
      </c>
      <c r="S8" s="23">
        <v>100000</v>
      </c>
      <c r="T8" s="23">
        <v>0</v>
      </c>
      <c r="U8" s="23">
        <v>100000</v>
      </c>
      <c r="V8" s="12">
        <v>0</v>
      </c>
      <c r="W8" s="11">
        <v>100000</v>
      </c>
      <c r="X8" s="11">
        <v>100000</v>
      </c>
      <c r="Y8" s="11">
        <v>0</v>
      </c>
      <c r="Z8" s="11">
        <v>6250</v>
      </c>
      <c r="AA8" s="14">
        <v>0</v>
      </c>
      <c r="AB8" s="10"/>
      <c r="AC8" s="10"/>
      <c r="AD8" s="10"/>
      <c r="AE8" s="10"/>
      <c r="AF8" s="10"/>
      <c r="AG8" s="10"/>
      <c r="AI8" s="4"/>
      <c r="AJ8" s="4">
        <v>100000</v>
      </c>
      <c r="AK8" s="4">
        <v>100000</v>
      </c>
      <c r="AL8" s="4">
        <v>0</v>
      </c>
      <c r="AM8" s="4">
        <v>6250</v>
      </c>
      <c r="AN8" s="4">
        <v>0</v>
      </c>
    </row>
    <row r="9" spans="1:40" x14ac:dyDescent="0.3">
      <c r="A9" s="32">
        <f>A8+1</f>
        <v>1</v>
      </c>
      <c r="B9" s="29">
        <f t="shared" si="0"/>
        <v>0.5</v>
      </c>
      <c r="C9" s="21">
        <f t="shared" ref="C9:C30" si="3">S9</f>
        <v>60000</v>
      </c>
      <c r="D9" s="21">
        <f t="shared" ref="D9:D30" si="4">T9</f>
        <v>0</v>
      </c>
      <c r="E9" s="21" t="b">
        <f>Table1[[#This Row],[Time From Valuation]]&gt;=Activation_Time</f>
        <v>0</v>
      </c>
      <c r="F9" s="21">
        <f>U9</f>
        <v>165000</v>
      </c>
      <c r="G9" s="21" t="b">
        <f>Table1[[#This Row],[Time From Valuation]]=INT(Table1[[#This Row],[Time From Valuation]])</f>
        <v>0</v>
      </c>
      <c r="H9" s="7">
        <f>IF((Table1[[#This Row],[Is Anniversery]]), Table1[[#This Row],[Assumed Contract Value ]],0)</f>
        <v>0</v>
      </c>
      <c r="I9" s="7">
        <f ca="1">IF(NOT(Table1[[#This Row],[Is Activation]]),OFFSET(Table1[[#This Row],[Income Credit Base]],-1,0)+Table1[[#This Row],[Purchase Payments]]+Table1[[#This Row],[Income Credit]],0)</f>
        <v>160000</v>
      </c>
      <c r="J9" s="7">
        <f ca="1">IF(AND(Table1[[#This Row],[Is Activation]]=FALSE,Table1[[#This Row],[Is Anniversery]]=TRUE),OFFSET(Table1[[#This Row],[Income Credit Base]],-1,0)*ICP,0)</f>
        <v>0</v>
      </c>
      <c r="K9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160000</v>
      </c>
      <c r="L9" s="42">
        <f>IF(NOT(Table1[[#This Row],[Is Activation]]),(Table1[[#This Row],[Withdrawal Taken  ]]/Table1[[#This Row],[Assumed Contract Value ]]),0)</f>
        <v>0</v>
      </c>
      <c r="M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9" s="5">
        <f ca="1">IF(NOT(Table1[[#This Row],[Has Lifetime Income Started]]),Table1[[#This Row],[Income Base]]*MAW,0)</f>
        <v>10000</v>
      </c>
      <c r="O9" s="9">
        <f>IF(AND(Table1[[#This Row],[Has Lifetime Income Started]],Table1[[#This Row],[Is Anniversery]]),Table1[[#This Row],[Income Base]]*PIP,0)</f>
        <v>0</v>
      </c>
      <c r="P9" s="33" t="b">
        <f t="shared" si="2"/>
        <v>0</v>
      </c>
      <c r="Q9" s="2"/>
      <c r="R9" s="22">
        <f>R8+0.5</f>
        <v>0.5</v>
      </c>
      <c r="S9" s="23">
        <v>60000</v>
      </c>
      <c r="T9" s="23">
        <v>0</v>
      </c>
      <c r="U9" s="23">
        <v>165000</v>
      </c>
      <c r="V9" s="12">
        <v>0</v>
      </c>
      <c r="W9" s="11">
        <v>160000</v>
      </c>
      <c r="X9" s="11">
        <v>160000</v>
      </c>
      <c r="Y9" s="11">
        <v>0</v>
      </c>
      <c r="Z9" s="11">
        <v>10000</v>
      </c>
      <c r="AA9" s="14">
        <v>0</v>
      </c>
      <c r="AB9" s="10"/>
      <c r="AC9" s="10"/>
      <c r="AD9" s="10"/>
      <c r="AE9" s="10"/>
      <c r="AF9" s="10"/>
      <c r="AG9" s="10"/>
      <c r="AI9" s="4"/>
      <c r="AJ9" s="4">
        <v>160000</v>
      </c>
      <c r="AK9" s="4">
        <v>160000</v>
      </c>
      <c r="AL9" s="4">
        <v>0</v>
      </c>
      <c r="AM9" s="4">
        <v>10000</v>
      </c>
      <c r="AN9" s="4">
        <v>0</v>
      </c>
    </row>
    <row r="10" spans="1:40" x14ac:dyDescent="0.3">
      <c r="A10" s="32">
        <f t="shared" ref="A10:A30" si="5">A9+1</f>
        <v>2</v>
      </c>
      <c r="B10" s="29">
        <f t="shared" si="0"/>
        <v>1</v>
      </c>
      <c r="C10" s="21">
        <f t="shared" si="3"/>
        <v>0</v>
      </c>
      <c r="D10" s="21">
        <f t="shared" si="4"/>
        <v>0</v>
      </c>
      <c r="E10" s="21" t="b">
        <f>Table1[[#This Row],[Time From Valuation]]&gt;=Activation_Time</f>
        <v>0</v>
      </c>
      <c r="F10" s="21">
        <f t="shared" si="1"/>
        <v>170000</v>
      </c>
      <c r="G10" s="21" t="b">
        <f>Table1[[#This Row],[Time From Valuation]]=INT(Table1[[#This Row],[Time From Valuation]])</f>
        <v>1</v>
      </c>
      <c r="H10" s="7">
        <f>IF((Table1[[#This Row],[Is Anniversery]]), Table1[[#This Row],[Assumed Contract Value ]],0)</f>
        <v>170000</v>
      </c>
      <c r="I10" s="7">
        <f ca="1">IF(NOT(Table1[[#This Row],[Is Activation]]),OFFSET(Table1[[#This Row],[Income Credit Base]],-1,0)+Table1[[#This Row],[Purchase Payments]]+Table1[[#This Row],[Income Credit]],0)</f>
        <v>168400</v>
      </c>
      <c r="J10" s="7">
        <f ca="1">IF(AND(Table1[[#This Row],[Is Activation]]=FALSE,Table1[[#This Row],[Is Anniversery]]=TRUE),OFFSET(Table1[[#This Row],[Income Credit Base]],-1,0)*ICP,0)</f>
        <v>8400</v>
      </c>
      <c r="K10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170000</v>
      </c>
      <c r="L10" s="42">
        <f>IF(NOT(Table1[[#This Row],[Is Activation]]),(Table1[[#This Row],[Withdrawal Taken  ]]/Table1[[#This Row],[Assumed Contract Value ]]),0)</f>
        <v>0</v>
      </c>
      <c r="M1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0" s="5">
        <f ca="1">IF(NOT(Table1[[#This Row],[Has Lifetime Income Started]]),Table1[[#This Row],[Income Base]]*MAW,0)</f>
        <v>10625</v>
      </c>
      <c r="O10" s="9">
        <f>IF(AND(Table1[[#This Row],[Has Lifetime Income Started]],Table1[[#This Row],[Is Anniversery]]),Table1[[#This Row],[Income Base]]*PIP,0)</f>
        <v>0</v>
      </c>
      <c r="P10" s="33" t="b">
        <f t="shared" si="2"/>
        <v>0</v>
      </c>
      <c r="Q10" s="2"/>
      <c r="R10" s="22">
        <f t="shared" ref="R10:R30" si="6">R9+0.5</f>
        <v>1</v>
      </c>
      <c r="S10" s="23">
        <v>0</v>
      </c>
      <c r="T10" s="23">
        <v>0</v>
      </c>
      <c r="U10" s="23">
        <v>170000</v>
      </c>
      <c r="V10" s="12">
        <v>170000</v>
      </c>
      <c r="W10" s="11">
        <v>170000</v>
      </c>
      <c r="X10" s="11">
        <v>170000</v>
      </c>
      <c r="Y10" s="11">
        <v>8400</v>
      </c>
      <c r="Z10" s="11">
        <v>10625</v>
      </c>
      <c r="AA10" s="14">
        <v>0</v>
      </c>
      <c r="AB10" s="10"/>
      <c r="AC10" s="10"/>
      <c r="AD10" s="10"/>
      <c r="AE10" s="10"/>
      <c r="AF10" s="10"/>
      <c r="AG10" s="10"/>
      <c r="AI10" s="4">
        <v>170000</v>
      </c>
      <c r="AJ10" s="4">
        <v>170000</v>
      </c>
      <c r="AK10" s="4">
        <v>170000</v>
      </c>
      <c r="AL10" s="4">
        <v>13912.5</v>
      </c>
      <c r="AM10" s="4">
        <v>10625</v>
      </c>
      <c r="AN10" s="4">
        <v>0</v>
      </c>
    </row>
    <row r="11" spans="1:40" x14ac:dyDescent="0.3">
      <c r="A11" s="32">
        <f t="shared" si="5"/>
        <v>3</v>
      </c>
      <c r="B11" s="29">
        <f t="shared" si="0"/>
        <v>1.5</v>
      </c>
      <c r="C11" s="21">
        <f t="shared" si="3"/>
        <v>90000</v>
      </c>
      <c r="D11" s="21">
        <f t="shared" si="4"/>
        <v>0</v>
      </c>
      <c r="E11" s="21" t="b">
        <f>Table1[[#This Row],[Time From Valuation]]&gt;=Activation_Time</f>
        <v>0</v>
      </c>
      <c r="F11" s="21">
        <f t="shared" si="1"/>
        <v>255000</v>
      </c>
      <c r="G11" s="21" t="b">
        <f>Table1[[#This Row],[Time From Valuation]]=INT(Table1[[#This Row],[Time From Valuation]])</f>
        <v>0</v>
      </c>
      <c r="H11" s="7">
        <f>IF((Table1[[#This Row],[Is Anniversery]]), Table1[[#This Row],[Assumed Contract Value ]],0)</f>
        <v>0</v>
      </c>
      <c r="I11" s="7">
        <f ca="1">IF(NOT(Table1[[#This Row],[Is Activation]]),OFFSET(Table1[[#This Row],[Income Credit Base]],-1,0)+Table1[[#This Row],[Purchase Payments]]+Table1[[#This Row],[Income Credit]],0)</f>
        <v>258400</v>
      </c>
      <c r="J11" s="7">
        <f ca="1">IF(AND(Table1[[#This Row],[Is Activation]]=FALSE,Table1[[#This Row],[Is Anniversery]]=TRUE),OFFSET(Table1[[#This Row],[Income Credit Base]],-1,0)*ICP,0)</f>
        <v>0</v>
      </c>
      <c r="K11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268400</v>
      </c>
      <c r="L11" s="42">
        <f>IF(NOT(Table1[[#This Row],[Is Activation]]),(Table1[[#This Row],[Withdrawal Taken  ]]/Table1[[#This Row],[Assumed Contract Value ]]),0)</f>
        <v>0</v>
      </c>
      <c r="M1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1" s="5">
        <f ca="1">IF(NOT(Table1[[#This Row],[Has Lifetime Income Started]]),Table1[[#This Row],[Income Base]]*MAW,0)</f>
        <v>16775</v>
      </c>
      <c r="O11" s="9">
        <f>IF(AND(Table1[[#This Row],[Has Lifetime Income Started]],Table1[[#This Row],[Is Anniversery]]),Table1[[#This Row],[Income Base]]*PIP,0)</f>
        <v>0</v>
      </c>
      <c r="P11" s="33" t="b">
        <f t="shared" si="2"/>
        <v>0</v>
      </c>
      <c r="Q11" s="2"/>
      <c r="R11" s="22">
        <f t="shared" si="6"/>
        <v>1.5</v>
      </c>
      <c r="S11" s="23">
        <v>90000</v>
      </c>
      <c r="T11" s="23">
        <v>0</v>
      </c>
      <c r="U11" s="23">
        <v>255000</v>
      </c>
      <c r="V11" s="12">
        <v>0</v>
      </c>
      <c r="W11" s="11">
        <v>260000</v>
      </c>
      <c r="X11" s="11">
        <v>260000</v>
      </c>
      <c r="Y11" s="11">
        <v>0</v>
      </c>
      <c r="Z11" s="11">
        <v>16250</v>
      </c>
      <c r="AA11" s="14">
        <v>0</v>
      </c>
      <c r="AB11" s="10"/>
      <c r="AC11" s="10"/>
      <c r="AD11" s="10"/>
      <c r="AE11" s="10"/>
      <c r="AF11" s="10"/>
      <c r="AG11" s="10"/>
      <c r="AI11" s="4"/>
      <c r="AJ11" s="4">
        <v>260000</v>
      </c>
      <c r="AK11" s="4">
        <v>260000</v>
      </c>
      <c r="AL11" s="4">
        <v>0</v>
      </c>
      <c r="AM11" s="4">
        <v>16250</v>
      </c>
      <c r="AN11" s="4">
        <v>0</v>
      </c>
    </row>
    <row r="12" spans="1:40" x14ac:dyDescent="0.3">
      <c r="A12" s="32">
        <f t="shared" si="5"/>
        <v>4</v>
      </c>
      <c r="B12" s="29">
        <f t="shared" si="0"/>
        <v>2</v>
      </c>
      <c r="C12" s="21">
        <f t="shared" si="3"/>
        <v>0</v>
      </c>
      <c r="D12" s="21">
        <f t="shared" si="4"/>
        <v>0</v>
      </c>
      <c r="E12" s="21" t="b">
        <f>Table1[[#This Row],[Time From Valuation]]&gt;=Activation_Time</f>
        <v>0</v>
      </c>
      <c r="F12" s="21">
        <f t="shared" si="1"/>
        <v>287000</v>
      </c>
      <c r="G12" s="21" t="b">
        <f>Table1[[#This Row],[Time From Valuation]]=INT(Table1[[#This Row],[Time From Valuation]])</f>
        <v>1</v>
      </c>
      <c r="H12" s="7">
        <f>IF((Table1[[#This Row],[Is Anniversery]]), Table1[[#This Row],[Assumed Contract Value ]],0)</f>
        <v>287000</v>
      </c>
      <c r="I12" s="7">
        <f ca="1">IF(NOT(Table1[[#This Row],[Is Activation]]),OFFSET(Table1[[#This Row],[Income Credit Base]],-1,0)+Table1[[#This Row],[Purchase Payments]]+Table1[[#This Row],[Income Credit]],0)</f>
        <v>271966</v>
      </c>
      <c r="J12" s="7">
        <f ca="1">IF(AND(Table1[[#This Row],[Is Activation]]=FALSE,Table1[[#This Row],[Is Anniversery]]=TRUE),OFFSET(Table1[[#This Row],[Income Credit Base]],-1,0)*ICP,0)</f>
        <v>13566</v>
      </c>
      <c r="K12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287000</v>
      </c>
      <c r="L12" s="42">
        <f>IF(NOT(Table1[[#This Row],[Is Activation]]),(Table1[[#This Row],[Withdrawal Taken  ]]/Table1[[#This Row],[Assumed Contract Value ]]),0)</f>
        <v>0</v>
      </c>
      <c r="M1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2" s="5">
        <f ca="1">IF(NOT(Table1[[#This Row],[Has Lifetime Income Started]]),Table1[[#This Row],[Income Base]]*MAW,0)</f>
        <v>17937.5</v>
      </c>
      <c r="O12" s="9">
        <f>IF(AND(Table1[[#This Row],[Has Lifetime Income Started]],Table1[[#This Row],[Is Anniversery]]),Table1[[#This Row],[Income Base]]*PIP,0)</f>
        <v>0</v>
      </c>
      <c r="P12" s="33" t="b">
        <f t="shared" si="2"/>
        <v>0</v>
      </c>
      <c r="Q12" s="2"/>
      <c r="R12" s="22">
        <f t="shared" si="6"/>
        <v>2</v>
      </c>
      <c r="S12" s="23">
        <v>0</v>
      </c>
      <c r="T12" s="23">
        <v>0</v>
      </c>
      <c r="U12" s="23">
        <v>287000</v>
      </c>
      <c r="V12" s="12">
        <v>287000</v>
      </c>
      <c r="W12" s="11">
        <v>287000</v>
      </c>
      <c r="X12" s="11">
        <v>287000</v>
      </c>
      <c r="Y12" s="11">
        <v>13650</v>
      </c>
      <c r="Z12" s="11">
        <v>17938</v>
      </c>
      <c r="AA12" s="14">
        <v>0</v>
      </c>
      <c r="AB12" s="10"/>
      <c r="AC12" s="10"/>
      <c r="AD12" s="10"/>
      <c r="AE12" s="10"/>
      <c r="AF12" s="10"/>
      <c r="AG12" s="10"/>
      <c r="AI12" s="4">
        <v>287000</v>
      </c>
      <c r="AJ12" s="4">
        <v>287000</v>
      </c>
      <c r="AK12" s="4">
        <v>287000</v>
      </c>
      <c r="AL12" s="4">
        <v>36225</v>
      </c>
      <c r="AM12" s="4">
        <v>17937.5</v>
      </c>
      <c r="AN12" s="4">
        <v>0</v>
      </c>
    </row>
    <row r="13" spans="1:40" x14ac:dyDescent="0.3">
      <c r="A13" s="32">
        <f t="shared" si="5"/>
        <v>5</v>
      </c>
      <c r="B13" s="29">
        <f>R13</f>
        <v>2.5</v>
      </c>
      <c r="C13" s="21">
        <f t="shared" si="3"/>
        <v>0</v>
      </c>
      <c r="D13" s="21">
        <f t="shared" si="4"/>
        <v>0</v>
      </c>
      <c r="E13" s="21" t="b">
        <f>Table1[[#This Row],[Time From Valuation]]&gt;=Activation_Time</f>
        <v>0</v>
      </c>
      <c r="F13" s="21">
        <f t="shared" si="1"/>
        <v>287000</v>
      </c>
      <c r="G13" s="21" t="b">
        <f>Table1[[#This Row],[Time From Valuation]]=INT(Table1[[#This Row],[Time From Valuation]])</f>
        <v>0</v>
      </c>
      <c r="H13" s="7">
        <f>IF((Table1[[#This Row],[Is Anniversery]]), Table1[[#This Row],[Assumed Contract Value ]],0)</f>
        <v>0</v>
      </c>
      <c r="I13" s="7">
        <f ca="1">IF(NOT(Table1[[#This Row],[Is Activation]]),OFFSET(Table1[[#This Row],[Income Credit Base]],-1,0)+Table1[[#This Row],[Purchase Payments]]+Table1[[#This Row],[Income Credit]],0)</f>
        <v>271966</v>
      </c>
      <c r="J13" s="7">
        <f ca="1">IF(AND(Table1[[#This Row],[Is Activation]]=FALSE,Table1[[#This Row],[Is Anniversery]]=TRUE),OFFSET(Table1[[#This Row],[Income Credit Base]],-1,0)*ICP,0)</f>
        <v>0</v>
      </c>
      <c r="K13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300566</v>
      </c>
      <c r="L13" s="42">
        <f>IF(NOT(Table1[[#This Row],[Is Activation]]),(Table1[[#This Row],[Withdrawal Taken  ]]/Table1[[#This Row],[Assumed Contract Value ]]),0)</f>
        <v>0</v>
      </c>
      <c r="M1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3" s="5">
        <f ca="1">IF(NOT(Table1[[#This Row],[Has Lifetime Income Started]]),Table1[[#This Row],[Income Base]]*MAW,0)</f>
        <v>18785.375</v>
      </c>
      <c r="O13" s="9">
        <f>IF(AND(Table1[[#This Row],[Has Lifetime Income Started]],Table1[[#This Row],[Is Anniversery]]),Table1[[#This Row],[Income Base]]*PIP,0)</f>
        <v>0</v>
      </c>
      <c r="P13" s="33" t="b">
        <f t="shared" si="2"/>
        <v>0</v>
      </c>
      <c r="Q13" s="2"/>
      <c r="R13" s="22">
        <f t="shared" si="6"/>
        <v>2.5</v>
      </c>
      <c r="S13" s="23">
        <v>0</v>
      </c>
      <c r="T13" s="23">
        <v>0</v>
      </c>
      <c r="U13" s="23">
        <v>287000</v>
      </c>
      <c r="V13" s="13">
        <v>0</v>
      </c>
      <c r="W13" s="11">
        <v>287000</v>
      </c>
      <c r="X13" s="11">
        <v>287000</v>
      </c>
      <c r="Y13" s="11">
        <v>0</v>
      </c>
      <c r="Z13" s="11">
        <v>17938</v>
      </c>
      <c r="AA13" s="14">
        <v>0</v>
      </c>
      <c r="AB13" s="10"/>
      <c r="AC13" s="10"/>
      <c r="AD13" s="10"/>
      <c r="AE13" s="10"/>
      <c r="AF13" s="10"/>
      <c r="AG13" s="10"/>
      <c r="AI13" s="4">
        <f>AI12</f>
        <v>287000</v>
      </c>
      <c r="AJ13" s="4">
        <f t="shared" ref="AJ13:AM13" si="7">AJ12</f>
        <v>287000</v>
      </c>
      <c r="AK13" s="4">
        <f t="shared" si="7"/>
        <v>287000</v>
      </c>
      <c r="AL13" s="4">
        <f t="shared" si="7"/>
        <v>36225</v>
      </c>
      <c r="AM13" s="4">
        <f t="shared" si="7"/>
        <v>17937.5</v>
      </c>
      <c r="AN13" s="4">
        <v>0</v>
      </c>
    </row>
    <row r="14" spans="1:40" x14ac:dyDescent="0.3">
      <c r="A14" s="32">
        <f t="shared" si="5"/>
        <v>6</v>
      </c>
      <c r="B14" s="29">
        <f t="shared" si="0"/>
        <v>3</v>
      </c>
      <c r="C14" s="21">
        <f t="shared" si="3"/>
        <v>0</v>
      </c>
      <c r="D14" s="21">
        <f t="shared" si="4"/>
        <v>0</v>
      </c>
      <c r="E14" s="21" t="b">
        <f>Table1[[#This Row],[Time From Valuation]]&gt;=Activation_Time</f>
        <v>0</v>
      </c>
      <c r="F14" s="21">
        <f t="shared" si="1"/>
        <v>300000</v>
      </c>
      <c r="G14" s="21" t="b">
        <f>Table1[[#This Row],[Time From Valuation]]=INT(Table1[[#This Row],[Time From Valuation]])</f>
        <v>1</v>
      </c>
      <c r="H14" s="7">
        <f>IF((Table1[[#This Row],[Is Anniversery]]), Table1[[#This Row],[Assumed Contract Value ]],0)</f>
        <v>300000</v>
      </c>
      <c r="I14" s="7">
        <f ca="1">IF(NOT(Table1[[#This Row],[Is Activation]]),OFFSET(Table1[[#This Row],[Income Credit Base]],-1,0)+Table1[[#This Row],[Purchase Payments]]+Table1[[#This Row],[Income Credit]],0)</f>
        <v>286244.21500000003</v>
      </c>
      <c r="J14" s="7">
        <f ca="1">IF(AND(Table1[[#This Row],[Is Activation]]=FALSE,Table1[[#This Row],[Is Anniversery]]=TRUE),OFFSET(Table1[[#This Row],[Income Credit Base]],-1,0)*ICP,0)</f>
        <v>14278.215</v>
      </c>
      <c r="K14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300566</v>
      </c>
      <c r="L14" s="42">
        <f>IF(NOT(Table1[[#This Row],[Is Activation]]),(Table1[[#This Row],[Withdrawal Taken  ]]/Table1[[#This Row],[Assumed Contract Value ]]),0)</f>
        <v>0</v>
      </c>
      <c r="M1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4" s="5">
        <f ca="1">IF(NOT(Table1[[#This Row],[Has Lifetime Income Started]]),Table1[[#This Row],[Income Base]]*MAW,0)</f>
        <v>18785.375</v>
      </c>
      <c r="O14" s="9">
        <f>IF(AND(Table1[[#This Row],[Has Lifetime Income Started]],Table1[[#This Row],[Is Anniversery]]),Table1[[#This Row],[Income Base]]*PIP,0)</f>
        <v>0</v>
      </c>
      <c r="P14" s="33" t="b">
        <f t="shared" si="2"/>
        <v>0</v>
      </c>
      <c r="Q14" s="2"/>
      <c r="R14" s="22">
        <f t="shared" si="6"/>
        <v>3</v>
      </c>
      <c r="S14" s="23">
        <v>0</v>
      </c>
      <c r="T14" s="23">
        <v>0</v>
      </c>
      <c r="U14" s="23">
        <v>300000</v>
      </c>
      <c r="V14" s="12">
        <v>300000</v>
      </c>
      <c r="W14" s="11">
        <v>302068</v>
      </c>
      <c r="X14" s="11">
        <v>287000</v>
      </c>
      <c r="Y14" s="11">
        <v>15068</v>
      </c>
      <c r="Z14" s="11">
        <v>18879</v>
      </c>
      <c r="AA14" s="14">
        <v>0</v>
      </c>
      <c r="AB14" s="10"/>
      <c r="AC14" s="10"/>
      <c r="AD14" s="10"/>
      <c r="AE14" s="10"/>
      <c r="AF14" s="10"/>
      <c r="AG14" s="10"/>
      <c r="AI14" s="4">
        <v>300000</v>
      </c>
      <c r="AJ14" s="4">
        <v>302067.5</v>
      </c>
      <c r="AK14" s="4">
        <v>287000</v>
      </c>
      <c r="AL14" s="4">
        <v>15067.5</v>
      </c>
      <c r="AM14" s="4">
        <v>18879.21875</v>
      </c>
      <c r="AN14" s="4">
        <v>0</v>
      </c>
    </row>
    <row r="15" spans="1:40" x14ac:dyDescent="0.3">
      <c r="A15" s="32">
        <f t="shared" si="5"/>
        <v>7</v>
      </c>
      <c r="B15" s="29">
        <f t="shared" si="0"/>
        <v>3.5</v>
      </c>
      <c r="C15" s="21">
        <f t="shared" si="3"/>
        <v>0</v>
      </c>
      <c r="D15" s="21">
        <f t="shared" si="4"/>
        <v>5000</v>
      </c>
      <c r="E15" s="21" t="b">
        <f>Table1[[#This Row],[Time From Valuation]]&gt;=Activation_Time</f>
        <v>0</v>
      </c>
      <c r="F15" s="21">
        <f t="shared" si="1"/>
        <v>305000</v>
      </c>
      <c r="G15" s="21" t="b">
        <f>Table1[[#This Row],[Time From Valuation]]=INT(Table1[[#This Row],[Time From Valuation]])</f>
        <v>0</v>
      </c>
      <c r="H15" s="7">
        <f>IF((Table1[[#This Row],[Is Anniversery]]), Table1[[#This Row],[Assumed Contract Value ]],0)</f>
        <v>0</v>
      </c>
      <c r="I15" s="7">
        <f ca="1">IF(NOT(Table1[[#This Row],[Is Activation]]),OFFSET(Table1[[#This Row],[Income Credit Base]],-1,0)+Table1[[#This Row],[Purchase Payments]]+Table1[[#This Row],[Income Credit]],0)</f>
        <v>286244.21500000003</v>
      </c>
      <c r="J15" s="7">
        <f ca="1">IF(AND(Table1[[#This Row],[Is Activation]]=FALSE,Table1[[#This Row],[Is Anniversery]]=TRUE),OFFSET(Table1[[#This Row],[Income Credit Base]],-1,0)*ICP,0)</f>
        <v>0</v>
      </c>
      <c r="K15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309926.18221311481</v>
      </c>
      <c r="L15" s="42">
        <f>IF(NOT(Table1[[#This Row],[Is Activation]]),(Table1[[#This Row],[Withdrawal Taken  ]]/Table1[[#This Row],[Assumed Contract Value ]]),0)</f>
        <v>1.6393442622950821E-2</v>
      </c>
      <c r="M1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5" s="5">
        <f ca="1">IF(NOT(Table1[[#This Row],[Has Lifetime Income Started]]),Table1[[#This Row],[Income Base]]*MAW,0)</f>
        <v>19370.386388319675</v>
      </c>
      <c r="O15" s="9">
        <f>IF(AND(Table1[[#This Row],[Has Lifetime Income Started]],Table1[[#This Row],[Is Anniversery]]),Table1[[#This Row],[Income Base]]*PIP,0)</f>
        <v>0</v>
      </c>
      <c r="P15" s="33" t="b">
        <f t="shared" si="2"/>
        <v>0</v>
      </c>
      <c r="Q15" s="2"/>
      <c r="R15" s="22">
        <f t="shared" si="6"/>
        <v>3.5</v>
      </c>
      <c r="S15" s="23">
        <v>0</v>
      </c>
      <c r="T15" s="23">
        <v>5000</v>
      </c>
      <c r="U15" s="23">
        <v>305000</v>
      </c>
      <c r="V15" s="12">
        <v>0</v>
      </c>
      <c r="W15" s="11">
        <v>297116</v>
      </c>
      <c r="X15" s="11">
        <v>282295</v>
      </c>
      <c r="Y15" s="11">
        <v>0</v>
      </c>
      <c r="Z15" s="11">
        <v>18570</v>
      </c>
      <c r="AA15" s="14">
        <v>0</v>
      </c>
      <c r="AB15" s="10"/>
      <c r="AC15" s="10"/>
      <c r="AD15" s="10"/>
      <c r="AE15" s="10"/>
      <c r="AF15" s="10"/>
      <c r="AG15" s="10"/>
      <c r="AI15" s="4"/>
      <c r="AJ15" s="4">
        <v>297115.57377049181</v>
      </c>
      <c r="AK15" s="4">
        <v>282295.08196721313</v>
      </c>
      <c r="AL15" s="4">
        <v>0</v>
      </c>
      <c r="AM15" s="4">
        <v>18569.723360655738</v>
      </c>
      <c r="AN15" s="4">
        <v>0</v>
      </c>
    </row>
    <row r="16" spans="1:40" x14ac:dyDescent="0.3">
      <c r="A16" s="32">
        <f t="shared" si="5"/>
        <v>8</v>
      </c>
      <c r="B16" s="29">
        <f t="shared" si="0"/>
        <v>4</v>
      </c>
      <c r="C16" s="21">
        <f t="shared" si="3"/>
        <v>0</v>
      </c>
      <c r="D16" s="21">
        <f t="shared" si="4"/>
        <v>0</v>
      </c>
      <c r="E16" s="21" t="b">
        <f>Table1[[#This Row],[Time From Valuation]]&gt;=Activation_Time</f>
        <v>0</v>
      </c>
      <c r="F16" s="21">
        <f t="shared" si="1"/>
        <v>312000</v>
      </c>
      <c r="G16" s="21" t="b">
        <f>Table1[[#This Row],[Time From Valuation]]=INT(Table1[[#This Row],[Time From Valuation]])</f>
        <v>1</v>
      </c>
      <c r="H16" s="7">
        <f>IF((Table1[[#This Row],[Is Anniversery]]), Table1[[#This Row],[Assumed Contract Value ]],0)</f>
        <v>312000</v>
      </c>
      <c r="I16" s="7">
        <f ca="1">IF(NOT(Table1[[#This Row],[Is Activation]]),OFFSET(Table1[[#This Row],[Income Credit Base]],-1,0)+Table1[[#This Row],[Purchase Payments]]+Table1[[#This Row],[Income Credit]],0)</f>
        <v>301272.0362875</v>
      </c>
      <c r="J16" s="7">
        <f ca="1">IF(AND(Table1[[#This Row],[Is Activation]]=FALSE,Table1[[#This Row],[Is Anniversery]]=TRUE),OFFSET(Table1[[#This Row],[Income Credit Base]],-1,0)*ICP,0)</f>
        <v>15027.821287500001</v>
      </c>
      <c r="K16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312000</v>
      </c>
      <c r="L16" s="42">
        <f>IF(NOT(Table1[[#This Row],[Is Activation]]),(Table1[[#This Row],[Withdrawal Taken  ]]/Table1[[#This Row],[Assumed Contract Value ]]),0)</f>
        <v>0</v>
      </c>
      <c r="M1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6" s="5">
        <f ca="1">IF(NOT(Table1[[#This Row],[Has Lifetime Income Started]]),Table1[[#This Row],[Income Base]]*MAW,0)</f>
        <v>19500</v>
      </c>
      <c r="O16" s="9">
        <f>IF(AND(Table1[[#This Row],[Has Lifetime Income Started]],Table1[[#This Row],[Is Anniversery]]),Table1[[#This Row],[Income Base]]*PIP,0)</f>
        <v>0</v>
      </c>
      <c r="P16" s="33" t="b">
        <f t="shared" si="2"/>
        <v>0</v>
      </c>
      <c r="Q16" s="2"/>
      <c r="R16" s="22">
        <f t="shared" si="6"/>
        <v>4</v>
      </c>
      <c r="S16" s="23">
        <v>0</v>
      </c>
      <c r="T16" s="23">
        <v>0</v>
      </c>
      <c r="U16" s="23">
        <v>312000</v>
      </c>
      <c r="V16" s="12">
        <v>312000</v>
      </c>
      <c r="W16" s="11">
        <v>312000</v>
      </c>
      <c r="X16" s="11">
        <v>312000</v>
      </c>
      <c r="Y16" s="11">
        <v>14820</v>
      </c>
      <c r="Z16" s="11">
        <v>19500</v>
      </c>
      <c r="AA16" s="14">
        <v>0</v>
      </c>
      <c r="AB16" s="10"/>
      <c r="AC16" s="10"/>
      <c r="AD16" s="10"/>
      <c r="AE16" s="10"/>
      <c r="AF16" s="10"/>
      <c r="AG16" s="10"/>
      <c r="AI16" s="4">
        <v>312000</v>
      </c>
      <c r="AJ16" s="4">
        <v>312000</v>
      </c>
      <c r="AK16" s="4">
        <v>312000</v>
      </c>
      <c r="AL16" s="4">
        <v>14820.491803278688</v>
      </c>
      <c r="AM16" s="4">
        <v>19500</v>
      </c>
      <c r="AN16" s="4">
        <v>0</v>
      </c>
    </row>
    <row r="17" spans="1:40" x14ac:dyDescent="0.3">
      <c r="A17" s="32">
        <f t="shared" si="5"/>
        <v>9</v>
      </c>
      <c r="B17" s="29">
        <f t="shared" si="0"/>
        <v>4.5</v>
      </c>
      <c r="C17" s="21">
        <f t="shared" si="3"/>
        <v>0</v>
      </c>
      <c r="D17" s="21">
        <f t="shared" si="4"/>
        <v>19500</v>
      </c>
      <c r="E17" s="21" t="b">
        <f>Table1[[#This Row],[Time From Valuation]]&gt;=Activation_Time</f>
        <v>1</v>
      </c>
      <c r="F17" s="21">
        <f t="shared" si="1"/>
        <v>302000</v>
      </c>
      <c r="G17" s="21" t="b">
        <f>Table1[[#This Row],[Time From Valuation]]=INT(Table1[[#This Row],[Time From Valuation]])</f>
        <v>0</v>
      </c>
      <c r="H17" s="7">
        <f>IF((Table1[[#This Row],[Is Anniversery]]), Table1[[#This Row],[Assumed Contract Value ]],0)</f>
        <v>0</v>
      </c>
      <c r="I17" s="7">
        <f ca="1">IF(NOT(Table1[[#This Row],[Is Activation]]),OFFSET(Table1[[#This Row],[Income Credit Base]],-1,0)+Table1[[#This Row],[Purchase Payments]]+Table1[[#This Row],[Income Credit]],0)</f>
        <v>0</v>
      </c>
      <c r="J17" s="7">
        <f>IF(AND(Table1[[#This Row],[Is Activation]]=FALSE,Table1[[#This Row],[Is Anniversery]]=TRUE),Table1[[#This Row],[Income Credit Base]]*ICP,0)</f>
        <v>0</v>
      </c>
      <c r="K17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307527.82128749997</v>
      </c>
      <c r="L17" s="42">
        <f>IF(NOT(Table1[[#This Row],[Is Activation]]),(Table1[[#This Row],[Withdrawal Taken  ]]/Table1[[#This Row],[Assumed Contract Value ]]),0)</f>
        <v>0</v>
      </c>
      <c r="M1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8.9586913311298611E-4</v>
      </c>
      <c r="N17" s="5">
        <f ca="1">IF(NOT(Table1[[#This Row],[Has Lifetime Income Started]]),Table1[[#This Row],[Income Base]]*MAW,0)</f>
        <v>19220.488830468748</v>
      </c>
      <c r="O17" s="9">
        <f>IF(AND(Table1[[#This Row],[Has Lifetime Income Started]],Table1[[#This Row],[Is Anniversery]]),Table1[[#This Row],[Income Base]]*PIP,0)</f>
        <v>0</v>
      </c>
      <c r="P17" s="33" t="b">
        <f t="shared" si="2"/>
        <v>0</v>
      </c>
      <c r="Q17" s="2"/>
      <c r="R17" s="22">
        <f t="shared" si="6"/>
        <v>4.5</v>
      </c>
      <c r="S17" s="23">
        <v>0</v>
      </c>
      <c r="T17" s="23">
        <v>19500</v>
      </c>
      <c r="U17" s="23">
        <v>302000</v>
      </c>
      <c r="V17" s="13">
        <v>0</v>
      </c>
      <c r="W17" s="11">
        <v>312000</v>
      </c>
      <c r="X17" s="5">
        <v>0</v>
      </c>
      <c r="Y17" s="5">
        <v>0</v>
      </c>
      <c r="Z17" s="11">
        <v>19500</v>
      </c>
      <c r="AA17" s="14">
        <v>0</v>
      </c>
      <c r="AB17" s="10"/>
      <c r="AC17" s="10"/>
      <c r="AD17" s="10"/>
      <c r="AE17" s="10"/>
      <c r="AF17" s="10"/>
      <c r="AG17" s="10"/>
      <c r="AI17" s="4"/>
      <c r="AJ17" s="4">
        <v>312000</v>
      </c>
      <c r="AK17" s="4"/>
      <c r="AL17" s="4"/>
      <c r="AM17" s="4">
        <v>19500</v>
      </c>
      <c r="AN17" s="4">
        <v>0</v>
      </c>
    </row>
    <row r="18" spans="1:40" x14ac:dyDescent="0.3">
      <c r="A18" s="32">
        <f t="shared" si="5"/>
        <v>10</v>
      </c>
      <c r="B18" s="29">
        <f t="shared" si="0"/>
        <v>5</v>
      </c>
      <c r="C18" s="21">
        <f t="shared" si="3"/>
        <v>0</v>
      </c>
      <c r="D18" s="21">
        <f t="shared" si="4"/>
        <v>0</v>
      </c>
      <c r="E18" s="21" t="b">
        <f>Table1[[#This Row],[Time From Valuation]]&gt;=Activation_Time</f>
        <v>1</v>
      </c>
      <c r="F18" s="21">
        <f t="shared" si="1"/>
        <v>305000</v>
      </c>
      <c r="G18" s="21" t="b">
        <f>Table1[[#This Row],[Time From Valuation]]=INT(Table1[[#This Row],[Time From Valuation]])</f>
        <v>1</v>
      </c>
      <c r="H18" s="7">
        <f>IF((Table1[[#This Row],[Is Anniversery]]), Table1[[#This Row],[Assumed Contract Value ]],0)</f>
        <v>305000</v>
      </c>
      <c r="I18" s="7">
        <f ca="1">IF(NOT(Table1[[#This Row],[Is Activation]]),OFFSET(Table1[[#This Row],[Income Credit Base]],-1,0)+Table1[[#This Row],[Purchase Payments]]+Table1[[#This Row],[Income Credit]],0)</f>
        <v>0</v>
      </c>
      <c r="J18" s="7">
        <f>IF(AND(Table1[[#This Row],[Is Activation]]=FALSE,Table1[[#This Row],[Is Anniversery]]=TRUE),Table1[[#This Row],[Income Credit Base]]*ICP,0)</f>
        <v>0</v>
      </c>
      <c r="K18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307527.82128749997</v>
      </c>
      <c r="L18" s="42">
        <f>IF(NOT(Table1[[#This Row],[Is Activation]]),(Table1[[#This Row],[Withdrawal Taken  ]]/Table1[[#This Row],[Assumed Contract Value ]]),0)</f>
        <v>0</v>
      </c>
      <c r="M1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18" s="5">
        <f ca="1">IF(NOT(Table1[[#This Row],[Has Lifetime Income Started]]),Table1[[#This Row],[Income Base]]*MAW,0)</f>
        <v>19220.488830468748</v>
      </c>
      <c r="O18" s="9">
        <f>IF(AND(Table1[[#This Row],[Has Lifetime Income Started]],Table1[[#This Row],[Is Anniversery]]),Table1[[#This Row],[Income Base]]*PIP,0)</f>
        <v>0</v>
      </c>
      <c r="P18" s="33" t="b">
        <f t="shared" si="2"/>
        <v>0</v>
      </c>
      <c r="Q18" s="2"/>
      <c r="R18" s="22">
        <f t="shared" si="6"/>
        <v>5</v>
      </c>
      <c r="S18" s="23">
        <v>0</v>
      </c>
      <c r="T18" s="23">
        <v>0</v>
      </c>
      <c r="U18" s="23">
        <v>305000</v>
      </c>
      <c r="V18" s="12">
        <v>305000</v>
      </c>
      <c r="W18" s="11">
        <v>312000</v>
      </c>
      <c r="X18" s="5">
        <v>0</v>
      </c>
      <c r="Y18" s="5">
        <v>0</v>
      </c>
      <c r="Z18" s="11">
        <v>19500</v>
      </c>
      <c r="AA18" s="14">
        <v>0</v>
      </c>
      <c r="AB18" s="10"/>
      <c r="AC18" s="6"/>
      <c r="AD18" s="10"/>
      <c r="AE18" s="10"/>
      <c r="AF18" s="10"/>
      <c r="AG18" s="10"/>
      <c r="AI18" s="4">
        <v>305000</v>
      </c>
      <c r="AJ18" s="4">
        <v>312000</v>
      </c>
      <c r="AK18" s="4"/>
      <c r="AL18" s="4"/>
      <c r="AM18" s="4">
        <v>19500</v>
      </c>
      <c r="AN18" s="4">
        <v>0</v>
      </c>
    </row>
    <row r="19" spans="1:40" x14ac:dyDescent="0.3">
      <c r="A19" s="32">
        <f t="shared" si="5"/>
        <v>11</v>
      </c>
      <c r="B19" s="29">
        <f t="shared" si="0"/>
        <v>5.5</v>
      </c>
      <c r="C19" s="21">
        <f t="shared" si="3"/>
        <v>0</v>
      </c>
      <c r="D19" s="21">
        <f t="shared" si="4"/>
        <v>24960</v>
      </c>
      <c r="E19" s="21" t="b">
        <f>Table1[[#This Row],[Time From Valuation]]&gt;=Activation_Time</f>
        <v>1</v>
      </c>
      <c r="F19" s="21">
        <f t="shared" si="1"/>
        <v>280000</v>
      </c>
      <c r="G19" s="21" t="b">
        <f>Table1[[#This Row],[Time From Valuation]]=INT(Table1[[#This Row],[Time From Valuation]])</f>
        <v>0</v>
      </c>
      <c r="H19" s="7">
        <f>IF((Table1[[#This Row],[Is Anniversery]]), Table1[[#This Row],[Assumed Contract Value ]],0)</f>
        <v>0</v>
      </c>
      <c r="I19" s="7">
        <f ca="1">IF(NOT(Table1[[#This Row],[Is Activation]]),OFFSET(Table1[[#This Row],[Income Credit Base]],-1,0)+Table1[[#This Row],[Purchase Payments]]+Table1[[#This Row],[Income Credit]],0)</f>
        <v>0</v>
      </c>
      <c r="J19" s="7">
        <f>IF(AND(Table1[[#This Row],[Is Activation]]=FALSE,Table1[[#This Row],[Is Anniversery]]=TRUE),Table1[[#This Row],[Income Credit Base]]*ICP,0)</f>
        <v>0</v>
      </c>
      <c r="K19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282567.82128749997</v>
      </c>
      <c r="L19" s="42">
        <f>IF(NOT(Table1[[#This Row],[Is Activation]]),(Table1[[#This Row],[Withdrawal Taken  ]]/Table1[[#This Row],[Assumed Contract Value ]]),0)</f>
        <v>0</v>
      </c>
      <c r="M1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2.3932823506659841E-2</v>
      </c>
      <c r="N19" s="5">
        <f ca="1">IF(NOT(Table1[[#This Row],[Has Lifetime Income Started]]),Table1[[#This Row],[Income Base]]*MAW,0)</f>
        <v>17660.488830468748</v>
      </c>
      <c r="O19" s="9">
        <f>IF(AND(Table1[[#This Row],[Has Lifetime Income Started]],Table1[[#This Row],[Is Anniversery]]),Table1[[#This Row],[Income Base]]*PIP,0)</f>
        <v>0</v>
      </c>
      <c r="P19" s="33" t="b">
        <f t="shared" si="2"/>
        <v>0</v>
      </c>
      <c r="Q19" s="2"/>
      <c r="R19" s="22">
        <f t="shared" si="6"/>
        <v>5.5</v>
      </c>
      <c r="S19" s="23">
        <v>0</v>
      </c>
      <c r="T19" s="23">
        <v>24960</v>
      </c>
      <c r="U19" s="23">
        <v>280000</v>
      </c>
      <c r="V19" s="12">
        <v>0</v>
      </c>
      <c r="W19" s="11">
        <v>306033</v>
      </c>
      <c r="X19" s="5">
        <v>0</v>
      </c>
      <c r="Y19" s="5">
        <v>0</v>
      </c>
      <c r="Z19" s="11">
        <v>19127</v>
      </c>
      <c r="AA19" s="14">
        <v>0</v>
      </c>
      <c r="AC19" s="10"/>
      <c r="AD19" s="10"/>
      <c r="AE19" s="10"/>
      <c r="AF19" s="10"/>
      <c r="AG19" s="10"/>
      <c r="AI19" s="4" t="s">
        <v>2</v>
      </c>
      <c r="AJ19" s="4">
        <v>306033</v>
      </c>
      <c r="AK19" s="4"/>
      <c r="AL19" s="4"/>
      <c r="AM19" s="4">
        <v>19127</v>
      </c>
      <c r="AN19" s="4">
        <v>0</v>
      </c>
    </row>
    <row r="20" spans="1:40" x14ac:dyDescent="0.3">
      <c r="A20" s="32">
        <f t="shared" si="5"/>
        <v>12</v>
      </c>
      <c r="B20" s="29">
        <f t="shared" si="0"/>
        <v>6</v>
      </c>
      <c r="C20" s="21">
        <f t="shared" si="3"/>
        <v>0</v>
      </c>
      <c r="D20" s="21">
        <f t="shared" si="4"/>
        <v>0</v>
      </c>
      <c r="E20" s="21" t="b">
        <f>Table1[[#This Row],[Time From Valuation]]&gt;=Activation_Time</f>
        <v>1</v>
      </c>
      <c r="F20" s="21">
        <f t="shared" si="1"/>
        <v>290000</v>
      </c>
      <c r="G20" s="21" t="b">
        <f>Table1[[#This Row],[Time From Valuation]]=INT(Table1[[#This Row],[Time From Valuation]])</f>
        <v>1</v>
      </c>
      <c r="H20" s="7">
        <f>IF((Table1[[#This Row],[Is Anniversery]]), Table1[[#This Row],[Assumed Contract Value ]],0)</f>
        <v>290000</v>
      </c>
      <c r="I20" s="7">
        <f ca="1">IF(NOT(Table1[[#This Row],[Is Activation]]),OFFSET(Table1[[#This Row],[Income Credit Base]],-1,0)+Table1[[#This Row],[Purchase Payments]]+Table1[[#This Row],[Income Credit]],0)</f>
        <v>0</v>
      </c>
      <c r="J20" s="7">
        <f>IF(AND(Table1[[#This Row],[Is Activation]]=FALSE,Table1[[#This Row],[Is Anniversery]]=TRUE),Table1[[#This Row],[Income Credit Base]]*ICP,0)</f>
        <v>0</v>
      </c>
      <c r="K20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290000</v>
      </c>
      <c r="L20" s="42">
        <f>IF(NOT(Table1[[#This Row],[Is Activation]]),(Table1[[#This Row],[Withdrawal Taken  ]]/Table1[[#This Row],[Assumed Contract Value ]]),0)</f>
        <v>0</v>
      </c>
      <c r="M2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0" s="5">
        <f ca="1">IF(NOT(Table1[[#This Row],[Has Lifetime Income Started]]),Table1[[#This Row],[Income Base]]*MAW,0)</f>
        <v>18125</v>
      </c>
      <c r="O20" s="9">
        <f>IF(AND(Table1[[#This Row],[Has Lifetime Income Started]],Table1[[#This Row],[Is Anniversery]]),Table1[[#This Row],[Income Base]]*PIP,0)</f>
        <v>0</v>
      </c>
      <c r="P20" s="33" t="b">
        <f t="shared" si="2"/>
        <v>0</v>
      </c>
      <c r="Q20" s="2"/>
      <c r="R20" s="22">
        <f t="shared" si="6"/>
        <v>6</v>
      </c>
      <c r="S20" s="23">
        <v>0</v>
      </c>
      <c r="T20" s="23">
        <v>0</v>
      </c>
      <c r="U20" s="23">
        <v>290000</v>
      </c>
      <c r="V20" s="12">
        <v>290000</v>
      </c>
      <c r="W20" s="11">
        <v>306033</v>
      </c>
      <c r="X20" s="5">
        <v>0</v>
      </c>
      <c r="Y20" s="5">
        <v>0</v>
      </c>
      <c r="Z20" s="11">
        <v>19127</v>
      </c>
      <c r="AA20" s="14">
        <v>0</v>
      </c>
      <c r="AB20" s="10"/>
      <c r="AC20" s="10"/>
      <c r="AD20" s="10"/>
      <c r="AE20" s="10"/>
      <c r="AF20" s="10"/>
      <c r="AG20" s="10"/>
      <c r="AI20" s="4">
        <v>290000</v>
      </c>
      <c r="AJ20" s="4">
        <v>306033</v>
      </c>
      <c r="AK20" s="4"/>
      <c r="AL20" s="4"/>
      <c r="AM20" s="4">
        <v>19127</v>
      </c>
      <c r="AN20" s="4">
        <v>0</v>
      </c>
    </row>
    <row r="21" spans="1:40" x14ac:dyDescent="0.3">
      <c r="A21" s="32">
        <f t="shared" si="5"/>
        <v>13</v>
      </c>
      <c r="B21" s="29">
        <f t="shared" si="0"/>
        <v>6.5</v>
      </c>
      <c r="C21" s="21">
        <f t="shared" si="3"/>
        <v>0</v>
      </c>
      <c r="D21" s="21">
        <f t="shared" si="4"/>
        <v>24483</v>
      </c>
      <c r="E21" s="21" t="b">
        <f>Table1[[#This Row],[Time From Valuation]]&gt;=Activation_Time</f>
        <v>1</v>
      </c>
      <c r="F21" s="21">
        <f t="shared" si="1"/>
        <v>260000</v>
      </c>
      <c r="G21" s="21" t="b">
        <f>Table1[[#This Row],[Time From Valuation]]=INT(Table1[[#This Row],[Time From Valuation]])</f>
        <v>0</v>
      </c>
      <c r="H21" s="7">
        <f>IF((Table1[[#This Row],[Is Anniversery]]), Table1[[#This Row],[Assumed Contract Value ]],0)</f>
        <v>0</v>
      </c>
      <c r="I21" s="7">
        <f ca="1">IF(NOT(Table1[[#This Row],[Is Activation]]),OFFSET(Table1[[#This Row],[Income Credit Base]],-1,0)+Table1[[#This Row],[Purchase Payments]]+Table1[[#This Row],[Income Credit]],0)</f>
        <v>0</v>
      </c>
      <c r="J21" s="7">
        <f>IF(AND(Table1[[#This Row],[Is Activation]]=FALSE,Table1[[#This Row],[Is Anniversery]]=TRUE),Table1[[#This Row],[Income Credit Base]]*ICP,0)</f>
        <v>0</v>
      </c>
      <c r="K21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1" s="42">
        <f>IF(NOT(Table1[[#This Row],[Is Activation]]),(Table1[[#This Row],[Withdrawal Taken  ]]/Table1[[#This Row],[Assumed Contract Value ]]),0)</f>
        <v>0</v>
      </c>
      <c r="M21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2.7200646551724137E-2</v>
      </c>
      <c r="N21" s="5">
        <f ca="1">IF(NOT(Table1[[#This Row],[Has Lifetime Income Started]]),Table1[[#This Row],[Income Base]]*MAW,0)</f>
        <v>16594.8125</v>
      </c>
      <c r="O21" s="9">
        <f>IF(AND(Table1[[#This Row],[Has Lifetime Income Started]],Table1[[#This Row],[Is Anniversery]]),Table1[[#This Row],[Income Base]]*PIP,0)</f>
        <v>0</v>
      </c>
      <c r="P21" s="33" t="b">
        <f t="shared" si="2"/>
        <v>0</v>
      </c>
      <c r="Q21" s="2"/>
      <c r="R21" s="22">
        <f t="shared" si="6"/>
        <v>6.5</v>
      </c>
      <c r="S21" s="23">
        <v>0</v>
      </c>
      <c r="T21" s="23">
        <v>24483</v>
      </c>
      <c r="U21" s="23">
        <v>260000</v>
      </c>
      <c r="V21" s="12">
        <v>0</v>
      </c>
      <c r="W21" s="11">
        <v>299982</v>
      </c>
      <c r="X21" s="5">
        <v>0</v>
      </c>
      <c r="Y21" s="5">
        <v>0</v>
      </c>
      <c r="Z21" s="11">
        <v>18749</v>
      </c>
      <c r="AA21" s="14">
        <v>0</v>
      </c>
      <c r="AB21" s="10"/>
      <c r="AC21" s="10"/>
      <c r="AD21" s="10"/>
      <c r="AE21" s="10"/>
      <c r="AF21" s="10"/>
      <c r="AG21" s="10"/>
      <c r="AI21" s="4" t="s">
        <v>2</v>
      </c>
      <c r="AJ21" s="4">
        <v>299982</v>
      </c>
      <c r="AK21" s="4"/>
      <c r="AL21" s="4"/>
      <c r="AM21" s="4">
        <v>18749</v>
      </c>
      <c r="AN21" s="4">
        <v>0</v>
      </c>
    </row>
    <row r="22" spans="1:40" x14ac:dyDescent="0.3">
      <c r="A22" s="32">
        <f t="shared" si="5"/>
        <v>14</v>
      </c>
      <c r="B22" s="29">
        <f t="shared" si="0"/>
        <v>7</v>
      </c>
      <c r="C22" s="21">
        <f t="shared" si="3"/>
        <v>0</v>
      </c>
      <c r="D22" s="21">
        <f t="shared" si="4"/>
        <v>0</v>
      </c>
      <c r="E22" s="21" t="b">
        <f>Table1[[#This Row],[Time From Valuation]]&gt;=Activation_Time</f>
        <v>1</v>
      </c>
      <c r="F22" s="21">
        <f t="shared" si="1"/>
        <v>230000</v>
      </c>
      <c r="G22" s="21" t="b">
        <f>Table1[[#This Row],[Time From Valuation]]=INT(Table1[[#This Row],[Time From Valuation]])</f>
        <v>1</v>
      </c>
      <c r="H22" s="7">
        <f>IF((Table1[[#This Row],[Is Anniversery]]), Table1[[#This Row],[Assumed Contract Value ]],0)</f>
        <v>230000</v>
      </c>
      <c r="I22" s="7">
        <f ca="1">IF(NOT(Table1[[#This Row],[Is Activation]]),OFFSET(Table1[[#This Row],[Income Credit Base]],-1,0)+Table1[[#This Row],[Purchase Payments]]+Table1[[#This Row],[Income Credit]],0)</f>
        <v>0</v>
      </c>
      <c r="J22" s="7">
        <f>IF(AND(Table1[[#This Row],[Is Activation]]=FALSE,Table1[[#This Row],[Is Anniversery]]=TRUE),Table1[[#This Row],[Income Credit Base]]*ICP,0)</f>
        <v>0</v>
      </c>
      <c r="K22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2" s="42">
        <f>IF(NOT(Table1[[#This Row],[Is Activation]]),(Table1[[#This Row],[Withdrawal Taken  ]]/Table1[[#This Row],[Assumed Contract Value ]]),0)</f>
        <v>0</v>
      </c>
      <c r="M22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2" s="5">
        <f ca="1">IF(NOT(Table1[[#This Row],[Has Lifetime Income Started]]),Table1[[#This Row],[Income Base]]*MAW,0)</f>
        <v>16594.8125</v>
      </c>
      <c r="O22" s="9">
        <f>IF(AND(Table1[[#This Row],[Has Lifetime Income Started]],Table1[[#This Row],[Is Anniversery]]),Table1[[#This Row],[Income Base]]*PIP,0)</f>
        <v>0</v>
      </c>
      <c r="P22" s="33" t="b">
        <f t="shared" si="2"/>
        <v>0</v>
      </c>
      <c r="Q22" s="2"/>
      <c r="R22" s="22">
        <f t="shared" si="6"/>
        <v>7</v>
      </c>
      <c r="S22" s="23">
        <v>0</v>
      </c>
      <c r="T22" s="23">
        <v>0</v>
      </c>
      <c r="U22" s="23">
        <v>230000</v>
      </c>
      <c r="V22" s="12">
        <v>230000</v>
      </c>
      <c r="W22" s="11">
        <v>299982</v>
      </c>
      <c r="X22" s="5">
        <v>0</v>
      </c>
      <c r="Y22" s="5">
        <v>0</v>
      </c>
      <c r="Z22" s="11">
        <v>18749</v>
      </c>
      <c r="AA22" s="14">
        <v>0</v>
      </c>
      <c r="AB22" s="10"/>
      <c r="AC22" s="10"/>
      <c r="AD22" s="10"/>
      <c r="AE22" s="10"/>
      <c r="AF22" s="10"/>
      <c r="AG22" s="10"/>
      <c r="AI22" s="4">
        <v>230000</v>
      </c>
      <c r="AJ22" s="4">
        <v>299982</v>
      </c>
      <c r="AK22" s="4"/>
      <c r="AL22" s="4"/>
      <c r="AM22" s="4">
        <v>18749</v>
      </c>
      <c r="AN22" s="4">
        <v>0</v>
      </c>
    </row>
    <row r="23" spans="1:40" x14ac:dyDescent="0.3">
      <c r="A23" s="32">
        <f t="shared" si="5"/>
        <v>15</v>
      </c>
      <c r="B23" s="29">
        <f t="shared" si="0"/>
        <v>7.5</v>
      </c>
      <c r="C23" s="21">
        <f t="shared" si="3"/>
        <v>0</v>
      </c>
      <c r="D23" s="21">
        <f t="shared" si="4"/>
        <v>0</v>
      </c>
      <c r="E23" s="21" t="b">
        <f>Table1[[#This Row],[Time From Valuation]]&gt;=Activation_Time</f>
        <v>1</v>
      </c>
      <c r="F23" s="21">
        <f t="shared" si="1"/>
        <v>230000</v>
      </c>
      <c r="G23" s="21" t="b">
        <f>Table1[[#This Row],[Time From Valuation]]=INT(Table1[[#This Row],[Time From Valuation]])</f>
        <v>0</v>
      </c>
      <c r="H23" s="7">
        <f>IF((Table1[[#This Row],[Is Anniversery]]), Table1[[#This Row],[Assumed Contract Value ]],0)</f>
        <v>0</v>
      </c>
      <c r="I23" s="7">
        <f ca="1">IF(NOT(Table1[[#This Row],[Is Activation]]),OFFSET(Table1[[#This Row],[Income Credit Base]],-1,0)+Table1[[#This Row],[Purchase Payments]]+Table1[[#This Row],[Income Credit]],0)</f>
        <v>0</v>
      </c>
      <c r="J23" s="7">
        <f>IF(AND(Table1[[#This Row],[Is Activation]]=FALSE,Table1[[#This Row],[Is Anniversery]]=TRUE),Table1[[#This Row],[Income Credit Base]]*ICP,0)</f>
        <v>0</v>
      </c>
      <c r="K23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3" s="42">
        <f>IF(NOT(Table1[[#This Row],[Is Activation]]),(Table1[[#This Row],[Withdrawal Taken  ]]/Table1[[#This Row],[Assumed Contract Value ]]),0)</f>
        <v>0</v>
      </c>
      <c r="M23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3" s="5">
        <f ca="1">IF(NOT(Table1[[#This Row],[Has Lifetime Income Started]]),Table1[[#This Row],[Income Base]]*MAW,0)</f>
        <v>16594.8125</v>
      </c>
      <c r="O23" s="9">
        <f>IF(AND(Table1[[#This Row],[Has Lifetime Income Started]],Table1[[#This Row],[Is Anniversery]]),Table1[[#This Row],[Income Base]]*PIP,0)</f>
        <v>0</v>
      </c>
      <c r="P23" s="33" t="b">
        <f t="shared" si="2"/>
        <v>0</v>
      </c>
      <c r="Q23" s="2"/>
      <c r="R23" s="22">
        <f>R22+0.5</f>
        <v>7.5</v>
      </c>
      <c r="S23" s="23">
        <v>0</v>
      </c>
      <c r="T23" s="23">
        <v>0</v>
      </c>
      <c r="U23" s="23">
        <v>230000</v>
      </c>
      <c r="V23" s="13">
        <v>0</v>
      </c>
      <c r="W23" s="11">
        <v>299982</v>
      </c>
      <c r="X23" s="5">
        <v>0</v>
      </c>
      <c r="Y23" s="5">
        <v>0</v>
      </c>
      <c r="Z23" s="11">
        <v>18749</v>
      </c>
      <c r="AA23" s="14">
        <v>0</v>
      </c>
      <c r="AB23" s="10"/>
      <c r="AC23" s="10"/>
      <c r="AD23" s="10"/>
      <c r="AE23" s="10"/>
      <c r="AF23" s="10"/>
      <c r="AG23" s="10"/>
      <c r="AI23" s="4">
        <v>150000</v>
      </c>
      <c r="AJ23" s="4">
        <v>299982</v>
      </c>
      <c r="AK23" s="4"/>
      <c r="AL23" s="4"/>
      <c r="AM23" s="4">
        <v>18749</v>
      </c>
      <c r="AN23" s="4">
        <v>0</v>
      </c>
    </row>
    <row r="24" spans="1:40" x14ac:dyDescent="0.3">
      <c r="A24" s="32">
        <f t="shared" si="5"/>
        <v>16</v>
      </c>
      <c r="B24" s="29">
        <f t="shared" si="0"/>
        <v>8</v>
      </c>
      <c r="C24" s="21">
        <f t="shared" si="3"/>
        <v>0</v>
      </c>
      <c r="D24" s="21">
        <f t="shared" si="4"/>
        <v>0</v>
      </c>
      <c r="E24" s="21" t="b">
        <f>Table1[[#This Row],[Time From Valuation]]&gt;=Activation_Time</f>
        <v>1</v>
      </c>
      <c r="F24" s="21">
        <f t="shared" si="1"/>
        <v>150000</v>
      </c>
      <c r="G24" s="21" t="b">
        <f>Table1[[#This Row],[Time From Valuation]]=INT(Table1[[#This Row],[Time From Valuation]])</f>
        <v>1</v>
      </c>
      <c r="H24" s="7">
        <f>IF((Table1[[#This Row],[Is Anniversery]]), Table1[[#This Row],[Assumed Contract Value ]],0)</f>
        <v>150000</v>
      </c>
      <c r="I24" s="7">
        <f ca="1">IF(NOT(Table1[[#This Row],[Is Activation]]),OFFSET(Table1[[#This Row],[Income Credit Base]],-1,0)+Table1[[#This Row],[Purchase Payments]]+Table1[[#This Row],[Income Credit]],0)</f>
        <v>0</v>
      </c>
      <c r="J24" s="7">
        <f>IF(AND(Table1[[#This Row],[Is Activation]]=FALSE,Table1[[#This Row],[Is Anniversery]]=TRUE),Table1[[#This Row],[Income Credit Base]]*ICP,0)</f>
        <v>0</v>
      </c>
      <c r="K24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4" s="42">
        <f>IF(NOT(Table1[[#This Row],[Is Activation]]),(Table1[[#This Row],[Withdrawal Taken  ]]/Table1[[#This Row],[Assumed Contract Value ]]),0)</f>
        <v>0</v>
      </c>
      <c r="M24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4" s="5">
        <f ca="1">IF(NOT(Table1[[#This Row],[Has Lifetime Income Started]]),Table1[[#This Row],[Income Base]]*MAW,0)</f>
        <v>16594.8125</v>
      </c>
      <c r="O24" s="9">
        <f>IF(AND(Table1[[#This Row],[Has Lifetime Income Started]],Table1[[#This Row],[Is Anniversery]]),Table1[[#This Row],[Income Base]]*PIP,0)</f>
        <v>0</v>
      </c>
      <c r="P24" s="33" t="b">
        <f t="shared" si="2"/>
        <v>0</v>
      </c>
      <c r="Q24" s="2"/>
      <c r="R24" s="22">
        <f t="shared" si="6"/>
        <v>8</v>
      </c>
      <c r="S24" s="23">
        <v>0</v>
      </c>
      <c r="T24" s="23">
        <v>0</v>
      </c>
      <c r="U24" s="23">
        <v>150000</v>
      </c>
      <c r="V24" s="12">
        <v>150000</v>
      </c>
      <c r="W24" s="11">
        <v>299982</v>
      </c>
      <c r="X24" s="5">
        <v>0</v>
      </c>
      <c r="Y24" s="5">
        <v>0</v>
      </c>
      <c r="Z24" s="11">
        <v>18749</v>
      </c>
      <c r="AA24" s="14">
        <v>0</v>
      </c>
      <c r="AB24" s="10"/>
      <c r="AC24" s="10"/>
      <c r="AD24" s="10"/>
      <c r="AE24" s="10"/>
      <c r="AF24" s="10"/>
      <c r="AG24" s="10"/>
      <c r="AI24" s="4">
        <f>AI23</f>
        <v>150000</v>
      </c>
      <c r="AJ24" s="4">
        <f t="shared" ref="AJ24:AM24" si="8">AJ23</f>
        <v>299982</v>
      </c>
      <c r="AK24" s="4">
        <f t="shared" si="8"/>
        <v>0</v>
      </c>
      <c r="AL24" s="4">
        <f t="shared" si="8"/>
        <v>0</v>
      </c>
      <c r="AM24" s="4">
        <f t="shared" si="8"/>
        <v>18749</v>
      </c>
      <c r="AN24" s="4">
        <v>0</v>
      </c>
    </row>
    <row r="25" spans="1:40" x14ac:dyDescent="0.3">
      <c r="A25" s="32">
        <f t="shared" si="5"/>
        <v>17</v>
      </c>
      <c r="B25" s="29">
        <f t="shared" si="0"/>
        <v>8.5</v>
      </c>
      <c r="C25" s="21">
        <f t="shared" si="3"/>
        <v>0</v>
      </c>
      <c r="D25" s="21">
        <f t="shared" si="4"/>
        <v>0</v>
      </c>
      <c r="E25" s="21" t="b">
        <f>Table1[[#This Row],[Time From Valuation]]&gt;=Activation_Time</f>
        <v>1</v>
      </c>
      <c r="F25" s="21">
        <f t="shared" si="1"/>
        <v>150000</v>
      </c>
      <c r="G25" s="21" t="b">
        <f>Table1[[#This Row],[Time From Valuation]]=INT(Table1[[#This Row],[Time From Valuation]])</f>
        <v>0</v>
      </c>
      <c r="H25" s="7">
        <f>IF((Table1[[#This Row],[Is Anniversery]]), Table1[[#This Row],[Assumed Contract Value ]],0)</f>
        <v>0</v>
      </c>
      <c r="I25" s="7">
        <f ca="1">IF(NOT(Table1[[#This Row],[Is Activation]]),OFFSET(Table1[[#This Row],[Income Credit Base]],-1,0)+Table1[[#This Row],[Purchase Payments]]+Table1[[#This Row],[Income Credit]],0)</f>
        <v>0</v>
      </c>
      <c r="J25" s="7">
        <f>IF(AND(Table1[[#This Row],[Is Activation]]=FALSE,Table1[[#This Row],[Is Anniversery]]=TRUE),Table1[[#This Row],[Income Credit Base]]*ICP,0)</f>
        <v>0</v>
      </c>
      <c r="K25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5" s="42">
        <f>IF(NOT(Table1[[#This Row],[Is Activation]]),(Table1[[#This Row],[Withdrawal Taken  ]]/Table1[[#This Row],[Assumed Contract Value ]]),0)</f>
        <v>0</v>
      </c>
      <c r="M25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5" s="5">
        <f ca="1">IF(NOT(Table1[[#This Row],[Has Lifetime Income Started]]),Table1[[#This Row],[Income Base]]*MAW,0)</f>
        <v>16594.8125</v>
      </c>
      <c r="O25" s="9">
        <f>IF(AND(Table1[[#This Row],[Has Lifetime Income Started]],Table1[[#This Row],[Is Anniversery]]),Table1[[#This Row],[Income Base]]*PIP,0)</f>
        <v>0</v>
      </c>
      <c r="P25" s="33" t="b">
        <f t="shared" si="2"/>
        <v>0</v>
      </c>
      <c r="Q25" s="2"/>
      <c r="R25" s="22">
        <f t="shared" si="6"/>
        <v>8.5</v>
      </c>
      <c r="S25" s="23">
        <v>0</v>
      </c>
      <c r="T25" s="23">
        <v>0</v>
      </c>
      <c r="U25" s="23">
        <v>150000</v>
      </c>
      <c r="V25" s="13">
        <v>0</v>
      </c>
      <c r="W25" s="11">
        <v>299982</v>
      </c>
      <c r="X25" s="5">
        <v>0</v>
      </c>
      <c r="Y25" s="5">
        <v>0</v>
      </c>
      <c r="Z25" s="11">
        <v>18749</v>
      </c>
      <c r="AA25" s="14">
        <v>0</v>
      </c>
      <c r="AB25" s="10"/>
      <c r="AC25" s="10"/>
      <c r="AD25" s="10"/>
      <c r="AE25" s="10"/>
      <c r="AF25" s="10"/>
      <c r="AG25" s="10"/>
      <c r="AI25" s="4">
        <v>100000</v>
      </c>
      <c r="AJ25" s="4">
        <v>299982</v>
      </c>
      <c r="AK25" s="4"/>
      <c r="AL25" s="4"/>
      <c r="AM25" s="4">
        <v>18749</v>
      </c>
      <c r="AN25" s="4">
        <v>0</v>
      </c>
    </row>
    <row r="26" spans="1:40" x14ac:dyDescent="0.3">
      <c r="A26" s="32">
        <f t="shared" si="5"/>
        <v>18</v>
      </c>
      <c r="B26" s="29">
        <f t="shared" si="0"/>
        <v>9</v>
      </c>
      <c r="C26" s="21">
        <f t="shared" si="3"/>
        <v>0</v>
      </c>
      <c r="D26" s="21">
        <f t="shared" si="4"/>
        <v>0</v>
      </c>
      <c r="E26" s="21" t="b">
        <f>Table1[[#This Row],[Time From Valuation]]&gt;=Activation_Time</f>
        <v>1</v>
      </c>
      <c r="F26" s="21">
        <f t="shared" si="1"/>
        <v>100000</v>
      </c>
      <c r="G26" s="21" t="b">
        <f>Table1[[#This Row],[Time From Valuation]]=INT(Table1[[#This Row],[Time From Valuation]])</f>
        <v>1</v>
      </c>
      <c r="H26" s="7">
        <f>IF((Table1[[#This Row],[Is Anniversery]]), Table1[[#This Row],[Assumed Contract Value ]],0)</f>
        <v>100000</v>
      </c>
      <c r="I26" s="7">
        <f ca="1">IF(NOT(Table1[[#This Row],[Is Activation]]),OFFSET(Table1[[#This Row],[Income Credit Base]],-1,0)+Table1[[#This Row],[Purchase Payments]]+Table1[[#This Row],[Income Credit]],0)</f>
        <v>0</v>
      </c>
      <c r="J26" s="7">
        <f>IF(AND(Table1[[#This Row],[Is Activation]]=FALSE,Table1[[#This Row],[Is Anniversery]]=TRUE),Table1[[#This Row],[Income Credit Base]]*ICP,0)</f>
        <v>0</v>
      </c>
      <c r="K26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6" s="42">
        <f>IF(NOT(Table1[[#This Row],[Is Activation]]),(Table1[[#This Row],[Withdrawal Taken  ]]/Table1[[#This Row],[Assumed Contract Value ]]),0)</f>
        <v>0</v>
      </c>
      <c r="M26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6" s="5">
        <f ca="1">IF(NOT(Table1[[#This Row],[Has Lifetime Income Started]]),Table1[[#This Row],[Income Base]]*MAW,0)</f>
        <v>16594.8125</v>
      </c>
      <c r="O26" s="9">
        <f>IF(AND(Table1[[#This Row],[Has Lifetime Income Started]],Table1[[#This Row],[Is Anniversery]]),Table1[[#This Row],[Income Base]]*PIP,0)</f>
        <v>0</v>
      </c>
      <c r="P26" s="33" t="b">
        <f t="shared" si="2"/>
        <v>0</v>
      </c>
      <c r="Q26" s="2"/>
      <c r="R26" s="22">
        <f t="shared" si="6"/>
        <v>9</v>
      </c>
      <c r="S26" s="23">
        <v>0</v>
      </c>
      <c r="T26" s="23">
        <v>0</v>
      </c>
      <c r="U26" s="23">
        <v>100000</v>
      </c>
      <c r="V26" s="12">
        <v>100000</v>
      </c>
      <c r="W26" s="11">
        <v>299982</v>
      </c>
      <c r="X26" s="5">
        <v>0</v>
      </c>
      <c r="Y26" s="5">
        <v>0</v>
      </c>
      <c r="Z26" s="11">
        <v>18749</v>
      </c>
      <c r="AA26" s="14">
        <v>0</v>
      </c>
      <c r="AB26" s="10"/>
      <c r="AC26" s="10"/>
      <c r="AD26" s="10"/>
      <c r="AE26" s="10"/>
      <c r="AF26" s="10"/>
      <c r="AG26" s="10"/>
      <c r="AI26" s="4">
        <f>AI25</f>
        <v>100000</v>
      </c>
      <c r="AJ26" s="4">
        <f t="shared" ref="AJ26" si="9">AJ25</f>
        <v>299982</v>
      </c>
      <c r="AK26" s="4">
        <f t="shared" ref="AK26" si="10">AK25</f>
        <v>0</v>
      </c>
      <c r="AL26" s="4">
        <f t="shared" ref="AL26" si="11">AL25</f>
        <v>0</v>
      </c>
      <c r="AM26" s="4">
        <f t="shared" ref="AM26" si="12">AM25</f>
        <v>18749</v>
      </c>
      <c r="AN26" s="4">
        <v>0</v>
      </c>
    </row>
    <row r="27" spans="1:40" x14ac:dyDescent="0.3">
      <c r="A27" s="32">
        <f t="shared" si="5"/>
        <v>19</v>
      </c>
      <c r="B27" s="29">
        <f t="shared" si="0"/>
        <v>9.5</v>
      </c>
      <c r="C27" s="21">
        <f t="shared" si="3"/>
        <v>0</v>
      </c>
      <c r="D27" s="21">
        <f t="shared" si="4"/>
        <v>0</v>
      </c>
      <c r="E27" s="21" t="b">
        <f>Table1[[#This Row],[Time From Valuation]]&gt;=Activation_Time</f>
        <v>1</v>
      </c>
      <c r="F27" s="21">
        <f t="shared" si="1"/>
        <v>100000</v>
      </c>
      <c r="G27" s="21" t="b">
        <f>Table1[[#This Row],[Time From Valuation]]=INT(Table1[[#This Row],[Time From Valuation]])</f>
        <v>0</v>
      </c>
      <c r="H27" s="7">
        <f>IF((Table1[[#This Row],[Is Anniversery]]), Table1[[#This Row],[Assumed Contract Value ]],0)</f>
        <v>0</v>
      </c>
      <c r="I27" s="7">
        <f ca="1">IF(NOT(Table1[[#This Row],[Is Activation]]),OFFSET(Table1[[#This Row],[Income Credit Base]],-1,0)+Table1[[#This Row],[Purchase Payments]]+Table1[[#This Row],[Income Credit]],0)</f>
        <v>0</v>
      </c>
      <c r="J27" s="7">
        <f>IF(AND(Table1[[#This Row],[Is Activation]]=FALSE,Table1[[#This Row],[Is Anniversery]]=TRUE),Table1[[#This Row],[Income Credit Base]]*ICP,0)</f>
        <v>0</v>
      </c>
      <c r="K27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7" s="42">
        <f>IF(NOT(Table1[[#This Row],[Is Activation]]),(Table1[[#This Row],[Withdrawal Taken  ]]/Table1[[#This Row],[Assumed Contract Value ]]),0)</f>
        <v>0</v>
      </c>
      <c r="M27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7" s="5">
        <f ca="1">IF(NOT(Table1[[#This Row],[Has Lifetime Income Started]]),Table1[[#This Row],[Income Base]]*MAW,0)</f>
        <v>16594.8125</v>
      </c>
      <c r="O27" s="9">
        <f>IF(AND(Table1[[#This Row],[Has Lifetime Income Started]],Table1[[#This Row],[Is Anniversery]]),Table1[[#This Row],[Income Base]]*PIP,0)</f>
        <v>0</v>
      </c>
      <c r="P27" s="33" t="b">
        <f t="shared" si="2"/>
        <v>0</v>
      </c>
      <c r="Q27" s="2"/>
      <c r="R27" s="22">
        <f t="shared" si="6"/>
        <v>9.5</v>
      </c>
      <c r="S27" s="23">
        <v>0</v>
      </c>
      <c r="T27" s="23">
        <v>0</v>
      </c>
      <c r="U27" s="23">
        <v>100000</v>
      </c>
      <c r="V27" s="13">
        <v>0</v>
      </c>
      <c r="W27" s="11">
        <v>299982</v>
      </c>
      <c r="X27" s="5">
        <v>0</v>
      </c>
      <c r="Y27" s="5">
        <v>0</v>
      </c>
      <c r="Z27" s="11">
        <v>18749</v>
      </c>
      <c r="AA27" s="14">
        <v>0</v>
      </c>
      <c r="AB27" s="10"/>
      <c r="AC27" s="10"/>
      <c r="AD27" s="10"/>
      <c r="AE27" s="10"/>
      <c r="AF27" s="10"/>
      <c r="AG27" s="10"/>
      <c r="AI27" s="4">
        <v>50000</v>
      </c>
      <c r="AJ27" s="4">
        <v>299982</v>
      </c>
      <c r="AK27" s="4"/>
      <c r="AL27" s="4"/>
      <c r="AM27" s="4">
        <v>18749</v>
      </c>
      <c r="AN27" s="4">
        <v>0</v>
      </c>
    </row>
    <row r="28" spans="1:40" x14ac:dyDescent="0.3">
      <c r="A28" s="32">
        <f t="shared" si="5"/>
        <v>20</v>
      </c>
      <c r="B28" s="29">
        <f t="shared" si="0"/>
        <v>10</v>
      </c>
      <c r="C28" s="21">
        <f t="shared" si="3"/>
        <v>0</v>
      </c>
      <c r="D28" s="21">
        <f t="shared" si="4"/>
        <v>0</v>
      </c>
      <c r="E28" s="21" t="b">
        <f>Table1[[#This Row],[Time From Valuation]]&gt;=Activation_Time</f>
        <v>1</v>
      </c>
      <c r="F28" s="21">
        <f t="shared" si="1"/>
        <v>50000</v>
      </c>
      <c r="G28" s="21" t="b">
        <f>Table1[[#This Row],[Time From Valuation]]=INT(Table1[[#This Row],[Time From Valuation]])</f>
        <v>1</v>
      </c>
      <c r="H28" s="7">
        <f>IF((Table1[[#This Row],[Is Anniversery]]), Table1[[#This Row],[Assumed Contract Value ]],0)</f>
        <v>50000</v>
      </c>
      <c r="I28" s="7">
        <f ca="1">IF(NOT(Table1[[#This Row],[Is Activation]]),OFFSET(Table1[[#This Row],[Income Credit Base]],-1,0)+Table1[[#This Row],[Purchase Payments]]+Table1[[#This Row],[Income Credit]],0)</f>
        <v>0</v>
      </c>
      <c r="J28" s="7">
        <f>IF(AND(Table1[[#This Row],[Is Activation]]=FALSE,Table1[[#This Row],[Is Anniversery]]=TRUE),Table1[[#This Row],[Income Credit Base]]*ICP,0)</f>
        <v>0</v>
      </c>
      <c r="K28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8" s="42">
        <f>IF(NOT(Table1[[#This Row],[Is Activation]]),(Table1[[#This Row],[Withdrawal Taken  ]]/Table1[[#This Row],[Assumed Contract Value ]]),0)</f>
        <v>0</v>
      </c>
      <c r="M28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8" s="5">
        <f ca="1">IF(NOT(Table1[[#This Row],[Has Lifetime Income Started]]),Table1[[#This Row],[Income Base]]*MAW,0)</f>
        <v>16594.8125</v>
      </c>
      <c r="O28" s="9">
        <f>IF(AND(Table1[[#This Row],[Has Lifetime Income Started]],Table1[[#This Row],[Is Anniversery]]),Table1[[#This Row],[Income Base]]*PIP,0)</f>
        <v>0</v>
      </c>
      <c r="P28" s="33" t="b">
        <f t="shared" si="2"/>
        <v>0</v>
      </c>
      <c r="Q28" s="2"/>
      <c r="R28" s="22">
        <f t="shared" si="6"/>
        <v>10</v>
      </c>
      <c r="S28" s="23">
        <v>0</v>
      </c>
      <c r="T28" s="23">
        <v>0</v>
      </c>
      <c r="U28" s="23">
        <v>50000</v>
      </c>
      <c r="V28" s="12">
        <v>50000</v>
      </c>
      <c r="W28" s="11">
        <v>299982</v>
      </c>
      <c r="X28" s="5">
        <v>0</v>
      </c>
      <c r="Y28" s="5">
        <v>0</v>
      </c>
      <c r="Z28" s="11">
        <v>18749</v>
      </c>
      <c r="AA28" s="14">
        <v>0</v>
      </c>
      <c r="AB28" s="10"/>
      <c r="AC28" s="10"/>
      <c r="AD28" s="10"/>
      <c r="AE28" s="10"/>
      <c r="AF28" s="10"/>
      <c r="AG28" s="10"/>
      <c r="AI28" s="4">
        <f>AI27</f>
        <v>50000</v>
      </c>
      <c r="AJ28" s="4">
        <f t="shared" ref="AJ28" si="13">AJ27</f>
        <v>299982</v>
      </c>
      <c r="AK28" s="4">
        <f t="shared" ref="AK28" si="14">AK27</f>
        <v>0</v>
      </c>
      <c r="AL28" s="4">
        <f t="shared" ref="AL28" si="15">AL27</f>
        <v>0</v>
      </c>
      <c r="AM28" s="4">
        <f t="shared" ref="AM28" si="16">AM27</f>
        <v>18749</v>
      </c>
      <c r="AN28" s="4">
        <v>0</v>
      </c>
    </row>
    <row r="29" spans="1:40" x14ac:dyDescent="0.3">
      <c r="A29" s="32">
        <f t="shared" si="5"/>
        <v>21</v>
      </c>
      <c r="B29" s="29">
        <f t="shared" si="0"/>
        <v>10.5</v>
      </c>
      <c r="C29" s="21">
        <f t="shared" si="3"/>
        <v>0</v>
      </c>
      <c r="D29" s="21">
        <f t="shared" si="4"/>
        <v>0</v>
      </c>
      <c r="E29" s="21" t="b">
        <f>Table1[[#This Row],[Time From Valuation]]&gt;=Activation_Time</f>
        <v>1</v>
      </c>
      <c r="F29" s="21">
        <f>U29</f>
        <v>50000</v>
      </c>
      <c r="G29" s="21" t="b">
        <f>Table1[[#This Row],[Time From Valuation]]=INT(Table1[[#This Row],[Time From Valuation]])</f>
        <v>0</v>
      </c>
      <c r="H29" s="7">
        <f>IF((Table1[[#This Row],[Is Anniversery]]), Table1[[#This Row],[Assumed Contract Value ]],0)</f>
        <v>0</v>
      </c>
      <c r="I29" s="7">
        <f ca="1">IF(NOT(Table1[[#This Row],[Is Activation]]),OFFSET(Table1[[#This Row],[Income Credit Base]],-1,0)+Table1[[#This Row],[Purchase Payments]]+Table1[[#This Row],[Income Credit]],0)</f>
        <v>0</v>
      </c>
      <c r="J29" s="7">
        <f>IF(AND(Table1[[#This Row],[Is Activation]]=FALSE,Table1[[#This Row],[Is Anniversery]]=TRUE),Table1[[#This Row],[Income Credit Base]]*ICP,0)</f>
        <v>0</v>
      </c>
      <c r="K29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29" s="42">
        <f>IF(NOT(Table1[[#This Row],[Is Activation]]),(Table1[[#This Row],[Withdrawal Taken  ]]/Table1[[#This Row],[Assumed Contract Value ]]),0)</f>
        <v>0</v>
      </c>
      <c r="M29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29" s="5">
        <f ca="1">IF(NOT(Table1[[#This Row],[Has Lifetime Income Started]]),Table1[[#This Row],[Income Base]]*MAW,0)</f>
        <v>16594.8125</v>
      </c>
      <c r="O29" s="9">
        <f>IF(AND(Table1[[#This Row],[Has Lifetime Income Started]],Table1[[#This Row],[Is Anniversery]]),Table1[[#This Row],[Income Base]]*PIP,0)</f>
        <v>0</v>
      </c>
      <c r="P29" s="33" t="b">
        <f t="shared" si="2"/>
        <v>0</v>
      </c>
      <c r="Q29" s="2"/>
      <c r="R29" s="22">
        <f t="shared" si="6"/>
        <v>10.5</v>
      </c>
      <c r="S29" s="23">
        <v>0</v>
      </c>
      <c r="T29" s="23">
        <v>0</v>
      </c>
      <c r="U29" s="23">
        <v>50000</v>
      </c>
      <c r="V29" s="13">
        <v>0</v>
      </c>
      <c r="W29" s="11">
        <v>299982</v>
      </c>
      <c r="X29" s="5">
        <v>0</v>
      </c>
      <c r="Y29" s="5">
        <v>0</v>
      </c>
      <c r="Z29" s="11">
        <v>18749</v>
      </c>
      <c r="AA29" s="14">
        <v>0</v>
      </c>
      <c r="AB29" s="10"/>
      <c r="AC29" s="10"/>
      <c r="AD29" s="10"/>
      <c r="AE29" s="10"/>
      <c r="AF29" s="10"/>
      <c r="AG29" s="10"/>
      <c r="AI29" s="4">
        <v>0</v>
      </c>
      <c r="AJ29" s="4">
        <v>299982</v>
      </c>
      <c r="AK29" s="4"/>
      <c r="AL29" s="4"/>
      <c r="AM29" s="4">
        <v>18749</v>
      </c>
      <c r="AN29" s="4">
        <v>0</v>
      </c>
    </row>
    <row r="30" spans="1:40" ht="15" thickBot="1" x14ac:dyDescent="0.35">
      <c r="A30" s="34">
        <f t="shared" si="5"/>
        <v>22</v>
      </c>
      <c r="B30" s="35">
        <f t="shared" si="0"/>
        <v>11</v>
      </c>
      <c r="C30" s="36">
        <f t="shared" si="3"/>
        <v>0</v>
      </c>
      <c r="D30" s="36">
        <f t="shared" si="4"/>
        <v>0</v>
      </c>
      <c r="E30" s="36" t="b">
        <f>Table1[[#This Row],[Time From Valuation]]&gt;=Activation_Time</f>
        <v>1</v>
      </c>
      <c r="F30" s="36">
        <v>0</v>
      </c>
      <c r="G30" s="36" t="b">
        <f>Table1[[#This Row],[Time From Valuation]]=INT(Table1[[#This Row],[Time From Valuation]])</f>
        <v>1</v>
      </c>
      <c r="H30" s="7">
        <f>IF((Table1[[#This Row],[Is Anniversery]]), Table1[[#This Row],[Assumed Contract Value ]],0)</f>
        <v>0</v>
      </c>
      <c r="I30" s="7">
        <f ca="1">IF(NOT(Table1[[#This Row],[Is Activation]]),OFFSET(Table1[[#This Row],[Income Credit Base]],-1,0)+Table1[[#This Row],[Purchase Payments]]+Table1[[#This Row],[Income Credit]],0)</f>
        <v>0</v>
      </c>
      <c r="J30" s="7">
        <f>IF(AND(Table1[[#This Row],[Is Activation]]=FALSE,Table1[[#This Row],[Is Anniversery]]=TRUE),Table1[[#This Row],[Income Credit Base]]*ICP,0)</f>
        <v>0</v>
      </c>
      <c r="K30" s="7">
        <f ca="1">IF(AND(OFFSET(Table1[[#This Row],[Income Base]],-1,0)+Table1[[#This Row],[Purchase Payments]]+OFFSET(Table1[[#This Row],[Income Credit]],-1,0)&lt;Table1[[#This Row],[Assumed Contract Value ]],Table1[[#This Row],[Is Anniversery]]), Table1[[#This Row],[Assumed Contract Value ]], (OFFSET(Table1[[#This Row],[Income Base]],-1,0))+Table1[[#This Row],[Purchase Payments]]+OFFSET(Table1[[#This Row],[Income Credit]],-1,0))-(Table1[[#This Row],[Withdrawal Taken  ]]*(1-Table1[[#This Row],[Withdrawal Penalty Before Activation]]))</f>
        <v>265517</v>
      </c>
      <c r="L30" s="42">
        <f>IF(NOT(Table1[[#This Row],[Is Activation]]),(Table1[[#This Row],[Withdrawal Taken  ]]/Table1[[#This Row],[Assumed Contract Value ]]),0)</f>
        <v>0</v>
      </c>
      <c r="M30" s="43">
        <f ca="1">IF(AND(Table1[[#This Row],[Is Activation]],(Table1[[#This Row],[Withdrawal Taken  ]]&gt;Table1[[#This Row],[Maximum Annual Withdrawal Amount upon Activation]])),(Table1[[#This Row],[Withdrawal Taken  ]]-Table1[[#This Row],[Maximum Annual Withdrawal Amount upon Activation]])/OFFSET(Table1[[#This Row],[Assumed Contract Value ]],-1,0),  0)</f>
        <v>0</v>
      </c>
      <c r="N30" s="5">
        <f>IF(NOT(Table1[[#This Row],[Has Lifetime Income Started]]),Table1[[#This Row],[Income Base]]*MAW,0)</f>
        <v>0</v>
      </c>
      <c r="O30" s="9">
        <f ca="1">IF(AND(Table1[[#This Row],[Has Lifetime Income Started]],Table1[[#This Row],[Is Anniversery]]),Table1[[#This Row],[Income Base]]*PIP,0)</f>
        <v>10620.68</v>
      </c>
      <c r="P30" s="37" t="b">
        <f t="shared" si="2"/>
        <v>1</v>
      </c>
      <c r="Q30" s="2"/>
      <c r="R30" s="24">
        <f t="shared" si="6"/>
        <v>11</v>
      </c>
      <c r="S30" s="25">
        <v>0</v>
      </c>
      <c r="T30" s="25">
        <v>0</v>
      </c>
      <c r="U30" s="23">
        <v>0</v>
      </c>
      <c r="V30" s="17">
        <v>0</v>
      </c>
      <c r="W30" s="15">
        <v>299982</v>
      </c>
      <c r="X30" s="16">
        <v>0</v>
      </c>
      <c r="Y30" s="16">
        <v>0</v>
      </c>
      <c r="Z30" s="15">
        <v>0</v>
      </c>
      <c r="AA30" s="18">
        <v>11999</v>
      </c>
      <c r="AB30" s="10"/>
      <c r="AC30" s="10"/>
      <c r="AD30" s="10"/>
      <c r="AE30" s="10"/>
      <c r="AF30" s="10"/>
      <c r="AG30" s="10"/>
      <c r="AI30" s="4">
        <v>0</v>
      </c>
      <c r="AJ30" s="4">
        <v>299982</v>
      </c>
      <c r="AK30" s="4"/>
      <c r="AL30" s="4"/>
      <c r="AM30" s="4">
        <v>0</v>
      </c>
      <c r="AN30" s="4">
        <v>11999</v>
      </c>
    </row>
  </sheetData>
  <mergeCells count="1">
    <mergeCell ref="O6:X6"/>
  </mergeCells>
  <conditionalFormatting sqref="H8:P30">
    <cfRule type="expression" dxfId="4" priority="2">
      <formula>#REF!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768BE-2E44-4402-B05E-138E7CD0C242}">
  <dimension ref="A1:AA94"/>
  <sheetViews>
    <sheetView tabSelected="1" topLeftCell="P33" zoomScaleNormal="100" workbookViewId="0">
      <selection activeCell="Y45" sqref="Y45"/>
    </sheetView>
  </sheetViews>
  <sheetFormatPr defaultRowHeight="14.4" x14ac:dyDescent="0.3"/>
  <cols>
    <col min="1" max="1" width="18.21875" bestFit="1" customWidth="1"/>
    <col min="2" max="2" width="19.109375" bestFit="1" customWidth="1"/>
    <col min="3" max="3" width="16.5546875" bestFit="1" customWidth="1"/>
    <col min="4" max="4" width="15.33203125" bestFit="1" customWidth="1"/>
    <col min="5" max="5" width="17.6640625" bestFit="1" customWidth="1"/>
    <col min="6" max="6" width="22.33203125" bestFit="1" customWidth="1"/>
    <col min="7" max="9" width="43" bestFit="1" customWidth="1"/>
    <col min="10" max="12" width="24.88671875" bestFit="1" customWidth="1"/>
    <col min="15" max="15" width="12.109375" bestFit="1" customWidth="1"/>
    <col min="16" max="16" width="10.6640625" bestFit="1" customWidth="1"/>
    <col min="18" max="18" width="19.5546875" bestFit="1" customWidth="1"/>
    <col min="22" max="22" width="9.5546875" bestFit="1" customWidth="1"/>
  </cols>
  <sheetData>
    <row r="1" spans="1:1" x14ac:dyDescent="0.3">
      <c r="A1" t="s">
        <v>111</v>
      </c>
    </row>
    <row r="2" spans="1:1" x14ac:dyDescent="0.3">
      <c r="A2" t="s">
        <v>114</v>
      </c>
    </row>
    <row r="3" spans="1:1" x14ac:dyDescent="0.3">
      <c r="A3" s="6">
        <f>N57+O57</f>
        <v>6250</v>
      </c>
    </row>
    <row r="4" spans="1:1" x14ac:dyDescent="0.3">
      <c r="A4" s="6">
        <f t="shared" ref="A4:A24" ca="1" si="0">N58+O58</f>
        <v>10000</v>
      </c>
    </row>
    <row r="5" spans="1:1" x14ac:dyDescent="0.3">
      <c r="A5" s="6">
        <f t="shared" ca="1" si="0"/>
        <v>10625</v>
      </c>
    </row>
    <row r="6" spans="1:1" x14ac:dyDescent="0.3">
      <c r="A6" s="6">
        <f t="shared" ca="1" si="0"/>
        <v>16775</v>
      </c>
    </row>
    <row r="7" spans="1:1" x14ac:dyDescent="0.3">
      <c r="A7" s="6">
        <f t="shared" ca="1" si="0"/>
        <v>17937.5</v>
      </c>
    </row>
    <row r="8" spans="1:1" x14ac:dyDescent="0.3">
      <c r="A8" s="6">
        <f t="shared" ca="1" si="0"/>
        <v>18785.375</v>
      </c>
    </row>
    <row r="9" spans="1:1" x14ac:dyDescent="0.3">
      <c r="A9" s="6">
        <f t="shared" ca="1" si="0"/>
        <v>18785.375</v>
      </c>
    </row>
    <row r="10" spans="1:1" x14ac:dyDescent="0.3">
      <c r="A10" s="6">
        <f t="shared" ca="1" si="0"/>
        <v>19370.386388319675</v>
      </c>
    </row>
    <row r="11" spans="1:1" x14ac:dyDescent="0.3">
      <c r="A11" s="6">
        <f t="shared" ca="1" si="0"/>
        <v>19500</v>
      </c>
    </row>
    <row r="12" spans="1:1" x14ac:dyDescent="0.3">
      <c r="A12" s="6">
        <f t="shared" ca="1" si="0"/>
        <v>19220.488830468748</v>
      </c>
    </row>
    <row r="13" spans="1:1" x14ac:dyDescent="0.3">
      <c r="A13" s="6">
        <f t="shared" ca="1" si="0"/>
        <v>19220.488830468748</v>
      </c>
    </row>
    <row r="14" spans="1:1" x14ac:dyDescent="0.3">
      <c r="A14" s="6">
        <f t="shared" ca="1" si="0"/>
        <v>17660.488830468748</v>
      </c>
    </row>
    <row r="15" spans="1:1" x14ac:dyDescent="0.3">
      <c r="A15" s="6">
        <f t="shared" ca="1" si="0"/>
        <v>18125</v>
      </c>
    </row>
    <row r="16" spans="1:1" x14ac:dyDescent="0.3">
      <c r="A16" s="6">
        <f t="shared" ca="1" si="0"/>
        <v>16594.8125</v>
      </c>
    </row>
    <row r="17" spans="1:3" x14ac:dyDescent="0.3">
      <c r="A17" s="6">
        <f t="shared" ca="1" si="0"/>
        <v>16594.8125</v>
      </c>
    </row>
    <row r="18" spans="1:3" x14ac:dyDescent="0.3">
      <c r="A18" s="6">
        <f t="shared" ca="1" si="0"/>
        <v>16594.8125</v>
      </c>
    </row>
    <row r="19" spans="1:3" x14ac:dyDescent="0.3">
      <c r="A19" s="6">
        <f t="shared" ca="1" si="0"/>
        <v>16594.8125</v>
      </c>
    </row>
    <row r="20" spans="1:3" x14ac:dyDescent="0.3">
      <c r="A20" s="6">
        <f t="shared" ca="1" si="0"/>
        <v>16594.8125</v>
      </c>
    </row>
    <row r="21" spans="1:3" x14ac:dyDescent="0.3">
      <c r="A21" s="6">
        <f t="shared" ca="1" si="0"/>
        <v>16594.8125</v>
      </c>
    </row>
    <row r="22" spans="1:3" x14ac:dyDescent="0.3">
      <c r="A22" s="6">
        <f t="shared" ca="1" si="0"/>
        <v>16594.8125</v>
      </c>
    </row>
    <row r="23" spans="1:3" x14ac:dyDescent="0.3">
      <c r="A23" s="6">
        <f t="shared" ca="1" si="0"/>
        <v>16594.8125</v>
      </c>
    </row>
    <row r="24" spans="1:3" x14ac:dyDescent="0.3">
      <c r="A24" s="6">
        <f t="shared" ca="1" si="0"/>
        <v>16594.8125</v>
      </c>
    </row>
    <row r="25" spans="1:3" x14ac:dyDescent="0.3">
      <c r="A25" s="6">
        <f ca="1">N79+O79</f>
        <v>10620.68</v>
      </c>
    </row>
    <row r="26" spans="1:3" x14ac:dyDescent="0.3">
      <c r="A26" s="6"/>
    </row>
    <row r="27" spans="1:3" x14ac:dyDescent="0.3">
      <c r="A27" s="6"/>
    </row>
    <row r="28" spans="1:3" x14ac:dyDescent="0.3">
      <c r="A28" s="6"/>
    </row>
    <row r="30" spans="1:3" x14ac:dyDescent="0.3">
      <c r="A30" s="44">
        <f>_xlfn.XMATCH(C30,TestCases[Test Name])</f>
        <v>1</v>
      </c>
      <c r="B30">
        <v>1</v>
      </c>
      <c r="C30" t="s">
        <v>49</v>
      </c>
    </row>
    <row r="31" spans="1:3" x14ac:dyDescent="0.3">
      <c r="B31" t="s">
        <v>29</v>
      </c>
      <c r="C31" t="s">
        <v>30</v>
      </c>
    </row>
    <row r="33" spans="1:22" ht="58.2" thickBot="1" x14ac:dyDescent="0.35">
      <c r="B33" s="57" t="s">
        <v>65</v>
      </c>
      <c r="C33" s="57" t="s">
        <v>64</v>
      </c>
      <c r="D33" s="57" t="s">
        <v>63</v>
      </c>
      <c r="E33" s="57" t="s">
        <v>62</v>
      </c>
      <c r="F33" s="57" t="s">
        <v>61</v>
      </c>
      <c r="G33" s="57" t="s">
        <v>60</v>
      </c>
      <c r="H33" s="57" t="s">
        <v>59</v>
      </c>
      <c r="I33" s="57" t="s">
        <v>58</v>
      </c>
      <c r="J33" s="57" t="s">
        <v>20</v>
      </c>
      <c r="K33" s="57" t="s">
        <v>57</v>
      </c>
      <c r="L33" s="57" t="s">
        <v>56</v>
      </c>
      <c r="M33" s="57" t="s">
        <v>55</v>
      </c>
      <c r="N33" s="57" t="s">
        <v>54</v>
      </c>
      <c r="O33" s="57" t="s">
        <v>53</v>
      </c>
      <c r="P33" s="57" t="s">
        <v>52</v>
      </c>
      <c r="Q33" s="57" t="s">
        <v>51</v>
      </c>
      <c r="R33" s="57" t="s">
        <v>50</v>
      </c>
    </row>
    <row r="34" spans="1:22" x14ac:dyDescent="0.3">
      <c r="B34" s="58">
        <v>1</v>
      </c>
      <c r="C34" s="59" t="s">
        <v>48</v>
      </c>
      <c r="D34" s="59" t="b">
        <v>0</v>
      </c>
      <c r="E34" s="60">
        <v>42465</v>
      </c>
      <c r="F34" s="60">
        <v>18720</v>
      </c>
      <c r="G34" s="59" t="s">
        <v>33</v>
      </c>
      <c r="H34" s="59"/>
      <c r="I34" s="59"/>
      <c r="J34" s="60">
        <v>42465</v>
      </c>
      <c r="K34" s="59">
        <v>762282.17661630618</v>
      </c>
      <c r="L34" s="60">
        <v>44109</v>
      </c>
      <c r="M34" s="59">
        <v>1</v>
      </c>
      <c r="N34" s="59">
        <v>5.2499999999999998E-2</v>
      </c>
      <c r="O34" s="61">
        <v>95325.473432383646</v>
      </c>
      <c r="P34" s="61">
        <v>95325.473432383646</v>
      </c>
      <c r="Q34" s="61">
        <v>4221.541103677775</v>
      </c>
      <c r="R34" s="62">
        <v>100000</v>
      </c>
    </row>
    <row r="36" spans="1:22" x14ac:dyDescent="0.3">
      <c r="A36" s="44" t="s">
        <v>66</v>
      </c>
      <c r="S36" t="s">
        <v>115</v>
      </c>
      <c r="T36" t="s">
        <v>116</v>
      </c>
      <c r="U36" t="s">
        <v>117</v>
      </c>
      <c r="V36" t="s">
        <v>118</v>
      </c>
    </row>
    <row r="37" spans="1:22" x14ac:dyDescent="0.3">
      <c r="A37" t="s">
        <v>67</v>
      </c>
      <c r="B37" t="s">
        <v>68</v>
      </c>
      <c r="C37" t="s">
        <v>69</v>
      </c>
      <c r="D37" t="s">
        <v>70</v>
      </c>
      <c r="E37" t="s">
        <v>71</v>
      </c>
      <c r="F37" t="s">
        <v>72</v>
      </c>
      <c r="G37" t="s">
        <v>105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13</v>
      </c>
      <c r="N37" t="s">
        <v>73</v>
      </c>
      <c r="O37" t="s">
        <v>74</v>
      </c>
      <c r="Q37" t="s">
        <v>112</v>
      </c>
      <c r="R37" t="s">
        <v>113</v>
      </c>
      <c r="S37">
        <v>1</v>
      </c>
      <c r="V37" cm="1">
        <f t="array" ref="V37:V54">Expected-Actual</f>
        <v>-1</v>
      </c>
    </row>
    <row r="38" spans="1:22" x14ac:dyDescent="0.3">
      <c r="A38" cm="1">
        <f t="array" ref="A38:A54">DATEDIF(Valuation_Date,Benefit_Effective_Date,"y")</f>
        <v>0</v>
      </c>
      <c r="B38" cm="1">
        <f t="array" ref="B38:B54">IF(TestCases[Secondary Birthdate],2,1)</f>
        <v>1</v>
      </c>
      <c r="C38" t="b" cm="1">
        <f t="array" ref="C38:C54">IF(Number_Of_Annuitants=2,TRUE,FALSE)</f>
        <v>0</v>
      </c>
      <c r="D38" cm="1">
        <f t="array" ref="D38:D54">DATEDIF(TestCases[Primary Birthdate],TestCases[[Benefit Effective Date ]],"y")</f>
        <v>65</v>
      </c>
      <c r="E38" cm="1">
        <f t="array" ref="E38:E54">IF(TestCases[Secondary Birthdate],DATEDIF(TestCases[Secondary Birthdate],TestCases[Valuation Date],"y"),)</f>
        <v>0</v>
      </c>
      <c r="F38">
        <f>IF(E38=0,D38,MIN(D38:E38))</f>
        <v>65</v>
      </c>
      <c r="G38" t="e" cm="1">
        <f t="array" aca="1" ref="G38" ca="1">IF(AND(Number_Of_Annuitants=1,LB_Age1&lt;=Minimum_Withdrawal_Age&lt;=UB_AGE1),OFFSET(UB_AGE1,0,1),OFFSET(UB_Ages2,0,1))</f>
        <v>#N/A</v>
      </c>
      <c r="H38" t="e" cm="1">
        <f t="array" aca="1" ref="H38" ca="1">IF(AND(Number_Of_Annuitants=1,LB_Age1&lt;=Minimum_Withdrawal_Age&lt;=UB_AGE1),OFFSET(UB_AGE1,0,3),OFFSET(UB_Ages2,0,3))</f>
        <v>#N/A</v>
      </c>
      <c r="I38" t="e" cm="1">
        <f t="array" aca="1" ref="I38" ca="1">IF(AND(Number_Of_Annuitants=1,LB_Age1&lt;=Minimum_Withdrawal_Age&lt;=UB_AGE1),OFFSET(UB_AGE1,0,5),OFFSET(UB_Ages2,0,5))</f>
        <v>#N/A</v>
      </c>
      <c r="J38" t="e" cm="1">
        <f t="array" aca="1" ref="J38" ca="1">IF(AND(Number_Of_Annuitants=1,LB_Age1&lt;=Minimum_Withdrawal_Age&lt;=UB_AGE1),OFFSET(UB_AGE1,0,2),OFFSET(UB_Ages2,0,2))</f>
        <v>#N/A</v>
      </c>
      <c r="K38" t="e" cm="1">
        <f t="array" aca="1" ref="K38" ca="1">IF(AND(Number_Of_Annuitants=1,LB_Age1&lt;=Minimum_Withdrawal_Age&lt;=UB_AGE1),OFFSET(UB_AGE1,0,4),OFFSET(UB_Ages2,0,4))</f>
        <v>#N/A</v>
      </c>
      <c r="L38" t="e" cm="1">
        <f t="array" aca="1" ref="L38" ca="1">IF(AND(Number_Of_Annuitants=1,LB_Age1&lt;=Minimum_Withdrawal_Age&lt;=UB_AGE1),OFFSET(UB_AGE1,0,6),OFFSET(UB_Ages2,0,6))</f>
        <v>#N/A</v>
      </c>
      <c r="M38" cm="1">
        <f t="array" aca="1" ref="M38:M54" ca="1">IF(TestCases[Withdrawal Activation Date]&lt;TODAY(), DATEDIF(TestCases[Valuation Date],TestCases[Withdrawal Activation Date],"y"),0)</f>
        <v>4</v>
      </c>
      <c r="N38" cm="1">
        <f t="array" ref="N38:N54">120-Minimum_Withdrawal_Age</f>
        <v>55</v>
      </c>
      <c r="O38" t="b" cm="1">
        <f t="array" ref="O38:O54">IF(TestCases[Valuation Date]&gt;TestCases[[Benefit Effective Date ]],TRUE,FALSE)</f>
        <v>0</v>
      </c>
      <c r="R38" s="100" t="s">
        <v>49</v>
      </c>
      <c r="S38" s="102">
        <v>0</v>
      </c>
      <c r="T38" s="102">
        <v>0</v>
      </c>
      <c r="U38" s="102">
        <v>0</v>
      </c>
      <c r="V38">
        <v>0</v>
      </c>
    </row>
    <row r="39" spans="1:22" x14ac:dyDescent="0.3">
      <c r="A39">
        <v>0</v>
      </c>
      <c r="B39">
        <v>1</v>
      </c>
      <c r="C39" t="b">
        <v>0</v>
      </c>
      <c r="D39">
        <v>65</v>
      </c>
      <c r="E39">
        <v>0</v>
      </c>
      <c r="F39">
        <f t="shared" ref="F39:F54" si="1">IF(E39=0,D39,MIN(D39:E39))</f>
        <v>65</v>
      </c>
      <c r="G39" t="e" cm="1">
        <f t="array" aca="1" ref="G39" ca="1">IF(AND(Number_Of_Annuitants=1,LB_Age1&lt;=Minimum_Withdrawal_Age&lt;=UB_AGE1),OFFSET(UB_AGE1,0,1),OFFSET(UB_Ages2,0,1))</f>
        <v>#N/A</v>
      </c>
      <c r="H39" t="e" cm="1">
        <f t="array" aca="1" ref="H39" ca="1">IF(AND(Number_Of_Annuitants=1,LB_Age1&lt;=Minimum_Withdrawal_Age&lt;=UB_AGE1),OFFSET(UB_AGE1,0,3),OFFSET(UB_Ages2,0,3))</f>
        <v>#N/A</v>
      </c>
      <c r="I39" t="e" cm="1">
        <f t="array" aca="1" ref="I39" ca="1">IF(AND(Number_Of_Annuitants=1,LB_Age1&lt;=Minimum_Withdrawal_Age&lt;=UB_AGE1),OFFSET(UB_AGE1,0,5),OFFSET(UB_Ages2,0,5))</f>
        <v>#N/A</v>
      </c>
      <c r="J39" t="e" cm="1">
        <f t="array" aca="1" ref="J39" ca="1">IF(AND(Number_Of_Annuitants=1,LB_Age1&lt;=Minimum_Withdrawal_Age&lt;=UB_AGE1),OFFSET(UB_AGE1,0,2),OFFSET(UB_Ages2,0,2))</f>
        <v>#N/A</v>
      </c>
      <c r="K39" t="e" cm="1">
        <f t="array" aca="1" ref="K39" ca="1">IF(AND(Number_Of_Annuitants=1,LB_Age1&lt;=Minimum_Withdrawal_Age&lt;=UB_AGE1),OFFSET(UB_AGE1,0,4),OFFSET(UB_Ages2,0,4))</f>
        <v>#N/A</v>
      </c>
      <c r="L39" t="e" cm="1">
        <f t="array" aca="1" ref="L39" ca="1">IF(AND(Number_Of_Annuitants=1,LB_Age1&lt;=Minimum_Withdrawal_Age&lt;=UB_AGE1),OFFSET(UB_AGE1,0,6),OFFSET(UB_Ages2,0,6))</f>
        <v>#N/A</v>
      </c>
      <c r="M39">
        <f ca="1"/>
        <v>4</v>
      </c>
      <c r="N39">
        <v>55</v>
      </c>
      <c r="O39" t="b">
        <v>0</v>
      </c>
      <c r="R39" s="101" t="s">
        <v>48</v>
      </c>
      <c r="S39" s="103">
        <v>1</v>
      </c>
      <c r="T39" s="103">
        <v>1</v>
      </c>
      <c r="U39" s="103">
        <v>1</v>
      </c>
      <c r="V39">
        <v>0</v>
      </c>
    </row>
    <row r="40" spans="1:22" x14ac:dyDescent="0.3">
      <c r="A40">
        <v>0</v>
      </c>
      <c r="B40">
        <v>1</v>
      </c>
      <c r="C40" t="b">
        <v>0</v>
      </c>
      <c r="D40">
        <v>45</v>
      </c>
      <c r="E40">
        <v>0</v>
      </c>
      <c r="F40">
        <f t="shared" si="1"/>
        <v>45</v>
      </c>
      <c r="G40" t="e" cm="1">
        <f t="array" aca="1" ref="G40" ca="1">IF(AND(Number_Of_Annuitants=1,LB_Age1&lt;=Minimum_Withdrawal_Age&lt;=UB_AGE1),OFFSET(UB_AGE1,0,1),OFFSET(UB_Ages2,0,1))</f>
        <v>#N/A</v>
      </c>
      <c r="H40" t="e" cm="1">
        <f t="array" aca="1" ref="H40" ca="1">IF(AND(Number_Of_Annuitants=1,LB_Age1&lt;=Minimum_Withdrawal_Age&lt;=UB_AGE1),OFFSET(UB_AGE1,0,3),OFFSET(UB_Ages2,0,3))</f>
        <v>#N/A</v>
      </c>
      <c r="I40" t="e" cm="1">
        <f t="array" aca="1" ref="I40" ca="1">IF(AND(Number_Of_Annuitants=1,LB_Age1&lt;=Minimum_Withdrawal_Age&lt;=UB_AGE1),OFFSET(UB_AGE1,0,5),OFFSET(UB_Ages2,0,5))</f>
        <v>#N/A</v>
      </c>
      <c r="J40" t="e" cm="1">
        <f t="array" aca="1" ref="J40" ca="1">IF(AND(Number_Of_Annuitants=1,LB_Age1&lt;=Minimum_Withdrawal_Age&lt;=UB_AGE1),OFFSET(UB_AGE1,0,2),OFFSET(UB_Ages2,0,2))</f>
        <v>#N/A</v>
      </c>
      <c r="K40" t="e" cm="1">
        <f t="array" aca="1" ref="K40" ca="1">IF(AND(Number_Of_Annuitants=1,LB_Age1&lt;=Minimum_Withdrawal_Age&lt;=UB_AGE1),OFFSET(UB_AGE1,0,4),OFFSET(UB_Ages2,0,4))</f>
        <v>#N/A</v>
      </c>
      <c r="L40" t="e" cm="1">
        <f t="array" aca="1" ref="L40" ca="1">IF(AND(Number_Of_Annuitants=1,LB_Age1&lt;=Minimum_Withdrawal_Age&lt;=UB_AGE1),OFFSET(UB_AGE1,0,6),OFFSET(UB_Ages2,0,6))</f>
        <v>#N/A</v>
      </c>
      <c r="M40">
        <f ca="1"/>
        <v>4</v>
      </c>
      <c r="N40">
        <v>75</v>
      </c>
      <c r="O40" t="b">
        <v>0</v>
      </c>
      <c r="R40" s="100" t="s">
        <v>47</v>
      </c>
      <c r="S40" s="102">
        <v>2</v>
      </c>
      <c r="T40" s="102">
        <v>2</v>
      </c>
      <c r="U40" s="102">
        <v>2</v>
      </c>
      <c r="V40">
        <v>0</v>
      </c>
    </row>
    <row r="41" spans="1:22" x14ac:dyDescent="0.3">
      <c r="A41">
        <v>0</v>
      </c>
      <c r="B41">
        <v>1</v>
      </c>
      <c r="C41" t="b">
        <v>0</v>
      </c>
      <c r="D41">
        <v>55</v>
      </c>
      <c r="E41">
        <v>0</v>
      </c>
      <c r="F41">
        <f t="shared" si="1"/>
        <v>55</v>
      </c>
      <c r="G41" t="e" cm="1">
        <f t="array" aca="1" ref="G41" ca="1">IF(AND(Number_Of_Annuitants=1,LB_Age1&lt;=Minimum_Withdrawal_Age&lt;=UB_AGE1),OFFSET(UB_AGE1,0,1),OFFSET(UB_Ages2,0,1))</f>
        <v>#N/A</v>
      </c>
      <c r="H41" t="e" cm="1">
        <f t="array" aca="1" ref="H41" ca="1">IF(AND(Number_Of_Annuitants=1,LB_Age1&lt;=Minimum_Withdrawal_Age&lt;=UB_AGE1),OFFSET(UB_AGE1,0,3),OFFSET(UB_Ages2,0,3))</f>
        <v>#N/A</v>
      </c>
      <c r="I41" t="e" cm="1">
        <f t="array" aca="1" ref="I41" ca="1">IF(AND(Number_Of_Annuitants=1,LB_Age1&lt;=Minimum_Withdrawal_Age&lt;=UB_AGE1),OFFSET(UB_AGE1,0,5),OFFSET(UB_Ages2,0,5))</f>
        <v>#N/A</v>
      </c>
      <c r="J41" t="e" cm="1">
        <f t="array" aca="1" ref="J41" ca="1">IF(AND(Number_Of_Annuitants=1,LB_Age1&lt;=Minimum_Withdrawal_Age&lt;=UB_AGE1),OFFSET(UB_AGE1,0,2),OFFSET(UB_Ages2,0,2))</f>
        <v>#N/A</v>
      </c>
      <c r="K41" t="e" cm="1">
        <f t="array" aca="1" ref="K41" ca="1">IF(AND(Number_Of_Annuitants=1,LB_Age1&lt;=Minimum_Withdrawal_Age&lt;=UB_AGE1),OFFSET(UB_AGE1,0,4),OFFSET(UB_Ages2,0,4))</f>
        <v>#N/A</v>
      </c>
      <c r="L41" t="e" cm="1">
        <f t="array" aca="1" ref="L41" ca="1">IF(AND(Number_Of_Annuitants=1,LB_Age1&lt;=Minimum_Withdrawal_Age&lt;=UB_AGE1),OFFSET(UB_AGE1,0,6),OFFSET(UB_Ages2,0,6))</f>
        <v>#N/A</v>
      </c>
      <c r="M41">
        <f ca="1"/>
        <v>4</v>
      </c>
      <c r="N41">
        <v>65</v>
      </c>
      <c r="O41" t="b">
        <v>0</v>
      </c>
      <c r="R41" s="101" t="s">
        <v>46</v>
      </c>
      <c r="S41" s="103">
        <v>3</v>
      </c>
      <c r="T41" s="103">
        <v>3</v>
      </c>
      <c r="U41" s="103">
        <v>3</v>
      </c>
      <c r="V41">
        <v>0</v>
      </c>
    </row>
    <row r="42" spans="1:22" x14ac:dyDescent="0.3">
      <c r="A42">
        <v>0</v>
      </c>
      <c r="B42">
        <v>1</v>
      </c>
      <c r="C42" t="b">
        <v>0</v>
      </c>
      <c r="D42">
        <v>75</v>
      </c>
      <c r="E42">
        <v>0</v>
      </c>
      <c r="F42">
        <f t="shared" si="1"/>
        <v>75</v>
      </c>
      <c r="G42" t="e" cm="1">
        <f t="array" aca="1" ref="G42" ca="1">IF(AND(Number_Of_Annuitants=1,LB_Age1&lt;=Minimum_Withdrawal_Age&lt;=UB_AGE1),OFFSET(UB_AGE1,0,1),OFFSET(UB_Ages2,0,1))</f>
        <v>#N/A</v>
      </c>
      <c r="H42" t="e" cm="1">
        <f t="array" aca="1" ref="H42" ca="1">IF(AND(Number_Of_Annuitants=1,LB_Age1&lt;=Minimum_Withdrawal_Age&lt;=UB_AGE1),OFFSET(UB_AGE1,0,3),OFFSET(UB_Ages2,0,3))</f>
        <v>#N/A</v>
      </c>
      <c r="I42" t="e" cm="1">
        <f t="array" aca="1" ref="I42" ca="1">IF(AND(Number_Of_Annuitants=1,LB_Age1&lt;=Minimum_Withdrawal_Age&lt;=UB_AGE1),OFFSET(UB_AGE1,0,5),OFFSET(UB_Ages2,0,5))</f>
        <v>#N/A</v>
      </c>
      <c r="J42" t="e" cm="1">
        <f t="array" aca="1" ref="J42" ca="1">IF(AND(Number_Of_Annuitants=1,LB_Age1&lt;=Minimum_Withdrawal_Age&lt;=UB_AGE1),OFFSET(UB_AGE1,0,2),OFFSET(UB_Ages2,0,2))</f>
        <v>#N/A</v>
      </c>
      <c r="K42" t="e" cm="1">
        <f t="array" aca="1" ref="K42" ca="1">IF(AND(Number_Of_Annuitants=1,LB_Age1&lt;=Minimum_Withdrawal_Age&lt;=UB_AGE1),OFFSET(UB_AGE1,0,4),OFFSET(UB_Ages2,0,4))</f>
        <v>#N/A</v>
      </c>
      <c r="L42" t="e" cm="1">
        <f t="array" aca="1" ref="L42" ca="1">IF(AND(Number_Of_Annuitants=1,LB_Age1&lt;=Minimum_Withdrawal_Age&lt;=UB_AGE1),OFFSET(UB_AGE1,0,6),OFFSET(UB_Ages2,0,6))</f>
        <v>#N/A</v>
      </c>
      <c r="M42">
        <f ca="1"/>
        <v>4</v>
      </c>
      <c r="N42">
        <v>45</v>
      </c>
      <c r="O42" t="b">
        <v>0</v>
      </c>
      <c r="R42" s="100" t="s">
        <v>45</v>
      </c>
      <c r="S42" s="102">
        <v>4</v>
      </c>
      <c r="T42" s="102">
        <v>4</v>
      </c>
      <c r="U42" s="102">
        <v>4</v>
      </c>
      <c r="V42">
        <v>0</v>
      </c>
    </row>
    <row r="43" spans="1:22" x14ac:dyDescent="0.3">
      <c r="A43">
        <v>0</v>
      </c>
      <c r="B43">
        <v>1</v>
      </c>
      <c r="C43" t="b">
        <v>0</v>
      </c>
      <c r="D43">
        <v>84</v>
      </c>
      <c r="E43">
        <v>0</v>
      </c>
      <c r="F43">
        <f t="shared" si="1"/>
        <v>84</v>
      </c>
      <c r="G43" t="e" cm="1">
        <f t="array" aca="1" ref="G43" ca="1">IF(AND(Number_Of_Annuitants=1,LB_Age1&lt;=Minimum_Withdrawal_Age&lt;=UB_AGE1),OFFSET(UB_AGE1,0,1),OFFSET(UB_Ages2,0,1))</f>
        <v>#N/A</v>
      </c>
      <c r="H43" t="e" cm="1">
        <f t="array" aca="1" ref="H43" ca="1">IF(AND(Number_Of_Annuitants=1,LB_Age1&lt;=Minimum_Withdrawal_Age&lt;=UB_AGE1),OFFSET(UB_AGE1,0,3),OFFSET(UB_Ages2,0,3))</f>
        <v>#N/A</v>
      </c>
      <c r="I43" t="e" cm="1">
        <f t="array" aca="1" ref="I43" ca="1">IF(AND(Number_Of_Annuitants=1,LB_Age1&lt;=Minimum_Withdrawal_Age&lt;=UB_AGE1),OFFSET(UB_AGE1,0,5),OFFSET(UB_Ages2,0,5))</f>
        <v>#N/A</v>
      </c>
      <c r="J43" t="e" cm="1">
        <f t="array" aca="1" ref="J43" ca="1">IF(AND(Number_Of_Annuitants=1,LB_Age1&lt;=Minimum_Withdrawal_Age&lt;=UB_AGE1),OFFSET(UB_AGE1,0,2),OFFSET(UB_Ages2,0,2))</f>
        <v>#N/A</v>
      </c>
      <c r="K43" t="e" cm="1">
        <f t="array" aca="1" ref="K43" ca="1">IF(AND(Number_Of_Annuitants=1,LB_Age1&lt;=Minimum_Withdrawal_Age&lt;=UB_AGE1),OFFSET(UB_AGE1,0,4),OFFSET(UB_Ages2,0,4))</f>
        <v>#N/A</v>
      </c>
      <c r="L43" t="e" cm="1">
        <f t="array" aca="1" ref="L43" ca="1">IF(AND(Number_Of_Annuitants=1,LB_Age1&lt;=Minimum_Withdrawal_Age&lt;=UB_AGE1),OFFSET(UB_AGE1,0,6),OFFSET(UB_Ages2,0,6))</f>
        <v>#N/A</v>
      </c>
      <c r="M43">
        <f ca="1"/>
        <v>4</v>
      </c>
      <c r="N43">
        <v>36</v>
      </c>
      <c r="O43" t="b">
        <v>0</v>
      </c>
      <c r="R43" s="101" t="s">
        <v>44</v>
      </c>
      <c r="S43" s="103">
        <v>5</v>
      </c>
      <c r="T43" s="103">
        <v>5</v>
      </c>
      <c r="U43" s="103">
        <v>5</v>
      </c>
      <c r="V43">
        <v>0</v>
      </c>
    </row>
    <row r="44" spans="1:22" x14ac:dyDescent="0.3">
      <c r="A44">
        <v>0</v>
      </c>
      <c r="B44">
        <v>1</v>
      </c>
      <c r="C44" t="b">
        <v>0</v>
      </c>
      <c r="D44">
        <v>65</v>
      </c>
      <c r="E44">
        <v>0</v>
      </c>
      <c r="F44">
        <f t="shared" si="1"/>
        <v>65</v>
      </c>
      <c r="G44" t="e" cm="1">
        <f t="array" aca="1" ref="G44" ca="1">IF(AND(Number_Of_Annuitants=1,LB_Age1&lt;=Minimum_Withdrawal_Age&lt;=UB_AGE1),OFFSET(UB_AGE1,0,1),OFFSET(UB_Ages2,0,1))</f>
        <v>#N/A</v>
      </c>
      <c r="H44" t="e" cm="1">
        <f t="array" aca="1" ref="H44" ca="1">IF(AND(Number_Of_Annuitants=1,LB_Age1&lt;=Minimum_Withdrawal_Age&lt;=UB_AGE1),OFFSET(UB_AGE1,0,3),OFFSET(UB_Ages2,0,3))</f>
        <v>#N/A</v>
      </c>
      <c r="I44" t="e" cm="1">
        <f t="array" aca="1" ref="I44" ca="1">IF(AND(Number_Of_Annuitants=1,LB_Age1&lt;=Minimum_Withdrawal_Age&lt;=UB_AGE1),OFFSET(UB_AGE1,0,5),OFFSET(UB_Ages2,0,5))</f>
        <v>#N/A</v>
      </c>
      <c r="J44" t="e" cm="1">
        <f t="array" aca="1" ref="J44" ca="1">IF(AND(Number_Of_Annuitants=1,LB_Age1&lt;=Minimum_Withdrawal_Age&lt;=UB_AGE1),OFFSET(UB_AGE1,0,2),OFFSET(UB_Ages2,0,2))</f>
        <v>#N/A</v>
      </c>
      <c r="K44" t="e" cm="1">
        <f t="array" aca="1" ref="K44" ca="1">IF(AND(Number_Of_Annuitants=1,LB_Age1&lt;=Minimum_Withdrawal_Age&lt;=UB_AGE1),OFFSET(UB_AGE1,0,4),OFFSET(UB_Ages2,0,4))</f>
        <v>#N/A</v>
      </c>
      <c r="L44" t="e" cm="1">
        <f t="array" aca="1" ref="L44" ca="1">IF(AND(Number_Of_Annuitants=1,LB_Age1&lt;=Minimum_Withdrawal_Age&lt;=UB_AGE1),OFFSET(UB_AGE1,0,6),OFFSET(UB_Ages2,0,6))</f>
        <v>#N/A</v>
      </c>
      <c r="M44">
        <f ca="1"/>
        <v>4</v>
      </c>
      <c r="N44">
        <v>55</v>
      </c>
      <c r="O44" t="b">
        <v>0</v>
      </c>
      <c r="R44" s="100" t="s">
        <v>43</v>
      </c>
      <c r="S44" s="102">
        <v>6</v>
      </c>
      <c r="T44" s="102">
        <v>6</v>
      </c>
      <c r="U44" s="102">
        <v>6</v>
      </c>
      <c r="V44">
        <v>0</v>
      </c>
    </row>
    <row r="45" spans="1:22" x14ac:dyDescent="0.3">
      <c r="A45">
        <v>0</v>
      </c>
      <c r="B45">
        <v>1</v>
      </c>
      <c r="C45" t="b">
        <v>0</v>
      </c>
      <c r="D45">
        <v>65</v>
      </c>
      <c r="E45">
        <v>0</v>
      </c>
      <c r="F45">
        <f t="shared" si="1"/>
        <v>65</v>
      </c>
      <c r="G45" t="e" cm="1">
        <f t="array" aca="1" ref="G45" ca="1">IF(AND(Number_Of_Annuitants=1,LB_Age1&lt;=Minimum_Withdrawal_Age&lt;=UB_AGE1),OFFSET(UB_AGE1,0,1),OFFSET(UB_Ages2,0,1))</f>
        <v>#N/A</v>
      </c>
      <c r="H45" t="e" cm="1">
        <f t="array" aca="1" ref="H45" ca="1">IF(AND(Number_Of_Annuitants=1,LB_Age1&lt;=Minimum_Withdrawal_Age&lt;=UB_AGE1),OFFSET(UB_AGE1,0,3),OFFSET(UB_Ages2,0,3))</f>
        <v>#N/A</v>
      </c>
      <c r="I45" t="e" cm="1">
        <f t="array" aca="1" ref="I45" ca="1">IF(AND(Number_Of_Annuitants=1,LB_Age1&lt;=Minimum_Withdrawal_Age&lt;=UB_AGE1),OFFSET(UB_AGE1,0,5),OFFSET(UB_Ages2,0,5))</f>
        <v>#N/A</v>
      </c>
      <c r="J45" t="e" cm="1">
        <f t="array" aca="1" ref="J45" ca="1">IF(AND(Number_Of_Annuitants=1,LB_Age1&lt;=Minimum_Withdrawal_Age&lt;=UB_AGE1),OFFSET(UB_AGE1,0,2),OFFSET(UB_Ages2,0,2))</f>
        <v>#N/A</v>
      </c>
      <c r="K45" t="e" cm="1">
        <f t="array" aca="1" ref="K45" ca="1">IF(AND(Number_Of_Annuitants=1,LB_Age1&lt;=Minimum_Withdrawal_Age&lt;=UB_AGE1),OFFSET(UB_AGE1,0,4),OFFSET(UB_Ages2,0,4))</f>
        <v>#N/A</v>
      </c>
      <c r="L45" t="e" cm="1">
        <f t="array" aca="1" ref="L45" ca="1">IF(AND(Number_Of_Annuitants=1,LB_Age1&lt;=Minimum_Withdrawal_Age&lt;=UB_AGE1),OFFSET(UB_AGE1,0,6),OFFSET(UB_Ages2,0,6))</f>
        <v>#N/A</v>
      </c>
      <c r="M45">
        <f ca="1"/>
        <v>4</v>
      </c>
      <c r="N45">
        <v>55</v>
      </c>
      <c r="O45" t="b">
        <v>0</v>
      </c>
      <c r="R45" s="101" t="s">
        <v>42</v>
      </c>
      <c r="S45" s="103">
        <v>7</v>
      </c>
      <c r="T45" s="103">
        <v>7</v>
      </c>
      <c r="U45" s="103">
        <v>7</v>
      </c>
      <c r="V45">
        <v>0</v>
      </c>
    </row>
    <row r="46" spans="1:22" x14ac:dyDescent="0.3">
      <c r="A46">
        <v>0</v>
      </c>
      <c r="B46">
        <v>1</v>
      </c>
      <c r="C46" t="b">
        <v>0</v>
      </c>
      <c r="D46">
        <v>65</v>
      </c>
      <c r="E46">
        <v>0</v>
      </c>
      <c r="F46">
        <f t="shared" si="1"/>
        <v>65</v>
      </c>
      <c r="G46" t="e" cm="1">
        <f t="array" aca="1" ref="G46" ca="1">IF(AND(Number_Of_Annuitants=1,LB_Age1&lt;=Minimum_Withdrawal_Age&lt;=UB_AGE1),OFFSET(UB_AGE1,0,1),OFFSET(UB_Ages2,0,1))</f>
        <v>#N/A</v>
      </c>
      <c r="H46" t="e" cm="1">
        <f t="array" aca="1" ref="H46" ca="1">IF(AND(Number_Of_Annuitants=1,LB_Age1&lt;=Minimum_Withdrawal_Age&lt;=UB_AGE1),OFFSET(UB_AGE1,0,3),OFFSET(UB_Ages2,0,3))</f>
        <v>#N/A</v>
      </c>
      <c r="I46" t="e" cm="1">
        <f t="array" aca="1" ref="I46" ca="1">IF(AND(Number_Of_Annuitants=1,LB_Age1&lt;=Minimum_Withdrawal_Age&lt;=UB_AGE1),OFFSET(UB_AGE1,0,5),OFFSET(UB_Ages2,0,5))</f>
        <v>#N/A</v>
      </c>
      <c r="J46" t="e" cm="1">
        <f t="array" aca="1" ref="J46" ca="1">IF(AND(Number_Of_Annuitants=1,LB_Age1&lt;=Minimum_Withdrawal_Age&lt;=UB_AGE1),OFFSET(UB_AGE1,0,2),OFFSET(UB_Ages2,0,2))</f>
        <v>#N/A</v>
      </c>
      <c r="K46" t="e" cm="1">
        <f t="array" aca="1" ref="K46" ca="1">IF(AND(Number_Of_Annuitants=1,LB_Age1&lt;=Minimum_Withdrawal_Age&lt;=UB_AGE1),OFFSET(UB_AGE1,0,4),OFFSET(UB_Ages2,0,4))</f>
        <v>#N/A</v>
      </c>
      <c r="L46" t="e" cm="1">
        <f t="array" aca="1" ref="L46" ca="1">IF(AND(Number_Of_Annuitants=1,LB_Age1&lt;=Minimum_Withdrawal_Age&lt;=UB_AGE1),OFFSET(UB_AGE1,0,6),OFFSET(UB_Ages2,0,6))</f>
        <v>#N/A</v>
      </c>
      <c r="M46">
        <f ca="1"/>
        <v>1</v>
      </c>
      <c r="N46">
        <v>55</v>
      </c>
      <c r="O46" t="b">
        <v>0</v>
      </c>
      <c r="R46" s="100" t="s">
        <v>41</v>
      </c>
      <c r="S46" s="102">
        <v>8</v>
      </c>
      <c r="T46" s="102">
        <v>8</v>
      </c>
      <c r="U46" s="102">
        <v>8</v>
      </c>
      <c r="V46">
        <v>0</v>
      </c>
    </row>
    <row r="47" spans="1:22" x14ac:dyDescent="0.3">
      <c r="A47">
        <v>0</v>
      </c>
      <c r="B47">
        <v>1</v>
      </c>
      <c r="C47" t="b">
        <v>0</v>
      </c>
      <c r="D47">
        <v>65</v>
      </c>
      <c r="E47">
        <v>0</v>
      </c>
      <c r="F47">
        <f t="shared" si="1"/>
        <v>65</v>
      </c>
      <c r="G47" t="e" cm="1">
        <f t="array" aca="1" ref="G47" ca="1">IF(AND(Number_Of_Annuitants=1,LB_Age1&lt;=Minimum_Withdrawal_Age&lt;=UB_AGE1),OFFSET(UB_AGE1,0,1),OFFSET(UB_Ages2,0,1))</f>
        <v>#N/A</v>
      </c>
      <c r="H47" t="e" cm="1">
        <f t="array" aca="1" ref="H47" ca="1">IF(AND(Number_Of_Annuitants=1,LB_Age1&lt;=Minimum_Withdrawal_Age&lt;=UB_AGE1),OFFSET(UB_AGE1,0,3),OFFSET(UB_Ages2,0,3))</f>
        <v>#N/A</v>
      </c>
      <c r="I47" t="e" cm="1">
        <f t="array" aca="1" ref="I47" ca="1">IF(AND(Number_Of_Annuitants=1,LB_Age1&lt;=Minimum_Withdrawal_Age&lt;=UB_AGE1),OFFSET(UB_AGE1,0,5),OFFSET(UB_Ages2,0,5))</f>
        <v>#N/A</v>
      </c>
      <c r="J47" t="e" cm="1">
        <f t="array" aca="1" ref="J47" ca="1">IF(AND(Number_Of_Annuitants=1,LB_Age1&lt;=Minimum_Withdrawal_Age&lt;=UB_AGE1),OFFSET(UB_AGE1,0,2),OFFSET(UB_Ages2,0,2))</f>
        <v>#N/A</v>
      </c>
      <c r="K47" t="e" cm="1">
        <f t="array" aca="1" ref="K47" ca="1">IF(AND(Number_Of_Annuitants=1,LB_Age1&lt;=Minimum_Withdrawal_Age&lt;=UB_AGE1),OFFSET(UB_AGE1,0,4),OFFSET(UB_Ages2,0,4))</f>
        <v>#N/A</v>
      </c>
      <c r="L47" t="e" cm="1">
        <f t="array" aca="1" ref="L47" ca="1">IF(AND(Number_Of_Annuitants=1,LB_Age1&lt;=Minimum_Withdrawal_Age&lt;=UB_AGE1),OFFSET(UB_AGE1,0,6),OFFSET(UB_Ages2,0,6))</f>
        <v>#N/A</v>
      </c>
      <c r="M47">
        <f ca="1"/>
        <v>2</v>
      </c>
      <c r="N47">
        <v>55</v>
      </c>
      <c r="O47" t="b">
        <v>0</v>
      </c>
      <c r="R47" s="101" t="s">
        <v>40</v>
      </c>
      <c r="S47" s="103">
        <v>9</v>
      </c>
      <c r="T47" s="103">
        <v>9</v>
      </c>
      <c r="U47" s="103">
        <v>9</v>
      </c>
      <c r="V47">
        <v>0</v>
      </c>
    </row>
    <row r="48" spans="1:22" x14ac:dyDescent="0.3">
      <c r="A48">
        <v>0</v>
      </c>
      <c r="B48">
        <v>1</v>
      </c>
      <c r="C48" t="b">
        <v>0</v>
      </c>
      <c r="D48">
        <v>65</v>
      </c>
      <c r="E48">
        <v>0</v>
      </c>
      <c r="F48">
        <f t="shared" si="1"/>
        <v>65</v>
      </c>
      <c r="G48" t="e" cm="1">
        <f t="array" aca="1" ref="G48" ca="1">IF(AND(Number_Of_Annuitants=1,LB_Age1&lt;=Minimum_Withdrawal_Age&lt;=UB_AGE1),OFFSET(UB_AGE1,0,1),OFFSET(UB_Ages2,0,1))</f>
        <v>#N/A</v>
      </c>
      <c r="H48" t="e" cm="1">
        <f t="array" aca="1" ref="H48" ca="1">IF(AND(Number_Of_Annuitants=1,LB_Age1&lt;=Minimum_Withdrawal_Age&lt;=UB_AGE1),OFFSET(UB_AGE1,0,3),OFFSET(UB_Ages2,0,3))</f>
        <v>#N/A</v>
      </c>
      <c r="I48" t="e" cm="1">
        <f t="array" aca="1" ref="I48" ca="1">IF(AND(Number_Of_Annuitants=1,LB_Age1&lt;=Minimum_Withdrawal_Age&lt;=UB_AGE1),OFFSET(UB_AGE1,0,5),OFFSET(UB_Ages2,0,5))</f>
        <v>#N/A</v>
      </c>
      <c r="J48" t="e" cm="1">
        <f t="array" aca="1" ref="J48" ca="1">IF(AND(Number_Of_Annuitants=1,LB_Age1&lt;=Minimum_Withdrawal_Age&lt;=UB_AGE1),OFFSET(UB_AGE1,0,2),OFFSET(UB_Ages2,0,2))</f>
        <v>#N/A</v>
      </c>
      <c r="K48" t="e" cm="1">
        <f t="array" aca="1" ref="K48" ca="1">IF(AND(Number_Of_Annuitants=1,LB_Age1&lt;=Minimum_Withdrawal_Age&lt;=UB_AGE1),OFFSET(UB_AGE1,0,4),OFFSET(UB_Ages2,0,4))</f>
        <v>#N/A</v>
      </c>
      <c r="L48" t="e" cm="1">
        <f t="array" aca="1" ref="L48" ca="1">IF(AND(Number_Of_Annuitants=1,LB_Age1&lt;=Minimum_Withdrawal_Age&lt;=UB_AGE1),OFFSET(UB_AGE1,0,6),OFFSET(UB_Ages2,0,6))</f>
        <v>#N/A</v>
      </c>
      <c r="M48">
        <f ca="1"/>
        <v>3</v>
      </c>
      <c r="N48">
        <v>55</v>
      </c>
      <c r="O48" t="b">
        <v>0</v>
      </c>
      <c r="R48" s="100" t="s">
        <v>39</v>
      </c>
      <c r="S48" s="102">
        <v>10</v>
      </c>
      <c r="T48" s="102">
        <v>10</v>
      </c>
      <c r="U48" s="102">
        <v>10</v>
      </c>
      <c r="V48">
        <v>0</v>
      </c>
    </row>
    <row r="49" spans="1:27" x14ac:dyDescent="0.3">
      <c r="A49">
        <v>0</v>
      </c>
      <c r="B49">
        <v>1</v>
      </c>
      <c r="C49" t="b">
        <v>0</v>
      </c>
      <c r="D49">
        <v>65</v>
      </c>
      <c r="E49">
        <v>0</v>
      </c>
      <c r="F49">
        <f t="shared" si="1"/>
        <v>65</v>
      </c>
      <c r="G49" t="e" cm="1">
        <f t="array" aca="1" ref="G49" ca="1">IF(AND(Number_Of_Annuitants=1,LB_Age1&lt;=Minimum_Withdrawal_Age&lt;=UB_AGE1),OFFSET(UB_AGE1,0,1),OFFSET(UB_Ages2,0,1))</f>
        <v>#N/A</v>
      </c>
      <c r="H49" t="e" cm="1">
        <f t="array" aca="1" ref="H49" ca="1">IF(AND(Number_Of_Annuitants=1,LB_Age1&lt;=Minimum_Withdrawal_Age&lt;=UB_AGE1),OFFSET(UB_AGE1,0,3),OFFSET(UB_Ages2,0,3))</f>
        <v>#N/A</v>
      </c>
      <c r="I49" t="e" cm="1">
        <f t="array" aca="1" ref="I49" ca="1">IF(AND(Number_Of_Annuitants=1,LB_Age1&lt;=Minimum_Withdrawal_Age&lt;=UB_AGE1),OFFSET(UB_AGE1,0,5),OFFSET(UB_Ages2,0,5))</f>
        <v>#N/A</v>
      </c>
      <c r="J49" t="e" cm="1">
        <f t="array" aca="1" ref="J49" ca="1">IF(AND(Number_Of_Annuitants=1,LB_Age1&lt;=Minimum_Withdrawal_Age&lt;=UB_AGE1),OFFSET(UB_AGE1,0,2),OFFSET(UB_Ages2,0,2))</f>
        <v>#N/A</v>
      </c>
      <c r="K49" t="e" cm="1">
        <f t="array" aca="1" ref="K49" ca="1">IF(AND(Number_Of_Annuitants=1,LB_Age1&lt;=Minimum_Withdrawal_Age&lt;=UB_AGE1),OFFSET(UB_AGE1,0,4),OFFSET(UB_Ages2,0,4))</f>
        <v>#N/A</v>
      </c>
      <c r="L49" t="e" cm="1">
        <f t="array" aca="1" ref="L49" ca="1">IF(AND(Number_Of_Annuitants=1,LB_Age1&lt;=Minimum_Withdrawal_Age&lt;=UB_AGE1),OFFSET(UB_AGE1,0,6),OFFSET(UB_Ages2,0,6))</f>
        <v>#N/A</v>
      </c>
      <c r="M49">
        <f ca="1"/>
        <v>5</v>
      </c>
      <c r="N49">
        <v>55</v>
      </c>
      <c r="O49" t="b">
        <v>0</v>
      </c>
      <c r="R49" s="101" t="s">
        <v>38</v>
      </c>
      <c r="S49" s="103">
        <v>11</v>
      </c>
      <c r="T49" s="103">
        <v>11</v>
      </c>
      <c r="U49" s="103">
        <v>11</v>
      </c>
      <c r="V49">
        <v>0</v>
      </c>
    </row>
    <row r="50" spans="1:27" x14ac:dyDescent="0.3">
      <c r="A50">
        <v>0</v>
      </c>
      <c r="B50">
        <v>1</v>
      </c>
      <c r="C50" t="b">
        <v>0</v>
      </c>
      <c r="D50">
        <v>65</v>
      </c>
      <c r="E50">
        <v>0</v>
      </c>
      <c r="F50">
        <f t="shared" si="1"/>
        <v>65</v>
      </c>
      <c r="G50" t="e" cm="1">
        <f t="array" aca="1" ref="G50" ca="1">IF(AND(Number_Of_Annuitants=1,LB_Age1&lt;=Minimum_Withdrawal_Age&lt;=UB_AGE1),OFFSET(UB_AGE1,0,1),OFFSET(UB_Ages2,0,1))</f>
        <v>#N/A</v>
      </c>
      <c r="H50" t="e" cm="1">
        <f t="array" aca="1" ref="H50" ca="1">IF(AND(Number_Of_Annuitants=1,LB_Age1&lt;=Minimum_Withdrawal_Age&lt;=UB_AGE1),OFFSET(UB_AGE1,0,3),OFFSET(UB_Ages2,0,3))</f>
        <v>#N/A</v>
      </c>
      <c r="I50" t="e" cm="1">
        <f t="array" aca="1" ref="I50" ca="1">IF(AND(Number_Of_Annuitants=1,LB_Age1&lt;=Minimum_Withdrawal_Age&lt;=UB_AGE1),OFFSET(UB_AGE1,0,5),OFFSET(UB_Ages2,0,5))</f>
        <v>#N/A</v>
      </c>
      <c r="J50" t="e" cm="1">
        <f t="array" aca="1" ref="J50" ca="1">IF(AND(Number_Of_Annuitants=1,LB_Age1&lt;=Minimum_Withdrawal_Age&lt;=UB_AGE1),OFFSET(UB_AGE1,0,2),OFFSET(UB_Ages2,0,2))</f>
        <v>#N/A</v>
      </c>
      <c r="K50" t="e" cm="1">
        <f t="array" aca="1" ref="K50" ca="1">IF(AND(Number_Of_Annuitants=1,LB_Age1&lt;=Minimum_Withdrawal_Age&lt;=UB_AGE1),OFFSET(UB_AGE1,0,4),OFFSET(UB_Ages2,0,4))</f>
        <v>#N/A</v>
      </c>
      <c r="L50" t="e" cm="1">
        <f t="array" aca="1" ref="L50" ca="1">IF(AND(Number_Of_Annuitants=1,LB_Age1&lt;=Minimum_Withdrawal_Age&lt;=UB_AGE1),OFFSET(UB_AGE1,0,6),OFFSET(UB_Ages2,0,6))</f>
        <v>#N/A</v>
      </c>
      <c r="M50">
        <f ca="1"/>
        <v>6</v>
      </c>
      <c r="N50">
        <v>55</v>
      </c>
      <c r="O50" t="b">
        <v>0</v>
      </c>
      <c r="R50" s="100" t="s">
        <v>37</v>
      </c>
      <c r="S50" s="102">
        <v>12</v>
      </c>
      <c r="T50" s="102">
        <v>12</v>
      </c>
      <c r="U50" s="102">
        <v>12</v>
      </c>
      <c r="V50">
        <v>0</v>
      </c>
    </row>
    <row r="51" spans="1:27" x14ac:dyDescent="0.3">
      <c r="A51">
        <v>0</v>
      </c>
      <c r="B51">
        <v>1</v>
      </c>
      <c r="C51" t="b">
        <v>0</v>
      </c>
      <c r="D51">
        <v>65</v>
      </c>
      <c r="E51">
        <v>0</v>
      </c>
      <c r="F51">
        <f t="shared" si="1"/>
        <v>65</v>
      </c>
      <c r="G51" t="e" cm="1">
        <f t="array" aca="1" ref="G51" ca="1">IF(AND(Number_Of_Annuitants=1,LB_Age1&lt;=Minimum_Withdrawal_Age&lt;=UB_AGE1),OFFSET(UB_AGE1,0,1),OFFSET(UB_Ages2,0,1))</f>
        <v>#N/A</v>
      </c>
      <c r="H51" t="e" cm="1">
        <f t="array" aca="1" ref="H51" ca="1">IF(AND(Number_Of_Annuitants=1,LB_Age1&lt;=Minimum_Withdrawal_Age&lt;=UB_AGE1),OFFSET(UB_AGE1,0,3),OFFSET(UB_Ages2,0,3))</f>
        <v>#N/A</v>
      </c>
      <c r="I51" t="e" cm="1">
        <f t="array" aca="1" ref="I51" ca="1">IF(AND(Number_Of_Annuitants=1,LB_Age1&lt;=Minimum_Withdrawal_Age&lt;=UB_AGE1),OFFSET(UB_AGE1,0,5),OFFSET(UB_Ages2,0,5))</f>
        <v>#N/A</v>
      </c>
      <c r="J51" t="e" cm="1">
        <f t="array" aca="1" ref="J51" ca="1">IF(AND(Number_Of_Annuitants=1,LB_Age1&lt;=Minimum_Withdrawal_Age&lt;=UB_AGE1),OFFSET(UB_AGE1,0,2),OFFSET(UB_Ages2,0,2))</f>
        <v>#N/A</v>
      </c>
      <c r="K51" t="e" cm="1">
        <f t="array" aca="1" ref="K51" ca="1">IF(AND(Number_Of_Annuitants=1,LB_Age1&lt;=Minimum_Withdrawal_Age&lt;=UB_AGE1),OFFSET(UB_AGE1,0,4),OFFSET(UB_Ages2,0,4))</f>
        <v>#N/A</v>
      </c>
      <c r="L51" t="e" cm="1">
        <f t="array" aca="1" ref="L51" ca="1">IF(AND(Number_Of_Annuitants=1,LB_Age1&lt;=Minimum_Withdrawal_Age&lt;=UB_AGE1),OFFSET(UB_AGE1,0,6),OFFSET(UB_Ages2,0,6))</f>
        <v>#N/A</v>
      </c>
      <c r="M51">
        <f ca="1"/>
        <v>0</v>
      </c>
      <c r="N51">
        <v>55</v>
      </c>
      <c r="O51" t="b">
        <v>0</v>
      </c>
      <c r="R51" s="101" t="s">
        <v>36</v>
      </c>
      <c r="S51" s="103">
        <v>13</v>
      </c>
      <c r="T51" s="103">
        <v>13</v>
      </c>
      <c r="U51" s="103">
        <v>13</v>
      </c>
      <c r="V51">
        <v>0</v>
      </c>
    </row>
    <row r="52" spans="1:27" x14ac:dyDescent="0.3">
      <c r="A52">
        <v>0</v>
      </c>
      <c r="B52">
        <v>2</v>
      </c>
      <c r="C52" t="b">
        <v>1</v>
      </c>
      <c r="D52">
        <v>55</v>
      </c>
      <c r="E52">
        <v>64</v>
      </c>
      <c r="F52">
        <f t="shared" si="1"/>
        <v>55</v>
      </c>
      <c r="G52" t="e" cm="1">
        <f t="array" aca="1" ref="G52" ca="1">IF(AND(Number_Of_Annuitants=1,LB_Age1&lt;=Minimum_Withdrawal_Age&lt;=UB_AGE1),OFFSET(UB_AGE1,0,1),OFFSET(UB_Ages2,0,1))</f>
        <v>#N/A</v>
      </c>
      <c r="H52" t="e" cm="1">
        <f t="array" aca="1" ref="H52" ca="1">IF(AND(Number_Of_Annuitants=1,LB_Age1&lt;=Minimum_Withdrawal_Age&lt;=UB_AGE1),OFFSET(UB_AGE1,0,3),OFFSET(UB_Ages2,0,3))</f>
        <v>#N/A</v>
      </c>
      <c r="I52" t="e" cm="1">
        <f t="array" aca="1" ref="I52" ca="1">IF(AND(Number_Of_Annuitants=1,LB_Age1&lt;=Minimum_Withdrawal_Age&lt;=UB_AGE1),OFFSET(UB_AGE1,0,5),OFFSET(UB_Ages2,0,5))</f>
        <v>#N/A</v>
      </c>
      <c r="J52" t="e" cm="1">
        <f t="array" aca="1" ref="J52" ca="1">IF(AND(Number_Of_Annuitants=1,LB_Age1&lt;=Minimum_Withdrawal_Age&lt;=UB_AGE1),OFFSET(UB_AGE1,0,2),OFFSET(UB_Ages2,0,2))</f>
        <v>#N/A</v>
      </c>
      <c r="K52" t="e" cm="1">
        <f t="array" aca="1" ref="K52" ca="1">IF(AND(Number_Of_Annuitants=1,LB_Age1&lt;=Minimum_Withdrawal_Age&lt;=UB_AGE1),OFFSET(UB_AGE1,0,4),OFFSET(UB_Ages2,0,4))</f>
        <v>#N/A</v>
      </c>
      <c r="L52" t="e" cm="1">
        <f t="array" aca="1" ref="L52" ca="1">IF(AND(Number_Of_Annuitants=1,LB_Age1&lt;=Minimum_Withdrawal_Age&lt;=UB_AGE1),OFFSET(UB_AGE1,0,6),OFFSET(UB_Ages2,0,6))</f>
        <v>#N/A</v>
      </c>
      <c r="M52">
        <f ca="1"/>
        <v>4</v>
      </c>
      <c r="N52">
        <v>65</v>
      </c>
      <c r="O52" t="b">
        <v>0</v>
      </c>
      <c r="R52" s="100" t="s">
        <v>35</v>
      </c>
      <c r="S52" s="102">
        <v>14</v>
      </c>
      <c r="T52" s="102">
        <v>14</v>
      </c>
      <c r="U52" s="102">
        <v>14</v>
      </c>
      <c r="V52">
        <v>0</v>
      </c>
    </row>
    <row r="53" spans="1:27" x14ac:dyDescent="0.3">
      <c r="A53">
        <v>0</v>
      </c>
      <c r="B53">
        <v>2</v>
      </c>
      <c r="C53" t="b">
        <v>1</v>
      </c>
      <c r="D53">
        <v>65</v>
      </c>
      <c r="E53">
        <v>74</v>
      </c>
      <c r="F53">
        <f t="shared" si="1"/>
        <v>65</v>
      </c>
      <c r="G53" t="e" cm="1">
        <f t="array" aca="1" ref="G53" ca="1">IF(AND(Number_Of_Annuitants=1,LB_Age1&lt;=Minimum_Withdrawal_Age&lt;=UB_AGE1),OFFSET(UB_AGE1,0,1),OFFSET(UB_Ages2,0,1))</f>
        <v>#N/A</v>
      </c>
      <c r="H53" t="e" cm="1">
        <f t="array" aca="1" ref="H53" ca="1">IF(AND(Number_Of_Annuitants=1,LB_Age1&lt;=Minimum_Withdrawal_Age&lt;=UB_AGE1),OFFSET(UB_AGE1,0,3),OFFSET(UB_Ages2,0,3))</f>
        <v>#N/A</v>
      </c>
      <c r="I53" t="e" cm="1">
        <f t="array" aca="1" ref="I53" ca="1">IF(AND(Number_Of_Annuitants=1,LB_Age1&lt;=Minimum_Withdrawal_Age&lt;=UB_AGE1),OFFSET(UB_AGE1,0,5),OFFSET(UB_Ages2,0,5))</f>
        <v>#N/A</v>
      </c>
      <c r="J53" t="e" cm="1">
        <f t="array" aca="1" ref="J53" ca="1">IF(AND(Number_Of_Annuitants=1,LB_Age1&lt;=Minimum_Withdrawal_Age&lt;=UB_AGE1),OFFSET(UB_AGE1,0,2),OFFSET(UB_Ages2,0,2))</f>
        <v>#N/A</v>
      </c>
      <c r="K53" t="e" cm="1">
        <f t="array" aca="1" ref="K53" ca="1">IF(AND(Number_Of_Annuitants=1,LB_Age1&lt;=Minimum_Withdrawal_Age&lt;=UB_AGE1),OFFSET(UB_AGE1,0,4),OFFSET(UB_Ages2,0,4))</f>
        <v>#N/A</v>
      </c>
      <c r="L53" t="e" cm="1">
        <f t="array" aca="1" ref="L53" ca="1">IF(AND(Number_Of_Annuitants=1,LB_Age1&lt;=Minimum_Withdrawal_Age&lt;=UB_AGE1),OFFSET(UB_AGE1,0,6),OFFSET(UB_Ages2,0,6))</f>
        <v>#N/A</v>
      </c>
      <c r="M53">
        <f ca="1"/>
        <v>4</v>
      </c>
      <c r="N53">
        <v>55</v>
      </c>
      <c r="O53" t="b">
        <v>0</v>
      </c>
      <c r="R53" s="101" t="s">
        <v>34</v>
      </c>
      <c r="S53" s="103">
        <v>15</v>
      </c>
      <c r="T53" s="103">
        <v>15</v>
      </c>
      <c r="U53" s="103">
        <v>15</v>
      </c>
      <c r="V53">
        <v>0</v>
      </c>
    </row>
    <row r="54" spans="1:27" x14ac:dyDescent="0.3">
      <c r="A54">
        <v>0</v>
      </c>
      <c r="B54">
        <v>2</v>
      </c>
      <c r="C54" t="b">
        <v>1</v>
      </c>
      <c r="D54">
        <v>80</v>
      </c>
      <c r="E54">
        <v>80</v>
      </c>
      <c r="F54">
        <f t="shared" si="1"/>
        <v>80</v>
      </c>
      <c r="G54" t="e" cm="1">
        <f t="array" aca="1" ref="G54" ca="1">IF(AND(Number_Of_Annuitants=1,LB_Age1&lt;=Minimum_Withdrawal_Age&lt;=UB_AGE1),OFFSET(UB_AGE1,0,1),OFFSET(UB_Ages2,0,1))</f>
        <v>#N/A</v>
      </c>
      <c r="H54" t="e" cm="1">
        <f t="array" aca="1" ref="H54" ca="1">IF(AND(Number_Of_Annuitants=1,LB_Age1&lt;=Minimum_Withdrawal_Age&lt;=UB_AGE1),OFFSET(UB_AGE1,0,3),OFFSET(UB_Ages2,0,3))</f>
        <v>#N/A</v>
      </c>
      <c r="I54" t="e" cm="1">
        <f t="array" aca="1" ref="I54" ca="1">IF(AND(Number_Of_Annuitants=1,LB_Age1&lt;=Minimum_Withdrawal_Age&lt;=UB_AGE1),OFFSET(UB_AGE1,0,5),OFFSET(UB_Ages2,0,5))</f>
        <v>#N/A</v>
      </c>
      <c r="J54" t="e" cm="1">
        <f t="array" aca="1" ref="J54" ca="1">IF(AND(Number_Of_Annuitants=1,LB_Age1&lt;=Minimum_Withdrawal_Age&lt;=UB_AGE1),OFFSET(UB_AGE1,0,2),OFFSET(UB_Ages2,0,2))</f>
        <v>#N/A</v>
      </c>
      <c r="K54" t="e" cm="1">
        <f t="array" aca="1" ref="K54" ca="1">IF(AND(Number_Of_Annuitants=1,LB_Age1&lt;=Minimum_Withdrawal_Age&lt;=UB_AGE1),OFFSET(UB_AGE1,0,4),OFFSET(UB_Ages2,0,4))</f>
        <v>#N/A</v>
      </c>
      <c r="L54" t="e" cm="1">
        <f t="array" aca="1" ref="L54" ca="1">IF(AND(Number_Of_Annuitants=1,LB_Age1&lt;=Minimum_Withdrawal_Age&lt;=UB_AGE1),OFFSET(UB_AGE1,0,6),OFFSET(UB_Ages2,0,6))</f>
        <v>#N/A</v>
      </c>
      <c r="M54">
        <f ca="1"/>
        <v>4</v>
      </c>
      <c r="N54">
        <v>40</v>
      </c>
      <c r="O54" t="b">
        <v>0</v>
      </c>
      <c r="R54" s="100" t="s">
        <v>32</v>
      </c>
      <c r="S54" s="102">
        <v>16</v>
      </c>
      <c r="T54" s="102">
        <v>16</v>
      </c>
      <c r="U54" s="102">
        <v>16</v>
      </c>
      <c r="V54">
        <v>0</v>
      </c>
    </row>
    <row r="55" spans="1:27" ht="15" thickBot="1" x14ac:dyDescent="0.35">
      <c r="I55" s="75"/>
    </row>
    <row r="56" spans="1:27" ht="129.6" x14ac:dyDescent="0.3">
      <c r="A56" s="38" t="s">
        <v>21</v>
      </c>
      <c r="B56" s="39" t="s">
        <v>22</v>
      </c>
      <c r="C56" s="40" t="s">
        <v>12</v>
      </c>
      <c r="D56" s="40" t="s">
        <v>7</v>
      </c>
      <c r="E56" s="40" t="s">
        <v>24</v>
      </c>
      <c r="F56" s="40" t="s">
        <v>8</v>
      </c>
      <c r="G56" s="40" t="s">
        <v>25</v>
      </c>
      <c r="H56" s="40" t="s">
        <v>9</v>
      </c>
      <c r="I56" s="40" t="s">
        <v>14</v>
      </c>
      <c r="J56" s="40" t="s">
        <v>1</v>
      </c>
      <c r="K56" s="40" t="s">
        <v>0</v>
      </c>
      <c r="L56" s="40" t="s">
        <v>27</v>
      </c>
      <c r="M56" s="40" t="s">
        <v>28</v>
      </c>
      <c r="N56" s="40" t="s">
        <v>4</v>
      </c>
      <c r="O56" s="40" t="s">
        <v>11</v>
      </c>
      <c r="P56" s="41" t="s">
        <v>26</v>
      </c>
      <c r="Q56" s="28" t="s">
        <v>15</v>
      </c>
      <c r="R56" s="30" t="s">
        <v>22</v>
      </c>
      <c r="S56" s="19" t="s">
        <v>12</v>
      </c>
      <c r="T56" s="19" t="s">
        <v>7</v>
      </c>
      <c r="U56" s="19" t="s">
        <v>8</v>
      </c>
      <c r="V56" s="19" t="s">
        <v>9</v>
      </c>
      <c r="W56" s="19" t="s">
        <v>10</v>
      </c>
      <c r="X56" s="19" t="s">
        <v>5</v>
      </c>
      <c r="Y56" s="19" t="s">
        <v>6</v>
      </c>
      <c r="Z56" s="19" t="s">
        <v>4</v>
      </c>
      <c r="AA56" s="20" t="s">
        <v>11</v>
      </c>
    </row>
    <row r="57" spans="1:27" x14ac:dyDescent="0.3">
      <c r="A57" s="32">
        <v>0</v>
      </c>
      <c r="B57" s="29">
        <f t="shared" ref="B57:D79" si="2">R57</f>
        <v>0</v>
      </c>
      <c r="C57" s="21">
        <f>S57</f>
        <v>100000</v>
      </c>
      <c r="D57" s="21">
        <f>T57</f>
        <v>0</v>
      </c>
      <c r="E57" s="21" t="b">
        <f>Table17[[#This Row],[Time From Valuation]]&gt;=Activation_Time</f>
        <v>0</v>
      </c>
      <c r="F57" s="21">
        <f t="shared" ref="F57:F77" si="3">U57</f>
        <v>100000</v>
      </c>
      <c r="G57" s="21" t="b">
        <f>Table17[[#This Row],[Time From Valuation]]=INT(Table17[[#This Row],[Time From Valuation]])</f>
        <v>1</v>
      </c>
      <c r="H57" s="7">
        <v>0</v>
      </c>
      <c r="I57" s="7">
        <f>Initial_Purchase_Payment</f>
        <v>100000</v>
      </c>
      <c r="J57" s="7">
        <v>0</v>
      </c>
      <c r="K57" s="7">
        <f>Initial_Purchase_Payment</f>
        <v>100000</v>
      </c>
      <c r="L57" s="42">
        <f>IF(NOT(Table17[[#This Row],[Is Activation]]),(Table17[[#This Row],[Withdrawal Taken  ]]/Table17[[#This Row],[Assumed Contract Value ]]),0)</f>
        <v>0</v>
      </c>
      <c r="M57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57" s="5">
        <f>IF(NOT(Table17[[#This Row],[Has Lifetime Income Started]]),Table17[[#This Row],[Income Base]]*MAW,0)</f>
        <v>6250</v>
      </c>
      <c r="O57" s="9">
        <f>IF(AND(Table17[[#This Row],[Has Lifetime Income Started]],Table17[[#This Row],[Is Anniversery]]),Table17[[#This Row],[Income Base]]*PIP_2,0)</f>
        <v>0</v>
      </c>
      <c r="P57" s="33" t="b">
        <f>Table17[[#This Row],[Assumed Contract Value ]]&lt;0.1</f>
        <v>0</v>
      </c>
      <c r="Q57" s="2"/>
      <c r="R57" s="22">
        <v>0</v>
      </c>
      <c r="S57" s="23">
        <v>100000</v>
      </c>
      <c r="T57" s="23">
        <v>0</v>
      </c>
      <c r="U57" s="23">
        <v>100000</v>
      </c>
      <c r="V57" s="12">
        <v>0</v>
      </c>
      <c r="W57" s="11">
        <v>100000</v>
      </c>
      <c r="X57" s="11">
        <v>100000</v>
      </c>
      <c r="Y57" s="11">
        <v>0</v>
      </c>
      <c r="Z57" s="11">
        <v>6250</v>
      </c>
      <c r="AA57" s="14">
        <v>0</v>
      </c>
    </row>
    <row r="58" spans="1:27" x14ac:dyDescent="0.3">
      <c r="A58" s="32">
        <f>A57+1</f>
        <v>1</v>
      </c>
      <c r="B58" s="29">
        <f t="shared" si="2"/>
        <v>0.5</v>
      </c>
      <c r="C58" s="21">
        <f t="shared" si="2"/>
        <v>60000</v>
      </c>
      <c r="D58" s="21">
        <f t="shared" si="2"/>
        <v>0</v>
      </c>
      <c r="E58" s="21" t="b">
        <f>Table17[[#This Row],[Time From Valuation]]&gt;=Activation_Time</f>
        <v>0</v>
      </c>
      <c r="F58" s="21">
        <f>U58</f>
        <v>165000</v>
      </c>
      <c r="G58" s="21" t="b">
        <f>Table17[[#This Row],[Time From Valuation]]=INT(Table17[[#This Row],[Time From Valuation]])</f>
        <v>0</v>
      </c>
      <c r="H58" s="7">
        <f>IF((Table17[[#This Row],[Is Anniversery]]), Table17[[#This Row],[Assumed Contract Value ]],0)</f>
        <v>0</v>
      </c>
      <c r="I58" s="7">
        <f ca="1">IF(NOT(Table17[[#This Row],[Is Activation]]),OFFSET(Table17[[#This Row],[Income Credit Base]],-1,0)+Table17[[#This Row],[Purchase Payments]]+Table17[[#This Row],[Income Credit]],0)</f>
        <v>160000</v>
      </c>
      <c r="J58" s="7">
        <f ca="1">IF(AND(Table17[[#This Row],[Is Activation]]=FALSE,Table17[[#This Row],[Is Anniversery]]=TRUE),OFFSET(Table17[[#This Row],[Income Credit Base]],-1,0)*ICP,0)</f>
        <v>0</v>
      </c>
      <c r="K58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160000</v>
      </c>
      <c r="L58" s="42">
        <f>IF(NOT(Table17[[#This Row],[Is Activation]]),(Table17[[#This Row],[Withdrawal Taken  ]]/Table17[[#This Row],[Assumed Contract Value ]]),0)</f>
        <v>0</v>
      </c>
      <c r="M58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58" s="5">
        <f ca="1">IF(NOT(Table17[[#This Row],[Has Lifetime Income Started]]),Table17[[#This Row],[Income Base]]*MAW,0)</f>
        <v>10000</v>
      </c>
      <c r="O58" s="9">
        <f>IF(AND(Table17[[#This Row],[Has Lifetime Income Started]],Table17[[#This Row],[Is Anniversery]]),Table17[[#This Row],[Income Base]]*PIP_2,0)</f>
        <v>0</v>
      </c>
      <c r="P58" s="33" t="b">
        <f>Table17[[#This Row],[Assumed Contract Value ]]&lt;0.1</f>
        <v>0</v>
      </c>
      <c r="Q58" s="2"/>
      <c r="R58" s="22">
        <f>R57+0.5</f>
        <v>0.5</v>
      </c>
      <c r="S58" s="23">
        <v>60000</v>
      </c>
      <c r="T58" s="23">
        <v>0</v>
      </c>
      <c r="U58" s="23">
        <v>165000</v>
      </c>
      <c r="V58" s="12">
        <v>0</v>
      </c>
      <c r="W58" s="11">
        <v>160000</v>
      </c>
      <c r="X58" s="11">
        <v>160000</v>
      </c>
      <c r="Y58" s="11">
        <v>0</v>
      </c>
      <c r="Z58" s="11">
        <v>10000</v>
      </c>
      <c r="AA58" s="14">
        <v>0</v>
      </c>
    </row>
    <row r="59" spans="1:27" x14ac:dyDescent="0.3">
      <c r="A59" s="32">
        <f t="shared" ref="A59:A79" si="4">A58+1</f>
        <v>2</v>
      </c>
      <c r="B59" s="29">
        <f t="shared" si="2"/>
        <v>1</v>
      </c>
      <c r="C59" s="21">
        <f t="shared" si="2"/>
        <v>0</v>
      </c>
      <c r="D59" s="21">
        <f t="shared" si="2"/>
        <v>0</v>
      </c>
      <c r="E59" s="21" t="b">
        <f>Table17[[#This Row],[Time From Valuation]]&gt;=Activation_Time</f>
        <v>0</v>
      </c>
      <c r="F59" s="21">
        <f t="shared" si="3"/>
        <v>170000</v>
      </c>
      <c r="G59" s="21" t="b">
        <f>Table17[[#This Row],[Time From Valuation]]=INT(Table17[[#This Row],[Time From Valuation]])</f>
        <v>1</v>
      </c>
      <c r="H59" s="7">
        <f>IF((Table17[[#This Row],[Is Anniversery]]), Table17[[#This Row],[Assumed Contract Value ]],0)</f>
        <v>170000</v>
      </c>
      <c r="I59" s="7">
        <f ca="1">IF(NOT(Table17[[#This Row],[Is Activation]]),OFFSET(Table17[[#This Row],[Income Credit Base]],-1,0)+Table17[[#This Row],[Purchase Payments]]+Table17[[#This Row],[Income Credit]],0)</f>
        <v>168400</v>
      </c>
      <c r="J59" s="7">
        <f ca="1">IF(AND(Table17[[#This Row],[Is Activation]]=FALSE,Table17[[#This Row],[Is Anniversery]]=TRUE),OFFSET(Table17[[#This Row],[Income Credit Base]],-1,0)*ICP,0)</f>
        <v>8400</v>
      </c>
      <c r="K59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170000</v>
      </c>
      <c r="L59" s="42">
        <f>IF(NOT(Table17[[#This Row],[Is Activation]]),(Table17[[#This Row],[Withdrawal Taken  ]]/Table17[[#This Row],[Assumed Contract Value ]]),0)</f>
        <v>0</v>
      </c>
      <c r="M59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59" s="5">
        <f ca="1">IF(NOT(Table17[[#This Row],[Has Lifetime Income Started]]),Table17[[#This Row],[Income Base]]*MAW,0)</f>
        <v>10625</v>
      </c>
      <c r="O59" s="9">
        <f>IF(AND(Table17[[#This Row],[Has Lifetime Income Started]],Table17[[#This Row],[Is Anniversery]]),Table17[[#This Row],[Income Base]]*PIP_2,0)</f>
        <v>0</v>
      </c>
      <c r="P59" s="33" t="b">
        <f>Table17[[#This Row],[Assumed Contract Value ]]&lt;0.1</f>
        <v>0</v>
      </c>
      <c r="Q59" s="2"/>
      <c r="R59" s="22">
        <f t="shared" ref="R59:R79" si="5">R58+0.5</f>
        <v>1</v>
      </c>
      <c r="S59" s="23">
        <v>0</v>
      </c>
      <c r="T59" s="23">
        <v>0</v>
      </c>
      <c r="U59" s="23">
        <v>170000</v>
      </c>
      <c r="V59" s="12">
        <v>170000</v>
      </c>
      <c r="W59" s="11">
        <v>170000</v>
      </c>
      <c r="X59" s="11">
        <v>170000</v>
      </c>
      <c r="Y59" s="11">
        <v>8400</v>
      </c>
      <c r="Z59" s="11">
        <v>10625</v>
      </c>
      <c r="AA59" s="14">
        <v>0</v>
      </c>
    </row>
    <row r="60" spans="1:27" x14ac:dyDescent="0.3">
      <c r="A60" s="32">
        <f t="shared" si="4"/>
        <v>3</v>
      </c>
      <c r="B60" s="29">
        <f t="shared" si="2"/>
        <v>1.5</v>
      </c>
      <c r="C60" s="21">
        <f t="shared" si="2"/>
        <v>90000</v>
      </c>
      <c r="D60" s="21">
        <f t="shared" si="2"/>
        <v>0</v>
      </c>
      <c r="E60" s="21" t="b">
        <f>Table17[[#This Row],[Time From Valuation]]&gt;=Activation_Time</f>
        <v>0</v>
      </c>
      <c r="F60" s="21">
        <f t="shared" si="3"/>
        <v>255000</v>
      </c>
      <c r="G60" s="21" t="b">
        <f>Table17[[#This Row],[Time From Valuation]]=INT(Table17[[#This Row],[Time From Valuation]])</f>
        <v>0</v>
      </c>
      <c r="H60" s="7">
        <f>IF((Table17[[#This Row],[Is Anniversery]]), Table17[[#This Row],[Assumed Contract Value ]],0)</f>
        <v>0</v>
      </c>
      <c r="I60" s="7">
        <f ca="1">IF(NOT(Table17[[#This Row],[Is Activation]]),OFFSET(Table17[[#This Row],[Income Credit Base]],-1,0)+Table17[[#This Row],[Purchase Payments]]+Table17[[#This Row],[Income Credit]],0)</f>
        <v>258400</v>
      </c>
      <c r="J60" s="7">
        <f ca="1">IF(AND(Table17[[#This Row],[Is Activation]]=FALSE,Table17[[#This Row],[Is Anniversery]]=TRUE),OFFSET(Table17[[#This Row],[Income Credit Base]],-1,0)*ICP,0)</f>
        <v>0</v>
      </c>
      <c r="K60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268400</v>
      </c>
      <c r="L60" s="42">
        <f>IF(NOT(Table17[[#This Row],[Is Activation]]),(Table17[[#This Row],[Withdrawal Taken  ]]/Table17[[#This Row],[Assumed Contract Value ]]),0)</f>
        <v>0</v>
      </c>
      <c r="M60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0" s="5">
        <f ca="1">IF(NOT(Table17[[#This Row],[Has Lifetime Income Started]]),Table17[[#This Row],[Income Base]]*MAW,0)</f>
        <v>16775</v>
      </c>
      <c r="O60" s="9">
        <f>IF(AND(Table17[[#This Row],[Has Lifetime Income Started]],Table17[[#This Row],[Is Anniversery]]),Table17[[#This Row],[Income Base]]*PIP_2,0)</f>
        <v>0</v>
      </c>
      <c r="P60" s="33" t="b">
        <f>Table17[[#This Row],[Assumed Contract Value ]]&lt;0.1</f>
        <v>0</v>
      </c>
      <c r="Q60" s="2"/>
      <c r="R60" s="22">
        <f t="shared" si="5"/>
        <v>1.5</v>
      </c>
      <c r="S60" s="23">
        <v>90000</v>
      </c>
      <c r="T60" s="23">
        <v>0</v>
      </c>
      <c r="U60" s="23">
        <v>255000</v>
      </c>
      <c r="V60" s="12">
        <v>0</v>
      </c>
      <c r="W60" s="11">
        <v>260000</v>
      </c>
      <c r="X60" s="11">
        <v>260000</v>
      </c>
      <c r="Y60" s="11">
        <v>0</v>
      </c>
      <c r="Z60" s="11">
        <v>16250</v>
      </c>
      <c r="AA60" s="14">
        <v>0</v>
      </c>
    </row>
    <row r="61" spans="1:27" x14ac:dyDescent="0.3">
      <c r="A61" s="32">
        <f t="shared" si="4"/>
        <v>4</v>
      </c>
      <c r="B61" s="29">
        <f t="shared" si="2"/>
        <v>2</v>
      </c>
      <c r="C61" s="21">
        <f t="shared" si="2"/>
        <v>0</v>
      </c>
      <c r="D61" s="21">
        <f t="shared" si="2"/>
        <v>0</v>
      </c>
      <c r="E61" s="21" t="b">
        <f>Table17[[#This Row],[Time From Valuation]]&gt;=Activation_Time</f>
        <v>0</v>
      </c>
      <c r="F61" s="21">
        <f t="shared" si="3"/>
        <v>287000</v>
      </c>
      <c r="G61" s="21" t="b">
        <f>Table17[[#This Row],[Time From Valuation]]=INT(Table17[[#This Row],[Time From Valuation]])</f>
        <v>1</v>
      </c>
      <c r="H61" s="7">
        <f>IF((Table17[[#This Row],[Is Anniversery]]), Table17[[#This Row],[Assumed Contract Value ]],0)</f>
        <v>287000</v>
      </c>
      <c r="I61" s="7">
        <f ca="1">IF(NOT(Table17[[#This Row],[Is Activation]]),OFFSET(Table17[[#This Row],[Income Credit Base]],-1,0)+Table17[[#This Row],[Purchase Payments]]+Table17[[#This Row],[Income Credit]],0)</f>
        <v>271966</v>
      </c>
      <c r="J61" s="7">
        <f ca="1">IF(AND(Table17[[#This Row],[Is Activation]]=FALSE,Table17[[#This Row],[Is Anniversery]]=TRUE),OFFSET(Table17[[#This Row],[Income Credit Base]],-1,0)*ICP,0)</f>
        <v>13566</v>
      </c>
      <c r="K61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287000</v>
      </c>
      <c r="L61" s="42">
        <f>IF(NOT(Table17[[#This Row],[Is Activation]]),(Table17[[#This Row],[Withdrawal Taken  ]]/Table17[[#This Row],[Assumed Contract Value ]]),0)</f>
        <v>0</v>
      </c>
      <c r="M61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1" s="5">
        <f ca="1">IF(NOT(Table17[[#This Row],[Has Lifetime Income Started]]),Table17[[#This Row],[Income Base]]*MAW,0)</f>
        <v>17937.5</v>
      </c>
      <c r="O61" s="9">
        <f>IF(AND(Table17[[#This Row],[Has Lifetime Income Started]],Table17[[#This Row],[Is Anniversery]]),Table17[[#This Row],[Income Base]]*PIP_2,0)</f>
        <v>0</v>
      </c>
      <c r="P61" s="33" t="b">
        <f>Table17[[#This Row],[Assumed Contract Value ]]&lt;0.1</f>
        <v>0</v>
      </c>
      <c r="Q61" s="2"/>
      <c r="R61" s="22">
        <f t="shared" si="5"/>
        <v>2</v>
      </c>
      <c r="S61" s="23">
        <v>0</v>
      </c>
      <c r="T61" s="23">
        <v>0</v>
      </c>
      <c r="U61" s="23">
        <v>287000</v>
      </c>
      <c r="V61" s="12">
        <v>287000</v>
      </c>
      <c r="W61" s="11">
        <v>287000</v>
      </c>
      <c r="X61" s="11">
        <v>287000</v>
      </c>
      <c r="Y61" s="11">
        <v>13650</v>
      </c>
      <c r="Z61" s="11">
        <v>17938</v>
      </c>
      <c r="AA61" s="14">
        <v>0</v>
      </c>
    </row>
    <row r="62" spans="1:27" x14ac:dyDescent="0.3">
      <c r="A62" s="32">
        <f t="shared" si="4"/>
        <v>5</v>
      </c>
      <c r="B62" s="29">
        <f>R62</f>
        <v>2.5</v>
      </c>
      <c r="C62" s="21">
        <f t="shared" si="2"/>
        <v>0</v>
      </c>
      <c r="D62" s="21">
        <f t="shared" si="2"/>
        <v>0</v>
      </c>
      <c r="E62" s="21" t="b">
        <f>Table17[[#This Row],[Time From Valuation]]&gt;=Activation_Time</f>
        <v>0</v>
      </c>
      <c r="F62" s="21">
        <f t="shared" si="3"/>
        <v>287000</v>
      </c>
      <c r="G62" s="21" t="b">
        <f>Table17[[#This Row],[Time From Valuation]]=INT(Table17[[#This Row],[Time From Valuation]])</f>
        <v>0</v>
      </c>
      <c r="H62" s="7">
        <f>IF((Table17[[#This Row],[Is Anniversery]]), Table17[[#This Row],[Assumed Contract Value ]],0)</f>
        <v>0</v>
      </c>
      <c r="I62" s="7">
        <f ca="1">IF(NOT(Table17[[#This Row],[Is Activation]]),OFFSET(Table17[[#This Row],[Income Credit Base]],-1,0)+Table17[[#This Row],[Purchase Payments]]+Table17[[#This Row],[Income Credit]],0)</f>
        <v>271966</v>
      </c>
      <c r="J62" s="7">
        <f ca="1">IF(AND(Table17[[#This Row],[Is Activation]]=FALSE,Table17[[#This Row],[Is Anniversery]]=TRUE),OFFSET(Table17[[#This Row],[Income Credit Base]],-1,0)*ICP,0)</f>
        <v>0</v>
      </c>
      <c r="K62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300566</v>
      </c>
      <c r="L62" s="42">
        <f>IF(NOT(Table17[[#This Row],[Is Activation]]),(Table17[[#This Row],[Withdrawal Taken  ]]/Table17[[#This Row],[Assumed Contract Value ]]),0)</f>
        <v>0</v>
      </c>
      <c r="M62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2" s="5">
        <f ca="1">IF(NOT(Table17[[#This Row],[Has Lifetime Income Started]]),Table17[[#This Row],[Income Base]]*MAW,0)</f>
        <v>18785.375</v>
      </c>
      <c r="O62" s="9">
        <f>IF(AND(Table17[[#This Row],[Has Lifetime Income Started]],Table17[[#This Row],[Is Anniversery]]),Table17[[#This Row],[Income Base]]*PIP_2,0)</f>
        <v>0</v>
      </c>
      <c r="P62" s="33" t="b">
        <f>Table17[[#This Row],[Assumed Contract Value ]]&lt;0.1</f>
        <v>0</v>
      </c>
      <c r="Q62" s="2"/>
      <c r="R62" s="22">
        <f t="shared" si="5"/>
        <v>2.5</v>
      </c>
      <c r="S62" s="23">
        <v>0</v>
      </c>
      <c r="T62" s="23">
        <v>0</v>
      </c>
      <c r="U62" s="23">
        <v>287000</v>
      </c>
      <c r="V62" s="13">
        <v>0</v>
      </c>
      <c r="W62" s="11">
        <v>287000</v>
      </c>
      <c r="X62" s="11">
        <v>287000</v>
      </c>
      <c r="Y62" s="11">
        <v>0</v>
      </c>
      <c r="Z62" s="11">
        <v>17938</v>
      </c>
      <c r="AA62" s="14">
        <v>0</v>
      </c>
    </row>
    <row r="63" spans="1:27" x14ac:dyDescent="0.3">
      <c r="A63" s="32">
        <f t="shared" si="4"/>
        <v>6</v>
      </c>
      <c r="B63" s="29">
        <f t="shared" si="2"/>
        <v>3</v>
      </c>
      <c r="C63" s="21">
        <f t="shared" si="2"/>
        <v>0</v>
      </c>
      <c r="D63" s="21">
        <f t="shared" si="2"/>
        <v>0</v>
      </c>
      <c r="E63" s="21" t="b">
        <f>Table17[[#This Row],[Time From Valuation]]&gt;=Activation_Time</f>
        <v>0</v>
      </c>
      <c r="F63" s="21">
        <f t="shared" si="3"/>
        <v>300000</v>
      </c>
      <c r="G63" s="21" t="b">
        <f>Table17[[#This Row],[Time From Valuation]]=INT(Table17[[#This Row],[Time From Valuation]])</f>
        <v>1</v>
      </c>
      <c r="H63" s="7">
        <f>IF((Table17[[#This Row],[Is Anniversery]]), Table17[[#This Row],[Assumed Contract Value ]],0)</f>
        <v>300000</v>
      </c>
      <c r="I63" s="7">
        <f ca="1">IF(NOT(Table17[[#This Row],[Is Activation]]),OFFSET(Table17[[#This Row],[Income Credit Base]],-1,0)+Table17[[#This Row],[Purchase Payments]]+Table17[[#This Row],[Income Credit]],0)</f>
        <v>286244.21500000003</v>
      </c>
      <c r="J63" s="7">
        <f ca="1">IF(AND(Table17[[#This Row],[Is Activation]]=FALSE,Table17[[#This Row],[Is Anniversery]]=TRUE),OFFSET(Table17[[#This Row],[Income Credit Base]],-1,0)*ICP,0)</f>
        <v>14278.215</v>
      </c>
      <c r="K63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300566</v>
      </c>
      <c r="L63" s="42">
        <f>IF(NOT(Table17[[#This Row],[Is Activation]]),(Table17[[#This Row],[Withdrawal Taken  ]]/Table17[[#This Row],[Assumed Contract Value ]]),0)</f>
        <v>0</v>
      </c>
      <c r="M63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3" s="5">
        <f ca="1">IF(NOT(Table17[[#This Row],[Has Lifetime Income Started]]),Table17[[#This Row],[Income Base]]*MAW,0)</f>
        <v>18785.375</v>
      </c>
      <c r="O63" s="9">
        <f>IF(AND(Table17[[#This Row],[Has Lifetime Income Started]],Table17[[#This Row],[Is Anniversery]]),Table17[[#This Row],[Income Base]]*PIP_2,0)</f>
        <v>0</v>
      </c>
      <c r="P63" s="33" t="b">
        <f>Table17[[#This Row],[Assumed Contract Value ]]&lt;0.1</f>
        <v>0</v>
      </c>
      <c r="Q63" s="2"/>
      <c r="R63" s="22">
        <f t="shared" si="5"/>
        <v>3</v>
      </c>
      <c r="S63" s="23">
        <v>0</v>
      </c>
      <c r="T63" s="23">
        <v>0</v>
      </c>
      <c r="U63" s="23">
        <v>300000</v>
      </c>
      <c r="V63" s="12">
        <v>300000</v>
      </c>
      <c r="W63" s="11">
        <v>302068</v>
      </c>
      <c r="X63" s="11">
        <v>287000</v>
      </c>
      <c r="Y63" s="11">
        <v>15068</v>
      </c>
      <c r="Z63" s="11">
        <v>18879</v>
      </c>
      <c r="AA63" s="14">
        <v>0</v>
      </c>
    </row>
    <row r="64" spans="1:27" x14ac:dyDescent="0.3">
      <c r="A64" s="32">
        <f t="shared" si="4"/>
        <v>7</v>
      </c>
      <c r="B64" s="29">
        <f t="shared" si="2"/>
        <v>3.5</v>
      </c>
      <c r="C64" s="21">
        <f t="shared" si="2"/>
        <v>0</v>
      </c>
      <c r="D64" s="21">
        <f t="shared" si="2"/>
        <v>5000</v>
      </c>
      <c r="E64" s="21" t="b">
        <f>Table17[[#This Row],[Time From Valuation]]&gt;=Activation_Time</f>
        <v>0</v>
      </c>
      <c r="F64" s="21">
        <f t="shared" si="3"/>
        <v>305000</v>
      </c>
      <c r="G64" s="21" t="b">
        <f>Table17[[#This Row],[Time From Valuation]]=INT(Table17[[#This Row],[Time From Valuation]])</f>
        <v>0</v>
      </c>
      <c r="H64" s="7">
        <f>IF((Table17[[#This Row],[Is Anniversery]]), Table17[[#This Row],[Assumed Contract Value ]],0)</f>
        <v>0</v>
      </c>
      <c r="I64" s="7">
        <f ca="1">IF(NOT(Table17[[#This Row],[Is Activation]]),OFFSET(Table17[[#This Row],[Income Credit Base]],-1,0)+Table17[[#This Row],[Purchase Payments]]+Table17[[#This Row],[Income Credit]],0)</f>
        <v>286244.21500000003</v>
      </c>
      <c r="J64" s="7">
        <f ca="1">IF(AND(Table17[[#This Row],[Is Activation]]=FALSE,Table17[[#This Row],[Is Anniversery]]=TRUE),OFFSET(Table17[[#This Row],[Income Credit Base]],-1,0)*ICP,0)</f>
        <v>0</v>
      </c>
      <c r="K64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309926.18221311481</v>
      </c>
      <c r="L64" s="42">
        <f>IF(NOT(Table17[[#This Row],[Is Activation]]),(Table17[[#This Row],[Withdrawal Taken  ]]/Table17[[#This Row],[Assumed Contract Value ]]),0)</f>
        <v>1.6393442622950821E-2</v>
      </c>
      <c r="M64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4" s="5">
        <f ca="1">IF(NOT(Table17[[#This Row],[Has Lifetime Income Started]]),Table17[[#This Row],[Income Base]]*MAW,0)</f>
        <v>19370.386388319675</v>
      </c>
      <c r="O64" s="9">
        <f>IF(AND(Table17[[#This Row],[Has Lifetime Income Started]],Table17[[#This Row],[Is Anniversery]]),Table17[[#This Row],[Income Base]]*PIP_2,0)</f>
        <v>0</v>
      </c>
      <c r="P64" s="33" t="b">
        <f>Table17[[#This Row],[Assumed Contract Value ]]&lt;0.1</f>
        <v>0</v>
      </c>
      <c r="Q64" s="2"/>
      <c r="R64" s="22">
        <f t="shared" si="5"/>
        <v>3.5</v>
      </c>
      <c r="S64" s="23">
        <v>0</v>
      </c>
      <c r="T64" s="23">
        <v>5000</v>
      </c>
      <c r="U64" s="23">
        <v>305000</v>
      </c>
      <c r="V64" s="12">
        <v>0</v>
      </c>
      <c r="W64" s="11">
        <v>297116</v>
      </c>
      <c r="X64" s="11">
        <v>282295</v>
      </c>
      <c r="Y64" s="11">
        <v>0</v>
      </c>
      <c r="Z64" s="11">
        <v>18570</v>
      </c>
      <c r="AA64" s="14">
        <v>0</v>
      </c>
    </row>
    <row r="65" spans="1:27" x14ac:dyDescent="0.3">
      <c r="A65" s="32">
        <f t="shared" si="4"/>
        <v>8</v>
      </c>
      <c r="B65" s="29">
        <f t="shared" si="2"/>
        <v>4</v>
      </c>
      <c r="C65" s="21">
        <f t="shared" si="2"/>
        <v>0</v>
      </c>
      <c r="D65" s="21">
        <f t="shared" si="2"/>
        <v>0</v>
      </c>
      <c r="E65" s="21" t="b">
        <f>Table17[[#This Row],[Time From Valuation]]&gt;=Activation_Time</f>
        <v>0</v>
      </c>
      <c r="F65" s="21">
        <f t="shared" si="3"/>
        <v>312000</v>
      </c>
      <c r="G65" s="21" t="b">
        <f>Table17[[#This Row],[Time From Valuation]]=INT(Table17[[#This Row],[Time From Valuation]])</f>
        <v>1</v>
      </c>
      <c r="H65" s="7">
        <f>IF((Table17[[#This Row],[Is Anniversery]]), Table17[[#This Row],[Assumed Contract Value ]],0)</f>
        <v>312000</v>
      </c>
      <c r="I65" s="7">
        <f ca="1">IF(NOT(Table17[[#This Row],[Is Activation]]),OFFSET(Table17[[#This Row],[Income Credit Base]],-1,0)+Table17[[#This Row],[Purchase Payments]]+Table17[[#This Row],[Income Credit]],0)</f>
        <v>301272.0362875</v>
      </c>
      <c r="J65" s="7">
        <f ca="1">IF(AND(Table17[[#This Row],[Is Activation]]=FALSE,Table17[[#This Row],[Is Anniversery]]=TRUE),OFFSET(Table17[[#This Row],[Income Credit Base]],-1,0)*ICP,0)</f>
        <v>15027.821287500001</v>
      </c>
      <c r="K65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312000</v>
      </c>
      <c r="L65" s="42">
        <f>IF(NOT(Table17[[#This Row],[Is Activation]]),(Table17[[#This Row],[Withdrawal Taken  ]]/Table17[[#This Row],[Assumed Contract Value ]]),0)</f>
        <v>0</v>
      </c>
      <c r="M65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5" s="5">
        <f ca="1">IF(NOT(Table17[[#This Row],[Has Lifetime Income Started]]),Table17[[#This Row],[Income Base]]*MAW,0)</f>
        <v>19500</v>
      </c>
      <c r="O65" s="9">
        <f>IF(AND(Table17[[#This Row],[Has Lifetime Income Started]],Table17[[#This Row],[Is Anniversery]]),Table17[[#This Row],[Income Base]]*PIP_2,0)</f>
        <v>0</v>
      </c>
      <c r="P65" s="33" t="b">
        <f>Table17[[#This Row],[Assumed Contract Value ]]&lt;0.1</f>
        <v>0</v>
      </c>
      <c r="Q65" s="2"/>
      <c r="R65" s="22">
        <f t="shared" si="5"/>
        <v>4</v>
      </c>
      <c r="S65" s="23">
        <v>0</v>
      </c>
      <c r="T65" s="23">
        <v>0</v>
      </c>
      <c r="U65" s="23">
        <v>312000</v>
      </c>
      <c r="V65" s="12">
        <v>312000</v>
      </c>
      <c r="W65" s="11">
        <v>312000</v>
      </c>
      <c r="X65" s="11">
        <v>312000</v>
      </c>
      <c r="Y65" s="11">
        <v>14820</v>
      </c>
      <c r="Z65" s="11">
        <v>19500</v>
      </c>
      <c r="AA65" s="14">
        <v>0</v>
      </c>
    </row>
    <row r="66" spans="1:27" x14ac:dyDescent="0.3">
      <c r="A66" s="32">
        <f t="shared" si="4"/>
        <v>9</v>
      </c>
      <c r="B66" s="29">
        <f t="shared" si="2"/>
        <v>4.5</v>
      </c>
      <c r="C66" s="21">
        <f t="shared" si="2"/>
        <v>0</v>
      </c>
      <c r="D66" s="21">
        <f t="shared" si="2"/>
        <v>19500</v>
      </c>
      <c r="E66" s="21" t="b">
        <f>Table17[[#This Row],[Time From Valuation]]&gt;=Activation_Time</f>
        <v>1</v>
      </c>
      <c r="F66" s="21">
        <f t="shared" si="3"/>
        <v>302000</v>
      </c>
      <c r="G66" s="21" t="b">
        <f>Table17[[#This Row],[Time From Valuation]]=INT(Table17[[#This Row],[Time From Valuation]])</f>
        <v>0</v>
      </c>
      <c r="H66" s="7">
        <f>IF((Table17[[#This Row],[Is Anniversery]]), Table17[[#This Row],[Assumed Contract Value ]],0)</f>
        <v>0</v>
      </c>
      <c r="I66" s="7">
        <f ca="1">IF(NOT(Table17[[#This Row],[Is Activation]]),OFFSET(Table17[[#This Row],[Income Credit Base]],-1,0)+Table17[[#This Row],[Purchase Payments]]+Table17[[#This Row],[Income Credit]],0)</f>
        <v>0</v>
      </c>
      <c r="J66" s="7">
        <f>IF(AND(Table17[[#This Row],[Is Activation]]=FALSE,Table17[[#This Row],[Is Anniversery]]=TRUE),Table17[[#This Row],[Income Credit Base]]*ICP,0)</f>
        <v>0</v>
      </c>
      <c r="K66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307527.82128749997</v>
      </c>
      <c r="L66" s="42">
        <f>IF(NOT(Table17[[#This Row],[Is Activation]]),(Table17[[#This Row],[Withdrawal Taken  ]]/Table17[[#This Row],[Assumed Contract Value ]]),0)</f>
        <v>0</v>
      </c>
      <c r="M66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8.9586913311298611E-4</v>
      </c>
      <c r="N66" s="5">
        <f ca="1">IF(NOT(Table17[[#This Row],[Has Lifetime Income Started]]),Table17[[#This Row],[Income Base]]*MAW,0)</f>
        <v>19220.488830468748</v>
      </c>
      <c r="O66" s="9">
        <f>IF(AND(Table17[[#This Row],[Has Lifetime Income Started]],Table17[[#This Row],[Is Anniversery]]),Table17[[#This Row],[Income Base]]*PIP_2,0)</f>
        <v>0</v>
      </c>
      <c r="P66" s="33" t="b">
        <f>Table17[[#This Row],[Assumed Contract Value ]]&lt;0.1</f>
        <v>0</v>
      </c>
      <c r="Q66" s="2"/>
      <c r="R66" s="22">
        <f t="shared" si="5"/>
        <v>4.5</v>
      </c>
      <c r="S66" s="23">
        <v>0</v>
      </c>
      <c r="T66" s="23">
        <v>19500</v>
      </c>
      <c r="U66" s="23">
        <v>302000</v>
      </c>
      <c r="V66" s="13">
        <v>0</v>
      </c>
      <c r="W66" s="11">
        <v>312000</v>
      </c>
      <c r="X66" s="5">
        <v>0</v>
      </c>
      <c r="Y66" s="5">
        <v>0</v>
      </c>
      <c r="Z66" s="11">
        <v>19500</v>
      </c>
      <c r="AA66" s="14">
        <v>0</v>
      </c>
    </row>
    <row r="67" spans="1:27" x14ac:dyDescent="0.3">
      <c r="A67" s="32">
        <f t="shared" si="4"/>
        <v>10</v>
      </c>
      <c r="B67" s="29">
        <f t="shared" si="2"/>
        <v>5</v>
      </c>
      <c r="C67" s="21">
        <f t="shared" si="2"/>
        <v>0</v>
      </c>
      <c r="D67" s="21">
        <f t="shared" si="2"/>
        <v>0</v>
      </c>
      <c r="E67" s="21" t="b">
        <f>Table17[[#This Row],[Time From Valuation]]&gt;=Activation_Time</f>
        <v>1</v>
      </c>
      <c r="F67" s="21">
        <f t="shared" si="3"/>
        <v>305000</v>
      </c>
      <c r="G67" s="21" t="b">
        <f>Table17[[#This Row],[Time From Valuation]]=INT(Table17[[#This Row],[Time From Valuation]])</f>
        <v>1</v>
      </c>
      <c r="H67" s="7">
        <f>IF((Table17[[#This Row],[Is Anniversery]]), Table17[[#This Row],[Assumed Contract Value ]],0)</f>
        <v>305000</v>
      </c>
      <c r="I67" s="7">
        <f ca="1">IF(NOT(Table17[[#This Row],[Is Activation]]),OFFSET(Table17[[#This Row],[Income Credit Base]],-1,0)+Table17[[#This Row],[Purchase Payments]]+Table17[[#This Row],[Income Credit]],0)</f>
        <v>0</v>
      </c>
      <c r="J67" s="7">
        <f>IF(AND(Table17[[#This Row],[Is Activation]]=FALSE,Table17[[#This Row],[Is Anniversery]]=TRUE),Table17[[#This Row],[Income Credit Base]]*ICP,0)</f>
        <v>0</v>
      </c>
      <c r="K67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307527.82128749997</v>
      </c>
      <c r="L67" s="42">
        <f>IF(NOT(Table17[[#This Row],[Is Activation]]),(Table17[[#This Row],[Withdrawal Taken  ]]/Table17[[#This Row],[Assumed Contract Value ]]),0)</f>
        <v>0</v>
      </c>
      <c r="M67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7" s="5">
        <f ca="1">IF(NOT(Table17[[#This Row],[Has Lifetime Income Started]]),Table17[[#This Row],[Income Base]]*MAW,0)</f>
        <v>19220.488830468748</v>
      </c>
      <c r="O67" s="9">
        <f>IF(AND(Table17[[#This Row],[Has Lifetime Income Started]],Table17[[#This Row],[Is Anniversery]]),Table17[[#This Row],[Income Base]]*PIP_2,0)</f>
        <v>0</v>
      </c>
      <c r="P67" s="33" t="b">
        <f>Table17[[#This Row],[Assumed Contract Value ]]&lt;0.1</f>
        <v>0</v>
      </c>
      <c r="Q67" s="2"/>
      <c r="R67" s="22">
        <f t="shared" si="5"/>
        <v>5</v>
      </c>
      <c r="S67" s="23">
        <v>0</v>
      </c>
      <c r="T67" s="23">
        <v>0</v>
      </c>
      <c r="U67" s="23">
        <v>305000</v>
      </c>
      <c r="V67" s="12">
        <v>305000</v>
      </c>
      <c r="W67" s="11">
        <v>312000</v>
      </c>
      <c r="X67" s="5">
        <v>0</v>
      </c>
      <c r="Y67" s="5">
        <v>0</v>
      </c>
      <c r="Z67" s="11">
        <v>19500</v>
      </c>
      <c r="AA67" s="14">
        <v>0</v>
      </c>
    </row>
    <row r="68" spans="1:27" x14ac:dyDescent="0.3">
      <c r="A68" s="32">
        <f t="shared" si="4"/>
        <v>11</v>
      </c>
      <c r="B68" s="29">
        <f t="shared" si="2"/>
        <v>5.5</v>
      </c>
      <c r="C68" s="21">
        <f t="shared" si="2"/>
        <v>0</v>
      </c>
      <c r="D68" s="21">
        <f t="shared" si="2"/>
        <v>24960</v>
      </c>
      <c r="E68" s="21" t="b">
        <f>Table17[[#This Row],[Time From Valuation]]&gt;=Activation_Time</f>
        <v>1</v>
      </c>
      <c r="F68" s="21">
        <f t="shared" si="3"/>
        <v>280000</v>
      </c>
      <c r="G68" s="21" t="b">
        <f>Table17[[#This Row],[Time From Valuation]]=INT(Table17[[#This Row],[Time From Valuation]])</f>
        <v>0</v>
      </c>
      <c r="H68" s="7">
        <f>IF((Table17[[#This Row],[Is Anniversery]]), Table17[[#This Row],[Assumed Contract Value ]],0)</f>
        <v>0</v>
      </c>
      <c r="I68" s="7">
        <f ca="1">IF(NOT(Table17[[#This Row],[Is Activation]]),OFFSET(Table17[[#This Row],[Income Credit Base]],-1,0)+Table17[[#This Row],[Purchase Payments]]+Table17[[#This Row],[Income Credit]],0)</f>
        <v>0</v>
      </c>
      <c r="J68" s="7">
        <f>IF(AND(Table17[[#This Row],[Is Activation]]=FALSE,Table17[[#This Row],[Is Anniversery]]=TRUE),Table17[[#This Row],[Income Credit Base]]*ICP,0)</f>
        <v>0</v>
      </c>
      <c r="K68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282567.82128749997</v>
      </c>
      <c r="L68" s="42">
        <f>IF(NOT(Table17[[#This Row],[Is Activation]]),(Table17[[#This Row],[Withdrawal Taken  ]]/Table17[[#This Row],[Assumed Contract Value ]]),0)</f>
        <v>0</v>
      </c>
      <c r="M68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2.3932823506659841E-2</v>
      </c>
      <c r="N68" s="5">
        <f ca="1">IF(NOT(Table17[[#This Row],[Has Lifetime Income Started]]),Table17[[#This Row],[Income Base]]*MAW,0)</f>
        <v>17660.488830468748</v>
      </c>
      <c r="O68" s="9">
        <f>IF(AND(Table17[[#This Row],[Has Lifetime Income Started]],Table17[[#This Row],[Is Anniversery]]),Table17[[#This Row],[Income Base]]*PIP_2,0)</f>
        <v>0</v>
      </c>
      <c r="P68" s="33" t="b">
        <f>Table17[[#This Row],[Assumed Contract Value ]]&lt;0.1</f>
        <v>0</v>
      </c>
      <c r="Q68" s="2"/>
      <c r="R68" s="22">
        <f t="shared" si="5"/>
        <v>5.5</v>
      </c>
      <c r="S68" s="23">
        <v>0</v>
      </c>
      <c r="T68" s="23">
        <v>24960</v>
      </c>
      <c r="U68" s="23">
        <v>280000</v>
      </c>
      <c r="V68" s="12">
        <v>0</v>
      </c>
      <c r="W68" s="11">
        <v>306033</v>
      </c>
      <c r="X68" s="5">
        <v>0</v>
      </c>
      <c r="Y68" s="5">
        <v>0</v>
      </c>
      <c r="Z68" s="11">
        <v>19127</v>
      </c>
      <c r="AA68" s="14">
        <v>0</v>
      </c>
    </row>
    <row r="69" spans="1:27" x14ac:dyDescent="0.3">
      <c r="A69" s="32">
        <f t="shared" si="4"/>
        <v>12</v>
      </c>
      <c r="B69" s="29">
        <f t="shared" si="2"/>
        <v>6</v>
      </c>
      <c r="C69" s="21">
        <f t="shared" si="2"/>
        <v>0</v>
      </c>
      <c r="D69" s="21">
        <f t="shared" si="2"/>
        <v>0</v>
      </c>
      <c r="E69" s="21" t="b">
        <f>Table17[[#This Row],[Time From Valuation]]&gt;=Activation_Time</f>
        <v>1</v>
      </c>
      <c r="F69" s="21">
        <f t="shared" si="3"/>
        <v>290000</v>
      </c>
      <c r="G69" s="21" t="b">
        <f>Table17[[#This Row],[Time From Valuation]]=INT(Table17[[#This Row],[Time From Valuation]])</f>
        <v>1</v>
      </c>
      <c r="H69" s="7">
        <f>IF((Table17[[#This Row],[Is Anniversery]]), Table17[[#This Row],[Assumed Contract Value ]],0)</f>
        <v>290000</v>
      </c>
      <c r="I69" s="7">
        <f ca="1">IF(NOT(Table17[[#This Row],[Is Activation]]),OFFSET(Table17[[#This Row],[Income Credit Base]],-1,0)+Table17[[#This Row],[Purchase Payments]]+Table17[[#This Row],[Income Credit]],0)</f>
        <v>0</v>
      </c>
      <c r="J69" s="7">
        <f>IF(AND(Table17[[#This Row],[Is Activation]]=FALSE,Table17[[#This Row],[Is Anniversery]]=TRUE),Table17[[#This Row],[Income Credit Base]]*ICP,0)</f>
        <v>0</v>
      </c>
      <c r="K69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290000</v>
      </c>
      <c r="L69" s="42">
        <f>IF(NOT(Table17[[#This Row],[Is Activation]]),(Table17[[#This Row],[Withdrawal Taken  ]]/Table17[[#This Row],[Assumed Contract Value ]]),0)</f>
        <v>0</v>
      </c>
      <c r="M69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69" s="5">
        <f ca="1">IF(NOT(Table17[[#This Row],[Has Lifetime Income Started]]),Table17[[#This Row],[Income Base]]*MAW,0)</f>
        <v>18125</v>
      </c>
      <c r="O69" s="9">
        <f>IF(AND(Table17[[#This Row],[Has Lifetime Income Started]],Table17[[#This Row],[Is Anniversery]]),Table17[[#This Row],[Income Base]]*PIP_2,0)</f>
        <v>0</v>
      </c>
      <c r="P69" s="33" t="b">
        <f>Table17[[#This Row],[Assumed Contract Value ]]&lt;0.1</f>
        <v>0</v>
      </c>
      <c r="Q69" s="2"/>
      <c r="R69" s="22">
        <f t="shared" si="5"/>
        <v>6</v>
      </c>
      <c r="S69" s="23">
        <v>0</v>
      </c>
      <c r="T69" s="23">
        <v>0</v>
      </c>
      <c r="U69" s="23">
        <v>290000</v>
      </c>
      <c r="V69" s="12">
        <v>290000</v>
      </c>
      <c r="W69" s="11">
        <v>306033</v>
      </c>
      <c r="X69" s="5">
        <v>0</v>
      </c>
      <c r="Y69" s="5">
        <v>0</v>
      </c>
      <c r="Z69" s="11">
        <v>19127</v>
      </c>
      <c r="AA69" s="14">
        <v>0</v>
      </c>
    </row>
    <row r="70" spans="1:27" x14ac:dyDescent="0.3">
      <c r="A70" s="32">
        <f t="shared" si="4"/>
        <v>13</v>
      </c>
      <c r="B70" s="29">
        <f t="shared" si="2"/>
        <v>6.5</v>
      </c>
      <c r="C70" s="21">
        <f t="shared" si="2"/>
        <v>0</v>
      </c>
      <c r="D70" s="21">
        <f t="shared" si="2"/>
        <v>24483</v>
      </c>
      <c r="E70" s="21" t="b">
        <f>Table17[[#This Row],[Time From Valuation]]&gt;=Activation_Time</f>
        <v>1</v>
      </c>
      <c r="F70" s="21">
        <f t="shared" si="3"/>
        <v>260000</v>
      </c>
      <c r="G70" s="21" t="b">
        <f>Table17[[#This Row],[Time From Valuation]]=INT(Table17[[#This Row],[Time From Valuation]])</f>
        <v>0</v>
      </c>
      <c r="H70" s="7">
        <f>IF((Table17[[#This Row],[Is Anniversery]]), Table17[[#This Row],[Assumed Contract Value ]],0)</f>
        <v>0</v>
      </c>
      <c r="I70" s="7">
        <f ca="1">IF(NOT(Table17[[#This Row],[Is Activation]]),OFFSET(Table17[[#This Row],[Income Credit Base]],-1,0)+Table17[[#This Row],[Purchase Payments]]+Table17[[#This Row],[Income Credit]],0)</f>
        <v>0</v>
      </c>
      <c r="J70" s="7">
        <f>IF(AND(Table17[[#This Row],[Is Activation]]=FALSE,Table17[[#This Row],[Is Anniversery]]=TRUE),Table17[[#This Row],[Income Credit Base]]*ICP,0)</f>
        <v>0</v>
      </c>
      <c r="K70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0" s="42">
        <f>IF(NOT(Table17[[#This Row],[Is Activation]]),(Table17[[#This Row],[Withdrawal Taken  ]]/Table17[[#This Row],[Assumed Contract Value ]]),0)</f>
        <v>0</v>
      </c>
      <c r="M70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2.7200646551724137E-2</v>
      </c>
      <c r="N70" s="5">
        <f ca="1">IF(NOT(Table17[[#This Row],[Has Lifetime Income Started]]),Table17[[#This Row],[Income Base]]*MAW,0)</f>
        <v>16594.8125</v>
      </c>
      <c r="O70" s="9">
        <f>IF(AND(Table17[[#This Row],[Has Lifetime Income Started]],Table17[[#This Row],[Is Anniversery]]),Table17[[#This Row],[Income Base]]*PIP_2,0)</f>
        <v>0</v>
      </c>
      <c r="P70" s="33" t="b">
        <f>Table17[[#This Row],[Assumed Contract Value ]]&lt;0.1</f>
        <v>0</v>
      </c>
      <c r="Q70" s="2"/>
      <c r="R70" s="22">
        <f t="shared" si="5"/>
        <v>6.5</v>
      </c>
      <c r="S70" s="23">
        <v>0</v>
      </c>
      <c r="T70" s="23">
        <v>24483</v>
      </c>
      <c r="U70" s="23">
        <v>260000</v>
      </c>
      <c r="V70" s="12">
        <v>0</v>
      </c>
      <c r="W70" s="11">
        <v>299982</v>
      </c>
      <c r="X70" s="5">
        <v>0</v>
      </c>
      <c r="Y70" s="5">
        <v>0</v>
      </c>
      <c r="Z70" s="11">
        <v>18749</v>
      </c>
      <c r="AA70" s="14">
        <v>0</v>
      </c>
    </row>
    <row r="71" spans="1:27" x14ac:dyDescent="0.3">
      <c r="A71" s="32">
        <f t="shared" si="4"/>
        <v>14</v>
      </c>
      <c r="B71" s="29">
        <f t="shared" si="2"/>
        <v>7</v>
      </c>
      <c r="C71" s="21">
        <f t="shared" si="2"/>
        <v>0</v>
      </c>
      <c r="D71" s="21">
        <f t="shared" si="2"/>
        <v>0</v>
      </c>
      <c r="E71" s="21" t="b">
        <f>Table17[[#This Row],[Time From Valuation]]&gt;=Activation_Time</f>
        <v>1</v>
      </c>
      <c r="F71" s="21">
        <f t="shared" si="3"/>
        <v>230000</v>
      </c>
      <c r="G71" s="21" t="b">
        <f>Table17[[#This Row],[Time From Valuation]]=INT(Table17[[#This Row],[Time From Valuation]])</f>
        <v>1</v>
      </c>
      <c r="H71" s="7">
        <f>IF((Table17[[#This Row],[Is Anniversery]]), Table17[[#This Row],[Assumed Contract Value ]],0)</f>
        <v>230000</v>
      </c>
      <c r="I71" s="7">
        <f ca="1">IF(NOT(Table17[[#This Row],[Is Activation]]),OFFSET(Table17[[#This Row],[Income Credit Base]],-1,0)+Table17[[#This Row],[Purchase Payments]]+Table17[[#This Row],[Income Credit]],0)</f>
        <v>0</v>
      </c>
      <c r="J71" s="7">
        <f>IF(AND(Table17[[#This Row],[Is Activation]]=FALSE,Table17[[#This Row],[Is Anniversery]]=TRUE),Table17[[#This Row],[Income Credit Base]]*ICP,0)</f>
        <v>0</v>
      </c>
      <c r="K71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1" s="42">
        <f>IF(NOT(Table17[[#This Row],[Is Activation]]),(Table17[[#This Row],[Withdrawal Taken  ]]/Table17[[#This Row],[Assumed Contract Value ]]),0)</f>
        <v>0</v>
      </c>
      <c r="M71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1" s="5">
        <f ca="1">IF(NOT(Table17[[#This Row],[Has Lifetime Income Started]]),Table17[[#This Row],[Income Base]]*MAW,0)</f>
        <v>16594.8125</v>
      </c>
      <c r="O71" s="9">
        <f>IF(AND(Table17[[#This Row],[Has Lifetime Income Started]],Table17[[#This Row],[Is Anniversery]]),Table17[[#This Row],[Income Base]]*PIP_2,0)</f>
        <v>0</v>
      </c>
      <c r="P71" s="33" t="b">
        <f>Table17[[#This Row],[Assumed Contract Value ]]&lt;0.1</f>
        <v>0</v>
      </c>
      <c r="Q71" s="2"/>
      <c r="R71" s="22">
        <f t="shared" si="5"/>
        <v>7</v>
      </c>
      <c r="S71" s="23">
        <v>0</v>
      </c>
      <c r="T71" s="23">
        <v>0</v>
      </c>
      <c r="U71" s="23">
        <v>230000</v>
      </c>
      <c r="V71" s="12">
        <v>230000</v>
      </c>
      <c r="W71" s="11">
        <v>299982</v>
      </c>
      <c r="X71" s="5">
        <v>0</v>
      </c>
      <c r="Y71" s="5">
        <v>0</v>
      </c>
      <c r="Z71" s="11">
        <v>18749</v>
      </c>
      <c r="AA71" s="14">
        <v>0</v>
      </c>
    </row>
    <row r="72" spans="1:27" x14ac:dyDescent="0.3">
      <c r="A72" s="32">
        <f t="shared" si="4"/>
        <v>15</v>
      </c>
      <c r="B72" s="29">
        <f t="shared" si="2"/>
        <v>7.5</v>
      </c>
      <c r="C72" s="21">
        <f t="shared" si="2"/>
        <v>0</v>
      </c>
      <c r="D72" s="21">
        <f t="shared" si="2"/>
        <v>0</v>
      </c>
      <c r="E72" s="21" t="b">
        <f>Table17[[#This Row],[Time From Valuation]]&gt;=Activation_Time</f>
        <v>1</v>
      </c>
      <c r="F72" s="21">
        <f t="shared" si="3"/>
        <v>230000</v>
      </c>
      <c r="G72" s="21" t="b">
        <f>Table17[[#This Row],[Time From Valuation]]=INT(Table17[[#This Row],[Time From Valuation]])</f>
        <v>0</v>
      </c>
      <c r="H72" s="7">
        <f>IF((Table17[[#This Row],[Is Anniversery]]), Table17[[#This Row],[Assumed Contract Value ]],0)</f>
        <v>0</v>
      </c>
      <c r="I72" s="7">
        <f ca="1">IF(NOT(Table17[[#This Row],[Is Activation]]),OFFSET(Table17[[#This Row],[Income Credit Base]],-1,0)+Table17[[#This Row],[Purchase Payments]]+Table17[[#This Row],[Income Credit]],0)</f>
        <v>0</v>
      </c>
      <c r="J72" s="7">
        <f>IF(AND(Table17[[#This Row],[Is Activation]]=FALSE,Table17[[#This Row],[Is Anniversery]]=TRUE),Table17[[#This Row],[Income Credit Base]]*ICP,0)</f>
        <v>0</v>
      </c>
      <c r="K72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2" s="42">
        <f>IF(NOT(Table17[[#This Row],[Is Activation]]),(Table17[[#This Row],[Withdrawal Taken  ]]/Table17[[#This Row],[Assumed Contract Value ]]),0)</f>
        <v>0</v>
      </c>
      <c r="M72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2" s="5">
        <f ca="1">IF(NOT(Table17[[#This Row],[Has Lifetime Income Started]]),Table17[[#This Row],[Income Base]]*MAW,0)</f>
        <v>16594.8125</v>
      </c>
      <c r="O72" s="9">
        <f>IF(AND(Table17[[#This Row],[Has Lifetime Income Started]],Table17[[#This Row],[Is Anniversery]]),Table17[[#This Row],[Income Base]]*PIP_2,0)</f>
        <v>0</v>
      </c>
      <c r="P72" s="33" t="b">
        <f>Table17[[#This Row],[Assumed Contract Value ]]&lt;0.1</f>
        <v>0</v>
      </c>
      <c r="Q72" s="2"/>
      <c r="R72" s="22">
        <f>R71+0.5</f>
        <v>7.5</v>
      </c>
      <c r="S72" s="23">
        <v>0</v>
      </c>
      <c r="T72" s="23">
        <v>0</v>
      </c>
      <c r="U72" s="23">
        <v>230000</v>
      </c>
      <c r="V72" s="13">
        <v>0</v>
      </c>
      <c r="W72" s="11">
        <v>299982</v>
      </c>
      <c r="X72" s="5">
        <v>0</v>
      </c>
      <c r="Y72" s="5">
        <v>0</v>
      </c>
      <c r="Z72" s="11">
        <v>18749</v>
      </c>
      <c r="AA72" s="14">
        <v>0</v>
      </c>
    </row>
    <row r="73" spans="1:27" x14ac:dyDescent="0.3">
      <c r="A73" s="32">
        <f t="shared" si="4"/>
        <v>16</v>
      </c>
      <c r="B73" s="29">
        <f t="shared" si="2"/>
        <v>8</v>
      </c>
      <c r="C73" s="21">
        <f t="shared" si="2"/>
        <v>0</v>
      </c>
      <c r="D73" s="21">
        <f t="shared" si="2"/>
        <v>0</v>
      </c>
      <c r="E73" s="21" t="b">
        <f>Table17[[#This Row],[Time From Valuation]]&gt;=Activation_Time</f>
        <v>1</v>
      </c>
      <c r="F73" s="21">
        <f t="shared" si="3"/>
        <v>150000</v>
      </c>
      <c r="G73" s="21" t="b">
        <f>Table17[[#This Row],[Time From Valuation]]=INT(Table17[[#This Row],[Time From Valuation]])</f>
        <v>1</v>
      </c>
      <c r="H73" s="7">
        <f>IF((Table17[[#This Row],[Is Anniversery]]), Table17[[#This Row],[Assumed Contract Value ]],0)</f>
        <v>150000</v>
      </c>
      <c r="I73" s="7">
        <f ca="1">IF(NOT(Table17[[#This Row],[Is Activation]]),OFFSET(Table17[[#This Row],[Income Credit Base]],-1,0)+Table17[[#This Row],[Purchase Payments]]+Table17[[#This Row],[Income Credit]],0)</f>
        <v>0</v>
      </c>
      <c r="J73" s="7">
        <f>IF(AND(Table17[[#This Row],[Is Activation]]=FALSE,Table17[[#This Row],[Is Anniversery]]=TRUE),Table17[[#This Row],[Income Credit Base]]*ICP,0)</f>
        <v>0</v>
      </c>
      <c r="K73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3" s="42">
        <f>IF(NOT(Table17[[#This Row],[Is Activation]]),(Table17[[#This Row],[Withdrawal Taken  ]]/Table17[[#This Row],[Assumed Contract Value ]]),0)</f>
        <v>0</v>
      </c>
      <c r="M73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3" s="5">
        <f ca="1">IF(NOT(Table17[[#This Row],[Has Lifetime Income Started]]),Table17[[#This Row],[Income Base]]*MAW,0)</f>
        <v>16594.8125</v>
      </c>
      <c r="O73" s="9">
        <f>IF(AND(Table17[[#This Row],[Has Lifetime Income Started]],Table17[[#This Row],[Is Anniversery]]),Table17[[#This Row],[Income Base]]*PIP_2,0)</f>
        <v>0</v>
      </c>
      <c r="P73" s="33" t="b">
        <f>Table17[[#This Row],[Assumed Contract Value ]]&lt;0.1</f>
        <v>0</v>
      </c>
      <c r="Q73" s="2"/>
      <c r="R73" s="22">
        <f t="shared" si="5"/>
        <v>8</v>
      </c>
      <c r="S73" s="23">
        <v>0</v>
      </c>
      <c r="T73" s="23">
        <v>0</v>
      </c>
      <c r="U73" s="23">
        <v>150000</v>
      </c>
      <c r="V73" s="12">
        <v>150000</v>
      </c>
      <c r="W73" s="11">
        <v>299982</v>
      </c>
      <c r="X73" s="5">
        <v>0</v>
      </c>
      <c r="Y73" s="5">
        <v>0</v>
      </c>
      <c r="Z73" s="11">
        <v>18749</v>
      </c>
      <c r="AA73" s="14">
        <v>0</v>
      </c>
    </row>
    <row r="74" spans="1:27" x14ac:dyDescent="0.3">
      <c r="A74" s="32">
        <f t="shared" si="4"/>
        <v>17</v>
      </c>
      <c r="B74" s="29">
        <f t="shared" si="2"/>
        <v>8.5</v>
      </c>
      <c r="C74" s="21">
        <f t="shared" si="2"/>
        <v>0</v>
      </c>
      <c r="D74" s="21">
        <f t="shared" si="2"/>
        <v>0</v>
      </c>
      <c r="E74" s="21" t="b">
        <f>Table17[[#This Row],[Time From Valuation]]&gt;=Activation_Time</f>
        <v>1</v>
      </c>
      <c r="F74" s="21">
        <f t="shared" si="3"/>
        <v>150000</v>
      </c>
      <c r="G74" s="21" t="b">
        <f>Table17[[#This Row],[Time From Valuation]]=INT(Table17[[#This Row],[Time From Valuation]])</f>
        <v>0</v>
      </c>
      <c r="H74" s="7">
        <f>IF((Table17[[#This Row],[Is Anniversery]]), Table17[[#This Row],[Assumed Contract Value ]],0)</f>
        <v>0</v>
      </c>
      <c r="I74" s="7">
        <f ca="1">IF(NOT(Table17[[#This Row],[Is Activation]]),OFFSET(Table17[[#This Row],[Income Credit Base]],-1,0)+Table17[[#This Row],[Purchase Payments]]+Table17[[#This Row],[Income Credit]],0)</f>
        <v>0</v>
      </c>
      <c r="J74" s="7">
        <f>IF(AND(Table17[[#This Row],[Is Activation]]=FALSE,Table17[[#This Row],[Is Anniversery]]=TRUE),Table17[[#This Row],[Income Credit Base]]*ICP,0)</f>
        <v>0</v>
      </c>
      <c r="K74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4" s="42">
        <f>IF(NOT(Table17[[#This Row],[Is Activation]]),(Table17[[#This Row],[Withdrawal Taken  ]]/Table17[[#This Row],[Assumed Contract Value ]]),0)</f>
        <v>0</v>
      </c>
      <c r="M74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4" s="5">
        <f ca="1">IF(NOT(Table17[[#This Row],[Has Lifetime Income Started]]),Table17[[#This Row],[Income Base]]*MAW,0)</f>
        <v>16594.8125</v>
      </c>
      <c r="O74" s="9">
        <f>IF(AND(Table17[[#This Row],[Has Lifetime Income Started]],Table17[[#This Row],[Is Anniversery]]),Table17[[#This Row],[Income Base]]*PIP_2,0)</f>
        <v>0</v>
      </c>
      <c r="P74" s="33" t="b">
        <f>Table17[[#This Row],[Assumed Contract Value ]]&lt;0.1</f>
        <v>0</v>
      </c>
      <c r="Q74" s="2"/>
      <c r="R74" s="22">
        <f t="shared" si="5"/>
        <v>8.5</v>
      </c>
      <c r="S74" s="23">
        <v>0</v>
      </c>
      <c r="T74" s="23">
        <v>0</v>
      </c>
      <c r="U74" s="23">
        <v>150000</v>
      </c>
      <c r="V74" s="13">
        <v>0</v>
      </c>
      <c r="W74" s="11">
        <v>299982</v>
      </c>
      <c r="X74" s="5">
        <v>0</v>
      </c>
      <c r="Y74" s="5">
        <v>0</v>
      </c>
      <c r="Z74" s="11">
        <v>18749</v>
      </c>
      <c r="AA74" s="14">
        <v>0</v>
      </c>
    </row>
    <row r="75" spans="1:27" x14ac:dyDescent="0.3">
      <c r="A75" s="32">
        <f t="shared" si="4"/>
        <v>18</v>
      </c>
      <c r="B75" s="29">
        <f t="shared" si="2"/>
        <v>9</v>
      </c>
      <c r="C75" s="21">
        <f t="shared" si="2"/>
        <v>0</v>
      </c>
      <c r="D75" s="21">
        <f t="shared" si="2"/>
        <v>0</v>
      </c>
      <c r="E75" s="21" t="b">
        <f>Table17[[#This Row],[Time From Valuation]]&gt;=Activation_Time</f>
        <v>1</v>
      </c>
      <c r="F75" s="21">
        <f t="shared" si="3"/>
        <v>100000</v>
      </c>
      <c r="G75" s="21" t="b">
        <f>Table17[[#This Row],[Time From Valuation]]=INT(Table17[[#This Row],[Time From Valuation]])</f>
        <v>1</v>
      </c>
      <c r="H75" s="7">
        <f>IF((Table17[[#This Row],[Is Anniversery]]), Table17[[#This Row],[Assumed Contract Value ]],0)</f>
        <v>100000</v>
      </c>
      <c r="I75" s="7">
        <f ca="1">IF(NOT(Table17[[#This Row],[Is Activation]]),OFFSET(Table17[[#This Row],[Income Credit Base]],-1,0)+Table17[[#This Row],[Purchase Payments]]+Table17[[#This Row],[Income Credit]],0)</f>
        <v>0</v>
      </c>
      <c r="J75" s="7">
        <f>IF(AND(Table17[[#This Row],[Is Activation]]=FALSE,Table17[[#This Row],[Is Anniversery]]=TRUE),Table17[[#This Row],[Income Credit Base]]*ICP,0)</f>
        <v>0</v>
      </c>
      <c r="K75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5" s="42">
        <f>IF(NOT(Table17[[#This Row],[Is Activation]]),(Table17[[#This Row],[Withdrawal Taken  ]]/Table17[[#This Row],[Assumed Contract Value ]]),0)</f>
        <v>0</v>
      </c>
      <c r="M75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5" s="5">
        <f ca="1">IF(NOT(Table17[[#This Row],[Has Lifetime Income Started]]),Table17[[#This Row],[Income Base]]*MAW,0)</f>
        <v>16594.8125</v>
      </c>
      <c r="O75" s="9">
        <f>IF(AND(Table17[[#This Row],[Has Lifetime Income Started]],Table17[[#This Row],[Is Anniversery]]),Table17[[#This Row],[Income Base]]*PIP_2,0)</f>
        <v>0</v>
      </c>
      <c r="P75" s="33" t="b">
        <f>Table17[[#This Row],[Assumed Contract Value ]]&lt;0.1</f>
        <v>0</v>
      </c>
      <c r="Q75" s="2"/>
      <c r="R75" s="22">
        <f t="shared" si="5"/>
        <v>9</v>
      </c>
      <c r="S75" s="23">
        <v>0</v>
      </c>
      <c r="T75" s="23">
        <v>0</v>
      </c>
      <c r="U75" s="23">
        <v>100000</v>
      </c>
      <c r="V75" s="12">
        <v>100000</v>
      </c>
      <c r="W75" s="11">
        <v>299982</v>
      </c>
      <c r="X75" s="5">
        <v>0</v>
      </c>
      <c r="Y75" s="5">
        <v>0</v>
      </c>
      <c r="Z75" s="11">
        <v>18749</v>
      </c>
      <c r="AA75" s="14">
        <v>0</v>
      </c>
    </row>
    <row r="76" spans="1:27" x14ac:dyDescent="0.3">
      <c r="A76" s="32">
        <f t="shared" si="4"/>
        <v>19</v>
      </c>
      <c r="B76" s="29">
        <f t="shared" si="2"/>
        <v>9.5</v>
      </c>
      <c r="C76" s="21">
        <f t="shared" si="2"/>
        <v>0</v>
      </c>
      <c r="D76" s="21">
        <f t="shared" si="2"/>
        <v>0</v>
      </c>
      <c r="E76" s="21" t="b">
        <f>Table17[[#This Row],[Time From Valuation]]&gt;=Activation_Time</f>
        <v>1</v>
      </c>
      <c r="F76" s="21">
        <f t="shared" si="3"/>
        <v>100000</v>
      </c>
      <c r="G76" s="21" t="b">
        <f>Table17[[#This Row],[Time From Valuation]]=INT(Table17[[#This Row],[Time From Valuation]])</f>
        <v>0</v>
      </c>
      <c r="H76" s="7">
        <f>IF((Table17[[#This Row],[Is Anniversery]]), Table17[[#This Row],[Assumed Contract Value ]],0)</f>
        <v>0</v>
      </c>
      <c r="I76" s="7">
        <f ca="1">IF(NOT(Table17[[#This Row],[Is Activation]]),OFFSET(Table17[[#This Row],[Income Credit Base]],-1,0)+Table17[[#This Row],[Purchase Payments]]+Table17[[#This Row],[Income Credit]],0)</f>
        <v>0</v>
      </c>
      <c r="J76" s="7">
        <f>IF(AND(Table17[[#This Row],[Is Activation]]=FALSE,Table17[[#This Row],[Is Anniversery]]=TRUE),Table17[[#This Row],[Income Credit Base]]*ICP,0)</f>
        <v>0</v>
      </c>
      <c r="K76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6" s="42">
        <f>IF(NOT(Table17[[#This Row],[Is Activation]]),(Table17[[#This Row],[Withdrawal Taken  ]]/Table17[[#This Row],[Assumed Contract Value ]]),0)</f>
        <v>0</v>
      </c>
      <c r="M76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6" s="5">
        <f ca="1">IF(NOT(Table17[[#This Row],[Has Lifetime Income Started]]),Table17[[#This Row],[Income Base]]*MAW,0)</f>
        <v>16594.8125</v>
      </c>
      <c r="O76" s="9">
        <f>IF(AND(Table17[[#This Row],[Has Lifetime Income Started]],Table17[[#This Row],[Is Anniversery]]),Table17[[#This Row],[Income Base]]*PIP_2,0)</f>
        <v>0</v>
      </c>
      <c r="P76" s="33" t="b">
        <f>Table17[[#This Row],[Assumed Contract Value ]]&lt;0.1</f>
        <v>0</v>
      </c>
      <c r="Q76" s="2"/>
      <c r="R76" s="22">
        <f t="shared" si="5"/>
        <v>9.5</v>
      </c>
      <c r="S76" s="23">
        <v>0</v>
      </c>
      <c r="T76" s="23">
        <v>0</v>
      </c>
      <c r="U76" s="23">
        <v>100000</v>
      </c>
      <c r="V76" s="13">
        <v>0</v>
      </c>
      <c r="W76" s="11">
        <v>299982</v>
      </c>
      <c r="X76" s="5">
        <v>0</v>
      </c>
      <c r="Y76" s="5">
        <v>0</v>
      </c>
      <c r="Z76" s="11">
        <v>18749</v>
      </c>
      <c r="AA76" s="14">
        <v>0</v>
      </c>
    </row>
    <row r="77" spans="1:27" x14ac:dyDescent="0.3">
      <c r="A77" s="32">
        <f t="shared" si="4"/>
        <v>20</v>
      </c>
      <c r="B77" s="29">
        <f t="shared" si="2"/>
        <v>10</v>
      </c>
      <c r="C77" s="21">
        <f t="shared" si="2"/>
        <v>0</v>
      </c>
      <c r="D77" s="21">
        <f t="shared" si="2"/>
        <v>0</v>
      </c>
      <c r="E77" s="21" t="b">
        <f>Table17[[#This Row],[Time From Valuation]]&gt;=Activation_Time</f>
        <v>1</v>
      </c>
      <c r="F77" s="21">
        <f t="shared" si="3"/>
        <v>50000</v>
      </c>
      <c r="G77" s="21" t="b">
        <f>Table17[[#This Row],[Time From Valuation]]=INT(Table17[[#This Row],[Time From Valuation]])</f>
        <v>1</v>
      </c>
      <c r="H77" s="7">
        <f>IF((Table17[[#This Row],[Is Anniversery]]), Table17[[#This Row],[Assumed Contract Value ]],0)</f>
        <v>50000</v>
      </c>
      <c r="I77" s="7">
        <f ca="1">IF(NOT(Table17[[#This Row],[Is Activation]]),OFFSET(Table17[[#This Row],[Income Credit Base]],-1,0)+Table17[[#This Row],[Purchase Payments]]+Table17[[#This Row],[Income Credit]],0)</f>
        <v>0</v>
      </c>
      <c r="J77" s="7">
        <f>IF(AND(Table17[[#This Row],[Is Activation]]=FALSE,Table17[[#This Row],[Is Anniversery]]=TRUE),Table17[[#This Row],[Income Credit Base]]*ICP,0)</f>
        <v>0</v>
      </c>
      <c r="K77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7" s="42">
        <f>IF(NOT(Table17[[#This Row],[Is Activation]]),(Table17[[#This Row],[Withdrawal Taken  ]]/Table17[[#This Row],[Assumed Contract Value ]]),0)</f>
        <v>0</v>
      </c>
      <c r="M77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7" s="5">
        <f ca="1">IF(NOT(Table17[[#This Row],[Has Lifetime Income Started]]),Table17[[#This Row],[Income Base]]*MAW,0)</f>
        <v>16594.8125</v>
      </c>
      <c r="O77" s="9">
        <f>IF(AND(Table17[[#This Row],[Has Lifetime Income Started]],Table17[[#This Row],[Is Anniversery]]),Table17[[#This Row],[Income Base]]*PIP_2,0)</f>
        <v>0</v>
      </c>
      <c r="P77" s="33" t="b">
        <f>Table17[[#This Row],[Assumed Contract Value ]]&lt;0.1</f>
        <v>0</v>
      </c>
      <c r="Q77" s="2"/>
      <c r="R77" s="22">
        <f t="shared" si="5"/>
        <v>10</v>
      </c>
      <c r="S77" s="23">
        <v>0</v>
      </c>
      <c r="T77" s="23">
        <v>0</v>
      </c>
      <c r="U77" s="23">
        <v>50000</v>
      </c>
      <c r="V77" s="12">
        <v>50000</v>
      </c>
      <c r="W77" s="11">
        <v>299982</v>
      </c>
      <c r="X77" s="5">
        <v>0</v>
      </c>
      <c r="Y77" s="5">
        <v>0</v>
      </c>
      <c r="Z77" s="11">
        <v>18749</v>
      </c>
      <c r="AA77" s="14">
        <v>0</v>
      </c>
    </row>
    <row r="78" spans="1:27" x14ac:dyDescent="0.3">
      <c r="A78" s="32">
        <f t="shared" si="4"/>
        <v>21</v>
      </c>
      <c r="B78" s="29">
        <f t="shared" si="2"/>
        <v>10.5</v>
      </c>
      <c r="C78" s="21">
        <f t="shared" si="2"/>
        <v>0</v>
      </c>
      <c r="D78" s="21">
        <f t="shared" si="2"/>
        <v>0</v>
      </c>
      <c r="E78" s="21" t="b">
        <f>Table17[[#This Row],[Time From Valuation]]&gt;=Activation_Time</f>
        <v>1</v>
      </c>
      <c r="F78" s="21">
        <f>U78</f>
        <v>50000</v>
      </c>
      <c r="G78" s="21" t="b">
        <f>Table17[[#This Row],[Time From Valuation]]=INT(Table17[[#This Row],[Time From Valuation]])</f>
        <v>0</v>
      </c>
      <c r="H78" s="7">
        <f>IF((Table17[[#This Row],[Is Anniversery]]), Table17[[#This Row],[Assumed Contract Value ]],0)</f>
        <v>0</v>
      </c>
      <c r="I78" s="7">
        <f ca="1">IF(NOT(Table17[[#This Row],[Is Activation]]),OFFSET(Table17[[#This Row],[Income Credit Base]],-1,0)+Table17[[#This Row],[Purchase Payments]]+Table17[[#This Row],[Income Credit]],0)</f>
        <v>0</v>
      </c>
      <c r="J78" s="7">
        <f>IF(AND(Table17[[#This Row],[Is Activation]]=FALSE,Table17[[#This Row],[Is Anniversery]]=TRUE),Table17[[#This Row],[Income Credit Base]]*ICP,0)</f>
        <v>0</v>
      </c>
      <c r="K78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8" s="42">
        <f>IF(NOT(Table17[[#This Row],[Is Activation]]),(Table17[[#This Row],[Withdrawal Taken  ]]/Table17[[#This Row],[Assumed Contract Value ]]),0)</f>
        <v>0</v>
      </c>
      <c r="M78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8" s="5">
        <f ca="1">IF(NOT(Table17[[#This Row],[Has Lifetime Income Started]]),Table17[[#This Row],[Income Base]]*MAW,0)</f>
        <v>16594.8125</v>
      </c>
      <c r="O78" s="9">
        <f>IF(AND(Table17[[#This Row],[Has Lifetime Income Started]],Table17[[#This Row],[Is Anniversery]]),Table17[[#This Row],[Income Base]]*PIP_2,0)</f>
        <v>0</v>
      </c>
      <c r="P78" s="33" t="b">
        <f>Table17[[#This Row],[Assumed Contract Value ]]&lt;0.1</f>
        <v>0</v>
      </c>
      <c r="Q78" s="2"/>
      <c r="R78" s="22">
        <f t="shared" si="5"/>
        <v>10.5</v>
      </c>
      <c r="S78" s="23">
        <v>0</v>
      </c>
      <c r="T78" s="23">
        <v>0</v>
      </c>
      <c r="U78" s="23">
        <v>50000</v>
      </c>
      <c r="V78" s="13">
        <v>0</v>
      </c>
      <c r="W78" s="11">
        <v>299982</v>
      </c>
      <c r="X78" s="5">
        <v>0</v>
      </c>
      <c r="Y78" s="5">
        <v>0</v>
      </c>
      <c r="Z78" s="11">
        <v>18749</v>
      </c>
      <c r="AA78" s="14">
        <v>0</v>
      </c>
    </row>
    <row r="79" spans="1:27" ht="15" thickBot="1" x14ac:dyDescent="0.35">
      <c r="A79" s="34">
        <f t="shared" si="4"/>
        <v>22</v>
      </c>
      <c r="B79" s="35">
        <f t="shared" si="2"/>
        <v>11</v>
      </c>
      <c r="C79" s="36">
        <f t="shared" si="2"/>
        <v>0</v>
      </c>
      <c r="D79" s="36">
        <f t="shared" si="2"/>
        <v>0</v>
      </c>
      <c r="E79" s="36" t="b">
        <f>Table17[[#This Row],[Time From Valuation]]&gt;=Activation_Time</f>
        <v>1</v>
      </c>
      <c r="F79" s="36">
        <v>0</v>
      </c>
      <c r="G79" s="36" t="b">
        <f>Table17[[#This Row],[Time From Valuation]]=INT(Table17[[#This Row],[Time From Valuation]])</f>
        <v>1</v>
      </c>
      <c r="H79" s="7">
        <f>IF((Table17[[#This Row],[Is Anniversery]]), Table17[[#This Row],[Assumed Contract Value ]],0)</f>
        <v>0</v>
      </c>
      <c r="I79" s="7">
        <f ca="1">IF(NOT(Table17[[#This Row],[Is Activation]]),OFFSET(Table17[[#This Row],[Income Credit Base]],-1,0)+Table17[[#This Row],[Purchase Payments]]+Table17[[#This Row],[Income Credit]],0)</f>
        <v>0</v>
      </c>
      <c r="J79" s="7">
        <f>IF(AND(Table17[[#This Row],[Is Activation]]=FALSE,Table17[[#This Row],[Is Anniversery]]=TRUE),Table17[[#This Row],[Income Credit Base]]*ICP,0)</f>
        <v>0</v>
      </c>
      <c r="K79" s="7">
        <f ca="1">IF(AND(OFFSET(Table17[[#This Row],[Income Base]],-1,0)+Table17[[#This Row],[Purchase Payments]]+OFFSET(Table17[[#This Row],[Income Credit]],-1,0)&lt;Table17[[#This Row],[Assumed Contract Value ]],Table17[[#This Row],[Is Anniversery]]), Table17[[#This Row],[Assumed Contract Value ]], (OFFSET(Table17[[#This Row],[Income Base]],-1,0))+Table17[[#This Row],[Purchase Payments]]+OFFSET(Table17[[#This Row],[Income Credit]],-1,0))-(Table17[[#This Row],[Withdrawal Taken  ]]*(1-Table17[[#This Row],[Withdrawal Penalty Before Activation]]))</f>
        <v>265517</v>
      </c>
      <c r="L79" s="42">
        <f>IF(NOT(Table17[[#This Row],[Is Activation]]),(Table17[[#This Row],[Withdrawal Taken  ]]/Table17[[#This Row],[Assumed Contract Value ]]),0)</f>
        <v>0</v>
      </c>
      <c r="M79" s="43">
        <f ca="1">IF(AND(Table17[[#This Row],[Is Activation]],(Table17[[#This Row],[Withdrawal Taken  ]]&gt;Table17[[#This Row],[Maximum Annual Withdrawal Amount upon Activation]])),(Table17[[#This Row],[Withdrawal Taken  ]]-Table17[[#This Row],[Maximum Annual Withdrawal Amount upon Activation]])/OFFSET(Table17[[#This Row],[Assumed Contract Value ]],-1,0),  0)</f>
        <v>0</v>
      </c>
      <c r="N79" s="5">
        <f>IF(NOT(Table17[[#This Row],[Has Lifetime Income Started]]),Table17[[#This Row],[Income Base]]*MAW,0)</f>
        <v>0</v>
      </c>
      <c r="O79" s="99">
        <f ca="1">IF(AND(Table17[[#This Row],[Has Lifetime Income Started]],Table17[[#This Row],[Is Anniversery]]),Table17[[#This Row],[Income Base]]*PIP_2,0)</f>
        <v>10620.68</v>
      </c>
      <c r="P79" s="37" t="b">
        <f>Table17[[#This Row],[Assumed Contract Value ]]&lt;0.1</f>
        <v>1</v>
      </c>
      <c r="Q79" s="2"/>
      <c r="R79" s="24">
        <f t="shared" si="5"/>
        <v>11</v>
      </c>
      <c r="S79" s="25">
        <v>0</v>
      </c>
      <c r="T79" s="25">
        <v>0</v>
      </c>
      <c r="U79" s="23">
        <v>0</v>
      </c>
      <c r="V79" s="17">
        <v>0</v>
      </c>
      <c r="W79" s="15">
        <v>299982</v>
      </c>
      <c r="X79" s="16">
        <v>0</v>
      </c>
      <c r="Y79" s="16">
        <v>0</v>
      </c>
      <c r="Z79" s="15">
        <v>0</v>
      </c>
      <c r="AA79" s="18">
        <v>11999</v>
      </c>
    </row>
    <row r="81" spans="1:4" x14ac:dyDescent="0.3">
      <c r="A81" t="s">
        <v>3</v>
      </c>
      <c r="B81" s="26" t="s">
        <v>23</v>
      </c>
      <c r="C81" s="26"/>
      <c r="D81" s="31">
        <v>100000</v>
      </c>
    </row>
    <row r="82" spans="1:4" ht="18" x14ac:dyDescent="0.35">
      <c r="A82" s="27">
        <v>4.5</v>
      </c>
    </row>
    <row r="83" spans="1:4" x14ac:dyDescent="0.3">
      <c r="A83" s="1">
        <v>5.2499999999999998E-2</v>
      </c>
    </row>
    <row r="84" spans="1:4" x14ac:dyDescent="0.3">
      <c r="A84">
        <v>65</v>
      </c>
    </row>
    <row r="85" spans="1:4" x14ac:dyDescent="0.3">
      <c r="A85" s="1">
        <v>6.25E-2</v>
      </c>
    </row>
    <row r="86" spans="1:4" x14ac:dyDescent="0.3">
      <c r="A86" s="8">
        <v>0.04</v>
      </c>
    </row>
    <row r="89" spans="1:4" x14ac:dyDescent="0.3">
      <c r="B89" s="26"/>
      <c r="C89" s="26"/>
      <c r="D89" s="31"/>
    </row>
    <row r="90" spans="1:4" ht="18" x14ac:dyDescent="0.35">
      <c r="A90" s="27"/>
    </row>
    <row r="91" spans="1:4" x14ac:dyDescent="0.3">
      <c r="A91" s="1"/>
    </row>
    <row r="93" spans="1:4" x14ac:dyDescent="0.3">
      <c r="A93" s="1"/>
    </row>
    <row r="94" spans="1:4" x14ac:dyDescent="0.3">
      <c r="A94" s="8"/>
    </row>
  </sheetData>
  <conditionalFormatting sqref="H57:M79 O57:P79">
    <cfRule type="expression" dxfId="3" priority="4">
      <formula>#REF!</formula>
    </cfRule>
  </conditionalFormatting>
  <conditionalFormatting sqref="N57:N79">
    <cfRule type="expression" dxfId="1" priority="2">
      <formula>#REF!</formula>
    </cfRule>
  </conditionalFormatting>
  <conditionalFormatting sqref="V37:V54">
    <cfRule type="cellIs" dxfId="0" priority="1" operator="notEqual">
      <formula>0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999D1-20EE-47CD-B6DF-DD6CE2D54FB3}">
  <sheetPr>
    <tabColor theme="9" tint="0.79998168889431442"/>
  </sheetPr>
  <dimension ref="A1"/>
  <sheetViews>
    <sheetView topLeftCell="A62" workbookViewId="0">
      <selection activeCell="A88" sqref="A88"/>
    </sheetView>
  </sheetViews>
  <sheetFormatPr defaultRowHeight="14.4" x14ac:dyDescent="0.3"/>
  <sheetData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5121" r:id="rId4">
          <objectPr defaultSize="0" r:id="rId5">
            <anchor moveWithCells="1">
              <from>
                <xdr:col>1</xdr:col>
                <xdr:colOff>525780</xdr:colOff>
                <xdr:row>1</xdr:row>
                <xdr:rowOff>68580</xdr:rowOff>
              </from>
              <to>
                <xdr:col>11</xdr:col>
                <xdr:colOff>373380</xdr:colOff>
                <xdr:row>17</xdr:row>
                <xdr:rowOff>175260</xdr:rowOff>
              </to>
            </anchor>
          </objectPr>
        </oleObject>
      </mc:Choice>
      <mc:Fallback>
        <oleObject progId="Word.Document.12" shapeId="5121" r:id="rId4"/>
      </mc:Fallback>
    </mc:AlternateContent>
    <mc:AlternateContent xmlns:mc="http://schemas.openxmlformats.org/markup-compatibility/2006">
      <mc:Choice Requires="x14">
        <oleObject progId="Word.Document.12" shapeId="5122" r:id="rId6">
          <objectPr defaultSize="0" r:id="rId7">
            <anchor moveWithCells="1">
              <from>
                <xdr:col>1</xdr:col>
                <xdr:colOff>381000</xdr:colOff>
                <xdr:row>18</xdr:row>
                <xdr:rowOff>99060</xdr:rowOff>
              </from>
              <to>
                <xdr:col>11</xdr:col>
                <xdr:colOff>228600</xdr:colOff>
                <xdr:row>47</xdr:row>
                <xdr:rowOff>60960</xdr:rowOff>
              </to>
            </anchor>
          </objectPr>
        </oleObject>
      </mc:Choice>
      <mc:Fallback>
        <oleObject progId="Word.Document.12" shapeId="5122" r:id="rId6"/>
      </mc:Fallback>
    </mc:AlternateContent>
    <mc:AlternateContent xmlns:mc="http://schemas.openxmlformats.org/markup-compatibility/2006">
      <mc:Choice Requires="x14">
        <oleObject progId="Word.Document.12" shapeId="5123" r:id="rId8">
          <objectPr defaultSize="0" r:id="rId9">
            <anchor moveWithCells="1">
              <from>
                <xdr:col>1</xdr:col>
                <xdr:colOff>403860</xdr:colOff>
                <xdr:row>48</xdr:row>
                <xdr:rowOff>144780</xdr:rowOff>
              </from>
              <to>
                <xdr:col>11</xdr:col>
                <xdr:colOff>251460</xdr:colOff>
                <xdr:row>59</xdr:row>
                <xdr:rowOff>45720</xdr:rowOff>
              </to>
            </anchor>
          </objectPr>
        </oleObject>
      </mc:Choice>
      <mc:Fallback>
        <oleObject progId="Word.Document.12" shapeId="5123" r:id="rId8"/>
      </mc:Fallback>
    </mc:AlternateContent>
    <mc:AlternateContent xmlns:mc="http://schemas.openxmlformats.org/markup-compatibility/2006">
      <mc:Choice Requires="x14">
        <oleObject progId="Word.Document.12" shapeId="5124" r:id="rId10">
          <objectPr defaultSize="0" r:id="rId11">
            <anchor moveWithCells="1">
              <from>
                <xdr:col>1</xdr:col>
                <xdr:colOff>449580</xdr:colOff>
                <xdr:row>63</xdr:row>
                <xdr:rowOff>160020</xdr:rowOff>
              </from>
              <to>
                <xdr:col>11</xdr:col>
                <xdr:colOff>297180</xdr:colOff>
                <xdr:row>75</xdr:row>
                <xdr:rowOff>144780</xdr:rowOff>
              </to>
            </anchor>
          </objectPr>
        </oleObject>
      </mc:Choice>
      <mc:Fallback>
        <oleObject progId="Word.Document.12" shapeId="5124" r:id="rId10"/>
      </mc:Fallback>
    </mc:AlternateContent>
    <mc:AlternateContent xmlns:mc="http://schemas.openxmlformats.org/markup-compatibility/2006">
      <mc:Choice Requires="x14">
        <oleObject progId="Word.Document.12" shapeId="5125" r:id="rId12">
          <objectPr defaultSize="0" r:id="rId13">
            <anchor moveWithCells="1">
              <from>
                <xdr:col>1</xdr:col>
                <xdr:colOff>541020</xdr:colOff>
                <xdr:row>79</xdr:row>
                <xdr:rowOff>160020</xdr:rowOff>
              </from>
              <to>
                <xdr:col>11</xdr:col>
                <xdr:colOff>388620</xdr:colOff>
                <xdr:row>91</xdr:row>
                <xdr:rowOff>76200</xdr:rowOff>
              </to>
            </anchor>
          </objectPr>
        </oleObject>
      </mc:Choice>
      <mc:Fallback>
        <oleObject progId="Word.Document.12" shapeId="5125" r:id="rId12"/>
      </mc:Fallback>
    </mc:AlternateContent>
    <mc:AlternateContent xmlns:mc="http://schemas.openxmlformats.org/markup-compatibility/2006">
      <mc:Choice Requires="x14">
        <oleObject progId="Word.Document.12" shapeId="5126" r:id="rId14">
          <objectPr defaultSize="0" r:id="rId15">
            <anchor moveWithCells="1">
              <from>
                <xdr:col>1</xdr:col>
                <xdr:colOff>579120</xdr:colOff>
                <xdr:row>94</xdr:row>
                <xdr:rowOff>144780</xdr:rowOff>
              </from>
              <to>
                <xdr:col>11</xdr:col>
                <xdr:colOff>426720</xdr:colOff>
                <xdr:row>112</xdr:row>
                <xdr:rowOff>30480</xdr:rowOff>
              </to>
            </anchor>
          </objectPr>
        </oleObject>
      </mc:Choice>
      <mc:Fallback>
        <oleObject progId="Word.Document.12" shapeId="5126" r:id="rId14"/>
      </mc:Fallback>
    </mc:AlternateContent>
    <mc:AlternateContent xmlns:mc="http://schemas.openxmlformats.org/markup-compatibility/2006">
      <mc:Choice Requires="x14">
        <oleObject progId="Word.Document.12" shapeId="5127" r:id="rId16">
          <objectPr defaultSize="0" r:id="rId17">
            <anchor moveWithCells="1">
              <from>
                <xdr:col>1</xdr:col>
                <xdr:colOff>594360</xdr:colOff>
                <xdr:row>116</xdr:row>
                <xdr:rowOff>30480</xdr:rowOff>
              </from>
              <to>
                <xdr:col>11</xdr:col>
                <xdr:colOff>441960</xdr:colOff>
                <xdr:row>124</xdr:row>
                <xdr:rowOff>83820</xdr:rowOff>
              </to>
            </anchor>
          </objectPr>
        </oleObject>
      </mc:Choice>
      <mc:Fallback>
        <oleObject progId="Word.Document.12" shapeId="5127" r:id="rId1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559F-9EFD-46FC-9F16-41EAE84F8BE1}">
  <sheetPr>
    <tabColor theme="9" tint="0.79998168889431442"/>
  </sheetPr>
  <dimension ref="A1"/>
  <sheetViews>
    <sheetView topLeftCell="A9" workbookViewId="0">
      <selection activeCell="T51" sqref="T51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3073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17</xdr:col>
                <xdr:colOff>60960</xdr:colOff>
                <xdr:row>36</xdr:row>
                <xdr:rowOff>121920</xdr:rowOff>
              </to>
            </anchor>
          </objectPr>
        </oleObject>
      </mc:Choice>
      <mc:Fallback>
        <oleObject progId="Word.Document.12" shapeId="307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42AF8-B2A2-427B-87D8-092C4A496479}">
  <sheetPr>
    <tabColor theme="9" tint="0.79998168889431442"/>
  </sheetPr>
  <dimension ref="A1"/>
  <sheetViews>
    <sheetView topLeftCell="A15" workbookViewId="0">
      <selection activeCell="S25" sqref="S25"/>
    </sheetView>
  </sheetViews>
  <sheetFormatPr defaultRowHeight="14.4" x14ac:dyDescent="0.3"/>
  <sheetData/>
  <pageMargins left="0.7" right="0.7" top="0.75" bottom="0.75" header="0.3" footer="0.3"/>
  <pageSetup orientation="portrait" horizontalDpi="300" verticalDpi="300" r:id="rId1"/>
  <drawing r:id="rId2"/>
  <legacyDrawing r:id="rId3"/>
  <oleObjects>
    <mc:AlternateContent xmlns:mc="http://schemas.openxmlformats.org/markup-compatibility/2006">
      <mc:Choice Requires="x14">
        <oleObject progId="Word.Document.12" shapeId="4097" r:id="rId4">
          <objectPr defaultSize="0" r:id="rId5">
            <anchor moveWithCells="1">
              <from>
                <xdr:col>0</xdr:col>
                <xdr:colOff>556260</xdr:colOff>
                <xdr:row>1</xdr:row>
                <xdr:rowOff>0</xdr:rowOff>
              </from>
              <to>
                <xdr:col>15</xdr:col>
                <xdr:colOff>480060</xdr:colOff>
                <xdr:row>36</xdr:row>
                <xdr:rowOff>76200</xdr:rowOff>
              </to>
            </anchor>
          </objectPr>
        </oleObject>
      </mc:Choice>
      <mc:Fallback>
        <oleObject progId="Word.Document.12" shapeId="4097" r:id="rId4"/>
      </mc:Fallback>
    </mc:AlternateContent>
  </oleObjec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C7B1D-EA56-4DBE-93D7-1F0DD0865D25}">
  <sheetPr>
    <tabColor rgb="FF00B050"/>
  </sheetPr>
  <dimension ref="A1:Q18"/>
  <sheetViews>
    <sheetView workbookViewId="0">
      <selection activeCell="A2" sqref="A2:A18"/>
    </sheetView>
  </sheetViews>
  <sheetFormatPr defaultRowHeight="14.4" x14ac:dyDescent="0.3"/>
  <cols>
    <col min="1" max="1" width="6.33203125" customWidth="1"/>
    <col min="2" max="2" width="21.5546875" bestFit="1" customWidth="1"/>
    <col min="3" max="3" width="14.6640625" customWidth="1"/>
    <col min="4" max="4" width="15.33203125" customWidth="1"/>
    <col min="5" max="5" width="17.6640625" customWidth="1"/>
    <col min="6" max="6" width="16" customWidth="1"/>
    <col min="7" max="7" width="20" customWidth="1"/>
    <col min="8" max="8" width="18.33203125" customWidth="1"/>
    <col min="9" max="9" width="21.44140625" customWidth="1"/>
    <col min="10" max="10" width="24.109375" customWidth="1"/>
    <col min="11" max="11" width="25.88671875" customWidth="1"/>
    <col min="12" max="12" width="22.5546875" customWidth="1"/>
    <col min="13" max="13" width="25" customWidth="1"/>
    <col min="14" max="14" width="20.33203125" customWidth="1"/>
    <col min="15" max="15" width="25.77734375" customWidth="1"/>
    <col min="16" max="16" width="19.88671875" customWidth="1"/>
    <col min="17" max="17" width="22.109375" customWidth="1"/>
  </cols>
  <sheetData>
    <row r="1" spans="1:17" x14ac:dyDescent="0.3">
      <c r="A1" s="51" t="s">
        <v>65</v>
      </c>
      <c r="B1" s="51" t="s">
        <v>64</v>
      </c>
      <c r="C1" s="51" t="s">
        <v>63</v>
      </c>
      <c r="D1" s="51" t="s">
        <v>62</v>
      </c>
      <c r="E1" s="51" t="s">
        <v>61</v>
      </c>
      <c r="F1" s="51" t="s">
        <v>60</v>
      </c>
      <c r="G1" s="51" t="s">
        <v>59</v>
      </c>
      <c r="H1" s="51" t="s">
        <v>58</v>
      </c>
      <c r="I1" s="51" t="s">
        <v>20</v>
      </c>
      <c r="J1" s="51" t="s">
        <v>57</v>
      </c>
      <c r="K1" s="51" t="s">
        <v>56</v>
      </c>
      <c r="L1" s="51" t="s">
        <v>55</v>
      </c>
      <c r="M1" s="51" t="s">
        <v>54</v>
      </c>
      <c r="N1" s="51" t="s">
        <v>53</v>
      </c>
      <c r="O1" s="51" t="s">
        <v>52</v>
      </c>
      <c r="P1" s="51" t="s">
        <v>51</v>
      </c>
      <c r="Q1" s="51" t="s">
        <v>50</v>
      </c>
    </row>
    <row r="2" spans="1:17" x14ac:dyDescent="0.3">
      <c r="A2" s="49">
        <v>0</v>
      </c>
      <c r="B2" s="47" t="s">
        <v>49</v>
      </c>
      <c r="C2" s="47" t="b">
        <v>1</v>
      </c>
      <c r="D2" s="48">
        <v>42465</v>
      </c>
      <c r="E2" s="48">
        <v>18720</v>
      </c>
      <c r="F2" s="47" t="s">
        <v>33</v>
      </c>
      <c r="G2" s="47"/>
      <c r="H2" s="47"/>
      <c r="I2" s="48">
        <v>42465</v>
      </c>
      <c r="J2" s="47">
        <v>100000</v>
      </c>
      <c r="K2" s="48">
        <v>44109</v>
      </c>
      <c r="L2" s="47">
        <v>1</v>
      </c>
      <c r="M2" s="47">
        <v>5.2499999999999998E-2</v>
      </c>
      <c r="N2" s="47">
        <v>100000</v>
      </c>
      <c r="O2" s="47">
        <v>100000</v>
      </c>
      <c r="P2" s="47">
        <v>999</v>
      </c>
      <c r="Q2" s="50">
        <v>100000</v>
      </c>
    </row>
    <row r="3" spans="1:17" x14ac:dyDescent="0.3">
      <c r="A3" s="49">
        <v>1</v>
      </c>
      <c r="B3" s="47" t="s">
        <v>48</v>
      </c>
      <c r="C3" s="47" t="b">
        <v>0</v>
      </c>
      <c r="D3" s="48">
        <v>42465</v>
      </c>
      <c r="E3" s="48">
        <v>18720</v>
      </c>
      <c r="F3" s="47" t="s">
        <v>33</v>
      </c>
      <c r="G3" s="47"/>
      <c r="H3" s="47"/>
      <c r="I3" s="48">
        <v>42465</v>
      </c>
      <c r="J3" s="47">
        <v>762282.17661630618</v>
      </c>
      <c r="K3" s="48">
        <v>44109</v>
      </c>
      <c r="L3" s="47">
        <v>1</v>
      </c>
      <c r="M3" s="47">
        <v>5.2499999999999998E-2</v>
      </c>
      <c r="N3" s="46">
        <v>95325.473432383646</v>
      </c>
      <c r="O3" s="46">
        <v>95325.473432383646</v>
      </c>
      <c r="P3" s="46">
        <v>4221.541103677775</v>
      </c>
      <c r="Q3" s="50">
        <v>100000</v>
      </c>
    </row>
    <row r="4" spans="1:17" x14ac:dyDescent="0.3">
      <c r="A4" s="49">
        <v>2</v>
      </c>
      <c r="B4" s="47" t="s">
        <v>47</v>
      </c>
      <c r="C4" s="47" t="b">
        <v>0</v>
      </c>
      <c r="D4" s="48">
        <v>42465</v>
      </c>
      <c r="E4" s="48">
        <v>26020</v>
      </c>
      <c r="F4" s="47" t="s">
        <v>33</v>
      </c>
      <c r="G4" s="47"/>
      <c r="H4" s="47"/>
      <c r="I4" s="48">
        <v>42465</v>
      </c>
      <c r="J4" s="46">
        <v>152456.43532326125</v>
      </c>
      <c r="K4" s="48">
        <v>44109</v>
      </c>
      <c r="L4" s="47">
        <v>1</v>
      </c>
      <c r="M4" s="47">
        <v>5.2499999999999998E-2</v>
      </c>
      <c r="N4" s="46">
        <v>152456.43532326125</v>
      </c>
      <c r="O4" s="46">
        <v>152456.43532326125</v>
      </c>
      <c r="P4" s="46">
        <v>8114.6383236774336</v>
      </c>
      <c r="Q4" s="45">
        <v>152456.43532326125</v>
      </c>
    </row>
    <row r="5" spans="1:17" x14ac:dyDescent="0.3">
      <c r="A5" s="49">
        <v>3</v>
      </c>
      <c r="B5" s="47" t="s">
        <v>46</v>
      </c>
      <c r="C5" s="47" t="b">
        <v>0</v>
      </c>
      <c r="D5" s="48">
        <v>42465</v>
      </c>
      <c r="E5" s="48">
        <v>22370</v>
      </c>
      <c r="F5" s="47" t="s">
        <v>33</v>
      </c>
      <c r="G5" s="47"/>
      <c r="H5" s="47"/>
      <c r="I5" s="48">
        <v>42465</v>
      </c>
      <c r="J5" s="46">
        <v>182203.00216090496</v>
      </c>
      <c r="K5" s="48">
        <v>44109</v>
      </c>
      <c r="L5" s="47">
        <v>1</v>
      </c>
      <c r="M5" s="47">
        <v>5.2499999999999998E-2</v>
      </c>
      <c r="N5" s="46">
        <v>182203.00216090496</v>
      </c>
      <c r="O5" s="46">
        <v>182203.00216090496</v>
      </c>
      <c r="P5" s="46">
        <v>14523.798553991892</v>
      </c>
      <c r="Q5" s="45">
        <v>182203.00216090496</v>
      </c>
    </row>
    <row r="6" spans="1:17" x14ac:dyDescent="0.3">
      <c r="A6" s="49">
        <v>4</v>
      </c>
      <c r="B6" s="47" t="s">
        <v>45</v>
      </c>
      <c r="C6" s="47" t="b">
        <v>0</v>
      </c>
      <c r="D6" s="48">
        <v>42465</v>
      </c>
      <c r="E6" s="48">
        <v>15070</v>
      </c>
      <c r="F6" s="47" t="s">
        <v>33</v>
      </c>
      <c r="G6" s="47"/>
      <c r="H6" s="47"/>
      <c r="I6" s="48">
        <v>42465</v>
      </c>
      <c r="J6" s="46">
        <v>69184.946238427947</v>
      </c>
      <c r="K6" s="48">
        <v>44109</v>
      </c>
      <c r="L6" s="47">
        <v>1</v>
      </c>
      <c r="M6" s="47">
        <v>5.2499999999999998E-2</v>
      </c>
      <c r="N6" s="46">
        <v>69184.946238427947</v>
      </c>
      <c r="O6" s="46">
        <v>69184.946238427947</v>
      </c>
      <c r="P6" s="46">
        <v>8143.3285014251214</v>
      </c>
      <c r="Q6" s="45">
        <v>69184.946238427947</v>
      </c>
    </row>
    <row r="7" spans="1:17" x14ac:dyDescent="0.3">
      <c r="A7" s="49">
        <v>5</v>
      </c>
      <c r="B7" s="47" t="s">
        <v>44</v>
      </c>
      <c r="C7" s="47" t="b">
        <v>0</v>
      </c>
      <c r="D7" s="48">
        <v>42465</v>
      </c>
      <c r="E7" s="48">
        <v>11420</v>
      </c>
      <c r="F7" s="47" t="s">
        <v>33</v>
      </c>
      <c r="G7" s="47"/>
      <c r="H7" s="47"/>
      <c r="I7" s="48">
        <v>42465</v>
      </c>
      <c r="J7" s="46">
        <v>150298.66258566288</v>
      </c>
      <c r="K7" s="48">
        <v>44109</v>
      </c>
      <c r="L7" s="47">
        <v>1</v>
      </c>
      <c r="M7" s="47">
        <v>5.2499999999999998E-2</v>
      </c>
      <c r="N7" s="46">
        <v>150298.66258566288</v>
      </c>
      <c r="O7" s="46">
        <v>150298.66258566288</v>
      </c>
      <c r="P7" s="46">
        <v>13684.105061322096</v>
      </c>
      <c r="Q7" s="45">
        <v>150298.66258566288</v>
      </c>
    </row>
    <row r="8" spans="1:17" x14ac:dyDescent="0.3">
      <c r="A8" s="49">
        <v>6</v>
      </c>
      <c r="B8" s="47" t="s">
        <v>43</v>
      </c>
      <c r="C8" s="47" t="b">
        <v>0</v>
      </c>
      <c r="D8" s="48">
        <v>42465</v>
      </c>
      <c r="E8" s="48">
        <v>18720</v>
      </c>
      <c r="F8" s="47" t="s">
        <v>33</v>
      </c>
      <c r="G8" s="47"/>
      <c r="H8" s="47"/>
      <c r="I8" s="48">
        <v>42465</v>
      </c>
      <c r="J8" s="46">
        <v>105606.93882617053</v>
      </c>
      <c r="K8" s="48">
        <v>44109</v>
      </c>
      <c r="L8" s="47">
        <v>2</v>
      </c>
      <c r="M8" s="47">
        <v>5.2499999999999998E-2</v>
      </c>
      <c r="N8" s="46">
        <v>105606.93882617053</v>
      </c>
      <c r="O8" s="46">
        <v>105606.93882617053</v>
      </c>
      <c r="P8" s="46">
        <v>10085.128879183343</v>
      </c>
      <c r="Q8" s="45">
        <v>105606.93882617053</v>
      </c>
    </row>
    <row r="9" spans="1:17" x14ac:dyDescent="0.3">
      <c r="A9" s="49">
        <v>7</v>
      </c>
      <c r="B9" s="47" t="s">
        <v>42</v>
      </c>
      <c r="C9" s="47" t="b">
        <v>0</v>
      </c>
      <c r="D9" s="48">
        <v>42465</v>
      </c>
      <c r="E9" s="48">
        <v>18720</v>
      </c>
      <c r="F9" s="47" t="s">
        <v>33</v>
      </c>
      <c r="G9" s="47"/>
      <c r="H9" s="47"/>
      <c r="I9" s="48">
        <v>42465</v>
      </c>
      <c r="J9" s="46">
        <v>42427.11718072473</v>
      </c>
      <c r="K9" s="48">
        <v>44109</v>
      </c>
      <c r="L9" s="47">
        <v>3</v>
      </c>
      <c r="M9" s="47">
        <v>5.2499999999999998E-2</v>
      </c>
      <c r="N9" s="46">
        <v>42427.11718072473</v>
      </c>
      <c r="O9" s="46">
        <v>42427.11718072473</v>
      </c>
      <c r="P9" s="46">
        <v>5578.9796538104865</v>
      </c>
      <c r="Q9" s="45">
        <v>42427.11718072473</v>
      </c>
    </row>
    <row r="10" spans="1:17" x14ac:dyDescent="0.3">
      <c r="A10" s="49">
        <v>8</v>
      </c>
      <c r="B10" s="47" t="s">
        <v>41</v>
      </c>
      <c r="C10" s="47" t="b">
        <v>0</v>
      </c>
      <c r="D10" s="48">
        <v>42465</v>
      </c>
      <c r="E10" s="48">
        <v>18720</v>
      </c>
      <c r="F10" s="47" t="s">
        <v>33</v>
      </c>
      <c r="G10" s="47"/>
      <c r="H10" s="47"/>
      <c r="I10" s="48">
        <v>42465</v>
      </c>
      <c r="J10" s="46">
        <v>47603.469194453544</v>
      </c>
      <c r="K10" s="48">
        <v>43013</v>
      </c>
      <c r="L10" s="47">
        <v>1</v>
      </c>
      <c r="M10" s="47">
        <v>5.2499999999999998E-2</v>
      </c>
      <c r="N10" s="46">
        <v>47603.469194453544</v>
      </c>
      <c r="O10" s="46">
        <v>47603.469194453544</v>
      </c>
      <c r="P10" s="46">
        <v>18541.617782629564</v>
      </c>
      <c r="Q10" s="45">
        <v>47603.469194453544</v>
      </c>
    </row>
    <row r="11" spans="1:17" x14ac:dyDescent="0.3">
      <c r="A11" s="49">
        <v>9</v>
      </c>
      <c r="B11" s="47" t="s">
        <v>40</v>
      </c>
      <c r="C11" s="47" t="b">
        <v>0</v>
      </c>
      <c r="D11" s="48">
        <v>42465</v>
      </c>
      <c r="E11" s="48">
        <v>18720</v>
      </c>
      <c r="F11" s="47" t="s">
        <v>33</v>
      </c>
      <c r="G11" s="47"/>
      <c r="H11" s="47"/>
      <c r="I11" s="48">
        <v>42465</v>
      </c>
      <c r="J11" s="46">
        <v>157110.87938977685</v>
      </c>
      <c r="K11" s="48">
        <v>43378</v>
      </c>
      <c r="L11" s="47">
        <v>1</v>
      </c>
      <c r="M11" s="47">
        <v>5.2499999999999998E-2</v>
      </c>
      <c r="N11" s="46">
        <v>157110.87938977685</v>
      </c>
      <c r="O11" s="46">
        <v>157110.87938977685</v>
      </c>
      <c r="P11" s="46">
        <v>12472.756690167882</v>
      </c>
      <c r="Q11" s="45">
        <v>157110.87938977685</v>
      </c>
    </row>
    <row r="12" spans="1:17" x14ac:dyDescent="0.3">
      <c r="A12" s="49">
        <v>10</v>
      </c>
      <c r="B12" s="47" t="s">
        <v>39</v>
      </c>
      <c r="C12" s="47" t="b">
        <v>0</v>
      </c>
      <c r="D12" s="48">
        <v>42465</v>
      </c>
      <c r="E12" s="48">
        <v>18720</v>
      </c>
      <c r="F12" s="47" t="s">
        <v>33</v>
      </c>
      <c r="G12" s="47"/>
      <c r="H12" s="47"/>
      <c r="I12" s="48">
        <v>42465</v>
      </c>
      <c r="J12" s="46">
        <v>28106.899207877428</v>
      </c>
      <c r="K12" s="48">
        <v>43743</v>
      </c>
      <c r="L12" s="47">
        <v>1</v>
      </c>
      <c r="M12" s="47">
        <v>5.2499999999999998E-2</v>
      </c>
      <c r="N12" s="46">
        <v>28106.899207877428</v>
      </c>
      <c r="O12" s="46">
        <v>28106.899207877428</v>
      </c>
      <c r="P12" s="46">
        <v>3862.4017537345594</v>
      </c>
      <c r="Q12" s="45">
        <v>28106.899207877428</v>
      </c>
    </row>
    <row r="13" spans="1:17" x14ac:dyDescent="0.3">
      <c r="A13" s="49">
        <v>11</v>
      </c>
      <c r="B13" s="47" t="s">
        <v>38</v>
      </c>
      <c r="C13" s="47" t="b">
        <v>0</v>
      </c>
      <c r="D13" s="48">
        <v>42465</v>
      </c>
      <c r="E13" s="48">
        <v>18720</v>
      </c>
      <c r="F13" s="47" t="s">
        <v>33</v>
      </c>
      <c r="G13" s="47"/>
      <c r="H13" s="47"/>
      <c r="I13" s="48">
        <v>42465</v>
      </c>
      <c r="J13" s="46">
        <v>96931.426475781816</v>
      </c>
      <c r="K13" s="48">
        <v>44474</v>
      </c>
      <c r="L13" s="47">
        <v>1</v>
      </c>
      <c r="M13" s="47">
        <v>5.2499999999999998E-2</v>
      </c>
      <c r="N13" s="46">
        <v>96931.426475781816</v>
      </c>
      <c r="O13" s="46">
        <v>96931.426475781816</v>
      </c>
      <c r="P13" s="46">
        <v>1796.8830721520278</v>
      </c>
      <c r="Q13" s="45">
        <v>96931.426475781816</v>
      </c>
    </row>
    <row r="14" spans="1:17" x14ac:dyDescent="0.3">
      <c r="A14" s="49">
        <v>12</v>
      </c>
      <c r="B14" s="47" t="s">
        <v>37</v>
      </c>
      <c r="C14" s="47" t="b">
        <v>0</v>
      </c>
      <c r="D14" s="48">
        <v>42465</v>
      </c>
      <c r="E14" s="48">
        <v>18720</v>
      </c>
      <c r="F14" s="47" t="s">
        <v>33</v>
      </c>
      <c r="G14" s="47"/>
      <c r="H14" s="47"/>
      <c r="I14" s="48">
        <v>42465</v>
      </c>
      <c r="J14" s="46">
        <v>92382.669600073219</v>
      </c>
      <c r="K14" s="48">
        <v>44839</v>
      </c>
      <c r="L14" s="47">
        <v>1</v>
      </c>
      <c r="M14" s="47">
        <v>5.2499999999999998E-2</v>
      </c>
      <c r="N14" s="46">
        <v>92382.669600073219</v>
      </c>
      <c r="O14" s="46">
        <v>92382.669600073219</v>
      </c>
      <c r="P14" s="46">
        <v>24938.25284851898</v>
      </c>
      <c r="Q14" s="45">
        <v>92382.669600073219</v>
      </c>
    </row>
    <row r="15" spans="1:17" x14ac:dyDescent="0.3">
      <c r="A15" s="49">
        <v>13</v>
      </c>
      <c r="B15" s="47" t="s">
        <v>36</v>
      </c>
      <c r="C15" s="47" t="b">
        <v>0</v>
      </c>
      <c r="D15" s="48">
        <v>42465</v>
      </c>
      <c r="E15" s="48">
        <v>18720</v>
      </c>
      <c r="F15" s="47" t="s">
        <v>33</v>
      </c>
      <c r="G15" s="47"/>
      <c r="H15" s="47"/>
      <c r="I15" s="48">
        <v>42465</v>
      </c>
      <c r="J15" s="46">
        <v>58832.783356219523</v>
      </c>
      <c r="K15" s="48">
        <v>45204</v>
      </c>
      <c r="L15" s="47">
        <v>1</v>
      </c>
      <c r="M15" s="47">
        <v>5.2499999999999998E-2</v>
      </c>
      <c r="N15" s="46">
        <v>58832.783356219523</v>
      </c>
      <c r="O15" s="46">
        <v>58832.783356219523</v>
      </c>
      <c r="P15" s="46">
        <v>19049.832245647714</v>
      </c>
      <c r="Q15" s="45">
        <v>58832.783356219523</v>
      </c>
    </row>
    <row r="16" spans="1:17" x14ac:dyDescent="0.3">
      <c r="A16" s="49">
        <v>14</v>
      </c>
      <c r="B16" s="47" t="s">
        <v>35</v>
      </c>
      <c r="C16" s="47" t="b">
        <v>0</v>
      </c>
      <c r="D16" s="48">
        <v>42465</v>
      </c>
      <c r="E16" s="48">
        <v>22370</v>
      </c>
      <c r="F16" s="47" t="s">
        <v>33</v>
      </c>
      <c r="G16" s="48">
        <v>18805</v>
      </c>
      <c r="H16" s="47" t="s">
        <v>31</v>
      </c>
      <c r="I16" s="48">
        <v>42465</v>
      </c>
      <c r="J16" s="46">
        <v>77254.968706246742</v>
      </c>
      <c r="K16" s="48">
        <v>44109</v>
      </c>
      <c r="L16" s="47">
        <v>1</v>
      </c>
      <c r="M16" s="47">
        <v>5.2499999999999998E-2</v>
      </c>
      <c r="N16" s="46">
        <v>77254.968706246742</v>
      </c>
      <c r="O16" s="46">
        <v>77254.968706246742</v>
      </c>
      <c r="P16" s="46">
        <v>8328.878719952414</v>
      </c>
      <c r="Q16" s="45">
        <v>77254.968706246742</v>
      </c>
    </row>
    <row r="17" spans="1:17" x14ac:dyDescent="0.3">
      <c r="A17" s="49">
        <v>15</v>
      </c>
      <c r="B17" s="47" t="s">
        <v>34</v>
      </c>
      <c r="C17" s="47" t="b">
        <v>0</v>
      </c>
      <c r="D17" s="48">
        <v>42465</v>
      </c>
      <c r="E17" s="48">
        <v>18720</v>
      </c>
      <c r="F17" s="47" t="s">
        <v>33</v>
      </c>
      <c r="G17" s="48">
        <v>15171</v>
      </c>
      <c r="H17" s="47" t="s">
        <v>33</v>
      </c>
      <c r="I17" s="48">
        <v>42465</v>
      </c>
      <c r="J17" s="46">
        <v>102897.29750340692</v>
      </c>
      <c r="K17" s="48">
        <v>44109</v>
      </c>
      <c r="L17" s="47">
        <v>1</v>
      </c>
      <c r="M17" s="47">
        <v>5.2499999999999998E-2</v>
      </c>
      <c r="N17" s="46">
        <v>102897.29750340692</v>
      </c>
      <c r="O17" s="46">
        <v>102897.29750340692</v>
      </c>
      <c r="P17" s="46">
        <v>17308.417559792819</v>
      </c>
      <c r="Q17" s="45">
        <v>102897.29750340692</v>
      </c>
    </row>
    <row r="18" spans="1:17" x14ac:dyDescent="0.3">
      <c r="A18" s="52">
        <v>16</v>
      </c>
      <c r="B18" s="53" t="s">
        <v>32</v>
      </c>
      <c r="C18" s="53" t="b">
        <v>0</v>
      </c>
      <c r="D18" s="54">
        <v>42465</v>
      </c>
      <c r="E18" s="54">
        <v>13245</v>
      </c>
      <c r="F18" s="53" t="s">
        <v>31</v>
      </c>
      <c r="G18" s="54">
        <v>13244</v>
      </c>
      <c r="H18" s="53" t="s">
        <v>31</v>
      </c>
      <c r="I18" s="54">
        <v>42465</v>
      </c>
      <c r="J18" s="55">
        <v>146058.38404748004</v>
      </c>
      <c r="K18" s="54">
        <v>44109</v>
      </c>
      <c r="L18" s="53">
        <v>1</v>
      </c>
      <c r="M18" s="53">
        <v>5.2499999999999998E-2</v>
      </c>
      <c r="N18" s="55">
        <v>146058.38404748004</v>
      </c>
      <c r="O18" s="55">
        <v>146058.38404748004</v>
      </c>
      <c r="P18" s="55">
        <v>23365.275131770417</v>
      </c>
      <c r="Q18" s="56">
        <v>146058.38404748004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C3A6F-A05B-4448-8F9E-BC2F3F4E7320}">
  <dimension ref="A1:I22"/>
  <sheetViews>
    <sheetView topLeftCell="A6" zoomScaleNormal="100" workbookViewId="0">
      <selection activeCell="E17" sqref="E17"/>
    </sheetView>
  </sheetViews>
  <sheetFormatPr defaultRowHeight="14.4" x14ac:dyDescent="0.3"/>
  <cols>
    <col min="1" max="1" width="54.88671875" customWidth="1"/>
    <col min="2" max="3" width="7" bestFit="1" customWidth="1"/>
    <col min="4" max="4" width="12.44140625" customWidth="1"/>
    <col min="5" max="5" width="13.109375" customWidth="1"/>
    <col min="6" max="6" width="14.88671875" customWidth="1"/>
    <col min="7" max="7" width="13.5546875" customWidth="1"/>
    <col min="8" max="8" width="11" customWidth="1"/>
    <col min="9" max="9" width="11.6640625" customWidth="1"/>
  </cols>
  <sheetData>
    <row r="1" spans="1:9" ht="17.399999999999999" x14ac:dyDescent="0.3">
      <c r="A1" s="79" t="s">
        <v>104</v>
      </c>
      <c r="B1" s="80"/>
      <c r="C1" s="80"/>
      <c r="D1" s="80"/>
      <c r="E1" s="80"/>
      <c r="F1" s="80"/>
      <c r="G1" s="80"/>
      <c r="H1" s="80"/>
      <c r="I1" s="81"/>
    </row>
    <row r="2" spans="1:9" ht="17.399999999999999" x14ac:dyDescent="0.3">
      <c r="A2" s="82" t="s">
        <v>103</v>
      </c>
      <c r="B2" s="83"/>
      <c r="C2" s="83"/>
      <c r="D2" s="83"/>
      <c r="E2" s="83"/>
      <c r="F2" s="83"/>
      <c r="G2" s="83"/>
      <c r="H2" s="83"/>
      <c r="I2" s="84"/>
    </row>
    <row r="3" spans="1:9" ht="18" x14ac:dyDescent="0.3">
      <c r="A3" s="85" t="s">
        <v>102</v>
      </c>
      <c r="B3" s="86"/>
      <c r="C3" s="86"/>
      <c r="D3" s="86"/>
      <c r="E3" s="86"/>
      <c r="F3" s="86"/>
      <c r="G3" s="86"/>
      <c r="H3" s="86"/>
      <c r="I3" s="87"/>
    </row>
    <row r="4" spans="1:9" ht="18" thickBot="1" x14ac:dyDescent="0.35">
      <c r="A4" s="88" t="s">
        <v>101</v>
      </c>
      <c r="B4" s="89"/>
      <c r="C4" s="89"/>
      <c r="D4" s="89"/>
      <c r="E4" s="89"/>
      <c r="F4" s="89"/>
      <c r="G4" s="89"/>
      <c r="H4" s="89"/>
      <c r="I4" s="90"/>
    </row>
    <row r="5" spans="1:9" ht="51.75" customHeight="1" thickBot="1" x14ac:dyDescent="0.35">
      <c r="A5" s="91" t="s">
        <v>100</v>
      </c>
      <c r="B5" s="92"/>
      <c r="C5" s="92"/>
      <c r="D5" s="93"/>
      <c r="E5" s="93"/>
      <c r="F5" s="93"/>
      <c r="G5" s="93"/>
      <c r="H5" s="93"/>
      <c r="I5" s="94"/>
    </row>
    <row r="6" spans="1:9" ht="33" customHeight="1" thickBot="1" x14ac:dyDescent="0.35">
      <c r="A6" s="95" t="s">
        <v>99</v>
      </c>
      <c r="B6" s="74"/>
      <c r="C6" s="74"/>
      <c r="D6" s="97" t="s">
        <v>98</v>
      </c>
      <c r="E6" s="98"/>
      <c r="F6" s="97" t="s">
        <v>97</v>
      </c>
      <c r="G6" s="98"/>
      <c r="H6" s="97" t="s">
        <v>96</v>
      </c>
      <c r="I6" s="98"/>
    </row>
    <row r="7" spans="1:9" x14ac:dyDescent="0.3">
      <c r="A7" s="95"/>
      <c r="B7" s="72"/>
      <c r="C7" s="72"/>
      <c r="D7" s="73" t="s">
        <v>95</v>
      </c>
      <c r="E7" s="72" t="s">
        <v>94</v>
      </c>
      <c r="F7" s="72" t="s">
        <v>95</v>
      </c>
      <c r="G7" s="72" t="s">
        <v>94</v>
      </c>
      <c r="H7" s="72" t="s">
        <v>95</v>
      </c>
      <c r="I7" s="72" t="s">
        <v>94</v>
      </c>
    </row>
    <row r="8" spans="1:9" x14ac:dyDescent="0.3">
      <c r="A8" s="95"/>
      <c r="B8" s="72"/>
      <c r="C8" s="72"/>
      <c r="D8" s="72" t="s">
        <v>93</v>
      </c>
      <c r="E8" s="72" t="s">
        <v>92</v>
      </c>
      <c r="F8" s="72" t="s">
        <v>93</v>
      </c>
      <c r="G8" s="72" t="s">
        <v>92</v>
      </c>
      <c r="H8" s="72" t="s">
        <v>93</v>
      </c>
      <c r="I8" s="72" t="s">
        <v>92</v>
      </c>
    </row>
    <row r="9" spans="1:9" x14ac:dyDescent="0.3">
      <c r="A9" s="95"/>
      <c r="B9" s="72"/>
      <c r="C9" s="72"/>
      <c r="D9" s="73" t="s">
        <v>91</v>
      </c>
      <c r="E9" s="72" t="s">
        <v>90</v>
      </c>
      <c r="F9" s="72" t="s">
        <v>91</v>
      </c>
      <c r="G9" s="72" t="s">
        <v>90</v>
      </c>
      <c r="H9" s="72" t="s">
        <v>91</v>
      </c>
      <c r="I9" s="72" t="s">
        <v>90</v>
      </c>
    </row>
    <row r="10" spans="1:9" ht="27" thickBot="1" x14ac:dyDescent="0.35">
      <c r="A10" s="96"/>
      <c r="B10" s="71" t="s">
        <v>89</v>
      </c>
      <c r="C10" s="71" t="s">
        <v>88</v>
      </c>
      <c r="D10" s="70" t="s">
        <v>87</v>
      </c>
      <c r="E10" s="70" t="s">
        <v>87</v>
      </c>
      <c r="F10" s="70" t="s">
        <v>87</v>
      </c>
      <c r="G10" s="70" t="s">
        <v>87</v>
      </c>
      <c r="H10" s="70" t="s">
        <v>87</v>
      </c>
      <c r="I10" s="70" t="s">
        <v>87</v>
      </c>
    </row>
    <row r="11" spans="1:9" ht="15" thickBot="1" x14ac:dyDescent="0.35">
      <c r="A11" s="67" t="s">
        <v>86</v>
      </c>
      <c r="B11" s="69">
        <v>45</v>
      </c>
      <c r="C11" s="69">
        <v>59</v>
      </c>
      <c r="D11" s="68">
        <v>0.04</v>
      </c>
      <c r="E11" s="68">
        <v>0.03</v>
      </c>
      <c r="F11" s="68">
        <v>0.04</v>
      </c>
      <c r="G11" s="68">
        <v>0.03</v>
      </c>
      <c r="H11" s="68">
        <v>0.03</v>
      </c>
      <c r="I11" s="68">
        <v>0.03</v>
      </c>
    </row>
    <row r="12" spans="1:9" ht="36.75" customHeight="1" thickBot="1" x14ac:dyDescent="0.35">
      <c r="A12" s="67" t="s">
        <v>85</v>
      </c>
      <c r="B12" s="69">
        <v>60</v>
      </c>
      <c r="C12" s="69">
        <v>64</v>
      </c>
      <c r="D12" s="68">
        <v>0.05</v>
      </c>
      <c r="E12" s="68">
        <v>0.03</v>
      </c>
      <c r="F12" s="68">
        <v>0.05</v>
      </c>
      <c r="G12" s="68">
        <v>0.03</v>
      </c>
      <c r="H12" s="68">
        <v>3.5000000000000003E-2</v>
      </c>
      <c r="I12" s="68">
        <v>3.5000000000000003E-2</v>
      </c>
    </row>
    <row r="13" spans="1:9" ht="33.75" customHeight="1" thickBot="1" x14ac:dyDescent="0.35">
      <c r="A13" s="67" t="s">
        <v>84</v>
      </c>
      <c r="B13" s="69">
        <v>65</v>
      </c>
      <c r="C13" s="69">
        <v>71</v>
      </c>
      <c r="D13" s="68">
        <v>6.25E-2</v>
      </c>
      <c r="E13" s="68">
        <v>0.04</v>
      </c>
      <c r="F13" s="68">
        <v>7.4999999999999997E-2</v>
      </c>
      <c r="G13" s="68">
        <v>0.03</v>
      </c>
      <c r="H13" s="68">
        <v>0.05</v>
      </c>
      <c r="I13" s="68">
        <v>0.05</v>
      </c>
    </row>
    <row r="14" spans="1:9" ht="43.5" customHeight="1" thickBot="1" x14ac:dyDescent="0.35">
      <c r="A14" s="67" t="s">
        <v>83</v>
      </c>
      <c r="B14" s="69">
        <v>72</v>
      </c>
      <c r="C14" s="69">
        <v>99</v>
      </c>
      <c r="D14" s="68">
        <v>6.7500000000000004E-2</v>
      </c>
      <c r="E14" s="68">
        <v>0.04</v>
      </c>
      <c r="F14" s="68">
        <v>0.08</v>
      </c>
      <c r="G14" s="68">
        <v>0.03</v>
      </c>
      <c r="H14" s="68">
        <v>5.2499999999999998E-2</v>
      </c>
      <c r="I14" s="68">
        <v>5.2499999999999998E-2</v>
      </c>
    </row>
    <row r="15" spans="1:9" ht="41.25" customHeight="1" thickBot="1" x14ac:dyDescent="0.35">
      <c r="A15" s="67" t="s">
        <v>82</v>
      </c>
      <c r="B15" s="66">
        <v>45</v>
      </c>
      <c r="C15" s="66">
        <v>59</v>
      </c>
      <c r="D15" s="65">
        <v>3.5000000000000003E-2</v>
      </c>
      <c r="E15" s="65">
        <v>0.03</v>
      </c>
      <c r="F15" s="65">
        <v>3.5000000000000003E-2</v>
      </c>
      <c r="G15" s="65">
        <v>0.03</v>
      </c>
      <c r="H15" s="65">
        <v>2.75E-2</v>
      </c>
      <c r="I15" s="65">
        <v>2.75E-2</v>
      </c>
    </row>
    <row r="16" spans="1:9" ht="36" customHeight="1" thickBot="1" x14ac:dyDescent="0.35">
      <c r="A16" s="67" t="s">
        <v>81</v>
      </c>
      <c r="B16" s="66">
        <v>60</v>
      </c>
      <c r="C16" s="66">
        <v>64</v>
      </c>
      <c r="D16" s="65">
        <v>4.4999999999999998E-2</v>
      </c>
      <c r="E16" s="65">
        <v>0.03</v>
      </c>
      <c r="F16" s="65">
        <v>4.4999999999999998E-2</v>
      </c>
      <c r="G16" s="65">
        <v>0.03</v>
      </c>
      <c r="H16" s="65">
        <v>3.2500000000000001E-2</v>
      </c>
      <c r="I16" s="65">
        <v>3.2500000000000001E-2</v>
      </c>
    </row>
    <row r="17" spans="1:9" ht="37.5" customHeight="1" thickBot="1" x14ac:dyDescent="0.35">
      <c r="A17" s="67" t="s">
        <v>80</v>
      </c>
      <c r="B17" s="66">
        <v>65</v>
      </c>
      <c r="C17" s="66">
        <v>71</v>
      </c>
      <c r="D17" s="65">
        <v>5.7500000000000002E-2</v>
      </c>
      <c r="E17" s="65">
        <v>0.04</v>
      </c>
      <c r="F17" s="65">
        <v>7.0000000000000007E-2</v>
      </c>
      <c r="G17" s="65">
        <v>0.03</v>
      </c>
      <c r="H17" s="65">
        <v>4.4999999999999998E-2</v>
      </c>
      <c r="I17" s="65">
        <v>4.4999999999999998E-2</v>
      </c>
    </row>
    <row r="18" spans="1:9" ht="31.5" customHeight="1" thickBot="1" x14ac:dyDescent="0.35">
      <c r="A18" s="67" t="s">
        <v>79</v>
      </c>
      <c r="B18" s="66">
        <v>72</v>
      </c>
      <c r="C18" s="66">
        <v>99</v>
      </c>
      <c r="D18" s="65">
        <v>6.25E-2</v>
      </c>
      <c r="E18" s="65">
        <v>0.04</v>
      </c>
      <c r="F18" s="65">
        <v>7.4999999999999997E-2</v>
      </c>
      <c r="G18" s="65">
        <v>0.03</v>
      </c>
      <c r="H18" s="65">
        <v>4.7500000000000001E-2</v>
      </c>
      <c r="I18" s="65">
        <v>4.7500000000000001E-2</v>
      </c>
    </row>
    <row r="19" spans="1:9" x14ac:dyDescent="0.3">
      <c r="A19" s="64" t="s">
        <v>78</v>
      </c>
      <c r="B19" s="64"/>
      <c r="C19" s="64"/>
    </row>
    <row r="20" spans="1:9" x14ac:dyDescent="0.3">
      <c r="A20" s="64" t="s">
        <v>77</v>
      </c>
      <c r="B20" s="64"/>
      <c r="C20" s="64"/>
    </row>
    <row r="21" spans="1:9" x14ac:dyDescent="0.3">
      <c r="A21" s="64" t="s">
        <v>76</v>
      </c>
      <c r="B21" s="64"/>
      <c r="C21" s="64"/>
    </row>
    <row r="22" spans="1:9" x14ac:dyDescent="0.3">
      <c r="A22" s="63" t="s">
        <v>75</v>
      </c>
      <c r="B22" s="63"/>
      <c r="C22" s="63"/>
    </row>
  </sheetData>
  <mergeCells count="9">
    <mergeCell ref="A6:A10"/>
    <mergeCell ref="D6:E6"/>
    <mergeCell ref="F6:G6"/>
    <mergeCell ref="H6:I6"/>
    <mergeCell ref="A1:I1"/>
    <mergeCell ref="A2:I2"/>
    <mergeCell ref="A3:I3"/>
    <mergeCell ref="A4:I4"/>
    <mergeCell ref="A5:I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40</vt:i4>
      </vt:variant>
    </vt:vector>
  </HeadingPairs>
  <TitlesOfParts>
    <vt:vector size="48" baseType="lpstr">
      <vt:lpstr>Glossary</vt:lpstr>
      <vt:lpstr>Calculation D</vt:lpstr>
      <vt:lpstr>Controls</vt:lpstr>
      <vt:lpstr>Example Doc</vt:lpstr>
      <vt:lpstr>How It Works</vt:lpstr>
      <vt:lpstr>Orders of Operation</vt:lpstr>
      <vt:lpstr>Test Cases</vt:lpstr>
      <vt:lpstr>WdAges</vt:lpstr>
      <vt:lpstr>Activation_Time</vt:lpstr>
      <vt:lpstr>Actual</vt:lpstr>
      <vt:lpstr>Anniversery_Value</vt:lpstr>
      <vt:lpstr>Assumed_Contract_Value</vt:lpstr>
      <vt:lpstr>Assumed_Contract_Value2</vt:lpstr>
      <vt:lpstr>Benefit_Effective_Date</vt:lpstr>
      <vt:lpstr>Covered_Person</vt:lpstr>
      <vt:lpstr>Dash</vt:lpstr>
      <vt:lpstr>Expected</vt:lpstr>
      <vt:lpstr>ICP</vt:lpstr>
      <vt:lpstr>Income_Credit_Base</vt:lpstr>
      <vt:lpstr>Initial_Purchase_Payment</vt:lpstr>
      <vt:lpstr>IPP</vt:lpstr>
      <vt:lpstr>Is_Activation</vt:lpstr>
      <vt:lpstr>Is_Anniversery</vt:lpstr>
      <vt:lpstr>Issue_Date</vt:lpstr>
      <vt:lpstr>LB_Age1</vt:lpstr>
      <vt:lpstr>LB_Ages2</vt:lpstr>
      <vt:lpstr>Lifetime_Income</vt:lpstr>
      <vt:lpstr>MAW</vt:lpstr>
      <vt:lpstr>MAW_1</vt:lpstr>
      <vt:lpstr>MAWAA</vt:lpstr>
      <vt:lpstr>Max_Withdrawal</vt:lpstr>
      <vt:lpstr>Maximum_Withdrawal_Amount</vt:lpstr>
      <vt:lpstr>MaxWithdrawal_PIP</vt:lpstr>
      <vt:lpstr>Minimum_Withdrawal_Age</vt:lpstr>
      <vt:lpstr>Number_Of_Annuitants</vt:lpstr>
      <vt:lpstr>PIP</vt:lpstr>
      <vt:lpstr>PIP_2</vt:lpstr>
      <vt:lpstr>Primary_Issue_Age</vt:lpstr>
      <vt:lpstr>Protected_Income_Payment</vt:lpstr>
      <vt:lpstr>Protected_Income_Payment2</vt:lpstr>
      <vt:lpstr>Purchase_Payments</vt:lpstr>
      <vt:lpstr>Secondary_Issue_Age</vt:lpstr>
      <vt:lpstr>Time_From_Valuation</vt:lpstr>
      <vt:lpstr>UB_AGE1</vt:lpstr>
      <vt:lpstr>UB_Ages2</vt:lpstr>
      <vt:lpstr>Valuation_Date</vt:lpstr>
      <vt:lpstr>Withdrawal</vt:lpstr>
      <vt:lpstr>Withdrawal_Activation_Date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Bryon Robidoux</dc:creator>
  <cp:lastModifiedBy>Alissa Whitlock</cp:lastModifiedBy>
  <dcterms:created xsi:type="dcterms:W3CDTF">2020-11-27T19:30:22Z</dcterms:created>
  <dcterms:modified xsi:type="dcterms:W3CDTF">2023-04-03T01:40:34Z</dcterms:modified>
</cp:coreProperties>
</file>